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drawings/drawing2.xml" ContentType="application/vnd.openxmlformats-officedocument.drawing+xml"/>
  <Override PartName="/xl/comments3.xml" ContentType="application/vnd.openxmlformats-officedocument.spreadsheetml.comments+xml"/>
  <Override PartName="/xl/drawings/drawing3.xml" ContentType="application/vnd.openxmlformats-officedocument.drawing+xml"/>
  <Override PartName="/xl/comments4.xml" ContentType="application/vnd.openxmlformats-officedocument.spreadsheetml.comments+xml"/>
  <Override PartName="/xl/drawings/drawing4.xml" ContentType="application/vnd.openxmlformats-officedocument.drawing+xml"/>
  <Override PartName="/xl/comments5.xml" ContentType="application/vnd.openxmlformats-officedocument.spreadsheetml.comments+xml"/>
  <Override PartName="/xl/threadedComments/threadedComment1.xml" ContentType="application/vnd.ms-excel.threadedcomments+xml"/>
  <Override PartName="/xl/comments6.xml" ContentType="application/vnd.openxmlformats-officedocument.spreadsheetml.comments+xml"/>
  <Override PartName="/xl/drawings/drawing5.xml" ContentType="application/vnd.openxmlformats-officedocument.drawing+xml"/>
  <Override PartName="/xl/comments7.xml" ContentType="application/vnd.openxmlformats-officedocument.spreadsheetml.comments+xml"/>
  <Override PartName="/xl/comments8.xml" ContentType="application/vnd.openxmlformats-officedocument.spreadsheetml.comments+xml"/>
  <Override PartName="/xl/threadedComments/threadedComment2.xml" ContentType="application/vnd.ms-excel.threadedcomments+xml"/>
  <Override PartName="/xl/drawings/drawing6.xml" ContentType="application/vnd.openxmlformats-officedocument.drawing+xml"/>
  <Override PartName="/xl/comments9.xml" ContentType="application/vnd.openxmlformats-officedocument.spreadsheetml.comments+xml"/>
  <Override PartName="/xl/comments10.xml" ContentType="application/vnd.openxmlformats-officedocument.spreadsheetml.comments+xml"/>
  <Override PartName="/xl/drawings/drawing7.xml" ContentType="application/vnd.openxmlformats-officedocument.drawing+xml"/>
  <Override PartName="/xl/comments11.xml" ContentType="application/vnd.openxmlformats-officedocument.spreadsheetml.comments+xml"/>
  <Override PartName="/xl/persons/person.xml" ContentType="application/vnd.ms-excel.person+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https://arlast-my.sharepoint.com/personal/sergio_arlast_com/Documents/Desktop/AVA_Dashboard/dashboard/public/"/>
    </mc:Choice>
  </mc:AlternateContent>
  <xr:revisionPtr revIDLastSave="0" documentId="8_{BA9918D9-88C2-40AC-B78B-6EB1286305B2}" xr6:coauthVersionLast="47" xr6:coauthVersionMax="47" xr10:uidLastSave="{00000000-0000-0000-0000-000000000000}"/>
  <bookViews>
    <workbookView xWindow="28695" yWindow="0" windowWidth="29010" windowHeight="15585" tabRatio="911" firstSheet="1" activeTab="6" xr2:uid="{00000000-000D-0000-FFFF-FFFF00000000}"/>
  </bookViews>
  <sheets>
    <sheet name="Claude Log" sheetId="52" state="hidden" r:id="rId1"/>
    <sheet name="Instructions" sheetId="1" r:id="rId2"/>
    <sheet name="Incentive_Scorecard_Q2" sheetId="56" state="hidden" r:id="rId3"/>
    <sheet name="Incentive_Scorecard_Q3" sheetId="62" r:id="rId4"/>
    <sheet name="Dashboard_1" sheetId="2" r:id="rId5"/>
    <sheet name="Data_2" sheetId="4" r:id="rId6"/>
    <sheet name="Delinquency_Detail_3" sheetId="19" r:id="rId7"/>
    <sheet name="App_Pipeline_Intel_4" sheetId="27" r:id="rId8"/>
    <sheet name="Action_Item_Tracker_5" sheetId="24" r:id="rId9"/>
    <sheet name="Screening_Impact_Analysis_6" sheetId="38" r:id="rId10"/>
    <sheet name="Eviction_Success_Rate" sheetId="51" r:id="rId11"/>
    <sheet name="Targets" sheetId="5" r:id="rId12"/>
    <sheet name="Targets_vs_Actuals" sheetId="61" r:id="rId13"/>
    <sheet name="CAF_App_Tracker" sheetId="50" r:id="rId14"/>
    <sheet name="CAF vs Pipeline Comparison" sheetId="34" r:id="rId15"/>
    <sheet name="DSO_Calculation" sheetId="3" r:id="rId16"/>
    <sheet name="Write_Off_Recon" sheetId="37" r:id="rId17"/>
    <sheet name="Historical" sheetId="6" r:id="rId18"/>
    <sheet name="Competitors" sheetId="7" state="hidden" r:id="rId19"/>
    <sheet name="Boxscore MMR -Availability" sheetId="8" r:id="rId20"/>
    <sheet name="Boxscore MMR -Lead Activity" sheetId="9" r:id="rId21"/>
    <sheet name="Boxscore MMR- Lead Conversion" sheetId="10" r:id="rId22"/>
    <sheet name="Resident Retention -12 months" sheetId="11" r:id="rId23"/>
    <sheet name="Boxscore MMR-Property Pulse" sheetId="12" r:id="rId24"/>
    <sheet name="receipts by charge code-AVA" sheetId="13" r:id="rId25"/>
    <sheet name="trending delinquency" sheetId="22" r:id="rId26"/>
    <sheet name="resident aged receivable" sheetId="14" r:id="rId27"/>
    <sheet name="Work order summary-Maintenance " sheetId="15" r:id="rId28"/>
    <sheet name="T12" sheetId="16" r:id="rId29"/>
    <sheet name="lease trade out NER -AVA" sheetId="17" r:id="rId30"/>
    <sheet name="NSF -AVA" sheetId="18" r:id="rId31"/>
    <sheet name="Application_Status_June" sheetId="58" r:id="rId32"/>
    <sheet name="Application_Status_July" sheetId="59" r:id="rId33"/>
    <sheet name="Application_Status_August" sheetId="63" r:id="rId34"/>
    <sheet name="Res_Retention" sheetId="28" r:id="rId35"/>
    <sheet name="Evictions_RSI" sheetId="29" r:id="rId36"/>
    <sheet name="LeaseLock" sheetId="46" r:id="rId37"/>
    <sheet name="RR_Unit_Details" sheetId="44" r:id="rId38"/>
    <sheet name="Move_Out_Reasons" sheetId="30" r:id="rId39"/>
    <sheet name="Move_Outs_ResMan" sheetId="31" state="hidden" r:id="rId40"/>
    <sheet name="Delinq_Notes_Backup" sheetId="60" state="hidden" r:id="rId41"/>
    <sheet name="Nationwide_JP3-1" sheetId="39" state="hidden" r:id="rId42"/>
    <sheet name="Nationwide_BRR" sheetId="40" state="hidden" r:id="rId43"/>
    <sheet name="Delinq Data" sheetId="20" state="hidden" r:id="rId44"/>
    <sheet name="Application_Status_Feb" sheetId="25" state="hidden" r:id="rId45"/>
    <sheet name="Application_Status_Mar" sheetId="26" state="hidden" r:id="rId46"/>
    <sheet name="Application_Status_Apr" sheetId="55" state="hidden" r:id="rId47"/>
    <sheet name="Application_Status_May" sheetId="57" state="hidden" r:id="rId48"/>
  </sheets>
  <definedNames>
    <definedName name="_xlnm._FilterDatabase" localSheetId="7" hidden="1">App_Pipeline_Intel_4!$A$65:$K$65</definedName>
    <definedName name="_xlnm._FilterDatabase" localSheetId="43" hidden="1">'Delinq Data'!$A$1:$J$1</definedName>
    <definedName name="_xlnm._FilterDatabase" localSheetId="6" hidden="1">Delinquency_Detail_3!$A$66:$Z$66</definedName>
    <definedName name="_xlnm._FilterDatabase" localSheetId="29" hidden="1">'lease trade out NER -AVA'!$A$1:$AA$1</definedName>
    <definedName name="_xlnm._FilterDatabase" localSheetId="42" hidden="1">Nationwide_BRR!$A$1:$R$1</definedName>
    <definedName name="_xlnm._FilterDatabase" localSheetId="22" hidden="1">'Resident Retention -12 months'!$A$1:$J$1</definedName>
    <definedName name="_xlnm.Print_Area" localSheetId="8">Action_Item_Tracker_5!$B$1:$H$36</definedName>
    <definedName name="_xlnm.Print_Area" localSheetId="7">App_Pipeline_Intel_4!$A$1:$K$233</definedName>
    <definedName name="_xlnm.Print_Area" localSheetId="4">Dashboard_1!$A$1:$H$84</definedName>
    <definedName name="_xlnm.Print_Area" localSheetId="5">Data_2!$A$1:$V$129</definedName>
    <definedName name="_xlnm.Print_Area" localSheetId="6">Delinquency_Detail_3!$A$1:$L$182</definedName>
    <definedName name="_xlnm.Print_Area" localSheetId="9">Screening_Impact_Analysis_6!$A$1:$J$71</definedName>
    <definedName name="_xlnm.Print_Titles" localSheetId="13">CAF_App_Tracker!$5:$5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206" i="46" l="1"/>
  <c r="O206" i="46"/>
  <c r="T206" i="46"/>
  <c r="V206" i="46"/>
  <c r="W206" i="46"/>
  <c r="N207" i="46"/>
  <c r="O207" i="46"/>
  <c r="T207" i="46"/>
  <c r="V207" i="46"/>
  <c r="W207" i="46"/>
  <c r="AK124" i="4"/>
  <c r="AK106" i="4"/>
  <c r="H11" i="16"/>
  <c r="I11" i="16"/>
  <c r="H12" i="16"/>
  <c r="I12" i="16"/>
  <c r="H13" i="16"/>
  <c r="I13" i="16"/>
  <c r="H14" i="16"/>
  <c r="I14" i="16"/>
  <c r="H15" i="16"/>
  <c r="I15" i="16"/>
  <c r="H16" i="16"/>
  <c r="I16" i="16"/>
  <c r="H17" i="16"/>
  <c r="I17" i="16"/>
  <c r="H18" i="16"/>
  <c r="I18" i="16"/>
  <c r="AK129" i="4"/>
  <c r="AK126" i="4"/>
  <c r="AK122" i="4"/>
  <c r="AK121" i="4"/>
  <c r="AK120" i="4"/>
  <c r="AK114" i="4"/>
  <c r="AK113" i="4"/>
  <c r="AK111" i="4"/>
  <c r="AK110" i="4"/>
  <c r="AK109" i="4"/>
  <c r="AK108" i="4"/>
  <c r="AK107" i="4"/>
  <c r="AK100" i="4"/>
  <c r="AK102" i="4" s="1"/>
  <c r="AK99" i="4"/>
  <c r="AK98" i="4"/>
  <c r="AK101" i="4" s="1"/>
  <c r="AK96" i="4"/>
  <c r="AK95" i="4"/>
  <c r="AK93" i="4"/>
  <c r="AK92" i="4"/>
  <c r="AK94" i="4" s="1"/>
  <c r="AK90" i="4"/>
  <c r="D59" i="2" s="1" a="1"/>
  <c r="AK88" i="4"/>
  <c r="AK87" i="4" a="1"/>
  <c r="AK86" i="4"/>
  <c r="AK85" i="4"/>
  <c r="AK84" i="4"/>
  <c r="D53" i="2" s="1" a="1"/>
  <c r="AK83" i="4"/>
  <c r="D52" i="2" s="1" a="1"/>
  <c r="AK81" i="4"/>
  <c r="AK80" i="4" a="1"/>
  <c r="AK79" i="4"/>
  <c r="AK78" i="4"/>
  <c r="D47" i="2" s="1" a="1"/>
  <c r="AK77" i="4"/>
  <c r="AK76" i="4"/>
  <c r="AK74" i="4"/>
  <c r="AK73" i="4" a="1"/>
  <c r="AK72" i="4"/>
  <c r="AK71" i="4"/>
  <c r="D39" i="2" s="1" a="1"/>
  <c r="AK70" i="4"/>
  <c r="D37" i="2" s="1" a="1"/>
  <c r="AK69" i="4"/>
  <c r="D36" i="2" s="1" a="1"/>
  <c r="AK67" i="4"/>
  <c r="AK66" i="4" a="1"/>
  <c r="AK65" i="4"/>
  <c r="AK64" i="4"/>
  <c r="AK63" i="4"/>
  <c r="D29" i="2" s="1" a="1"/>
  <c r="AK62" i="4"/>
  <c r="AK60" i="4"/>
  <c r="AK59" i="4" a="1"/>
  <c r="AK58" i="4"/>
  <c r="AK57" i="4"/>
  <c r="AK56" i="4"/>
  <c r="AK55" i="4"/>
  <c r="AK53" i="4"/>
  <c r="AK52" i="4" a="1"/>
  <c r="AK51" i="4"/>
  <c r="AK50" i="4"/>
  <c r="AK49" i="4"/>
  <c r="AK48" i="4"/>
  <c r="AK46" i="4" s="1"/>
  <c r="AK45" i="4"/>
  <c r="AK44" i="4"/>
  <c r="AK43" i="4"/>
  <c r="AK41" i="4" s="1"/>
  <c r="AK40" i="4"/>
  <c r="AK39" i="4"/>
  <c r="AK38" i="4"/>
  <c r="AK36" i="4"/>
  <c r="AK32" i="4"/>
  <c r="AK31" i="4"/>
  <c r="AK29" i="4"/>
  <c r="AK28" i="4"/>
  <c r="AK26" i="4"/>
  <c r="AK25" i="4"/>
  <c r="AK22" i="4"/>
  <c r="AK21" i="4"/>
  <c r="AK19" i="4"/>
  <c r="AK18" i="4"/>
  <c r="AK16" i="4"/>
  <c r="AK15" i="4"/>
  <c r="AK13" i="4" a="1"/>
  <c r="AK12" i="4"/>
  <c r="AK11" i="4" a="1"/>
  <c r="AK10" i="4" a="1"/>
  <c r="AK9" i="4"/>
  <c r="AK7" i="4"/>
  <c r="AK6" i="4"/>
  <c r="N192" i="46"/>
  <c r="O192" i="46"/>
  <c r="T192" i="46"/>
  <c r="V192" i="46"/>
  <c r="W192" i="46"/>
  <c r="N193" i="46"/>
  <c r="O193" i="46"/>
  <c r="T193" i="46"/>
  <c r="V193" i="46"/>
  <c r="W193" i="46"/>
  <c r="N194" i="46"/>
  <c r="O194" i="46"/>
  <c r="T194" i="46"/>
  <c r="V194" i="46"/>
  <c r="W194" i="46"/>
  <c r="N195" i="46"/>
  <c r="O195" i="46"/>
  <c r="T195" i="46"/>
  <c r="V195" i="46"/>
  <c r="W195" i="46"/>
  <c r="N196" i="46"/>
  <c r="O196" i="46"/>
  <c r="T196" i="46"/>
  <c r="V196" i="46"/>
  <c r="W196" i="46"/>
  <c r="N197" i="46"/>
  <c r="O197" i="46"/>
  <c r="T197" i="46"/>
  <c r="V197" i="46"/>
  <c r="W197" i="46"/>
  <c r="N198" i="46"/>
  <c r="O198" i="46"/>
  <c r="T198" i="46"/>
  <c r="V198" i="46"/>
  <c r="W198" i="46"/>
  <c r="N199" i="46"/>
  <c r="O199" i="46"/>
  <c r="T199" i="46"/>
  <c r="V199" i="46"/>
  <c r="W199" i="46"/>
  <c r="N200" i="46"/>
  <c r="O200" i="46"/>
  <c r="T200" i="46"/>
  <c r="V200" i="46"/>
  <c r="W200" i="46"/>
  <c r="N201" i="46"/>
  <c r="O201" i="46"/>
  <c r="T201" i="46"/>
  <c r="V201" i="46"/>
  <c r="W201" i="46"/>
  <c r="N202" i="46"/>
  <c r="O202" i="46"/>
  <c r="T202" i="46"/>
  <c r="V202" i="46"/>
  <c r="W202" i="46"/>
  <c r="N203" i="46"/>
  <c r="O203" i="46"/>
  <c r="T203" i="46"/>
  <c r="V203" i="46"/>
  <c r="W203" i="46"/>
  <c r="N204" i="46"/>
  <c r="O204" i="46"/>
  <c r="T204" i="46"/>
  <c r="V204" i="46"/>
  <c r="W204" i="46"/>
  <c r="N205" i="46"/>
  <c r="O205" i="46"/>
  <c r="T205" i="46"/>
  <c r="V205" i="46"/>
  <c r="W205" i="46"/>
  <c r="K18" i="16"/>
  <c r="K17" i="16"/>
  <c r="K13" i="16"/>
  <c r="K11" i="16"/>
  <c r="K12" i="16" s="1"/>
  <c r="K14" i="16" s="1"/>
  <c r="K16" i="16" s="1"/>
  <c r="D55" i="2" a="1"/>
  <c r="D31" i="2" a="1"/>
  <c r="D28" i="2" a="1"/>
  <c r="F58" i="2" a="1"/>
  <c r="F57" i="2" a="1"/>
  <c r="F55" i="2" a="1"/>
  <c r="F54" i="2" a="1"/>
  <c r="F53" i="2" a="1"/>
  <c r="F52" i="2" a="1"/>
  <c r="D56" i="2"/>
  <c r="F50" i="2" a="1"/>
  <c r="D50" i="2" a="1"/>
  <c r="F49" i="2" a="1"/>
  <c r="D49" i="2" a="1"/>
  <c r="D48" i="2"/>
  <c r="F47" i="2" a="1"/>
  <c r="F46" i="2" a="1"/>
  <c r="D46" i="2" a="1"/>
  <c r="F45" i="2" a="1"/>
  <c r="F44" i="2" a="1"/>
  <c r="F42" i="2" a="1"/>
  <c r="D42" i="2" a="1"/>
  <c r="F41" i="2" a="1"/>
  <c r="D41" i="2" a="1"/>
  <c r="D40" i="2"/>
  <c r="F39" i="2" a="1"/>
  <c r="F38" i="2" a="1"/>
  <c r="D38" i="2" a="1"/>
  <c r="F37" i="2" a="1"/>
  <c r="F36" i="2" a="1"/>
  <c r="F34" i="2" a="1"/>
  <c r="D34" i="2" a="1"/>
  <c r="F33" i="2" a="1"/>
  <c r="D33" i="2" a="1"/>
  <c r="D32" i="2"/>
  <c r="F31" i="2" a="1"/>
  <c r="F30" i="2" a="1"/>
  <c r="D30" i="2" a="1"/>
  <c r="F29" i="2" a="1"/>
  <c r="F28" i="2" a="1"/>
  <c r="D58" i="2" a="1"/>
  <c r="D54" i="2" a="1"/>
  <c r="D57" i="2" a="1"/>
  <c r="B182" i="19" a="1"/>
  <c r="A181" i="19" a="1"/>
  <c r="A180" i="19" a="1"/>
  <c r="A179" i="19" a="1"/>
  <c r="A178" i="19" a="1"/>
  <c r="A177" i="19" a="1"/>
  <c r="A176" i="19" a="1"/>
  <c r="A175" i="19" a="1"/>
  <c r="A174" i="19" a="1"/>
  <c r="A173" i="19" a="1"/>
  <c r="A172" i="19" a="1"/>
  <c r="A171" i="19" a="1"/>
  <c r="A170" i="19" a="1"/>
  <c r="A169" i="19" a="1"/>
  <c r="A168" i="19" a="1"/>
  <c r="A167" i="19" a="1"/>
  <c r="A166" i="19" a="1"/>
  <c r="A165" i="19" a="1"/>
  <c r="A164" i="19" a="1"/>
  <c r="A163" i="19" a="1"/>
  <c r="A162" i="19" a="1"/>
  <c r="A161" i="19" a="1"/>
  <c r="A160" i="19" a="1"/>
  <c r="A159" i="19" a="1"/>
  <c r="A158" i="19" a="1"/>
  <c r="A157" i="19" a="1"/>
  <c r="A156" i="19" a="1"/>
  <c r="A155" i="19" a="1"/>
  <c r="A154" i="19" a="1"/>
  <c r="A153" i="19" a="1"/>
  <c r="A152" i="19" a="1"/>
  <c r="A151" i="19" a="1"/>
  <c r="A150" i="19" a="1"/>
  <c r="A149" i="19" a="1"/>
  <c r="A148" i="19" a="1"/>
  <c r="A147" i="19" a="1"/>
  <c r="A146" i="19" a="1"/>
  <c r="A145" i="19" a="1"/>
  <c r="A144" i="19" a="1"/>
  <c r="A143" i="19" a="1"/>
  <c r="A142" i="19" a="1"/>
  <c r="A141" i="19" a="1"/>
  <c r="A140" i="19" a="1"/>
  <c r="A139" i="19" a="1"/>
  <c r="T162" i="46"/>
  <c r="T110" i="46"/>
  <c r="T111" i="46"/>
  <c r="T181" i="46"/>
  <c r="T129" i="46"/>
  <c r="T115" i="46"/>
  <c r="T127" i="46"/>
  <c r="T184" i="46"/>
  <c r="T126" i="46"/>
  <c r="T174" i="46"/>
  <c r="T172" i="46"/>
  <c r="T122" i="46"/>
  <c r="T147" i="46"/>
  <c r="D78" i="2" a="1"/>
  <c r="D75" i="2" a="1"/>
  <c r="D74" i="2" a="1"/>
  <c r="D73" i="2" a="1"/>
  <c r="D68" i="2" a="1"/>
  <c r="G39" i="62"/>
  <c r="B41" i="62"/>
  <c r="G40" i="62"/>
  <c r="H40" i="62" s="1"/>
  <c r="I40" i="62" s="1"/>
  <c r="E10" i="62" s="1"/>
  <c r="H39" i="62"/>
  <c r="I39" i="62" s="1"/>
  <c r="B35" i="62"/>
  <c r="G34" i="62"/>
  <c r="H34" i="62" s="1"/>
  <c r="I34" i="62" s="1"/>
  <c r="E9" i="62" s="1"/>
  <c r="G33" i="62"/>
  <c r="H33" i="62" s="1"/>
  <c r="I33" i="62" s="1"/>
  <c r="B29" i="62"/>
  <c r="G28" i="62"/>
  <c r="H28" i="62" s="1"/>
  <c r="I28" i="62" s="1"/>
  <c r="E8" i="62" s="1"/>
  <c r="G27" i="62"/>
  <c r="H27" i="62" s="1"/>
  <c r="I27" i="62" s="1"/>
  <c r="B23" i="62"/>
  <c r="H22" i="62"/>
  <c r="I22" i="62" s="1"/>
  <c r="G22" i="62"/>
  <c r="G21" i="62"/>
  <c r="H21" i="62" s="1"/>
  <c r="I21" i="62" s="1"/>
  <c r="B17" i="62"/>
  <c r="G16" i="62"/>
  <c r="H16" i="62" s="1"/>
  <c r="I16" i="62" s="1"/>
  <c r="E6" i="62" s="1"/>
  <c r="G15" i="62"/>
  <c r="H15" i="62" s="1"/>
  <c r="I15" i="62" s="1"/>
  <c r="C11" i="62"/>
  <c r="D7" i="62"/>
  <c r="W191" i="46"/>
  <c r="V191" i="46"/>
  <c r="T191" i="46"/>
  <c r="O191" i="46"/>
  <c r="N191" i="46"/>
  <c r="W190" i="46"/>
  <c r="V190" i="46"/>
  <c r="T190" i="46"/>
  <c r="O190" i="46"/>
  <c r="N190" i="46"/>
  <c r="W189" i="46"/>
  <c r="V189" i="46"/>
  <c r="T189" i="46"/>
  <c r="O189" i="46"/>
  <c r="N189" i="46"/>
  <c r="W188" i="46"/>
  <c r="V188" i="46"/>
  <c r="T188" i="46"/>
  <c r="O188" i="46"/>
  <c r="N188" i="46"/>
  <c r="W187" i="46"/>
  <c r="V187" i="46"/>
  <c r="T187" i="46"/>
  <c r="O187" i="46"/>
  <c r="N187" i="46"/>
  <c r="W186" i="46"/>
  <c r="V186" i="46"/>
  <c r="T186" i="46"/>
  <c r="O186" i="46"/>
  <c r="N186" i="46"/>
  <c r="W185" i="46"/>
  <c r="V185" i="46"/>
  <c r="T185" i="46"/>
  <c r="O185" i="46"/>
  <c r="N185" i="46"/>
  <c r="W184" i="46"/>
  <c r="V184" i="46"/>
  <c r="O184" i="46"/>
  <c r="N184" i="46"/>
  <c r="W183" i="46"/>
  <c r="V183" i="46"/>
  <c r="T183" i="46"/>
  <c r="O183" i="46"/>
  <c r="N183" i="46"/>
  <c r="J17" i="16"/>
  <c r="J13" i="16"/>
  <c r="D62" i="2" a="1"/>
  <c r="D10" i="2" a="1"/>
  <c r="D20" i="2" a="1"/>
  <c r="D16" i="2" a="1"/>
  <c r="D14" i="2" a="1"/>
  <c r="D13" i="2" a="1"/>
  <c r="D12" i="2" a="1"/>
  <c r="D9" i="2" a="1"/>
  <c r="D8" i="2" a="1"/>
  <c r="J34" i="5"/>
  <c r="I23" i="56"/>
  <c r="I30" i="56"/>
  <c r="I37" i="56"/>
  <c r="G27" i="56"/>
  <c r="H27" i="56" s="1"/>
  <c r="G20" i="56"/>
  <c r="H20" i="56" s="1"/>
  <c r="V182" i="46"/>
  <c r="W182" i="46"/>
  <c r="T182" i="46"/>
  <c r="N182" i="46"/>
  <c r="O182" i="46"/>
  <c r="V181" i="46"/>
  <c r="W181" i="46"/>
  <c r="N181" i="46"/>
  <c r="O181" i="46"/>
  <c r="V180" i="46"/>
  <c r="W180" i="46"/>
  <c r="T180" i="46"/>
  <c r="N180" i="46"/>
  <c r="O180" i="46"/>
  <c r="V179" i="46"/>
  <c r="W179" i="46"/>
  <c r="T179" i="46"/>
  <c r="N179" i="46"/>
  <c r="O179" i="46"/>
  <c r="R56" i="61"/>
  <c r="A56" i="61"/>
  <c r="R55" i="61"/>
  <c r="A55" i="61"/>
  <c r="R54" i="61"/>
  <c r="A54" i="61"/>
  <c r="R53" i="61"/>
  <c r="A53" i="61"/>
  <c r="R52" i="61"/>
  <c r="A52" i="61"/>
  <c r="R51" i="61"/>
  <c r="A51" i="61"/>
  <c r="R50" i="61"/>
  <c r="A50" i="61"/>
  <c r="R49" i="61"/>
  <c r="A49" i="61"/>
  <c r="R48" i="61"/>
  <c r="A48" i="61"/>
  <c r="R47" i="61"/>
  <c r="A47" i="61"/>
  <c r="A46" i="61"/>
  <c r="A45" i="61"/>
  <c r="A44" i="61"/>
  <c r="A43" i="61"/>
  <c r="A42" i="61"/>
  <c r="A41" i="61"/>
  <c r="A40" i="61"/>
  <c r="A39" i="61"/>
  <c r="A38" i="61"/>
  <c r="A37" i="61"/>
  <c r="R36" i="61"/>
  <c r="A36" i="61"/>
  <c r="A35" i="61"/>
  <c r="A34" i="61"/>
  <c r="A33" i="61"/>
  <c r="A32" i="61"/>
  <c r="A31" i="61"/>
  <c r="B30" i="61"/>
  <c r="AJ30" i="61" s="1" a="1"/>
  <c r="A30" i="61"/>
  <c r="AG29" i="61"/>
  <c r="AD29" i="61"/>
  <c r="AA29" i="61"/>
  <c r="X29" i="61"/>
  <c r="U29" i="61"/>
  <c r="R29" i="61"/>
  <c r="O29" i="61"/>
  <c r="L29" i="61"/>
  <c r="I29" i="61"/>
  <c r="F29" i="61"/>
  <c r="C29" i="61"/>
  <c r="B29" i="61"/>
  <c r="AJ29" i="61" s="1" a="1"/>
  <c r="A29" i="61"/>
  <c r="AG28" i="61"/>
  <c r="AD28" i="61"/>
  <c r="AA28" i="61"/>
  <c r="X28" i="61"/>
  <c r="U28" i="61"/>
  <c r="R28" i="61"/>
  <c r="O28" i="61"/>
  <c r="L28" i="61"/>
  <c r="I28" i="61"/>
  <c r="F28" i="61"/>
  <c r="C28" i="61"/>
  <c r="B28" i="61"/>
  <c r="AJ28" i="61" s="1" a="1"/>
  <c r="A28" i="61"/>
  <c r="AG27" i="61"/>
  <c r="AD27" i="61"/>
  <c r="AA27" i="61"/>
  <c r="X27" i="61"/>
  <c r="U27" i="61"/>
  <c r="R27" i="61"/>
  <c r="O27" i="61"/>
  <c r="L27" i="61"/>
  <c r="I27" i="61"/>
  <c r="F27" i="61"/>
  <c r="C27" i="61"/>
  <c r="B27" i="61"/>
  <c r="AJ27" i="61" s="1" a="1"/>
  <c r="A27" i="61"/>
  <c r="AG26" i="61"/>
  <c r="AD26" i="61"/>
  <c r="AA26" i="61"/>
  <c r="X26" i="61"/>
  <c r="U26" i="61"/>
  <c r="R26" i="61"/>
  <c r="O26" i="61"/>
  <c r="L26" i="61"/>
  <c r="I26" i="61"/>
  <c r="F26" i="61"/>
  <c r="C26" i="61"/>
  <c r="B26" i="61"/>
  <c r="AJ26" i="61" s="1" a="1"/>
  <c r="A26" i="61"/>
  <c r="AG25" i="61"/>
  <c r="AD25" i="61"/>
  <c r="AA25" i="61"/>
  <c r="X25" i="61"/>
  <c r="U25" i="61"/>
  <c r="R25" i="61"/>
  <c r="O25" i="61"/>
  <c r="L25" i="61"/>
  <c r="I25" i="61"/>
  <c r="F25" i="61"/>
  <c r="C25" i="61"/>
  <c r="B25" i="61"/>
  <c r="AJ25" i="61" s="1" a="1"/>
  <c r="A25" i="61"/>
  <c r="AG24" i="61"/>
  <c r="AD24" i="61"/>
  <c r="AA24" i="61"/>
  <c r="X24" i="61"/>
  <c r="U24" i="61"/>
  <c r="R24" i="61"/>
  <c r="O24" i="61"/>
  <c r="L24" i="61"/>
  <c r="I24" i="61"/>
  <c r="F24" i="61"/>
  <c r="C24" i="61"/>
  <c r="B24" i="61"/>
  <c r="AJ24" i="61" s="1" a="1"/>
  <c r="A24" i="61"/>
  <c r="AG23" i="61"/>
  <c r="AD23" i="61"/>
  <c r="AA23" i="61"/>
  <c r="X23" i="61"/>
  <c r="U23" i="61"/>
  <c r="R23" i="61"/>
  <c r="O23" i="61"/>
  <c r="L23" i="61"/>
  <c r="I23" i="61"/>
  <c r="F23" i="61"/>
  <c r="C23" i="61"/>
  <c r="B23" i="61"/>
  <c r="AJ23" i="61" s="1" a="1"/>
  <c r="A23" i="61"/>
  <c r="AG22" i="61"/>
  <c r="AD22" i="61"/>
  <c r="AA22" i="61"/>
  <c r="X22" i="61"/>
  <c r="U22" i="61"/>
  <c r="R22" i="61"/>
  <c r="O22" i="61"/>
  <c r="L22" i="61"/>
  <c r="I22" i="61"/>
  <c r="F22" i="61"/>
  <c r="C22" i="61"/>
  <c r="B22" i="61"/>
  <c r="AJ22" i="61" s="1" a="1"/>
  <c r="A22" i="61"/>
  <c r="AG21" i="61"/>
  <c r="AD21" i="61"/>
  <c r="AA21" i="61"/>
  <c r="X21" i="61"/>
  <c r="U21" i="61"/>
  <c r="R21" i="61"/>
  <c r="O21" i="61"/>
  <c r="L21" i="61"/>
  <c r="I21" i="61"/>
  <c r="F21" i="61"/>
  <c r="C21" i="61"/>
  <c r="B21" i="61"/>
  <c r="AJ21" i="61" s="1" a="1"/>
  <c r="A21" i="61"/>
  <c r="AG20" i="61"/>
  <c r="AD20" i="61"/>
  <c r="AA20" i="61"/>
  <c r="X20" i="61"/>
  <c r="U20" i="61"/>
  <c r="R20" i="61"/>
  <c r="O20" i="61"/>
  <c r="L20" i="61"/>
  <c r="I20" i="61"/>
  <c r="F20" i="61"/>
  <c r="C20" i="61"/>
  <c r="B20" i="61"/>
  <c r="AJ20" i="61" s="1" a="1"/>
  <c r="A20" i="61"/>
  <c r="AG19" i="61"/>
  <c r="AD19" i="61"/>
  <c r="AA19" i="61"/>
  <c r="X19" i="61"/>
  <c r="U19" i="61"/>
  <c r="R19" i="61"/>
  <c r="O19" i="61"/>
  <c r="L19" i="61"/>
  <c r="I19" i="61"/>
  <c r="F19" i="61"/>
  <c r="C19" i="61"/>
  <c r="B19" i="61"/>
  <c r="AJ19" i="61" s="1" a="1"/>
  <c r="A19" i="61"/>
  <c r="AG18" i="61"/>
  <c r="AD18" i="61"/>
  <c r="AA18" i="61"/>
  <c r="X18" i="61"/>
  <c r="U18" i="61"/>
  <c r="R18" i="61"/>
  <c r="O18" i="61"/>
  <c r="L18" i="61"/>
  <c r="I18" i="61"/>
  <c r="F18" i="61"/>
  <c r="C18" i="61"/>
  <c r="B18" i="61"/>
  <c r="AJ18" i="61" s="1" a="1"/>
  <c r="A18" i="61"/>
  <c r="AG17" i="61"/>
  <c r="AD17" i="61"/>
  <c r="AA17" i="61"/>
  <c r="X17" i="61"/>
  <c r="U17" i="61"/>
  <c r="R17" i="61"/>
  <c r="O17" i="61"/>
  <c r="L17" i="61"/>
  <c r="I17" i="61"/>
  <c r="F17" i="61"/>
  <c r="C17" i="61"/>
  <c r="B17" i="61"/>
  <c r="AJ17" i="61" s="1" a="1"/>
  <c r="A17" i="61"/>
  <c r="AG16" i="61"/>
  <c r="AD16" i="61"/>
  <c r="AA16" i="61"/>
  <c r="X16" i="61"/>
  <c r="U16" i="61"/>
  <c r="R16" i="61"/>
  <c r="O16" i="61"/>
  <c r="L16" i="61"/>
  <c r="I16" i="61"/>
  <c r="F16" i="61"/>
  <c r="C16" i="61"/>
  <c r="B16" i="61"/>
  <c r="AJ16" i="61" s="1" a="1"/>
  <c r="A16" i="61"/>
  <c r="AG15" i="61"/>
  <c r="AD15" i="61"/>
  <c r="AA15" i="61"/>
  <c r="X15" i="61"/>
  <c r="U15" i="61"/>
  <c r="R15" i="61"/>
  <c r="O15" i="61"/>
  <c r="L15" i="61"/>
  <c r="I15" i="61"/>
  <c r="F15" i="61"/>
  <c r="C15" i="61"/>
  <c r="B15" i="61"/>
  <c r="AJ15" i="61" s="1" a="1"/>
  <c r="A15" i="61"/>
  <c r="AG14" i="61"/>
  <c r="AD14" i="61"/>
  <c r="AA14" i="61"/>
  <c r="X14" i="61"/>
  <c r="U14" i="61"/>
  <c r="R14" i="61"/>
  <c r="O14" i="61"/>
  <c r="L14" i="61"/>
  <c r="I14" i="61"/>
  <c r="F14" i="61"/>
  <c r="C14" i="61"/>
  <c r="B14" i="61"/>
  <c r="AJ14" i="61" s="1" a="1"/>
  <c r="A14" i="61"/>
  <c r="AG13" i="61"/>
  <c r="AD13" i="61"/>
  <c r="AA13" i="61"/>
  <c r="X13" i="61"/>
  <c r="U13" i="61"/>
  <c r="R13" i="61"/>
  <c r="O13" i="61"/>
  <c r="L13" i="61"/>
  <c r="I13" i="61"/>
  <c r="F13" i="61"/>
  <c r="C13" i="61"/>
  <c r="B13" i="61"/>
  <c r="AJ13" i="61" s="1" a="1"/>
  <c r="A13" i="61"/>
  <c r="AG12" i="61"/>
  <c r="AD12" i="61"/>
  <c r="AA12" i="61"/>
  <c r="X12" i="61"/>
  <c r="U12" i="61"/>
  <c r="R12" i="61"/>
  <c r="O12" i="61"/>
  <c r="L12" i="61"/>
  <c r="I12" i="61"/>
  <c r="F12" i="61"/>
  <c r="C12" i="61"/>
  <c r="B12" i="61"/>
  <c r="AJ12" i="61" s="1" a="1"/>
  <c r="A12" i="61"/>
  <c r="AG11" i="61"/>
  <c r="AD11" i="61"/>
  <c r="AA11" i="61"/>
  <c r="X11" i="61"/>
  <c r="U11" i="61"/>
  <c r="R11" i="61"/>
  <c r="O11" i="61"/>
  <c r="L11" i="61"/>
  <c r="I11" i="61"/>
  <c r="F11" i="61"/>
  <c r="C11" i="61"/>
  <c r="B11" i="61"/>
  <c r="AJ11" i="61" s="1" a="1"/>
  <c r="A11" i="61"/>
  <c r="AG10" i="61"/>
  <c r="AD10" i="61"/>
  <c r="AA10" i="61"/>
  <c r="X10" i="61"/>
  <c r="U10" i="61"/>
  <c r="R10" i="61"/>
  <c r="O10" i="61"/>
  <c r="L10" i="61"/>
  <c r="I10" i="61"/>
  <c r="F10" i="61"/>
  <c r="C10" i="61"/>
  <c r="B10" i="61"/>
  <c r="AJ10" i="61" s="1" a="1"/>
  <c r="A10" i="61"/>
  <c r="AG9" i="61"/>
  <c r="AD9" i="61"/>
  <c r="AA9" i="61"/>
  <c r="X9" i="61"/>
  <c r="U9" i="61"/>
  <c r="R9" i="61"/>
  <c r="O9" i="61"/>
  <c r="L9" i="61"/>
  <c r="I9" i="61"/>
  <c r="F9" i="61"/>
  <c r="C9" i="61"/>
  <c r="B9" i="61"/>
  <c r="AJ9" i="61" s="1" a="1"/>
  <c r="A9" i="61"/>
  <c r="AG8" i="61"/>
  <c r="AD8" i="61"/>
  <c r="AA8" i="61"/>
  <c r="X8" i="61"/>
  <c r="U8" i="61"/>
  <c r="R8" i="61"/>
  <c r="O8" i="61"/>
  <c r="L8" i="61"/>
  <c r="I8" i="61"/>
  <c r="F8" i="61"/>
  <c r="C8" i="61"/>
  <c r="B8" i="61"/>
  <c r="AJ8" i="61" s="1" a="1"/>
  <c r="A8" i="61"/>
  <c r="AG7" i="61"/>
  <c r="AD7" i="61"/>
  <c r="AA7" i="61"/>
  <c r="X7" i="61"/>
  <c r="U7" i="61"/>
  <c r="R7" i="61"/>
  <c r="O7" i="61"/>
  <c r="L7" i="61"/>
  <c r="I7" i="61"/>
  <c r="F7" i="61"/>
  <c r="C7" i="61"/>
  <c r="B7" i="61"/>
  <c r="AJ7" i="61" s="1" a="1"/>
  <c r="A7" i="61"/>
  <c r="AG6" i="61"/>
  <c r="AD6" i="61"/>
  <c r="AA6" i="61"/>
  <c r="X6" i="61"/>
  <c r="U6" i="61"/>
  <c r="R6" i="61"/>
  <c r="O6" i="61"/>
  <c r="L6" i="61"/>
  <c r="I6" i="61"/>
  <c r="F6" i="61"/>
  <c r="C6" i="61"/>
  <c r="B6" i="61"/>
  <c r="AJ6" i="61" s="1" a="1"/>
  <c r="A6" i="61"/>
  <c r="AG5" i="61"/>
  <c r="AD5" i="61"/>
  <c r="AA5" i="61"/>
  <c r="X5" i="61"/>
  <c r="U5" i="61"/>
  <c r="R5" i="61"/>
  <c r="O5" i="61"/>
  <c r="L5" i="61"/>
  <c r="I5" i="61"/>
  <c r="F5" i="61"/>
  <c r="C5" i="61"/>
  <c r="B5" i="61"/>
  <c r="AJ5" i="61" s="1" a="1"/>
  <c r="A5" i="61"/>
  <c r="J18" i="16"/>
  <c r="J11" i="16"/>
  <c r="N253" i="14" a="1"/>
  <c r="N254" i="14" a="1"/>
  <c r="N255" i="14" a="1"/>
  <c r="N256" i="14" a="1"/>
  <c r="N257" i="14" a="1"/>
  <c r="N258" i="14" a="1"/>
  <c r="N259" i="14" a="1"/>
  <c r="N260" i="14" a="1"/>
  <c r="N261" i="14" a="1"/>
  <c r="N262" i="14" a="1"/>
  <c r="N263" i="14" a="1"/>
  <c r="N264" i="14" a="1"/>
  <c r="N265" i="14" a="1"/>
  <c r="N266" i="14" a="1"/>
  <c r="N267" i="14" a="1"/>
  <c r="N268" i="14" a="1"/>
  <c r="N269" i="14" a="1"/>
  <c r="N270" i="14" a="1"/>
  <c r="N271" i="14" a="1"/>
  <c r="N272" i="14" a="1"/>
  <c r="N273" i="14" a="1"/>
  <c r="N274" i="14" a="1"/>
  <c r="N275" i="14" a="1"/>
  <c r="N276" i="14" a="1"/>
  <c r="N277" i="14" a="1"/>
  <c r="N278" i="14" a="1"/>
  <c r="N279" i="14" a="1"/>
  <c r="N280" i="14" a="1"/>
  <c r="N281" i="14" a="1"/>
  <c r="N282" i="14" a="1"/>
  <c r="N283" i="14" a="1"/>
  <c r="N284" i="14" a="1"/>
  <c r="F68" i="2" a="1"/>
  <c r="D118" i="4"/>
  <c r="E118" i="4" s="1"/>
  <c r="D117" i="4"/>
  <c r="E117" i="4" s="1"/>
  <c r="X30" i="5"/>
  <c r="G115" i="4"/>
  <c r="H115" i="4"/>
  <c r="I115" i="4"/>
  <c r="J115" i="4"/>
  <c r="K115" i="4"/>
  <c r="L115" i="4"/>
  <c r="M115" i="4"/>
  <c r="N115" i="4"/>
  <c r="O115" i="4"/>
  <c r="P115" i="4"/>
  <c r="Q115" i="4"/>
  <c r="R115" i="4"/>
  <c r="S115" i="4"/>
  <c r="T115" i="4"/>
  <c r="U115" i="4"/>
  <c r="V115" i="4"/>
  <c r="W115" i="4"/>
  <c r="X115" i="4"/>
  <c r="Y115" i="4"/>
  <c r="Z115" i="4"/>
  <c r="AA115" i="4"/>
  <c r="AB115" i="4"/>
  <c r="AC115" i="4"/>
  <c r="AD115" i="4"/>
  <c r="F71" i="2" s="1" a="1"/>
  <c r="F10" i="2" a="1"/>
  <c r="AD102" i="4"/>
  <c r="F66" i="2" a="1"/>
  <c r="F65" i="2" a="1"/>
  <c r="F63" i="2" a="1"/>
  <c r="AC102" i="4"/>
  <c r="AB102" i="4"/>
  <c r="AA102" i="4"/>
  <c r="Z102" i="4"/>
  <c r="Y102" i="4"/>
  <c r="X102" i="4"/>
  <c r="W102" i="4"/>
  <c r="V102" i="4"/>
  <c r="U102" i="4"/>
  <c r="T102" i="4"/>
  <c r="S102" i="4"/>
  <c r="R102" i="4"/>
  <c r="Q102" i="4"/>
  <c r="P102" i="4"/>
  <c r="O102" i="4"/>
  <c r="N102" i="4"/>
  <c r="M102" i="4"/>
  <c r="L102" i="4"/>
  <c r="K102" i="4"/>
  <c r="J102" i="4"/>
  <c r="I102" i="4"/>
  <c r="H102" i="4"/>
  <c r="G102" i="4"/>
  <c r="F102" i="4"/>
  <c r="E102" i="4"/>
  <c r="D102" i="4"/>
  <c r="AD101" i="4"/>
  <c r="F64" i="2" s="1" a="1"/>
  <c r="AC101" i="4"/>
  <c r="AB101" i="4"/>
  <c r="AA101" i="4"/>
  <c r="Z101" i="4"/>
  <c r="Y101" i="4"/>
  <c r="X101" i="4"/>
  <c r="W101" i="4"/>
  <c r="V101" i="4"/>
  <c r="U101" i="4"/>
  <c r="T101" i="4"/>
  <c r="S101" i="4"/>
  <c r="R101" i="4"/>
  <c r="Q101" i="4"/>
  <c r="P101" i="4"/>
  <c r="O101" i="4"/>
  <c r="N101" i="4"/>
  <c r="M101" i="4"/>
  <c r="L101" i="4"/>
  <c r="K101" i="4"/>
  <c r="J101" i="4"/>
  <c r="I101" i="4"/>
  <c r="H101" i="4"/>
  <c r="G101" i="4"/>
  <c r="F101" i="4"/>
  <c r="E101" i="4"/>
  <c r="D101" i="4"/>
  <c r="F62" i="2" a="1"/>
  <c r="N30" i="5" a="1"/>
  <c r="Q56" i="5"/>
  <c r="P56" i="5"/>
  <c r="Q55" i="5"/>
  <c r="P55" i="5"/>
  <c r="Q54" i="5"/>
  <c r="P54" i="5"/>
  <c r="Q53" i="5"/>
  <c r="P53" i="5"/>
  <c r="Q52" i="5"/>
  <c r="P52" i="5"/>
  <c r="Q51" i="5"/>
  <c r="P51" i="5"/>
  <c r="Q50" i="5"/>
  <c r="P50" i="5"/>
  <c r="Q49" i="5"/>
  <c r="P49" i="5"/>
  <c r="Q48" i="5"/>
  <c r="P48" i="5"/>
  <c r="Q47" i="5"/>
  <c r="P47" i="5"/>
  <c r="Q46" i="5"/>
  <c r="P46" i="5"/>
  <c r="Q45" i="5"/>
  <c r="P45" i="5"/>
  <c r="Q44" i="5"/>
  <c r="P44" i="5"/>
  <c r="Q43" i="5"/>
  <c r="P43" i="5"/>
  <c r="Q42" i="5"/>
  <c r="P42" i="5"/>
  <c r="Q41" i="5"/>
  <c r="P41" i="5"/>
  <c r="Q40" i="5"/>
  <c r="P40" i="5"/>
  <c r="Q39" i="5"/>
  <c r="P39" i="5"/>
  <c r="Q38" i="5"/>
  <c r="P38" i="5"/>
  <c r="Q37" i="5"/>
  <c r="P37" i="5"/>
  <c r="Q36" i="5"/>
  <c r="P36" i="5"/>
  <c r="Q35" i="5"/>
  <c r="P35" i="5"/>
  <c r="Q34" i="5"/>
  <c r="P34" i="5"/>
  <c r="Q33" i="5"/>
  <c r="P33" i="5"/>
  <c r="Q32" i="5"/>
  <c r="P32" i="5"/>
  <c r="Q31" i="5"/>
  <c r="P31" i="5"/>
  <c r="Q30" i="5"/>
  <c r="P30" i="5"/>
  <c r="J56" i="5"/>
  <c r="J55" i="5"/>
  <c r="J54" i="5"/>
  <c r="J53" i="5"/>
  <c r="J52" i="5"/>
  <c r="J51" i="5"/>
  <c r="J50" i="5"/>
  <c r="J49" i="5"/>
  <c r="J48" i="5"/>
  <c r="J47" i="5"/>
  <c r="J46" i="5"/>
  <c r="R46" i="61" s="1"/>
  <c r="J45" i="5"/>
  <c r="R45" i="61" s="1"/>
  <c r="J44" i="5"/>
  <c r="R44" i="61" s="1"/>
  <c r="J43" i="5"/>
  <c r="R43" i="61" s="1"/>
  <c r="J42" i="5"/>
  <c r="R42" i="61" s="1"/>
  <c r="J41" i="5"/>
  <c r="R41" i="61" s="1"/>
  <c r="J40" i="5"/>
  <c r="R40" i="61" s="1"/>
  <c r="J39" i="5"/>
  <c r="R39" i="61" s="1"/>
  <c r="J38" i="5"/>
  <c r="R38" i="61" s="1"/>
  <c r="J37" i="5"/>
  <c r="R37" i="61" s="1"/>
  <c r="J36" i="5"/>
  <c r="J35" i="5"/>
  <c r="R35" i="61" s="1"/>
  <c r="J33" i="5"/>
  <c r="R33" i="61" s="1"/>
  <c r="J32" i="5"/>
  <c r="R32" i="61" s="1"/>
  <c r="J31" i="5"/>
  <c r="R31" i="61" s="1"/>
  <c r="B31" i="5"/>
  <c r="A31" i="5"/>
  <c r="A32" i="5" s="1"/>
  <c r="A33" i="5" s="1"/>
  <c r="A34" i="5" s="1"/>
  <c r="A35" i="5" s="1"/>
  <c r="A36" i="5" s="1"/>
  <c r="A37" i="5" s="1"/>
  <c r="A38" i="5" s="1"/>
  <c r="A39" i="5" s="1"/>
  <c r="A40" i="5" s="1"/>
  <c r="A41" i="5" s="1"/>
  <c r="A42" i="5" s="1"/>
  <c r="A43" i="5" s="1"/>
  <c r="A44" i="5" s="1"/>
  <c r="A45" i="5" s="1"/>
  <c r="A46" i="5" s="1"/>
  <c r="A47" i="5" s="1"/>
  <c r="A48" i="5" s="1"/>
  <c r="A49" i="5" s="1"/>
  <c r="A50" i="5" s="1"/>
  <c r="A51" i="5" s="1"/>
  <c r="A52" i="5" s="1"/>
  <c r="A53" i="5" s="1"/>
  <c r="A54" i="5" s="1"/>
  <c r="A55" i="5" s="1"/>
  <c r="A56" i="5" s="1"/>
  <c r="W30" i="5"/>
  <c r="AG30" i="61" s="1"/>
  <c r="V30" i="5"/>
  <c r="AD30" i="61" s="1"/>
  <c r="J30" i="5"/>
  <c r="R30" i="61" s="1"/>
  <c r="I30" i="5"/>
  <c r="O30" i="61" s="1"/>
  <c r="H30" i="5"/>
  <c r="L30" i="61" s="1"/>
  <c r="K68" i="5"/>
  <c r="J68" i="5"/>
  <c r="J67" i="5"/>
  <c r="F67" i="5"/>
  <c r="P67" i="5" s="1"/>
  <c r="J66" i="5"/>
  <c r="F66" i="5"/>
  <c r="P66" i="5" s="1"/>
  <c r="J65" i="5"/>
  <c r="F65" i="5"/>
  <c r="P65" i="5" s="1"/>
  <c r="J64" i="5"/>
  <c r="F64" i="5"/>
  <c r="P64" i="5" s="1"/>
  <c r="J63" i="5"/>
  <c r="F63" i="5"/>
  <c r="P63" i="5" s="1"/>
  <c r="F62" i="5"/>
  <c r="N2" i="14" a="1"/>
  <c r="A18" i="19" a="1"/>
  <c r="A19" i="19" a="1"/>
  <c r="A20" i="19" a="1"/>
  <c r="A21" i="19" a="1"/>
  <c r="A22" i="19" a="1"/>
  <c r="A23" i="19" a="1"/>
  <c r="A24" i="19" a="1"/>
  <c r="A25" i="19" a="1"/>
  <c r="A26" i="19" a="1"/>
  <c r="A27" i="19" a="1"/>
  <c r="A28" i="19" a="1"/>
  <c r="A29" i="19" a="1"/>
  <c r="A30" i="19" a="1"/>
  <c r="A31" i="19" a="1"/>
  <c r="A32" i="19" a="1"/>
  <c r="A33" i="19" a="1"/>
  <c r="A34" i="19" a="1"/>
  <c r="A35" i="19" a="1"/>
  <c r="A36" i="19" a="1"/>
  <c r="A37" i="19" a="1"/>
  <c r="A38" i="19" a="1"/>
  <c r="A39" i="19" a="1"/>
  <c r="A40" i="19" a="1"/>
  <c r="A41" i="19" a="1"/>
  <c r="A42" i="19" a="1"/>
  <c r="A43" i="19" a="1"/>
  <c r="A44" i="19" a="1"/>
  <c r="A45" i="19" a="1"/>
  <c r="A46" i="19" a="1"/>
  <c r="A47" i="19" a="1"/>
  <c r="A48" i="19" a="1"/>
  <c r="A49" i="19" a="1"/>
  <c r="A50" i="19" a="1"/>
  <c r="A51" i="19" a="1"/>
  <c r="A52" i="19" a="1"/>
  <c r="A53" i="19" a="1"/>
  <c r="A54" i="19" a="1"/>
  <c r="A55" i="19" a="1"/>
  <c r="A56" i="19" a="1"/>
  <c r="A57" i="19" a="1"/>
  <c r="A58" i="19" a="1"/>
  <c r="A59" i="19" a="1"/>
  <c r="A60" i="19" a="1"/>
  <c r="A61" i="19" a="1"/>
  <c r="A62" i="19" a="1"/>
  <c r="A63" i="19" a="1"/>
  <c r="A64" i="19" a="1"/>
  <c r="A65" i="19" a="1"/>
  <c r="A66" i="19" a="1"/>
  <c r="A67" i="19" a="1"/>
  <c r="A68" i="19" a="1"/>
  <c r="A69" i="19" a="1"/>
  <c r="A70" i="19" a="1"/>
  <c r="A71" i="19" a="1"/>
  <c r="A72" i="19" a="1"/>
  <c r="A73" i="19" a="1"/>
  <c r="A74" i="19" a="1"/>
  <c r="A75" i="19" a="1"/>
  <c r="A76" i="19" a="1"/>
  <c r="A77" i="19" a="1"/>
  <c r="A78" i="19" a="1"/>
  <c r="A79" i="19" a="1"/>
  <c r="A80" i="19" a="1"/>
  <c r="A81" i="19" a="1"/>
  <c r="A82" i="19" a="1"/>
  <c r="A83" i="19" a="1"/>
  <c r="A84" i="19" a="1"/>
  <c r="A85" i="19" a="1"/>
  <c r="A86" i="19" a="1"/>
  <c r="A87" i="19" a="1"/>
  <c r="A88" i="19" a="1"/>
  <c r="A89" i="19" a="1"/>
  <c r="A90" i="19" a="1"/>
  <c r="A91" i="19" a="1"/>
  <c r="A92" i="19" a="1"/>
  <c r="A93" i="19" a="1"/>
  <c r="A94" i="19" a="1"/>
  <c r="A95" i="19" a="1"/>
  <c r="A96" i="19" a="1"/>
  <c r="A97" i="19" a="1"/>
  <c r="A98" i="19" a="1"/>
  <c r="A99" i="19" a="1"/>
  <c r="A100" i="19" a="1"/>
  <c r="A101" i="19" a="1"/>
  <c r="A102" i="19" a="1"/>
  <c r="A103" i="19" a="1"/>
  <c r="A104" i="19" a="1"/>
  <c r="A105" i="19" a="1"/>
  <c r="A106" i="19" a="1"/>
  <c r="A107" i="19" a="1"/>
  <c r="A108" i="19" a="1"/>
  <c r="A109" i="19" a="1"/>
  <c r="A110" i="19" a="1"/>
  <c r="A111" i="19" a="1"/>
  <c r="A112" i="19" a="1"/>
  <c r="A113" i="19" a="1"/>
  <c r="A114" i="19" a="1"/>
  <c r="A115" i="19" a="1"/>
  <c r="A116" i="19" a="1"/>
  <c r="A117" i="19" a="1"/>
  <c r="A118" i="19" a="1"/>
  <c r="A119" i="19" a="1"/>
  <c r="A120" i="19" a="1"/>
  <c r="A121" i="19" a="1"/>
  <c r="A122" i="19" a="1"/>
  <c r="A123" i="19" a="1"/>
  <c r="A124" i="19" a="1"/>
  <c r="A125" i="19" a="1"/>
  <c r="A126" i="19" a="1"/>
  <c r="A127" i="19" a="1"/>
  <c r="A128" i="19" a="1"/>
  <c r="A129" i="19" a="1"/>
  <c r="A130" i="19" a="1"/>
  <c r="A131" i="19" a="1"/>
  <c r="A132" i="19" a="1"/>
  <c r="A133" i="19" a="1"/>
  <c r="A134" i="19" a="1"/>
  <c r="A17" i="19" a="1"/>
  <c r="W178" i="46"/>
  <c r="V178" i="46"/>
  <c r="T178" i="46"/>
  <c r="O178" i="46"/>
  <c r="N178" i="46"/>
  <c r="W177" i="46"/>
  <c r="V177" i="46"/>
  <c r="T177" i="46"/>
  <c r="O177" i="46"/>
  <c r="N177" i="46"/>
  <c r="W176" i="46"/>
  <c r="V176" i="46"/>
  <c r="T176" i="46"/>
  <c r="O176" i="46"/>
  <c r="N176" i="46"/>
  <c r="W175" i="46"/>
  <c r="V175" i="46"/>
  <c r="T175" i="46"/>
  <c r="O175" i="46"/>
  <c r="N175" i="46"/>
  <c r="W174" i="46"/>
  <c r="V174" i="46"/>
  <c r="O174" i="46"/>
  <c r="N174" i="46"/>
  <c r="W173" i="46"/>
  <c r="V173" i="46"/>
  <c r="T173" i="46"/>
  <c r="O173" i="46"/>
  <c r="N173" i="46"/>
  <c r="W172" i="46"/>
  <c r="V172" i="46"/>
  <c r="O172" i="46"/>
  <c r="N172" i="46"/>
  <c r="W171" i="46"/>
  <c r="V171" i="46"/>
  <c r="T171" i="46"/>
  <c r="O171" i="46"/>
  <c r="N171" i="46"/>
  <c r="W170" i="46"/>
  <c r="V170" i="46"/>
  <c r="T170" i="46"/>
  <c r="O170" i="46"/>
  <c r="N170" i="46"/>
  <c r="F8" i="2" a="1"/>
  <c r="F9" i="2" a="1"/>
  <c r="F12" i="2" a="1"/>
  <c r="F13" i="2" a="1"/>
  <c r="F14" i="2" a="1"/>
  <c r="F15" i="2" a="1"/>
  <c r="F16" i="2" a="1"/>
  <c r="F18" i="2" a="1"/>
  <c r="F19" i="2" a="1"/>
  <c r="F20" i="2" a="1"/>
  <c r="F21" i="2" a="1"/>
  <c r="F22" i="2" a="1"/>
  <c r="F23" i="2" a="1"/>
  <c r="F24" i="2" a="1"/>
  <c r="F25" i="2" a="1"/>
  <c r="F59" i="2" a="1"/>
  <c r="F61" i="2" a="1"/>
  <c r="F73" i="2" a="1"/>
  <c r="F74" i="2" a="1"/>
  <c r="F75" i="2" a="1"/>
  <c r="F76" i="2" a="1"/>
  <c r="F78" i="2" a="1"/>
  <c r="F79" i="2" a="1"/>
  <c r="F7" i="2" a="1"/>
  <c r="D74" i="4"/>
  <c r="E74" i="4"/>
  <c r="F74" i="4"/>
  <c r="G74" i="4"/>
  <c r="H74" i="4"/>
  <c r="I74" i="4"/>
  <c r="J74" i="4"/>
  <c r="K74" i="4"/>
  <c r="L74" i="4"/>
  <c r="M74" i="4"/>
  <c r="N74" i="4"/>
  <c r="O74" i="4"/>
  <c r="P74" i="4"/>
  <c r="Q74" i="4"/>
  <c r="R74" i="4"/>
  <c r="S74" i="4"/>
  <c r="T74" i="4"/>
  <c r="U74" i="4"/>
  <c r="V74" i="4"/>
  <c r="W74" i="4"/>
  <c r="X74" i="4"/>
  <c r="Y74" i="4"/>
  <c r="Z74" i="4"/>
  <c r="AA74" i="4"/>
  <c r="AB74" i="4"/>
  <c r="AC74" i="4"/>
  <c r="D67" i="4"/>
  <c r="E67" i="4"/>
  <c r="F67" i="4"/>
  <c r="G67" i="4"/>
  <c r="H67" i="4"/>
  <c r="I67" i="4"/>
  <c r="J67" i="4"/>
  <c r="K67" i="4"/>
  <c r="L67" i="4"/>
  <c r="M67" i="4"/>
  <c r="N67" i="4"/>
  <c r="O67" i="4"/>
  <c r="P67" i="4"/>
  <c r="Q67" i="4"/>
  <c r="R67" i="4"/>
  <c r="S67" i="4"/>
  <c r="T67" i="4"/>
  <c r="U67" i="4"/>
  <c r="V67" i="4"/>
  <c r="W67" i="4"/>
  <c r="X67" i="4"/>
  <c r="Y67" i="4"/>
  <c r="Z67" i="4"/>
  <c r="AA67" i="4"/>
  <c r="AB67" i="4"/>
  <c r="AC67" i="4"/>
  <c r="D60" i="4"/>
  <c r="E60" i="4"/>
  <c r="F60" i="4"/>
  <c r="G60" i="4"/>
  <c r="H60" i="4"/>
  <c r="I60" i="4"/>
  <c r="J60" i="4"/>
  <c r="K60" i="4"/>
  <c r="L60" i="4"/>
  <c r="M60" i="4"/>
  <c r="N60" i="4"/>
  <c r="O60" i="4"/>
  <c r="P60" i="4"/>
  <c r="Q60" i="4"/>
  <c r="R60" i="4"/>
  <c r="S60" i="4"/>
  <c r="T60" i="4"/>
  <c r="U60" i="4"/>
  <c r="V60" i="4"/>
  <c r="W60" i="4"/>
  <c r="X60" i="4"/>
  <c r="Y60" i="4"/>
  <c r="Z60" i="4"/>
  <c r="AA60" i="4"/>
  <c r="AB60" i="4"/>
  <c r="AC60" i="4"/>
  <c r="D53" i="4"/>
  <c r="E53" i="4"/>
  <c r="F53" i="4"/>
  <c r="G53" i="4"/>
  <c r="H53" i="4"/>
  <c r="I53" i="4"/>
  <c r="J53" i="4"/>
  <c r="K53" i="4"/>
  <c r="L53" i="4"/>
  <c r="M53" i="4"/>
  <c r="N53" i="4"/>
  <c r="O53" i="4"/>
  <c r="P53" i="4"/>
  <c r="Q53" i="4"/>
  <c r="R53" i="4"/>
  <c r="S53" i="4"/>
  <c r="T53" i="4"/>
  <c r="U53" i="4"/>
  <c r="V53" i="4"/>
  <c r="W53" i="4"/>
  <c r="X53" i="4"/>
  <c r="Y53" i="4"/>
  <c r="Z53" i="4"/>
  <c r="AA53" i="4"/>
  <c r="AB53" i="4"/>
  <c r="AC53" i="4"/>
  <c r="E55" i="2"/>
  <c r="C53" i="2"/>
  <c r="E53" i="2" s="1"/>
  <c r="E52" i="2"/>
  <c r="D73" i="4" a="1"/>
  <c r="E73" i="4" a="1"/>
  <c r="F73" i="4" a="1"/>
  <c r="G73" i="4" a="1"/>
  <c r="H73" i="4" a="1"/>
  <c r="I73" i="4" a="1"/>
  <c r="J73" i="4" a="1"/>
  <c r="K73" i="4" a="1"/>
  <c r="L73" i="4" a="1"/>
  <c r="M73" i="4" a="1"/>
  <c r="N73" i="4" a="1"/>
  <c r="O73" i="4" a="1"/>
  <c r="P73" i="4" a="1"/>
  <c r="Q73" i="4" a="1"/>
  <c r="R73" i="4" a="1"/>
  <c r="S73" i="4" a="1"/>
  <c r="T73" i="4" a="1"/>
  <c r="U73" i="4" a="1"/>
  <c r="V73" i="4" a="1"/>
  <c r="W73" i="4" a="1"/>
  <c r="X73" i="4" a="1"/>
  <c r="Y73" i="4" a="1"/>
  <c r="Z73" i="4" a="1"/>
  <c r="AA73" i="4" a="1"/>
  <c r="AB73" i="4" a="1"/>
  <c r="AC73" i="4" a="1"/>
  <c r="D66" i="4" a="1"/>
  <c r="E66" i="4" a="1"/>
  <c r="F66" i="4" a="1"/>
  <c r="G66" i="4" a="1"/>
  <c r="H66" i="4" a="1"/>
  <c r="I66" i="4" a="1"/>
  <c r="J66" i="4" a="1"/>
  <c r="K66" i="4" a="1"/>
  <c r="L66" i="4" a="1"/>
  <c r="M66" i="4" a="1"/>
  <c r="N66" i="4" a="1"/>
  <c r="O66" i="4" a="1"/>
  <c r="P66" i="4" a="1"/>
  <c r="Q66" i="4" a="1"/>
  <c r="R66" i="4" a="1"/>
  <c r="S66" i="4" a="1"/>
  <c r="T66" i="4" a="1"/>
  <c r="U66" i="4" a="1"/>
  <c r="V66" i="4" a="1"/>
  <c r="W66" i="4" a="1"/>
  <c r="X66" i="4" a="1"/>
  <c r="Y66" i="4" a="1"/>
  <c r="Z66" i="4" a="1"/>
  <c r="AA66" i="4" a="1"/>
  <c r="AB66" i="4" a="1"/>
  <c r="AC66" i="4" a="1"/>
  <c r="D59" i="4" a="1"/>
  <c r="E59" i="4" a="1"/>
  <c r="F59" i="4" a="1"/>
  <c r="G59" i="4" a="1"/>
  <c r="H59" i="4" a="1"/>
  <c r="I59" i="4" a="1"/>
  <c r="J59" i="4" a="1"/>
  <c r="K59" i="4" a="1"/>
  <c r="L59" i="4" a="1"/>
  <c r="M59" i="4" a="1"/>
  <c r="N59" i="4" a="1"/>
  <c r="O59" i="4" a="1"/>
  <c r="P59" i="4" a="1"/>
  <c r="Q59" i="4" a="1"/>
  <c r="R59" i="4" a="1"/>
  <c r="S59" i="4" a="1"/>
  <c r="T59" i="4" a="1"/>
  <c r="U59" i="4" a="1"/>
  <c r="V59" i="4" a="1"/>
  <c r="W59" i="4" a="1"/>
  <c r="X59" i="4" a="1"/>
  <c r="Y59" i="4" a="1"/>
  <c r="Z59" i="4" a="1"/>
  <c r="AA59" i="4" a="1"/>
  <c r="AB59" i="4" a="1"/>
  <c r="AC59" i="4" a="1"/>
  <c r="D52" i="4" a="1"/>
  <c r="E52" i="4" a="1"/>
  <c r="F52" i="4" a="1"/>
  <c r="G52" i="4" a="1"/>
  <c r="H52" i="4" a="1"/>
  <c r="I52" i="4" a="1"/>
  <c r="J52" i="4" a="1"/>
  <c r="K52" i="4" a="1"/>
  <c r="L52" i="4" a="1"/>
  <c r="M52" i="4" a="1"/>
  <c r="N52" i="4" a="1"/>
  <c r="O52" i="4" a="1"/>
  <c r="P52" i="4" a="1"/>
  <c r="Q52" i="4" a="1"/>
  <c r="R52" i="4" a="1"/>
  <c r="S52" i="4" a="1"/>
  <c r="T52" i="4" a="1"/>
  <c r="U52" i="4" a="1"/>
  <c r="V52" i="4" a="1"/>
  <c r="W52" i="4" a="1"/>
  <c r="X52" i="4" a="1"/>
  <c r="Y52" i="4" a="1"/>
  <c r="Z52" i="4" a="1"/>
  <c r="AA52" i="4" a="1"/>
  <c r="AB52" i="4" a="1"/>
  <c r="AC52" i="4" a="1"/>
  <c r="W169" i="46"/>
  <c r="V169" i="46"/>
  <c r="T169" i="46"/>
  <c r="O169" i="46"/>
  <c r="N169" i="46"/>
  <c r="W168" i="46"/>
  <c r="V168" i="46"/>
  <c r="T168" i="46"/>
  <c r="O168" i="46"/>
  <c r="N168" i="46"/>
  <c r="W167" i="46"/>
  <c r="V167" i="46"/>
  <c r="T167" i="46"/>
  <c r="O167" i="46"/>
  <c r="N167" i="46"/>
  <c r="W166" i="46"/>
  <c r="V166" i="46"/>
  <c r="T166" i="46"/>
  <c r="O166" i="46"/>
  <c r="N166" i="46"/>
  <c r="W165" i="46"/>
  <c r="V165" i="46"/>
  <c r="T165" i="46"/>
  <c r="O165" i="46"/>
  <c r="N165" i="46"/>
  <c r="C8" i="2"/>
  <c r="W100" i="46"/>
  <c r="W99" i="46"/>
  <c r="W98" i="46"/>
  <c r="W97" i="46"/>
  <c r="W96" i="46"/>
  <c r="W95" i="46"/>
  <c r="W94" i="46"/>
  <c r="W93" i="46"/>
  <c r="W92" i="46"/>
  <c r="W91" i="46"/>
  <c r="W90" i="46"/>
  <c r="W89" i="46"/>
  <c r="W88" i="46"/>
  <c r="W87" i="46"/>
  <c r="W86" i="46"/>
  <c r="W85" i="46"/>
  <c r="W84" i="46"/>
  <c r="W83" i="46"/>
  <c r="W82" i="46"/>
  <c r="W81" i="46"/>
  <c r="W80" i="46"/>
  <c r="W79" i="46"/>
  <c r="W78" i="46"/>
  <c r="W77" i="46"/>
  <c r="W76" i="46"/>
  <c r="W75" i="46"/>
  <c r="W74" i="46"/>
  <c r="W73" i="46"/>
  <c r="W72" i="46"/>
  <c r="W71" i="46"/>
  <c r="W70" i="46"/>
  <c r="W69" i="46"/>
  <c r="W68" i="46"/>
  <c r="W67" i="46"/>
  <c r="W66" i="46"/>
  <c r="W65" i="46"/>
  <c r="W64" i="46"/>
  <c r="W63" i="46"/>
  <c r="W62" i="46"/>
  <c r="W61" i="46"/>
  <c r="W60" i="46"/>
  <c r="W59" i="46"/>
  <c r="W58" i="46"/>
  <c r="W57" i="46"/>
  <c r="W56" i="46"/>
  <c r="W55" i="46"/>
  <c r="W54" i="46"/>
  <c r="W53" i="46"/>
  <c r="W52" i="46"/>
  <c r="W51" i="46"/>
  <c r="W50" i="46"/>
  <c r="W49" i="46"/>
  <c r="W48" i="46"/>
  <c r="W47" i="46"/>
  <c r="W46" i="46"/>
  <c r="W45" i="46"/>
  <c r="W44" i="46"/>
  <c r="W43" i="46"/>
  <c r="W42" i="46"/>
  <c r="W41" i="46"/>
  <c r="W40" i="46"/>
  <c r="W39" i="46"/>
  <c r="W38" i="46"/>
  <c r="W37" i="46"/>
  <c r="W36" i="46"/>
  <c r="W35" i="46"/>
  <c r="W34" i="46"/>
  <c r="W33" i="46"/>
  <c r="W32" i="46"/>
  <c r="W31" i="46"/>
  <c r="W30" i="46"/>
  <c r="W29" i="46"/>
  <c r="W28" i="46"/>
  <c r="W27" i="46"/>
  <c r="W26" i="46"/>
  <c r="W25" i="46"/>
  <c r="W24" i="46"/>
  <c r="W23" i="46"/>
  <c r="W22" i="46"/>
  <c r="W21" i="46"/>
  <c r="W20" i="46"/>
  <c r="W19" i="46"/>
  <c r="W18" i="46"/>
  <c r="W17" i="46"/>
  <c r="W16" i="46"/>
  <c r="W15" i="46"/>
  <c r="W14" i="46"/>
  <c r="W13" i="46"/>
  <c r="W12" i="46"/>
  <c r="W11" i="46"/>
  <c r="W10" i="46"/>
  <c r="W9" i="46"/>
  <c r="W8" i="46"/>
  <c r="W7" i="46"/>
  <c r="W6" i="46"/>
  <c r="W5" i="46"/>
  <c r="W4" i="46"/>
  <c r="W3" i="46"/>
  <c r="W2" i="46"/>
  <c r="V132" i="46"/>
  <c r="T132" i="46"/>
  <c r="N132" i="46"/>
  <c r="O132" i="46"/>
  <c r="V101" i="46"/>
  <c r="T101" i="46"/>
  <c r="N101" i="46"/>
  <c r="O101" i="46"/>
  <c r="V102" i="46"/>
  <c r="T102" i="46"/>
  <c r="N102" i="46"/>
  <c r="O102" i="46"/>
  <c r="V137" i="46"/>
  <c r="T137" i="46"/>
  <c r="N137" i="46"/>
  <c r="O137" i="46"/>
  <c r="V103" i="46"/>
  <c r="T103" i="46"/>
  <c r="N103" i="46"/>
  <c r="O103" i="46"/>
  <c r="V104" i="46"/>
  <c r="T104" i="46"/>
  <c r="N104" i="46"/>
  <c r="O104" i="46"/>
  <c r="V138" i="46"/>
  <c r="T138" i="46"/>
  <c r="N138" i="46"/>
  <c r="O138" i="46"/>
  <c r="V136" i="46"/>
  <c r="T136" i="46"/>
  <c r="N136" i="46"/>
  <c r="O136" i="46"/>
  <c r="V105" i="46"/>
  <c r="T105" i="46"/>
  <c r="N105" i="46"/>
  <c r="O105" i="46"/>
  <c r="V163" i="46"/>
  <c r="T163" i="46"/>
  <c r="N163" i="46"/>
  <c r="O163" i="46"/>
  <c r="V106" i="46"/>
  <c r="T106" i="46"/>
  <c r="N106" i="46"/>
  <c r="O106" i="46"/>
  <c r="V162" i="46"/>
  <c r="N162" i="46"/>
  <c r="O162" i="46"/>
  <c r="V107" i="46"/>
  <c r="T107" i="46"/>
  <c r="N107" i="46"/>
  <c r="O107" i="46"/>
  <c r="V161" i="46"/>
  <c r="T161" i="46"/>
  <c r="N161" i="46"/>
  <c r="O161" i="46"/>
  <c r="V108" i="46"/>
  <c r="T108" i="46"/>
  <c r="N108" i="46"/>
  <c r="O108" i="46"/>
  <c r="V143" i="46"/>
  <c r="T143" i="46"/>
  <c r="N143" i="46"/>
  <c r="O143" i="46"/>
  <c r="V109" i="46"/>
  <c r="T109" i="46"/>
  <c r="N109" i="46"/>
  <c r="O109" i="46"/>
  <c r="V110" i="46"/>
  <c r="N110" i="46"/>
  <c r="O110" i="46"/>
  <c r="V111" i="46"/>
  <c r="N111" i="46"/>
  <c r="O111" i="46"/>
  <c r="V112" i="46"/>
  <c r="T112" i="46"/>
  <c r="N112" i="46"/>
  <c r="O112" i="46"/>
  <c r="V160" i="46"/>
  <c r="T160" i="46"/>
  <c r="N160" i="46"/>
  <c r="O160" i="46"/>
  <c r="V141" i="46"/>
  <c r="T141" i="46"/>
  <c r="N141" i="46"/>
  <c r="O141" i="46"/>
  <c r="V113" i="46"/>
  <c r="T113" i="46"/>
  <c r="N113" i="46"/>
  <c r="O113" i="46"/>
  <c r="V114" i="46"/>
  <c r="T114" i="46"/>
  <c r="N114" i="46"/>
  <c r="O114" i="46"/>
  <c r="V133" i="46"/>
  <c r="T133" i="46"/>
  <c r="N133" i="46"/>
  <c r="O133" i="46"/>
  <c r="V131" i="46"/>
  <c r="T131" i="46"/>
  <c r="N131" i="46"/>
  <c r="O131" i="46"/>
  <c r="V152" i="46"/>
  <c r="T152" i="46"/>
  <c r="N152" i="46"/>
  <c r="O152" i="46"/>
  <c r="V139" i="46"/>
  <c r="T139" i="46"/>
  <c r="N139" i="46"/>
  <c r="O139" i="46"/>
  <c r="V140" i="46"/>
  <c r="T140" i="46"/>
  <c r="N140" i="46"/>
  <c r="O140" i="46"/>
  <c r="V130" i="46"/>
  <c r="T130" i="46"/>
  <c r="N130" i="46"/>
  <c r="O130" i="46"/>
  <c r="V151" i="46"/>
  <c r="T151" i="46"/>
  <c r="N151" i="46"/>
  <c r="O151" i="46"/>
  <c r="V129" i="46"/>
  <c r="N129" i="46"/>
  <c r="O129" i="46"/>
  <c r="V134" i="46"/>
  <c r="T134" i="46"/>
  <c r="N134" i="46"/>
  <c r="O134" i="46"/>
  <c r="V128" i="46"/>
  <c r="T128" i="46"/>
  <c r="N128" i="46"/>
  <c r="O128" i="46"/>
  <c r="V150" i="46"/>
  <c r="T150" i="46"/>
  <c r="N150" i="46"/>
  <c r="O150" i="46"/>
  <c r="V153" i="46"/>
  <c r="T153" i="46"/>
  <c r="N153" i="46"/>
  <c r="O153" i="46"/>
  <c r="V115" i="46"/>
  <c r="N115" i="46"/>
  <c r="O115" i="46"/>
  <c r="V127" i="46"/>
  <c r="N127" i="46"/>
  <c r="O127" i="46"/>
  <c r="V159" i="46"/>
  <c r="T159" i="46"/>
  <c r="N159" i="46"/>
  <c r="O159" i="46"/>
  <c r="V158" i="46"/>
  <c r="T158" i="46"/>
  <c r="N158" i="46"/>
  <c r="O158" i="46"/>
  <c r="V142" i="46"/>
  <c r="T142" i="46"/>
  <c r="N142" i="46"/>
  <c r="O142" i="46"/>
  <c r="V135" i="46"/>
  <c r="T135" i="46"/>
  <c r="N135" i="46"/>
  <c r="O135" i="46"/>
  <c r="V157" i="46"/>
  <c r="T157" i="46"/>
  <c r="N157" i="46"/>
  <c r="O157" i="46"/>
  <c r="V126" i="46"/>
  <c r="N126" i="46"/>
  <c r="O126" i="46"/>
  <c r="V125" i="46"/>
  <c r="T125" i="46"/>
  <c r="N125" i="46"/>
  <c r="O125" i="46"/>
  <c r="V124" i="46"/>
  <c r="T124" i="46"/>
  <c r="N124" i="46"/>
  <c r="O124" i="46"/>
  <c r="V156" i="46"/>
  <c r="T156" i="46"/>
  <c r="N156" i="46"/>
  <c r="O156" i="46"/>
  <c r="V116" i="46"/>
  <c r="T116" i="46"/>
  <c r="N116" i="46"/>
  <c r="O116" i="46"/>
  <c r="V117" i="46"/>
  <c r="T117" i="46"/>
  <c r="N117" i="46"/>
  <c r="O117" i="46"/>
  <c r="V155" i="46"/>
  <c r="T155" i="46"/>
  <c r="N155" i="46"/>
  <c r="O155" i="46"/>
  <c r="V118" i="46"/>
  <c r="T118" i="46"/>
  <c r="N118" i="46"/>
  <c r="O118" i="46"/>
  <c r="V119" i="46"/>
  <c r="T119" i="46"/>
  <c r="N119" i="46"/>
  <c r="O119" i="46"/>
  <c r="V120" i="46"/>
  <c r="T120" i="46"/>
  <c r="N120" i="46"/>
  <c r="O120" i="46"/>
  <c r="V149" i="46"/>
  <c r="T149" i="46"/>
  <c r="N149" i="46"/>
  <c r="O149" i="46"/>
  <c r="V121" i="46"/>
  <c r="T121" i="46"/>
  <c r="N121" i="46"/>
  <c r="O121" i="46"/>
  <c r="V122" i="46"/>
  <c r="N122" i="46"/>
  <c r="O122" i="46"/>
  <c r="V145" i="46"/>
  <c r="T145" i="46"/>
  <c r="N145" i="46"/>
  <c r="O145" i="46"/>
  <c r="V154" i="46"/>
  <c r="T154" i="46"/>
  <c r="N154" i="46"/>
  <c r="O154" i="46"/>
  <c r="V147" i="46"/>
  <c r="N147" i="46"/>
  <c r="O147" i="46"/>
  <c r="V146" i="46"/>
  <c r="T146" i="46"/>
  <c r="N146" i="46"/>
  <c r="O146" i="46"/>
  <c r="V148" i="46"/>
  <c r="T148" i="46"/>
  <c r="N148" i="46"/>
  <c r="O148" i="46"/>
  <c r="V144" i="46"/>
  <c r="T144" i="46"/>
  <c r="N144" i="46"/>
  <c r="O144" i="46"/>
  <c r="V123" i="46"/>
  <c r="T123" i="46"/>
  <c r="N123" i="46"/>
  <c r="O123" i="46"/>
  <c r="A147" i="52"/>
  <c r="A148" i="52" s="1"/>
  <c r="A149" i="52" s="1"/>
  <c r="A150" i="52" s="1"/>
  <c r="A151" i="52" s="1"/>
  <c r="A152" i="52" s="1"/>
  <c r="G94" i="37"/>
  <c r="E94" i="37"/>
  <c r="D94" i="37"/>
  <c r="C94" i="37"/>
  <c r="B94" i="37"/>
  <c r="G93" i="37"/>
  <c r="E93" i="37"/>
  <c r="D93" i="37"/>
  <c r="C93" i="37"/>
  <c r="B93" i="37"/>
  <c r="G92" i="37"/>
  <c r="E92" i="37"/>
  <c r="D92" i="37"/>
  <c r="C92" i="37"/>
  <c r="B92" i="37"/>
  <c r="G91" i="37"/>
  <c r="E91" i="37"/>
  <c r="D91" i="37"/>
  <c r="C91" i="37"/>
  <c r="B91" i="37"/>
  <c r="G90" i="37"/>
  <c r="E90" i="37"/>
  <c r="D90" i="37"/>
  <c r="C90" i="37"/>
  <c r="B90" i="37"/>
  <c r="G89" i="37"/>
  <c r="E89" i="37"/>
  <c r="D89" i="37"/>
  <c r="C89" i="37"/>
  <c r="B89" i="37"/>
  <c r="G88" i="37"/>
  <c r="E88" i="37"/>
  <c r="D88" i="37"/>
  <c r="C88" i="37"/>
  <c r="B88" i="37"/>
  <c r="G87" i="37"/>
  <c r="E87" i="37"/>
  <c r="D87" i="37"/>
  <c r="C87" i="37"/>
  <c r="B87" i="37"/>
  <c r="G86" i="37"/>
  <c r="E86" i="37"/>
  <c r="D86" i="37"/>
  <c r="C86" i="37"/>
  <c r="B86" i="37"/>
  <c r="G85" i="37"/>
  <c r="E85" i="37"/>
  <c r="D85" i="37"/>
  <c r="C85" i="37"/>
  <c r="B85" i="37"/>
  <c r="G84" i="37"/>
  <c r="E84" i="37"/>
  <c r="D84" i="37"/>
  <c r="C84" i="37"/>
  <c r="B84" i="37"/>
  <c r="G83" i="37"/>
  <c r="E83" i="37"/>
  <c r="D83" i="37"/>
  <c r="C83" i="37"/>
  <c r="B83" i="37"/>
  <c r="G82" i="37"/>
  <c r="E82" i="37"/>
  <c r="D82" i="37"/>
  <c r="C82" i="37"/>
  <c r="B82" i="37"/>
  <c r="G81" i="37"/>
  <c r="E81" i="37"/>
  <c r="D81" i="37"/>
  <c r="C81" i="37"/>
  <c r="B81" i="37"/>
  <c r="G80" i="37"/>
  <c r="E80" i="37"/>
  <c r="D80" i="37"/>
  <c r="C80" i="37"/>
  <c r="B80" i="37"/>
  <c r="G79" i="37"/>
  <c r="E79" i="37"/>
  <c r="D79" i="37"/>
  <c r="C79" i="37"/>
  <c r="B79" i="37"/>
  <c r="G78" i="37"/>
  <c r="E78" i="37"/>
  <c r="D78" i="37"/>
  <c r="C78" i="37"/>
  <c r="B78" i="37"/>
  <c r="G77" i="37"/>
  <c r="E77" i="37"/>
  <c r="D77" i="37"/>
  <c r="C77" i="37"/>
  <c r="B77" i="37"/>
  <c r="G76" i="37"/>
  <c r="E76" i="37"/>
  <c r="D76" i="37"/>
  <c r="C76" i="37"/>
  <c r="B76" i="37"/>
  <c r="G75" i="37"/>
  <c r="E75" i="37"/>
  <c r="D75" i="37"/>
  <c r="C75" i="37"/>
  <c r="B75" i="37"/>
  <c r="G74" i="37"/>
  <c r="E74" i="37"/>
  <c r="D74" i="37"/>
  <c r="C74" i="37"/>
  <c r="B74" i="37"/>
  <c r="G73" i="37"/>
  <c r="E73" i="37"/>
  <c r="D73" i="37"/>
  <c r="C73" i="37"/>
  <c r="B73" i="37"/>
  <c r="G72" i="37"/>
  <c r="E72" i="37"/>
  <c r="D72" i="37"/>
  <c r="C72" i="37"/>
  <c r="B72" i="37"/>
  <c r="G71" i="37"/>
  <c r="E71" i="37"/>
  <c r="D71" i="37"/>
  <c r="C71" i="37"/>
  <c r="B71" i="37"/>
  <c r="G70" i="37"/>
  <c r="E70" i="37"/>
  <c r="D70" i="37"/>
  <c r="C70" i="37"/>
  <c r="B70" i="37"/>
  <c r="G69" i="37"/>
  <c r="E69" i="37"/>
  <c r="D69" i="37"/>
  <c r="C69" i="37"/>
  <c r="B69" i="37"/>
  <c r="H12" i="19"/>
  <c r="H11" i="19"/>
  <c r="G28" i="56"/>
  <c r="H28" i="56" s="1"/>
  <c r="E8" i="56" s="1"/>
  <c r="I114" i="4"/>
  <c r="H114" i="4"/>
  <c r="G114" i="4"/>
  <c r="F114" i="4"/>
  <c r="E114" i="4"/>
  <c r="D114" i="4"/>
  <c r="E113" i="4"/>
  <c r="D113" i="4"/>
  <c r="A142" i="52"/>
  <c r="A143" i="52" s="1"/>
  <c r="A144" i="52" s="1"/>
  <c r="A145" i="52" s="1"/>
  <c r="V164" i="46"/>
  <c r="T164" i="46"/>
  <c r="O164" i="46"/>
  <c r="N164" i="46"/>
  <c r="N676" i="14" a="1"/>
  <c r="N677" i="14" a="1"/>
  <c r="N678" i="14" a="1"/>
  <c r="N679" i="14" a="1"/>
  <c r="N680" i="14" a="1"/>
  <c r="N681" i="14" a="1"/>
  <c r="N682" i="14" a="1"/>
  <c r="N683" i="14" a="1"/>
  <c r="N684" i="14" a="1"/>
  <c r="N685" i="14" a="1"/>
  <c r="N686" i="14" a="1"/>
  <c r="N687" i="14" a="1"/>
  <c r="N688" i="14" a="1"/>
  <c r="N689" i="14" a="1"/>
  <c r="N690" i="14" a="1"/>
  <c r="N691" i="14" a="1"/>
  <c r="N692" i="14" a="1"/>
  <c r="N693" i="14" a="1"/>
  <c r="N694" i="14" a="1"/>
  <c r="N695" i="14" a="1"/>
  <c r="N696" i="14" a="1"/>
  <c r="N697" i="14" a="1"/>
  <c r="N698" i="14" a="1"/>
  <c r="N699" i="14" a="1"/>
  <c r="N700" i="14" a="1"/>
  <c r="N701" i="14" a="1"/>
  <c r="N702" i="14" a="1"/>
  <c r="N703" i="14" a="1"/>
  <c r="N704" i="14" a="1"/>
  <c r="N705" i="14" a="1"/>
  <c r="N706" i="14" a="1"/>
  <c r="N707" i="14" a="1"/>
  <c r="N708" i="14" a="1"/>
  <c r="N709" i="14" a="1"/>
  <c r="N710" i="14" a="1"/>
  <c r="N711" i="14" a="1"/>
  <c r="N712" i="14" a="1"/>
  <c r="N713" i="14" a="1"/>
  <c r="N714" i="14" a="1"/>
  <c r="N715" i="14" a="1"/>
  <c r="N716" i="14" a="1"/>
  <c r="N717" i="14" a="1"/>
  <c r="N718" i="14" a="1"/>
  <c r="N719" i="14" a="1"/>
  <c r="C16" i="27" a="1"/>
  <c r="E47" i="2"/>
  <c r="E39" i="2"/>
  <c r="E31" i="2"/>
  <c r="N3" i="14" a="1"/>
  <c r="N4" i="14" a="1"/>
  <c r="N5" i="14" a="1"/>
  <c r="N6" i="14" a="1"/>
  <c r="N7" i="14" a="1"/>
  <c r="N8" i="14" a="1"/>
  <c r="N9" i="14" a="1"/>
  <c r="N10" i="14" a="1"/>
  <c r="N11" i="14" a="1"/>
  <c r="N12" i="14" a="1"/>
  <c r="N13" i="14" a="1"/>
  <c r="N14" i="14" a="1"/>
  <c r="N15" i="14" a="1"/>
  <c r="N16" i="14" a="1"/>
  <c r="N17" i="14" a="1"/>
  <c r="N18" i="14" a="1"/>
  <c r="N19" i="14" a="1"/>
  <c r="N20" i="14" a="1"/>
  <c r="N21" i="14" a="1"/>
  <c r="N22" i="14" a="1"/>
  <c r="N23" i="14" a="1"/>
  <c r="N24" i="14" a="1"/>
  <c r="N25" i="14" a="1"/>
  <c r="N26" i="14" a="1"/>
  <c r="N27" i="14" a="1"/>
  <c r="N28" i="14" a="1"/>
  <c r="N29" i="14" a="1"/>
  <c r="N30" i="14" a="1"/>
  <c r="N31" i="14" a="1"/>
  <c r="N32" i="14" a="1"/>
  <c r="N33" i="14" a="1"/>
  <c r="N34" i="14" a="1"/>
  <c r="N35" i="14" a="1"/>
  <c r="N36" i="14" a="1"/>
  <c r="N37" i="14" a="1"/>
  <c r="N38" i="14" a="1"/>
  <c r="N39" i="14" a="1"/>
  <c r="N40" i="14" a="1"/>
  <c r="N41" i="14" a="1"/>
  <c r="N42" i="14" a="1"/>
  <c r="N43" i="14" a="1"/>
  <c r="N44" i="14" a="1"/>
  <c r="N45" i="14" a="1"/>
  <c r="N46" i="14" a="1"/>
  <c r="N47" i="14" a="1"/>
  <c r="N48" i="14" a="1"/>
  <c r="N49" i="14" a="1"/>
  <c r="N50" i="14" a="1"/>
  <c r="N51" i="14" a="1"/>
  <c r="N52" i="14" a="1"/>
  <c r="N53" i="14" a="1"/>
  <c r="N54" i="14" a="1"/>
  <c r="N55" i="14" a="1"/>
  <c r="N56" i="14" a="1"/>
  <c r="N57" i="14" a="1"/>
  <c r="N58" i="14" a="1"/>
  <c r="N59" i="14" a="1"/>
  <c r="N60" i="14" a="1"/>
  <c r="N61" i="14" a="1"/>
  <c r="N62" i="14" a="1"/>
  <c r="N63" i="14" a="1"/>
  <c r="N64" i="14" a="1"/>
  <c r="N65" i="14" a="1"/>
  <c r="N66" i="14" a="1"/>
  <c r="N67" i="14" a="1"/>
  <c r="N68" i="14" a="1"/>
  <c r="N69" i="14" a="1"/>
  <c r="N70" i="14" a="1"/>
  <c r="N71" i="14" a="1"/>
  <c r="N72" i="14" a="1"/>
  <c r="N73" i="14" a="1"/>
  <c r="N74" i="14" a="1"/>
  <c r="N75" i="14" a="1"/>
  <c r="N76" i="14" a="1"/>
  <c r="N77" i="14" a="1"/>
  <c r="N78" i="14" a="1"/>
  <c r="N79" i="14" a="1"/>
  <c r="N80" i="14" a="1"/>
  <c r="N81" i="14" a="1"/>
  <c r="N82" i="14" a="1"/>
  <c r="N83" i="14" a="1"/>
  <c r="N84" i="14" a="1"/>
  <c r="N85" i="14" a="1"/>
  <c r="N86" i="14" a="1"/>
  <c r="N87" i="14" a="1"/>
  <c r="N88" i="14" a="1"/>
  <c r="N89" i="14" a="1"/>
  <c r="N90" i="14" a="1"/>
  <c r="N91" i="14" a="1"/>
  <c r="N92" i="14" a="1"/>
  <c r="N93" i="14" a="1"/>
  <c r="N94" i="14" a="1"/>
  <c r="N95" i="14" a="1"/>
  <c r="N96" i="14" a="1"/>
  <c r="N97" i="14" a="1"/>
  <c r="N98" i="14" a="1"/>
  <c r="N99" i="14" a="1"/>
  <c r="N100" i="14" a="1"/>
  <c r="N101" i="14" a="1"/>
  <c r="N102" i="14" a="1"/>
  <c r="N103" i="14" a="1"/>
  <c r="N104" i="14" a="1"/>
  <c r="N105" i="14" a="1"/>
  <c r="N106" i="14" a="1"/>
  <c r="N107" i="14" a="1"/>
  <c r="N108" i="14" a="1"/>
  <c r="N109" i="14" a="1"/>
  <c r="N110" i="14" a="1"/>
  <c r="N111" i="14" a="1"/>
  <c r="N112" i="14" a="1"/>
  <c r="N113" i="14" a="1"/>
  <c r="N114" i="14" a="1"/>
  <c r="N115" i="14" a="1"/>
  <c r="N116" i="14" a="1"/>
  <c r="N117" i="14" a="1"/>
  <c r="N118" i="14" a="1"/>
  <c r="N119" i="14" a="1"/>
  <c r="N120" i="14" a="1"/>
  <c r="N121" i="14" a="1"/>
  <c r="N122" i="14" a="1"/>
  <c r="N123" i="14" a="1"/>
  <c r="N124" i="14" a="1"/>
  <c r="N125" i="14" a="1"/>
  <c r="N126" i="14" a="1"/>
  <c r="N127" i="14" a="1"/>
  <c r="N128" i="14" a="1"/>
  <c r="N129" i="14" a="1"/>
  <c r="N130" i="14" a="1"/>
  <c r="N131" i="14" a="1"/>
  <c r="N132" i="14" a="1"/>
  <c r="N133" i="14" a="1"/>
  <c r="N134" i="14" a="1"/>
  <c r="N135" i="14" a="1"/>
  <c r="N136" i="14" a="1"/>
  <c r="N137" i="14" a="1"/>
  <c r="N138" i="14" a="1"/>
  <c r="N139" i="14" a="1"/>
  <c r="N140" i="14" a="1"/>
  <c r="N141" i="14" a="1"/>
  <c r="N142" i="14" a="1"/>
  <c r="N143" i="14" a="1"/>
  <c r="N144" i="14" a="1"/>
  <c r="N145" i="14" a="1"/>
  <c r="N146" i="14" a="1"/>
  <c r="N147" i="14" a="1"/>
  <c r="N148" i="14" a="1"/>
  <c r="N149" i="14" a="1"/>
  <c r="N150" i="14" a="1"/>
  <c r="N151" i="14" a="1"/>
  <c r="N152" i="14" a="1"/>
  <c r="N153" i="14" a="1"/>
  <c r="N154" i="14" a="1"/>
  <c r="N155" i="14" a="1"/>
  <c r="N156" i="14" a="1"/>
  <c r="N157" i="14" a="1"/>
  <c r="N158" i="14" a="1"/>
  <c r="N159" i="14" a="1"/>
  <c r="N160" i="14" a="1"/>
  <c r="N161" i="14" a="1"/>
  <c r="N162" i="14" a="1"/>
  <c r="N163" i="14" a="1"/>
  <c r="N164" i="14" a="1"/>
  <c r="N165" i="14" a="1"/>
  <c r="N166" i="14" a="1"/>
  <c r="N167" i="14" a="1"/>
  <c r="N168" i="14" a="1"/>
  <c r="N169" i="14" a="1"/>
  <c r="N170" i="14" a="1"/>
  <c r="N171" i="14" a="1"/>
  <c r="N172" i="14" a="1"/>
  <c r="N173" i="14" a="1"/>
  <c r="N174" i="14" a="1"/>
  <c r="N175" i="14" a="1"/>
  <c r="N176" i="14" a="1"/>
  <c r="N177" i="14" a="1"/>
  <c r="N178" i="14" a="1"/>
  <c r="N179" i="14" a="1"/>
  <c r="N180" i="14" a="1"/>
  <c r="N181" i="14" a="1"/>
  <c r="N182" i="14" a="1"/>
  <c r="N183" i="14" a="1"/>
  <c r="N184" i="14" a="1"/>
  <c r="N185" i="14" a="1"/>
  <c r="N186" i="14" a="1"/>
  <c r="N187" i="14" a="1"/>
  <c r="N188" i="14" a="1"/>
  <c r="N189" i="14" a="1"/>
  <c r="N190" i="14" a="1"/>
  <c r="N191" i="14" a="1"/>
  <c r="N192" i="14" a="1"/>
  <c r="N193" i="14" a="1"/>
  <c r="N194" i="14" a="1"/>
  <c r="N195" i="14" a="1"/>
  <c r="N196" i="14" a="1"/>
  <c r="N197" i="14" a="1"/>
  <c r="N198" i="14" a="1"/>
  <c r="N199" i="14" a="1"/>
  <c r="N200" i="14" a="1"/>
  <c r="N201" i="14" a="1"/>
  <c r="N202" i="14" a="1"/>
  <c r="N203" i="14" a="1"/>
  <c r="N204" i="14" a="1"/>
  <c r="N205" i="14" a="1"/>
  <c r="N206" i="14" a="1"/>
  <c r="N207" i="14" a="1"/>
  <c r="N208" i="14" a="1"/>
  <c r="N209" i="14" a="1"/>
  <c r="N210" i="14" a="1"/>
  <c r="N211" i="14" a="1"/>
  <c r="N212" i="14" a="1"/>
  <c r="N213" i="14" a="1"/>
  <c r="N214" i="14" a="1"/>
  <c r="N215" i="14" a="1"/>
  <c r="N216" i="14" a="1"/>
  <c r="N217" i="14" a="1"/>
  <c r="N218" i="14" a="1"/>
  <c r="N219" i="14" a="1"/>
  <c r="N220" i="14" a="1"/>
  <c r="N221" i="14" a="1"/>
  <c r="N222" i="14" a="1"/>
  <c r="N223" i="14" a="1"/>
  <c r="N224" i="14" a="1"/>
  <c r="N225" i="14" a="1"/>
  <c r="N226" i="14" a="1"/>
  <c r="N227" i="14" a="1"/>
  <c r="N228" i="14" a="1"/>
  <c r="N229" i="14" a="1"/>
  <c r="N230" i="14" a="1"/>
  <c r="N231" i="14" a="1"/>
  <c r="N232" i="14" a="1"/>
  <c r="N233" i="14" a="1"/>
  <c r="N234" i="14" a="1"/>
  <c r="N235" i="14" a="1"/>
  <c r="N236" i="14" a="1"/>
  <c r="N237" i="14" a="1"/>
  <c r="N238" i="14" a="1"/>
  <c r="N239" i="14" a="1"/>
  <c r="N240" i="14" a="1"/>
  <c r="N241" i="14" a="1"/>
  <c r="N242" i="14" a="1"/>
  <c r="N243" i="14" a="1"/>
  <c r="N244" i="14" a="1"/>
  <c r="N245" i="14" a="1"/>
  <c r="N246" i="14" a="1"/>
  <c r="N247" i="14" a="1"/>
  <c r="N248" i="14" a="1"/>
  <c r="N249" i="14" a="1"/>
  <c r="N250" i="14" a="1"/>
  <c r="N251" i="14" a="1"/>
  <c r="N252" i="14" a="1"/>
  <c r="E13" i="38"/>
  <c r="B29" i="38" s="1"/>
  <c r="B66" i="27" a="1"/>
  <c r="D6" i="37"/>
  <c r="K61" i="37"/>
  <c r="H93" i="37" s="1"/>
  <c r="K60" i="37"/>
  <c r="H92" i="37" s="1"/>
  <c r="K59" i="37"/>
  <c r="K58" i="37"/>
  <c r="H91" i="37" s="1"/>
  <c r="K57" i="37"/>
  <c r="K56" i="37"/>
  <c r="H84" i="37" s="1"/>
  <c r="K55" i="37"/>
  <c r="K54" i="37"/>
  <c r="H85" i="37" s="1"/>
  <c r="K53" i="37"/>
  <c r="H83" i="37" s="1"/>
  <c r="K52" i="37"/>
  <c r="H82" i="37" s="1"/>
  <c r="K51" i="37"/>
  <c r="H90" i="37" s="1"/>
  <c r="K50" i="37"/>
  <c r="K49" i="37"/>
  <c r="K48" i="37"/>
  <c r="H78" i="37" s="1"/>
  <c r="K47" i="37"/>
  <c r="H88" i="37" s="1"/>
  <c r="K46" i="37"/>
  <c r="H81" i="37" s="1"/>
  <c r="K45" i="37"/>
  <c r="K44" i="37"/>
  <c r="H79" i="37" s="1"/>
  <c r="K43" i="37"/>
  <c r="H89" i="37" s="1"/>
  <c r="K42" i="37"/>
  <c r="K41" i="37"/>
  <c r="H87" i="37" s="1"/>
  <c r="K40" i="37"/>
  <c r="K39" i="37"/>
  <c r="K38" i="37"/>
  <c r="K37" i="37"/>
  <c r="H86" i="37" s="1"/>
  <c r="K36" i="37"/>
  <c r="H94" i="37" s="1"/>
  <c r="K35" i="37"/>
  <c r="K34" i="37"/>
  <c r="K33" i="37"/>
  <c r="K32" i="37"/>
  <c r="K31" i="37"/>
  <c r="H77" i="37" s="1"/>
  <c r="K30" i="37"/>
  <c r="H80" i="37" s="1"/>
  <c r="K29" i="37"/>
  <c r="K28" i="37"/>
  <c r="K27" i="37"/>
  <c r="K26" i="37"/>
  <c r="K25" i="37"/>
  <c r="K24" i="37"/>
  <c r="H76" i="37" s="1"/>
  <c r="K23" i="37"/>
  <c r="H75" i="37" s="1"/>
  <c r="K22" i="37"/>
  <c r="H74" i="37" s="1"/>
  <c r="K21" i="37"/>
  <c r="K20" i="37"/>
  <c r="K19" i="37"/>
  <c r="K18" i="37"/>
  <c r="H73" i="37" s="1"/>
  <c r="K17" i="37"/>
  <c r="H72" i="37" s="1"/>
  <c r="K16" i="37"/>
  <c r="H71" i="37" s="1"/>
  <c r="K15" i="37"/>
  <c r="H70" i="37" s="1"/>
  <c r="K14" i="37"/>
  <c r="H69" i="37" s="1"/>
  <c r="D102" i="51"/>
  <c r="B102" i="51"/>
  <c r="D14" i="51"/>
  <c r="B15" i="51"/>
  <c r="B14" i="51"/>
  <c r="B9" i="51"/>
  <c r="E101" i="51"/>
  <c r="C101" i="51"/>
  <c r="B101" i="51"/>
  <c r="E100" i="51"/>
  <c r="C100" i="51"/>
  <c r="B100" i="51"/>
  <c r="E99" i="51"/>
  <c r="C99" i="51"/>
  <c r="B99" i="51"/>
  <c r="E98" i="51"/>
  <c r="C98" i="51"/>
  <c r="B98" i="51"/>
  <c r="E97" i="51"/>
  <c r="C97" i="51"/>
  <c r="B97" i="51"/>
  <c r="E96" i="51"/>
  <c r="C96" i="51"/>
  <c r="B96" i="51"/>
  <c r="E95" i="51"/>
  <c r="C95" i="51"/>
  <c r="B95" i="51"/>
  <c r="E94" i="51"/>
  <c r="C94" i="51"/>
  <c r="B94" i="51"/>
  <c r="E93" i="51"/>
  <c r="C93" i="51"/>
  <c r="B93" i="51"/>
  <c r="E92" i="51"/>
  <c r="C92" i="51"/>
  <c r="B92" i="51"/>
  <c r="E91" i="51"/>
  <c r="C91" i="51"/>
  <c r="B91" i="51"/>
  <c r="E90" i="51"/>
  <c r="C90" i="51"/>
  <c r="B90" i="51"/>
  <c r="E89" i="51"/>
  <c r="C89" i="51"/>
  <c r="B89" i="51"/>
  <c r="E88" i="51"/>
  <c r="C88" i="51"/>
  <c r="B88" i="51"/>
  <c r="E87" i="51"/>
  <c r="C87" i="51"/>
  <c r="B87" i="51"/>
  <c r="E86" i="51"/>
  <c r="C86" i="51"/>
  <c r="B86" i="51"/>
  <c r="E85" i="51"/>
  <c r="C85" i="51"/>
  <c r="B85" i="51"/>
  <c r="E84" i="51"/>
  <c r="C84" i="51"/>
  <c r="B84" i="51"/>
  <c r="E83" i="51"/>
  <c r="C83" i="51"/>
  <c r="B83" i="51"/>
  <c r="E82" i="51"/>
  <c r="C82" i="51"/>
  <c r="B82" i="51"/>
  <c r="E81" i="51"/>
  <c r="C81" i="51"/>
  <c r="B81" i="51"/>
  <c r="E80" i="51"/>
  <c r="C80" i="51"/>
  <c r="B80" i="51"/>
  <c r="E79" i="51"/>
  <c r="C79" i="51"/>
  <c r="B79" i="51"/>
  <c r="E78" i="51"/>
  <c r="C78" i="51"/>
  <c r="B78" i="51"/>
  <c r="E77" i="51"/>
  <c r="C77" i="51"/>
  <c r="B77" i="51"/>
  <c r="E76" i="51"/>
  <c r="C76" i="51"/>
  <c r="B76" i="51"/>
  <c r="E75" i="51"/>
  <c r="C75" i="51"/>
  <c r="B75" i="51"/>
  <c r="E74" i="51"/>
  <c r="C74" i="51"/>
  <c r="B74" i="51"/>
  <c r="E73" i="51"/>
  <c r="C73" i="51"/>
  <c r="B73" i="51"/>
  <c r="E72" i="51"/>
  <c r="C72" i="51"/>
  <c r="B72" i="51"/>
  <c r="E71" i="51"/>
  <c r="C71" i="51"/>
  <c r="B71" i="51"/>
  <c r="E70" i="51"/>
  <c r="C70" i="51"/>
  <c r="B70" i="51"/>
  <c r="E69" i="51"/>
  <c r="C69" i="51"/>
  <c r="B69" i="51"/>
  <c r="E68" i="51"/>
  <c r="C68" i="51"/>
  <c r="B68" i="51"/>
  <c r="E67" i="51"/>
  <c r="C67" i="51"/>
  <c r="B67" i="51"/>
  <c r="C22" i="38"/>
  <c r="B22" i="38"/>
  <c r="E11" i="19"/>
  <c r="H14" i="19"/>
  <c r="H13" i="19"/>
  <c r="C13" i="19"/>
  <c r="C12" i="19"/>
  <c r="C11" i="19"/>
  <c r="F15" i="27" a="1"/>
  <c r="E15" i="27" a="1"/>
  <c r="D15" i="27" a="1"/>
  <c r="C15" i="27" a="1"/>
  <c r="F14" i="27" a="1"/>
  <c r="E14" i="27" a="1"/>
  <c r="D14" i="27" a="1"/>
  <c r="C14" i="27" a="1"/>
  <c r="D18" i="27"/>
  <c r="E18" i="27"/>
  <c r="C22" i="27"/>
  <c r="B65" i="38"/>
  <c r="B137" i="19"/>
  <c r="V100" i="46"/>
  <c r="O100" i="46"/>
  <c r="N100" i="46"/>
  <c r="V99" i="46"/>
  <c r="O99" i="46"/>
  <c r="N99" i="46"/>
  <c r="V98" i="46"/>
  <c r="O98" i="46"/>
  <c r="N98" i="46"/>
  <c r="V97" i="46"/>
  <c r="O97" i="46"/>
  <c r="N97" i="46"/>
  <c r="V96" i="46"/>
  <c r="O96" i="46"/>
  <c r="N96" i="46"/>
  <c r="V95" i="46"/>
  <c r="O95" i="46"/>
  <c r="N95" i="46"/>
  <c r="V94" i="46"/>
  <c r="O94" i="46"/>
  <c r="N94" i="46"/>
  <c r="V93" i="46"/>
  <c r="O93" i="46"/>
  <c r="N93" i="46"/>
  <c r="V92" i="46"/>
  <c r="O92" i="46"/>
  <c r="N92" i="46"/>
  <c r="V91" i="46"/>
  <c r="O91" i="46"/>
  <c r="N91" i="46"/>
  <c r="V90" i="46"/>
  <c r="O90" i="46"/>
  <c r="N90" i="46"/>
  <c r="V89" i="46"/>
  <c r="O89" i="46"/>
  <c r="N89" i="46"/>
  <c r="V88" i="46"/>
  <c r="O88" i="46"/>
  <c r="N88" i="46"/>
  <c r="V87" i="46"/>
  <c r="O87" i="46"/>
  <c r="N87" i="46"/>
  <c r="V86" i="46"/>
  <c r="O86" i="46"/>
  <c r="N86" i="46"/>
  <c r="V85" i="46"/>
  <c r="O85" i="46"/>
  <c r="N85" i="46"/>
  <c r="V84" i="46"/>
  <c r="O84" i="46"/>
  <c r="N84" i="46"/>
  <c r="V83" i="46"/>
  <c r="O83" i="46"/>
  <c r="N83" i="46"/>
  <c r="V82" i="46"/>
  <c r="O82" i="46"/>
  <c r="N82" i="46"/>
  <c r="V81" i="46"/>
  <c r="O81" i="46"/>
  <c r="N81" i="46"/>
  <c r="V80" i="46"/>
  <c r="O80" i="46"/>
  <c r="N80" i="46"/>
  <c r="V79" i="46"/>
  <c r="O79" i="46"/>
  <c r="N79" i="46"/>
  <c r="V78" i="46"/>
  <c r="O78" i="46"/>
  <c r="N78" i="46"/>
  <c r="V77" i="46"/>
  <c r="O77" i="46"/>
  <c r="N77" i="46"/>
  <c r="V76" i="46"/>
  <c r="O76" i="46"/>
  <c r="N76" i="46"/>
  <c r="V75" i="46"/>
  <c r="O75" i="46"/>
  <c r="N75" i="46"/>
  <c r="V74" i="46"/>
  <c r="O74" i="46"/>
  <c r="N74" i="46"/>
  <c r="V73" i="46"/>
  <c r="O73" i="46"/>
  <c r="N73" i="46"/>
  <c r="V72" i="46"/>
  <c r="O72" i="46"/>
  <c r="N72" i="46"/>
  <c r="V71" i="46"/>
  <c r="O71" i="46"/>
  <c r="N71" i="46"/>
  <c r="V70" i="46"/>
  <c r="O70" i="46"/>
  <c r="N70" i="46"/>
  <c r="V69" i="46"/>
  <c r="O69" i="46"/>
  <c r="N69" i="46"/>
  <c r="V68" i="46"/>
  <c r="O68" i="46"/>
  <c r="N68" i="46"/>
  <c r="V67" i="46"/>
  <c r="O67" i="46"/>
  <c r="N67" i="46"/>
  <c r="V66" i="46"/>
  <c r="O66" i="46"/>
  <c r="N66" i="46"/>
  <c r="V65" i="46"/>
  <c r="O65" i="46"/>
  <c r="N65" i="46"/>
  <c r="V64" i="46"/>
  <c r="O64" i="46"/>
  <c r="N64" i="46"/>
  <c r="V63" i="46"/>
  <c r="O63" i="46"/>
  <c r="N63" i="46"/>
  <c r="V62" i="46"/>
  <c r="O62" i="46"/>
  <c r="N62" i="46"/>
  <c r="V61" i="46"/>
  <c r="O61" i="46"/>
  <c r="N61" i="46"/>
  <c r="V60" i="46"/>
  <c r="O60" i="46"/>
  <c r="N60" i="46"/>
  <c r="V59" i="46"/>
  <c r="O59" i="46"/>
  <c r="N59" i="46"/>
  <c r="V58" i="46"/>
  <c r="O58" i="46"/>
  <c r="N58" i="46"/>
  <c r="V57" i="46"/>
  <c r="O57" i="46"/>
  <c r="N57" i="46"/>
  <c r="V56" i="46"/>
  <c r="O56" i="46"/>
  <c r="N56" i="46"/>
  <c r="V55" i="46"/>
  <c r="O55" i="46"/>
  <c r="N55" i="46"/>
  <c r="V54" i="46"/>
  <c r="O54" i="46"/>
  <c r="N54" i="46"/>
  <c r="V53" i="46"/>
  <c r="O53" i="46"/>
  <c r="N53" i="46"/>
  <c r="V52" i="46"/>
  <c r="O52" i="46"/>
  <c r="N52" i="46"/>
  <c r="V51" i="46"/>
  <c r="O51" i="46"/>
  <c r="N51" i="46"/>
  <c r="V50" i="46"/>
  <c r="O50" i="46"/>
  <c r="N50" i="46"/>
  <c r="V49" i="46"/>
  <c r="O49" i="46"/>
  <c r="N49" i="46"/>
  <c r="V48" i="46"/>
  <c r="O48" i="46"/>
  <c r="N48" i="46"/>
  <c r="V47" i="46"/>
  <c r="O47" i="46"/>
  <c r="N47" i="46"/>
  <c r="V46" i="46"/>
  <c r="O46" i="46"/>
  <c r="N46" i="46"/>
  <c r="V45" i="46"/>
  <c r="O45" i="46"/>
  <c r="N45" i="46"/>
  <c r="V44" i="46"/>
  <c r="O44" i="46"/>
  <c r="N44" i="46"/>
  <c r="V43" i="46"/>
  <c r="O43" i="46"/>
  <c r="N43" i="46"/>
  <c r="V42" i="46"/>
  <c r="O42" i="46"/>
  <c r="N42" i="46"/>
  <c r="V41" i="46"/>
  <c r="O41" i="46"/>
  <c r="N41" i="46"/>
  <c r="V40" i="46"/>
  <c r="O40" i="46"/>
  <c r="N40" i="46"/>
  <c r="V39" i="46"/>
  <c r="O39" i="46"/>
  <c r="N39" i="46"/>
  <c r="V38" i="46"/>
  <c r="O38" i="46"/>
  <c r="N38" i="46"/>
  <c r="V37" i="46"/>
  <c r="O37" i="46"/>
  <c r="N37" i="46"/>
  <c r="V36" i="46"/>
  <c r="O36" i="46"/>
  <c r="N36" i="46"/>
  <c r="V35" i="46"/>
  <c r="O35" i="46"/>
  <c r="N35" i="46"/>
  <c r="V34" i="46"/>
  <c r="O34" i="46"/>
  <c r="N34" i="46"/>
  <c r="V33" i="46"/>
  <c r="O33" i="46"/>
  <c r="N33" i="46"/>
  <c r="V32" i="46"/>
  <c r="O32" i="46"/>
  <c r="N32" i="46"/>
  <c r="V31" i="46"/>
  <c r="O31" i="46"/>
  <c r="N31" i="46"/>
  <c r="V30" i="46"/>
  <c r="O30" i="46"/>
  <c r="N30" i="46"/>
  <c r="V29" i="46"/>
  <c r="O29" i="46"/>
  <c r="N29" i="46"/>
  <c r="V28" i="46"/>
  <c r="O28" i="46"/>
  <c r="N28" i="46"/>
  <c r="V27" i="46"/>
  <c r="O27" i="46"/>
  <c r="N27" i="46"/>
  <c r="V26" i="46"/>
  <c r="O26" i="46"/>
  <c r="N26" i="46"/>
  <c r="V25" i="46"/>
  <c r="O25" i="46"/>
  <c r="N25" i="46"/>
  <c r="V24" i="46"/>
  <c r="O24" i="46"/>
  <c r="N24" i="46"/>
  <c r="V23" i="46"/>
  <c r="O23" i="46"/>
  <c r="N23" i="46"/>
  <c r="V22" i="46"/>
  <c r="O22" i="46"/>
  <c r="N22" i="46"/>
  <c r="V21" i="46"/>
  <c r="O21" i="46"/>
  <c r="N21" i="46"/>
  <c r="V20" i="46"/>
  <c r="O20" i="46"/>
  <c r="N20" i="46"/>
  <c r="V19" i="46"/>
  <c r="O19" i="46"/>
  <c r="N19" i="46"/>
  <c r="V18" i="46"/>
  <c r="O18" i="46"/>
  <c r="N18" i="46"/>
  <c r="V17" i="46"/>
  <c r="O17" i="46"/>
  <c r="N17" i="46"/>
  <c r="V16" i="46"/>
  <c r="O16" i="46"/>
  <c r="N16" i="46"/>
  <c r="V15" i="46"/>
  <c r="O15" i="46"/>
  <c r="N15" i="46"/>
  <c r="V14" i="46"/>
  <c r="O14" i="46"/>
  <c r="N14" i="46"/>
  <c r="V13" i="46"/>
  <c r="O13" i="46"/>
  <c r="N13" i="46"/>
  <c r="V12" i="46"/>
  <c r="O12" i="46"/>
  <c r="N12" i="46"/>
  <c r="V11" i="46"/>
  <c r="O11" i="46"/>
  <c r="N11" i="46"/>
  <c r="V10" i="46"/>
  <c r="O10" i="46"/>
  <c r="N10" i="46"/>
  <c r="V9" i="46"/>
  <c r="O9" i="46"/>
  <c r="N9" i="46"/>
  <c r="V8" i="46"/>
  <c r="O8" i="46"/>
  <c r="N8" i="46"/>
  <c r="V7" i="46"/>
  <c r="O7" i="46"/>
  <c r="N7" i="46"/>
  <c r="V6" i="46"/>
  <c r="O6" i="46"/>
  <c r="N6" i="46"/>
  <c r="V5" i="46"/>
  <c r="O5" i="46"/>
  <c r="N5" i="46"/>
  <c r="V4" i="46"/>
  <c r="N4" i="46"/>
  <c r="V3" i="46"/>
  <c r="O3" i="46"/>
  <c r="N3" i="46"/>
  <c r="V2" i="46"/>
  <c r="O2" i="46"/>
  <c r="N2" i="46"/>
  <c r="B37" i="56"/>
  <c r="G35" i="56"/>
  <c r="H35" i="56" s="1"/>
  <c r="I35" i="56" s="1"/>
  <c r="E9" i="56" s="1"/>
  <c r="G34" i="56"/>
  <c r="H34" i="56" s="1"/>
  <c r="I34" i="56" s="1"/>
  <c r="B30" i="56"/>
  <c r="B23" i="56"/>
  <c r="G21" i="56"/>
  <c r="H21" i="56" s="1"/>
  <c r="B16" i="56"/>
  <c r="G15" i="56"/>
  <c r="H15" i="56" s="1"/>
  <c r="I15" i="56" s="1"/>
  <c r="E6" i="56" s="1"/>
  <c r="G14" i="56"/>
  <c r="H14" i="56" s="1"/>
  <c r="C10" i="56"/>
  <c r="E21" i="51"/>
  <c r="E22" i="51"/>
  <c r="E23" i="51"/>
  <c r="E24" i="51"/>
  <c r="E25" i="51"/>
  <c r="E26" i="51"/>
  <c r="E27" i="51"/>
  <c r="E28" i="51"/>
  <c r="E29" i="51"/>
  <c r="E30" i="51"/>
  <c r="E31" i="51"/>
  <c r="E32" i="51"/>
  <c r="E33" i="51"/>
  <c r="E34" i="51"/>
  <c r="E35" i="51"/>
  <c r="E36" i="51"/>
  <c r="E37" i="51"/>
  <c r="E38" i="51"/>
  <c r="E39" i="51"/>
  <c r="E40" i="51"/>
  <c r="E41" i="51"/>
  <c r="E42" i="51"/>
  <c r="E43" i="51"/>
  <c r="E44" i="51"/>
  <c r="E45" i="51"/>
  <c r="E46" i="51"/>
  <c r="E47" i="51"/>
  <c r="E48" i="51"/>
  <c r="E49" i="51"/>
  <c r="E50" i="51"/>
  <c r="E51" i="51"/>
  <c r="E52" i="51"/>
  <c r="E53" i="51"/>
  <c r="E54" i="51"/>
  <c r="E55" i="51"/>
  <c r="E56" i="51"/>
  <c r="E57" i="51"/>
  <c r="E58" i="51"/>
  <c r="E59" i="51"/>
  <c r="E60" i="51"/>
  <c r="E61" i="51"/>
  <c r="E62" i="51"/>
  <c r="E63" i="51"/>
  <c r="E64" i="51"/>
  <c r="E65" i="51"/>
  <c r="E66" i="51"/>
  <c r="C21" i="51"/>
  <c r="C22" i="51"/>
  <c r="C23" i="51"/>
  <c r="C24" i="51"/>
  <c r="C25" i="51"/>
  <c r="C26" i="51"/>
  <c r="C27" i="51"/>
  <c r="C28" i="51"/>
  <c r="C29" i="51"/>
  <c r="C30" i="51"/>
  <c r="C31" i="51"/>
  <c r="C32" i="51"/>
  <c r="C33" i="51"/>
  <c r="C34" i="51"/>
  <c r="C35" i="51"/>
  <c r="C36" i="51"/>
  <c r="C37" i="51"/>
  <c r="C38" i="51"/>
  <c r="C39" i="51"/>
  <c r="C40" i="51"/>
  <c r="C41" i="51"/>
  <c r="C42" i="51"/>
  <c r="C43" i="51"/>
  <c r="C44" i="51"/>
  <c r="C45" i="51"/>
  <c r="C46" i="51"/>
  <c r="C47" i="51"/>
  <c r="C48" i="51"/>
  <c r="C49" i="51"/>
  <c r="C50" i="51"/>
  <c r="C51" i="51"/>
  <c r="C52" i="51"/>
  <c r="C53" i="51"/>
  <c r="C54" i="51"/>
  <c r="C55" i="51"/>
  <c r="C56" i="51"/>
  <c r="C57" i="51"/>
  <c r="C58" i="51"/>
  <c r="C59" i="51"/>
  <c r="C60" i="51"/>
  <c r="C61" i="51"/>
  <c r="C62" i="51"/>
  <c r="C63" i="51"/>
  <c r="C64" i="51"/>
  <c r="C65" i="51"/>
  <c r="C66" i="51"/>
  <c r="B21" i="51"/>
  <c r="B22" i="51"/>
  <c r="B23" i="51"/>
  <c r="B24" i="51"/>
  <c r="B25" i="51"/>
  <c r="B26" i="51"/>
  <c r="B27" i="51"/>
  <c r="B28" i="51"/>
  <c r="B29" i="51"/>
  <c r="B30" i="51"/>
  <c r="B31" i="51"/>
  <c r="B32" i="51"/>
  <c r="B33" i="51"/>
  <c r="B34" i="51"/>
  <c r="B35" i="51"/>
  <c r="B36" i="51"/>
  <c r="B37" i="51"/>
  <c r="B38" i="51"/>
  <c r="B39" i="51"/>
  <c r="B40" i="51"/>
  <c r="B41" i="51"/>
  <c r="B42" i="51"/>
  <c r="B43" i="51"/>
  <c r="B44" i="51"/>
  <c r="B45" i="51"/>
  <c r="B46" i="51"/>
  <c r="B47" i="51"/>
  <c r="B48" i="51"/>
  <c r="B49" i="51"/>
  <c r="B50" i="51"/>
  <c r="B51" i="51"/>
  <c r="B52" i="51"/>
  <c r="B53" i="51"/>
  <c r="B54" i="51"/>
  <c r="B55" i="51"/>
  <c r="B56" i="51"/>
  <c r="B57" i="51"/>
  <c r="B58" i="51"/>
  <c r="B59" i="51"/>
  <c r="B60" i="51"/>
  <c r="B61" i="51"/>
  <c r="B62" i="51"/>
  <c r="B63" i="51"/>
  <c r="B64" i="51"/>
  <c r="B65" i="51"/>
  <c r="B66" i="51"/>
  <c r="E20" i="51"/>
  <c r="C20" i="51"/>
  <c r="B20" i="51"/>
  <c r="C135" i="51"/>
  <c r="B135" i="51"/>
  <c r="B136" i="51" s="1"/>
  <c r="C145" i="51"/>
  <c r="B145" i="51"/>
  <c r="C143" i="51"/>
  <c r="B143" i="51"/>
  <c r="C142" i="51"/>
  <c r="B142" i="51"/>
  <c r="D134" i="51"/>
  <c r="D133" i="51"/>
  <c r="D132" i="51"/>
  <c r="D131" i="51"/>
  <c r="D130" i="51"/>
  <c r="D129" i="51"/>
  <c r="D128" i="51"/>
  <c r="D135" i="51" s="1"/>
  <c r="C107" i="51"/>
  <c r="B107" i="51"/>
  <c r="D107" i="51" s="1"/>
  <c r="L7" i="34"/>
  <c r="O7" i="34" s="1"/>
  <c r="L8" i="34"/>
  <c r="O8" i="34"/>
  <c r="L9" i="34"/>
  <c r="O9" i="34" s="1"/>
  <c r="L20" i="34"/>
  <c r="L21" i="34"/>
  <c r="L22" i="34"/>
  <c r="L23" i="34"/>
  <c r="L24" i="34"/>
  <c r="M24" i="34"/>
  <c r="N24" i="34"/>
  <c r="O24" i="34"/>
  <c r="P24" i="34"/>
  <c r="L25" i="34"/>
  <c r="O25" i="34"/>
  <c r="L26" i="34"/>
  <c r="L27" i="34"/>
  <c r="L28" i="34"/>
  <c r="L29" i="34"/>
  <c r="L30" i="34"/>
  <c r="L31" i="34"/>
  <c r="O31" i="34" s="1"/>
  <c r="L32" i="34"/>
  <c r="L33" i="34"/>
  <c r="L34" i="34"/>
  <c r="L35" i="34"/>
  <c r="L36" i="34"/>
  <c r="L37" i="34"/>
  <c r="L38" i="34"/>
  <c r="L39" i="34"/>
  <c r="L40" i="34"/>
  <c r="L41" i="34"/>
  <c r="L42" i="34"/>
  <c r="C3" i="24"/>
  <c r="B54" i="38"/>
  <c r="C59" i="38"/>
  <c r="B59" i="38"/>
  <c r="C58" i="38"/>
  <c r="B58" i="38"/>
  <c r="C57" i="38"/>
  <c r="B57" i="38"/>
  <c r="D48" i="38"/>
  <c r="C48" i="38"/>
  <c r="B48" i="38"/>
  <c r="D47" i="38"/>
  <c r="C47" i="38"/>
  <c r="B47" i="38"/>
  <c r="D46" i="38"/>
  <c r="C46" i="38"/>
  <c r="B46" i="38"/>
  <c r="D45" i="38"/>
  <c r="C45" i="38"/>
  <c r="B45" i="38"/>
  <c r="B25" i="38"/>
  <c r="C25" i="2"/>
  <c r="C23" i="2"/>
  <c r="C21" i="2"/>
  <c r="C19" i="2"/>
  <c r="E19" i="2" s="1"/>
  <c r="C18" i="2"/>
  <c r="L122" i="4"/>
  <c r="K122" i="4"/>
  <c r="J122" i="4"/>
  <c r="I122" i="4"/>
  <c r="H122" i="4"/>
  <c r="G122" i="4"/>
  <c r="F122" i="4"/>
  <c r="E122" i="4"/>
  <c r="D32" i="3"/>
  <c r="C9" i="19"/>
  <c r="C25" i="38" s="1"/>
  <c r="H7" i="19"/>
  <c r="C16" i="38" s="1"/>
  <c r="C7" i="19"/>
  <c r="B16" i="38" s="1"/>
  <c r="M13" i="5"/>
  <c r="C45" i="2"/>
  <c r="C37" i="2"/>
  <c r="C29" i="2"/>
  <c r="L106" i="4"/>
  <c r="K106" i="4"/>
  <c r="J114" i="4"/>
  <c r="J113" i="4"/>
  <c r="I113" i="4"/>
  <c r="H113" i="4"/>
  <c r="G113" i="4"/>
  <c r="F113" i="4"/>
  <c r="D31" i="3"/>
  <c r="F31" i="3" s="1"/>
  <c r="B52" i="38" s="1"/>
  <c r="J123" i="4"/>
  <c r="C6" i="19"/>
  <c r="B21" i="38" s="1"/>
  <c r="C5" i="19"/>
  <c r="C21" i="38" s="1"/>
  <c r="H6" i="19"/>
  <c r="H9" i="19"/>
  <c r="H5" i="19"/>
  <c r="H8" i="19"/>
  <c r="C17" i="38" s="1"/>
  <c r="C8" i="19"/>
  <c r="B17" i="38" s="1"/>
  <c r="AK17" i="4" l="1"/>
  <c r="AK23" i="4"/>
  <c r="AK24" i="4" s="1"/>
  <c r="AK20" i="4"/>
  <c r="AK33" i="4"/>
  <c r="AK34" i="4"/>
  <c r="AK104" i="4"/>
  <c r="AK103" i="4"/>
  <c r="AK112" i="4"/>
  <c r="AK123" i="4"/>
  <c r="K15" i="16"/>
  <c r="D45" i="2" a="1"/>
  <c r="D44" i="2" a="1"/>
  <c r="G95" i="37"/>
  <c r="H98" i="37"/>
  <c r="B31" i="61"/>
  <c r="AJ31" i="61" s="1" a="1"/>
  <c r="X31" i="5"/>
  <c r="K31" i="5"/>
  <c r="U31" i="61" s="1"/>
  <c r="N31" i="5" a="1"/>
  <c r="O30" i="5"/>
  <c r="P62" i="5"/>
  <c r="Q63" i="5" s="1"/>
  <c r="Q64" i="5" s="1"/>
  <c r="Q65" i="5" s="1"/>
  <c r="Q66" i="5" s="1"/>
  <c r="Q67" i="5" s="1"/>
  <c r="Q68" i="5" s="1"/>
  <c r="K30" i="5"/>
  <c r="U30" i="61" s="1"/>
  <c r="K11" i="19"/>
  <c r="I35" i="62"/>
  <c r="D9" i="62"/>
  <c r="I29" i="62"/>
  <c r="D8" i="62"/>
  <c r="E7" i="62"/>
  <c r="F7" i="62" s="1"/>
  <c r="I23" i="62"/>
  <c r="I17" i="62"/>
  <c r="D6" i="62"/>
  <c r="C41" i="2"/>
  <c r="C49" i="2"/>
  <c r="C57" i="2"/>
  <c r="R34" i="61"/>
  <c r="C33" i="2"/>
  <c r="V31" i="5"/>
  <c r="AD31" i="61" s="1"/>
  <c r="O31" i="5"/>
  <c r="I31" i="5"/>
  <c r="B32" i="5"/>
  <c r="W31" i="5"/>
  <c r="AG31" i="61" s="1"/>
  <c r="G30" i="5"/>
  <c r="I30" i="61" s="1"/>
  <c r="R30" i="5"/>
  <c r="H95" i="37"/>
  <c r="D10" i="62"/>
  <c r="I41" i="62"/>
  <c r="F10" i="62"/>
  <c r="F9" i="62"/>
  <c r="F8" i="62"/>
  <c r="D11" i="62"/>
  <c r="E11" i="62"/>
  <c r="F6" i="62"/>
  <c r="F11" i="62" s="1"/>
  <c r="C88" i="5"/>
  <c r="C87" i="5" s="1"/>
  <c r="C89" i="5" s="1"/>
  <c r="D62" i="5" s="1"/>
  <c r="E62" i="5" s="1"/>
  <c r="D7" i="2" a="1"/>
  <c r="J12" i="16"/>
  <c r="J14" i="16" s="1"/>
  <c r="AK128" i="4" s="1"/>
  <c r="D25" i="2" a="1"/>
  <c r="D66" i="2" a="1"/>
  <c r="D63" i="2" a="1"/>
  <c r="D65" i="2" a="1"/>
  <c r="D61" i="2" a="1"/>
  <c r="D64" i="2" a="1"/>
  <c r="T30" i="5"/>
  <c r="X30" i="61" s="1"/>
  <c r="S30" i="5"/>
  <c r="U30" i="5" s="1"/>
  <c r="AA30" i="61" s="1"/>
  <c r="F30" i="5"/>
  <c r="D76" i="2" a="1"/>
  <c r="I14" i="56"/>
  <c r="D22" i="38"/>
  <c r="I72" i="27" a="1"/>
  <c r="I82" i="27" a="1"/>
  <c r="I84" i="27" a="1"/>
  <c r="I86" i="27" a="1"/>
  <c r="I88" i="27" a="1"/>
  <c r="I90" i="27" a="1"/>
  <c r="I92" i="27" a="1"/>
  <c r="I96" i="27" a="1"/>
  <c r="I98" i="27" a="1"/>
  <c r="I100" i="27" a="1"/>
  <c r="I102" i="27" a="1"/>
  <c r="I104" i="27" a="1"/>
  <c r="I106" i="27" a="1"/>
  <c r="I108" i="27" a="1"/>
  <c r="I110" i="27" a="1"/>
  <c r="I112" i="27" a="1"/>
  <c r="I114" i="27" a="1"/>
  <c r="I116" i="27" a="1"/>
  <c r="I118" i="27" a="1"/>
  <c r="I120" i="27" a="1"/>
  <c r="I146" i="27" a="1"/>
  <c r="I148" i="27" a="1"/>
  <c r="I151" i="27" a="1"/>
  <c r="I154" i="27" a="1"/>
  <c r="I157" i="27" a="1"/>
  <c r="I159" i="27" a="1"/>
  <c r="I162" i="27" a="1"/>
  <c r="I165" i="27" a="1"/>
  <c r="I168" i="27" a="1"/>
  <c r="I171" i="27" a="1"/>
  <c r="I174" i="27" a="1"/>
  <c r="I178" i="27" a="1"/>
  <c r="I181" i="27" a="1"/>
  <c r="I121" i="27" a="1"/>
  <c r="I122" i="27" a="1"/>
  <c r="I123" i="27" a="1"/>
  <c r="I124" i="27" a="1"/>
  <c r="I125" i="27" a="1"/>
  <c r="I126" i="27" a="1"/>
  <c r="I127" i="27" a="1"/>
  <c r="I128" i="27" a="1"/>
  <c r="I129" i="27" a="1"/>
  <c r="I130" i="27" a="1"/>
  <c r="I131" i="27" a="1"/>
  <c r="I132" i="27" a="1"/>
  <c r="I133" i="27" a="1"/>
  <c r="I134" i="27" a="1"/>
  <c r="I135" i="27" a="1"/>
  <c r="I136" i="27" a="1"/>
  <c r="I137" i="27" a="1"/>
  <c r="I138" i="27" a="1"/>
  <c r="I139" i="27" a="1"/>
  <c r="I140" i="27" a="1"/>
  <c r="I141" i="27" a="1"/>
  <c r="I142" i="27" a="1"/>
  <c r="I143" i="27" a="1"/>
  <c r="I145" i="27" a="1"/>
  <c r="I149" i="27" a="1"/>
  <c r="I152" i="27" a="1"/>
  <c r="I155" i="27" a="1"/>
  <c r="I158" i="27" a="1"/>
  <c r="I160" i="27" a="1"/>
  <c r="I163" i="27" a="1"/>
  <c r="I166" i="27" a="1"/>
  <c r="I169" i="27" a="1"/>
  <c r="I173" i="27" a="1"/>
  <c r="I176" i="27" a="1"/>
  <c r="I180" i="27" a="1"/>
  <c r="I68" i="27" a="1"/>
  <c r="I67" i="27" a="1"/>
  <c r="I69" i="27" a="1"/>
  <c r="I70" i="27" a="1"/>
  <c r="I71" i="27" a="1"/>
  <c r="I73" i="27" a="1"/>
  <c r="I74" i="27" a="1"/>
  <c r="I75" i="27" a="1"/>
  <c r="I76" i="27" a="1"/>
  <c r="I77" i="27" a="1"/>
  <c r="I78" i="27" a="1"/>
  <c r="I79" i="27" a="1"/>
  <c r="I80" i="27" a="1"/>
  <c r="I81" i="27" a="1"/>
  <c r="I83" i="27" a="1"/>
  <c r="I85" i="27" a="1"/>
  <c r="I87" i="27" a="1"/>
  <c r="I89" i="27" a="1"/>
  <c r="I91" i="27" a="1"/>
  <c r="I93" i="27" a="1"/>
  <c r="I97" i="27" a="1"/>
  <c r="I99" i="27" a="1"/>
  <c r="I101" i="27" a="1"/>
  <c r="I103" i="27" a="1"/>
  <c r="I105" i="27" a="1"/>
  <c r="I107" i="27" a="1"/>
  <c r="I109" i="27" a="1"/>
  <c r="I111" i="27" a="1"/>
  <c r="I113" i="27" a="1"/>
  <c r="I115" i="27" a="1"/>
  <c r="I117" i="27" a="1"/>
  <c r="I119" i="27" a="1"/>
  <c r="I144" i="27" a="1"/>
  <c r="I147" i="27" a="1"/>
  <c r="I150" i="27" a="1"/>
  <c r="I153" i="27" a="1"/>
  <c r="I156" i="27" a="1"/>
  <c r="I161" i="27" a="1"/>
  <c r="I164" i="27" a="1"/>
  <c r="I167" i="27" a="1"/>
  <c r="I170" i="27" a="1"/>
  <c r="I172" i="27" a="1"/>
  <c r="I175" i="27" a="1"/>
  <c r="I179" i="27" a="1"/>
  <c r="I177" i="27" a="1"/>
  <c r="I95" i="27" a="1"/>
  <c r="I94" i="27" a="1"/>
  <c r="B108" i="51"/>
  <c r="I182" i="27" a="1"/>
  <c r="I183" i="27" a="1"/>
  <c r="I184" i="27" a="1"/>
  <c r="I185" i="27" a="1"/>
  <c r="I186" i="27" a="1"/>
  <c r="I187" i="27" a="1"/>
  <c r="I188" i="27" a="1"/>
  <c r="I189" i="27" a="1"/>
  <c r="I190" i="27" a="1"/>
  <c r="I191" i="27" a="1"/>
  <c r="I192" i="27" a="1"/>
  <c r="I193" i="27" a="1"/>
  <c r="I194" i="27" a="1"/>
  <c r="I195" i="27" a="1"/>
  <c r="I196" i="27" a="1"/>
  <c r="I197" i="27" a="1"/>
  <c r="I198" i="27" a="1"/>
  <c r="I199" i="27" a="1"/>
  <c r="I200" i="27" a="1"/>
  <c r="I201" i="27" a="1"/>
  <c r="I202" i="27" a="1"/>
  <c r="I203" i="27" a="1"/>
  <c r="I204" i="27" a="1"/>
  <c r="I205" i="27" a="1"/>
  <c r="I206" i="27" a="1"/>
  <c r="I207" i="27" a="1"/>
  <c r="I208" i="27" a="1"/>
  <c r="I209" i="27" a="1"/>
  <c r="I210" i="27" a="1"/>
  <c r="I211" i="27" a="1"/>
  <c r="I212" i="27" a="1"/>
  <c r="I213" i="27" a="1"/>
  <c r="I214" i="27" a="1"/>
  <c r="I215" i="27" a="1"/>
  <c r="I216" i="27" a="1"/>
  <c r="I217" i="27" a="1"/>
  <c r="I218" i="27" a="1"/>
  <c r="I219" i="27" a="1"/>
  <c r="I220" i="27" a="1"/>
  <c r="I221" i="27" a="1"/>
  <c r="I222" i="27" a="1"/>
  <c r="I223" i="27" a="1"/>
  <c r="I224" i="27" a="1"/>
  <c r="I225" i="27" a="1"/>
  <c r="I226" i="27" a="1"/>
  <c r="I227" i="27" a="1"/>
  <c r="I228" i="27" a="1"/>
  <c r="I229" i="27" a="1"/>
  <c r="I230" i="27" a="1"/>
  <c r="I231" i="27" a="1"/>
  <c r="I232" i="27" a="1"/>
  <c r="I233" i="27" a="1"/>
  <c r="I234" i="27" a="1"/>
  <c r="I235" i="27" a="1"/>
  <c r="I236" i="27" a="1"/>
  <c r="I237" i="27" a="1"/>
  <c r="I238" i="27" a="1"/>
  <c r="I239" i="27" a="1"/>
  <c r="I240" i="27" a="1"/>
  <c r="I241" i="27" a="1"/>
  <c r="I242" i="27" a="1"/>
  <c r="I243" i="27" a="1"/>
  <c r="I244" i="27" a="1"/>
  <c r="I245" i="27" a="1"/>
  <c r="I246" i="27" a="1"/>
  <c r="H67" i="27" a="1"/>
  <c r="H68" i="27" a="1"/>
  <c r="H69" i="27" a="1"/>
  <c r="H70" i="27" a="1"/>
  <c r="H71" i="27" a="1"/>
  <c r="H72" i="27" a="1"/>
  <c r="H73" i="27" a="1"/>
  <c r="H74" i="27" a="1"/>
  <c r="H75" i="27" a="1"/>
  <c r="H76" i="27" a="1"/>
  <c r="H77" i="27" a="1"/>
  <c r="H78" i="27" a="1"/>
  <c r="H79" i="27" a="1"/>
  <c r="H80" i="27" a="1"/>
  <c r="H81" i="27" a="1"/>
  <c r="H82" i="27" a="1"/>
  <c r="H83" i="27" a="1"/>
  <c r="H84" i="27" a="1"/>
  <c r="H85" i="27" a="1"/>
  <c r="H86" i="27" a="1"/>
  <c r="H87" i="27" a="1"/>
  <c r="H88" i="27" a="1"/>
  <c r="H89" i="27" a="1"/>
  <c r="H90" i="27" a="1"/>
  <c r="H91" i="27" a="1"/>
  <c r="H92" i="27" a="1"/>
  <c r="H93" i="27" a="1"/>
  <c r="H94" i="27" a="1"/>
  <c r="H95" i="27" a="1"/>
  <c r="H96" i="27" a="1"/>
  <c r="H97" i="27" a="1"/>
  <c r="H98" i="27" a="1"/>
  <c r="H99" i="27" a="1"/>
  <c r="H100" i="27" a="1"/>
  <c r="H101" i="27" a="1"/>
  <c r="H102" i="27" a="1"/>
  <c r="H103" i="27" a="1"/>
  <c r="H104" i="27" a="1"/>
  <c r="H105" i="27" a="1"/>
  <c r="H106" i="27" a="1"/>
  <c r="H107" i="27" a="1"/>
  <c r="H108" i="27" a="1"/>
  <c r="H109" i="27" a="1"/>
  <c r="H110" i="27" a="1"/>
  <c r="H111" i="27" a="1"/>
  <c r="H112" i="27" a="1"/>
  <c r="H113" i="27" a="1"/>
  <c r="H114" i="27" a="1"/>
  <c r="H115" i="27" a="1"/>
  <c r="H116" i="27" a="1"/>
  <c r="H117" i="27" a="1"/>
  <c r="H118" i="27" a="1"/>
  <c r="H119" i="27" a="1"/>
  <c r="H120" i="27" a="1"/>
  <c r="H121" i="27" a="1"/>
  <c r="H122" i="27" a="1"/>
  <c r="H123" i="27" a="1"/>
  <c r="H124" i="27" a="1"/>
  <c r="H125" i="27" a="1"/>
  <c r="H126" i="27" a="1"/>
  <c r="H127" i="27" a="1"/>
  <c r="H128" i="27" a="1"/>
  <c r="H129" i="27" a="1"/>
  <c r="H130" i="27" a="1"/>
  <c r="H131" i="27" a="1"/>
  <c r="H132" i="27" a="1"/>
  <c r="H133" i="27" a="1"/>
  <c r="H134" i="27" a="1"/>
  <c r="H135" i="27" a="1"/>
  <c r="H136" i="27" a="1"/>
  <c r="H137" i="27" a="1"/>
  <c r="H138" i="27" a="1"/>
  <c r="H139" i="27" a="1"/>
  <c r="H140" i="27" a="1"/>
  <c r="H141" i="27" a="1"/>
  <c r="H142" i="27" a="1"/>
  <c r="H143" i="27" a="1"/>
  <c r="H144" i="27" a="1"/>
  <c r="H145" i="27" a="1"/>
  <c r="H146" i="27" a="1"/>
  <c r="H147" i="27" a="1"/>
  <c r="H148" i="27" a="1"/>
  <c r="H149" i="27" a="1"/>
  <c r="H150" i="27" a="1"/>
  <c r="H151" i="27" a="1"/>
  <c r="H152" i="27" a="1"/>
  <c r="H153" i="27" a="1"/>
  <c r="H154" i="27" a="1"/>
  <c r="H155" i="27" a="1"/>
  <c r="H156" i="27" a="1"/>
  <c r="H157" i="27" a="1"/>
  <c r="H158" i="27" a="1"/>
  <c r="H159" i="27" a="1"/>
  <c r="H160" i="27" a="1"/>
  <c r="H161" i="27" a="1"/>
  <c r="H162" i="27" a="1"/>
  <c r="H163" i="27" a="1"/>
  <c r="H164" i="27" a="1"/>
  <c r="H165" i="27" a="1"/>
  <c r="H166" i="27" a="1"/>
  <c r="H167" i="27" a="1"/>
  <c r="H168" i="27" a="1"/>
  <c r="H169" i="27" a="1"/>
  <c r="H170" i="27" a="1"/>
  <c r="H171" i="27" a="1"/>
  <c r="H172" i="27" a="1"/>
  <c r="H173" i="27" a="1"/>
  <c r="H174" i="27" a="1"/>
  <c r="H175" i="27" a="1"/>
  <c r="H176" i="27" a="1"/>
  <c r="H177" i="27" a="1"/>
  <c r="H178" i="27" a="1"/>
  <c r="H179" i="27" a="1"/>
  <c r="H180" i="27" a="1"/>
  <c r="H181" i="27" a="1"/>
  <c r="H182" i="27" a="1"/>
  <c r="H183" i="27" a="1"/>
  <c r="H184" i="27" a="1"/>
  <c r="H185" i="27" a="1"/>
  <c r="H186" i="27" a="1"/>
  <c r="H187" i="27" a="1"/>
  <c r="H188" i="27" a="1"/>
  <c r="H189" i="27" a="1"/>
  <c r="H190" i="27" a="1"/>
  <c r="H191" i="27" a="1"/>
  <c r="H192" i="27" a="1"/>
  <c r="H193" i="27" a="1"/>
  <c r="H194" i="27" a="1"/>
  <c r="H195" i="27" a="1"/>
  <c r="H196" i="27" a="1"/>
  <c r="H197" i="27" a="1"/>
  <c r="H198" i="27" a="1"/>
  <c r="H199" i="27" a="1"/>
  <c r="H200" i="27" a="1"/>
  <c r="H201" i="27" a="1"/>
  <c r="H202" i="27" a="1"/>
  <c r="H203" i="27" a="1"/>
  <c r="H204" i="27" a="1"/>
  <c r="H205" i="27" a="1"/>
  <c r="H206" i="27" a="1"/>
  <c r="H207" i="27" a="1"/>
  <c r="H208" i="27" a="1"/>
  <c r="H209" i="27" a="1"/>
  <c r="H210" i="27" a="1"/>
  <c r="H211" i="27" a="1"/>
  <c r="H212" i="27" a="1"/>
  <c r="H213" i="27" a="1"/>
  <c r="H214" i="27" a="1"/>
  <c r="H215" i="27" a="1"/>
  <c r="H216" i="27" a="1"/>
  <c r="H217" i="27" a="1"/>
  <c r="H218" i="27" a="1"/>
  <c r="H219" i="27" a="1"/>
  <c r="H220" i="27" a="1"/>
  <c r="H221" i="27" a="1"/>
  <c r="H222" i="27" a="1"/>
  <c r="H223" i="27" a="1"/>
  <c r="H224" i="27" a="1"/>
  <c r="H225" i="27" a="1"/>
  <c r="H226" i="27" a="1"/>
  <c r="H227" i="27" a="1"/>
  <c r="H228" i="27" a="1"/>
  <c r="H229" i="27" a="1"/>
  <c r="H230" i="27" a="1"/>
  <c r="H231" i="27" a="1"/>
  <c r="H232" i="27" a="1"/>
  <c r="H233" i="27" a="1"/>
  <c r="H234" i="27" a="1"/>
  <c r="H235" i="27" a="1"/>
  <c r="H236" i="27" a="1"/>
  <c r="H237" i="27" a="1"/>
  <c r="H238" i="27" a="1"/>
  <c r="H239" i="27" a="1"/>
  <c r="H240" i="27" a="1"/>
  <c r="H241" i="27" a="1"/>
  <c r="H242" i="27" a="1"/>
  <c r="H243" i="27" a="1"/>
  <c r="H244" i="27" a="1"/>
  <c r="H245" i="27" a="1"/>
  <c r="H246" i="27" a="1"/>
  <c r="G67" i="27" a="1"/>
  <c r="G68" i="27" a="1"/>
  <c r="G69" i="27" a="1"/>
  <c r="G70" i="27" a="1"/>
  <c r="G71" i="27" a="1"/>
  <c r="G72" i="27" a="1"/>
  <c r="G73" i="27" a="1"/>
  <c r="G74" i="27" a="1"/>
  <c r="G75" i="27" a="1"/>
  <c r="G76" i="27" a="1"/>
  <c r="G77" i="27" a="1"/>
  <c r="G78" i="27" a="1"/>
  <c r="G79" i="27" a="1"/>
  <c r="G80" i="27" a="1"/>
  <c r="G81" i="27" a="1"/>
  <c r="G82" i="27" a="1"/>
  <c r="G83" i="27" a="1"/>
  <c r="G84" i="27" a="1"/>
  <c r="G85" i="27" a="1"/>
  <c r="G86" i="27" a="1"/>
  <c r="G87" i="27" a="1"/>
  <c r="G88" i="27" a="1"/>
  <c r="G89" i="27" a="1"/>
  <c r="G90" i="27" a="1"/>
  <c r="G91" i="27" a="1"/>
  <c r="G92" i="27" a="1"/>
  <c r="G93" i="27" a="1"/>
  <c r="G94" i="27" a="1"/>
  <c r="G95" i="27" a="1"/>
  <c r="G96" i="27" a="1"/>
  <c r="G97" i="27" a="1"/>
  <c r="G98" i="27" a="1"/>
  <c r="G99" i="27" a="1"/>
  <c r="G100" i="27" a="1"/>
  <c r="G101" i="27" a="1"/>
  <c r="G102" i="27" a="1"/>
  <c r="G103" i="27" a="1"/>
  <c r="G104" i="27" a="1"/>
  <c r="G105" i="27" a="1"/>
  <c r="G106" i="27" a="1"/>
  <c r="G107" i="27" a="1"/>
  <c r="G108" i="27" a="1"/>
  <c r="G109" i="27" a="1"/>
  <c r="G110" i="27" a="1"/>
  <c r="G111" i="27" a="1"/>
  <c r="G112" i="27" a="1"/>
  <c r="G113" i="27" a="1"/>
  <c r="G114" i="27" a="1"/>
  <c r="G115" i="27" a="1"/>
  <c r="G116" i="27" a="1"/>
  <c r="G117" i="27" a="1"/>
  <c r="G118" i="27" a="1"/>
  <c r="G119" i="27" a="1"/>
  <c r="G120" i="27" a="1"/>
  <c r="G121" i="27" a="1"/>
  <c r="G122" i="27" a="1"/>
  <c r="G123" i="27" a="1"/>
  <c r="D159" i="27" a="1"/>
  <c r="D165" i="27" a="1"/>
  <c r="D168" i="27" a="1"/>
  <c r="D171" i="27" a="1"/>
  <c r="D174" i="27" a="1"/>
  <c r="D176" i="27" a="1"/>
  <c r="D179" i="27" a="1"/>
  <c r="D183" i="27" a="1"/>
  <c r="D186" i="27" a="1"/>
  <c r="D189" i="27" a="1"/>
  <c r="D193" i="27" a="1"/>
  <c r="D196" i="27" a="1"/>
  <c r="D199" i="27" a="1"/>
  <c r="D202" i="27" a="1"/>
  <c r="D205" i="27" a="1"/>
  <c r="D208" i="27" a="1"/>
  <c r="D214" i="27" a="1"/>
  <c r="D217" i="27" a="1"/>
  <c r="D221" i="27" a="1"/>
  <c r="D226" i="27" a="1"/>
  <c r="D230" i="27" a="1"/>
  <c r="D233" i="27" a="1"/>
  <c r="D236" i="27" a="1"/>
  <c r="D239" i="27" a="1"/>
  <c r="D242" i="27" a="1"/>
  <c r="D243" i="27" a="1"/>
  <c r="C67" i="27" a="1"/>
  <c r="C70" i="27" a="1"/>
  <c r="C74" i="27" a="1"/>
  <c r="C76" i="27" a="1"/>
  <c r="C80" i="27" a="1"/>
  <c r="C83" i="27" a="1"/>
  <c r="C86" i="27" a="1"/>
  <c r="C90" i="27" a="1"/>
  <c r="C93" i="27" a="1"/>
  <c r="C96" i="27" a="1"/>
  <c r="C138" i="27" a="1"/>
  <c r="C141" i="27" a="1"/>
  <c r="C144" i="27" a="1"/>
  <c r="C148" i="27" a="1"/>
  <c r="C217" i="27" a="1"/>
  <c r="C220" i="27" a="1"/>
  <c r="C224" i="27" a="1"/>
  <c r="C226" i="27" a="1"/>
  <c r="C230" i="27" a="1"/>
  <c r="C234" i="27" a="1"/>
  <c r="C236" i="27" a="1"/>
  <c r="C238" i="27" a="1"/>
  <c r="C241" i="27" a="1"/>
  <c r="C244" i="27" a="1"/>
  <c r="C246" i="27" a="1"/>
  <c r="I66" i="27" a="1"/>
  <c r="H66" i="27" a="1"/>
  <c r="F66" i="27" a="1"/>
  <c r="D66" i="27" a="1"/>
  <c r="C66" i="27" a="1"/>
  <c r="G124" i="27" a="1"/>
  <c r="G125" i="27" a="1"/>
  <c r="G126" i="27" a="1"/>
  <c r="G127" i="27" a="1"/>
  <c r="G128" i="27" a="1"/>
  <c r="G129" i="27" a="1"/>
  <c r="G130" i="27" a="1"/>
  <c r="G131" i="27" a="1"/>
  <c r="G132" i="27" a="1"/>
  <c r="G133" i="27" a="1"/>
  <c r="G134" i="27" a="1"/>
  <c r="G135" i="27" a="1"/>
  <c r="G136" i="27" a="1"/>
  <c r="G137" i="27" a="1"/>
  <c r="G138" i="27" a="1"/>
  <c r="G139" i="27" a="1"/>
  <c r="G140" i="27" a="1"/>
  <c r="G141" i="27" a="1"/>
  <c r="G142" i="27" a="1"/>
  <c r="G143" i="27" a="1"/>
  <c r="G144" i="27" a="1"/>
  <c r="G145" i="27" a="1"/>
  <c r="G146" i="27" a="1"/>
  <c r="G147" i="27" a="1"/>
  <c r="G148" i="27" a="1"/>
  <c r="G149" i="27" a="1"/>
  <c r="G150" i="27" a="1"/>
  <c r="G151" i="27" a="1"/>
  <c r="G152" i="27" a="1"/>
  <c r="G153" i="27" a="1"/>
  <c r="G154" i="27" a="1"/>
  <c r="G155" i="27" a="1"/>
  <c r="G156" i="27" a="1"/>
  <c r="G157" i="27" a="1"/>
  <c r="G158" i="27" a="1"/>
  <c r="G159" i="27" a="1"/>
  <c r="G160" i="27" a="1"/>
  <c r="G161" i="27" a="1"/>
  <c r="G162" i="27" a="1"/>
  <c r="G163" i="27" a="1"/>
  <c r="G164" i="27" a="1"/>
  <c r="G165" i="27" a="1"/>
  <c r="G166" i="27" a="1"/>
  <c r="G167" i="27" a="1"/>
  <c r="G168" i="27" a="1"/>
  <c r="G169" i="27" a="1"/>
  <c r="G170" i="27" a="1"/>
  <c r="G171" i="27" a="1"/>
  <c r="G172" i="27" a="1"/>
  <c r="G173" i="27" a="1"/>
  <c r="G174" i="27" a="1"/>
  <c r="G175" i="27" a="1"/>
  <c r="G176" i="27" a="1"/>
  <c r="G177" i="27" a="1"/>
  <c r="G178" i="27" a="1"/>
  <c r="G179" i="27" a="1"/>
  <c r="G180" i="27" a="1"/>
  <c r="G181" i="27" a="1"/>
  <c r="G182" i="27" a="1"/>
  <c r="G183" i="27" a="1"/>
  <c r="G184" i="27" a="1"/>
  <c r="G185" i="27" a="1"/>
  <c r="G186" i="27" a="1"/>
  <c r="G187" i="27" a="1"/>
  <c r="G188" i="27" a="1"/>
  <c r="G189" i="27" a="1"/>
  <c r="G190" i="27" a="1"/>
  <c r="G191" i="27" a="1"/>
  <c r="G192" i="27" a="1"/>
  <c r="G193" i="27" a="1"/>
  <c r="G194" i="27" a="1"/>
  <c r="G195" i="27" a="1"/>
  <c r="G196" i="27" a="1"/>
  <c r="G197" i="27" a="1"/>
  <c r="G198" i="27" a="1"/>
  <c r="G199" i="27" a="1"/>
  <c r="G200" i="27" a="1"/>
  <c r="G201" i="27" a="1"/>
  <c r="G202" i="27" a="1"/>
  <c r="G203" i="27" a="1"/>
  <c r="G204" i="27" a="1"/>
  <c r="G205" i="27" a="1"/>
  <c r="G206" i="27" a="1"/>
  <c r="G207" i="27" a="1"/>
  <c r="G208" i="27" a="1"/>
  <c r="G209" i="27" a="1"/>
  <c r="G210" i="27" a="1"/>
  <c r="G211" i="27" a="1"/>
  <c r="G212" i="27" a="1"/>
  <c r="G213" i="27" a="1"/>
  <c r="G214" i="27" a="1"/>
  <c r="G215" i="27" a="1"/>
  <c r="G216" i="27" a="1"/>
  <c r="G217" i="27" a="1"/>
  <c r="G218" i="27" a="1"/>
  <c r="G219" i="27" a="1"/>
  <c r="G220" i="27" a="1"/>
  <c r="G221" i="27" a="1"/>
  <c r="G222" i="27" a="1"/>
  <c r="G223" i="27" a="1"/>
  <c r="G224" i="27" a="1"/>
  <c r="G225" i="27" a="1"/>
  <c r="G226" i="27" a="1"/>
  <c r="G227" i="27" a="1"/>
  <c r="G228" i="27" a="1"/>
  <c r="G229" i="27" a="1"/>
  <c r="G230" i="27" a="1"/>
  <c r="G231" i="27" a="1"/>
  <c r="G232" i="27" a="1"/>
  <c r="G233" i="27" a="1"/>
  <c r="G234" i="27" a="1"/>
  <c r="G235" i="27" a="1"/>
  <c r="G236" i="27" a="1"/>
  <c r="G237" i="27" a="1"/>
  <c r="G238" i="27" a="1"/>
  <c r="G239" i="27" a="1"/>
  <c r="G240" i="27" a="1"/>
  <c r="G241" i="27" a="1"/>
  <c r="G242" i="27" a="1"/>
  <c r="G243" i="27" a="1"/>
  <c r="G244" i="27" a="1"/>
  <c r="G245" i="27" a="1"/>
  <c r="G246" i="27" a="1"/>
  <c r="F67" i="27" a="1"/>
  <c r="F68" i="27" a="1"/>
  <c r="F69" i="27" a="1"/>
  <c r="F70" i="27" a="1"/>
  <c r="F71" i="27" a="1"/>
  <c r="F72" i="27" a="1"/>
  <c r="F73" i="27" a="1"/>
  <c r="F74" i="27" a="1"/>
  <c r="F75" i="27" a="1"/>
  <c r="F76" i="27" a="1"/>
  <c r="F77" i="27" a="1"/>
  <c r="F78" i="27" a="1"/>
  <c r="F79" i="27" a="1"/>
  <c r="F80" i="27" a="1"/>
  <c r="F81" i="27" a="1"/>
  <c r="F82" i="27" a="1"/>
  <c r="F83" i="27" a="1"/>
  <c r="F84" i="27" a="1"/>
  <c r="F85" i="27" a="1"/>
  <c r="F86" i="27" a="1"/>
  <c r="F87" i="27" a="1"/>
  <c r="F88" i="27" a="1"/>
  <c r="F89" i="27" a="1"/>
  <c r="F90" i="27" a="1"/>
  <c r="F91" i="27" a="1"/>
  <c r="F92" i="27" a="1"/>
  <c r="F93" i="27" a="1"/>
  <c r="F94" i="27" a="1"/>
  <c r="F95" i="27" a="1"/>
  <c r="F96" i="27" a="1"/>
  <c r="F97" i="27" a="1"/>
  <c r="F98" i="27" a="1"/>
  <c r="F99" i="27" a="1"/>
  <c r="F100" i="27" a="1"/>
  <c r="F101" i="27" a="1"/>
  <c r="F102" i="27" a="1"/>
  <c r="F103" i="27" a="1"/>
  <c r="F104" i="27" a="1"/>
  <c r="F105" i="27" a="1"/>
  <c r="F106" i="27" a="1"/>
  <c r="F107" i="27" a="1"/>
  <c r="F108" i="27" a="1"/>
  <c r="F109" i="27" a="1"/>
  <c r="F110" i="27" a="1"/>
  <c r="F111" i="27" a="1"/>
  <c r="F112" i="27" a="1"/>
  <c r="F113" i="27" a="1"/>
  <c r="F114" i="27" a="1"/>
  <c r="F115" i="27" a="1"/>
  <c r="F116" i="27" a="1"/>
  <c r="F117" i="27" a="1"/>
  <c r="F118" i="27" a="1"/>
  <c r="F119" i="27" a="1"/>
  <c r="F120" i="27" a="1"/>
  <c r="F121" i="27" a="1"/>
  <c r="F122" i="27" a="1"/>
  <c r="F123" i="27" a="1"/>
  <c r="F124" i="27" a="1"/>
  <c r="F125" i="27" a="1"/>
  <c r="F126" i="27" a="1"/>
  <c r="F127" i="27" a="1"/>
  <c r="F128" i="27" a="1"/>
  <c r="F129" i="27" a="1"/>
  <c r="F130" i="27" a="1"/>
  <c r="F131" i="27" a="1"/>
  <c r="F132" i="27" a="1"/>
  <c r="F133" i="27" a="1"/>
  <c r="F134" i="27" a="1"/>
  <c r="F135" i="27" a="1"/>
  <c r="F136" i="27" a="1"/>
  <c r="F137" i="27" a="1"/>
  <c r="F138" i="27" a="1"/>
  <c r="F139" i="27" a="1"/>
  <c r="F140" i="27" a="1"/>
  <c r="F141" i="27" a="1"/>
  <c r="F142" i="27" a="1"/>
  <c r="F143" i="27" a="1"/>
  <c r="F144" i="27" a="1"/>
  <c r="F145" i="27" a="1"/>
  <c r="F146" i="27" a="1"/>
  <c r="F147" i="27" a="1"/>
  <c r="F148" i="27" a="1"/>
  <c r="F149" i="27" a="1"/>
  <c r="F150" i="27" a="1"/>
  <c r="F151" i="27" a="1"/>
  <c r="F152" i="27" a="1"/>
  <c r="F153" i="27" a="1"/>
  <c r="F154" i="27" a="1"/>
  <c r="F155" i="27" a="1"/>
  <c r="F156" i="27" a="1"/>
  <c r="F157" i="27" a="1"/>
  <c r="F158" i="27" a="1"/>
  <c r="F159" i="27" a="1"/>
  <c r="F160" i="27" a="1"/>
  <c r="F161" i="27" a="1"/>
  <c r="F162" i="27" a="1"/>
  <c r="F163" i="27" a="1"/>
  <c r="F164" i="27" a="1"/>
  <c r="F165" i="27" a="1"/>
  <c r="F166" i="27" a="1"/>
  <c r="F167" i="27" a="1"/>
  <c r="F168" i="27" a="1"/>
  <c r="F169" i="27" a="1"/>
  <c r="F170" i="27" a="1"/>
  <c r="F171" i="27" a="1"/>
  <c r="F172" i="27" a="1"/>
  <c r="F173" i="27" a="1"/>
  <c r="F174" i="27" a="1"/>
  <c r="F175" i="27" a="1"/>
  <c r="F176" i="27" a="1"/>
  <c r="F177" i="27" a="1"/>
  <c r="F178" i="27" a="1"/>
  <c r="F179" i="27" a="1"/>
  <c r="F180" i="27" a="1"/>
  <c r="F181" i="27" a="1"/>
  <c r="F182" i="27" a="1"/>
  <c r="F183" i="27" a="1"/>
  <c r="F184" i="27" a="1"/>
  <c r="F185" i="27" a="1"/>
  <c r="F186" i="27" a="1"/>
  <c r="F187" i="27" a="1"/>
  <c r="F188" i="27" a="1"/>
  <c r="F189" i="27" a="1"/>
  <c r="F190" i="27" a="1"/>
  <c r="F191" i="27" a="1"/>
  <c r="F192" i="27" a="1"/>
  <c r="F193" i="27" a="1"/>
  <c r="F194" i="27" a="1"/>
  <c r="F195" i="27" a="1"/>
  <c r="F196" i="27" a="1"/>
  <c r="F197" i="27" a="1"/>
  <c r="F198" i="27" a="1"/>
  <c r="F199" i="27" a="1"/>
  <c r="F200" i="27" a="1"/>
  <c r="F201" i="27" a="1"/>
  <c r="F202" i="27" a="1"/>
  <c r="F203" i="27" a="1"/>
  <c r="F204" i="27" a="1"/>
  <c r="F205" i="27" a="1"/>
  <c r="F206" i="27" a="1"/>
  <c r="F207" i="27" a="1"/>
  <c r="F208" i="27" a="1"/>
  <c r="F209" i="27" a="1"/>
  <c r="F210" i="27" a="1"/>
  <c r="F211" i="27" a="1"/>
  <c r="F212" i="27" a="1"/>
  <c r="F213" i="27" a="1"/>
  <c r="F214" i="27" a="1"/>
  <c r="F215" i="27" a="1"/>
  <c r="F216" i="27" a="1"/>
  <c r="F217" i="27" a="1"/>
  <c r="F218" i="27" a="1"/>
  <c r="F219" i="27" a="1"/>
  <c r="F220" i="27" a="1"/>
  <c r="F221" i="27" a="1"/>
  <c r="F222" i="27" a="1"/>
  <c r="F223" i="27" a="1"/>
  <c r="F224" i="27" a="1"/>
  <c r="F225" i="27" a="1"/>
  <c r="F226" i="27" a="1"/>
  <c r="F227" i="27" a="1"/>
  <c r="F228" i="27" a="1"/>
  <c r="F229" i="27" a="1"/>
  <c r="F230" i="27" a="1"/>
  <c r="F231" i="27" a="1"/>
  <c r="F232" i="27" a="1"/>
  <c r="F233" i="27" a="1"/>
  <c r="F234" i="27" a="1"/>
  <c r="F235" i="27" a="1"/>
  <c r="F236" i="27" a="1"/>
  <c r="F237" i="27" a="1"/>
  <c r="F238" i="27" a="1"/>
  <c r="F239" i="27" a="1"/>
  <c r="F240" i="27" a="1"/>
  <c r="F241" i="27" a="1"/>
  <c r="F242" i="27" a="1"/>
  <c r="F243" i="27" a="1"/>
  <c r="F244" i="27" a="1"/>
  <c r="F245" i="27" a="1"/>
  <c r="D68" i="27" a="1"/>
  <c r="D70" i="27" a="1"/>
  <c r="D72" i="27" a="1"/>
  <c r="D73" i="27" a="1"/>
  <c r="D74" i="27" a="1"/>
  <c r="D75" i="27" a="1"/>
  <c r="D76" i="27" a="1"/>
  <c r="D77" i="27" a="1"/>
  <c r="D78" i="27" a="1"/>
  <c r="D79" i="27" a="1"/>
  <c r="D80" i="27" a="1"/>
  <c r="D81" i="27" a="1"/>
  <c r="D82" i="27" a="1"/>
  <c r="D83" i="27" a="1"/>
  <c r="D84" i="27" a="1"/>
  <c r="D85" i="27" a="1"/>
  <c r="D86" i="27" a="1"/>
  <c r="D87" i="27" a="1"/>
  <c r="D88" i="27" a="1"/>
  <c r="D89" i="27" a="1"/>
  <c r="D90" i="27" a="1"/>
  <c r="D91" i="27" a="1"/>
  <c r="D92" i="27" a="1"/>
  <c r="D93" i="27" a="1"/>
  <c r="D94" i="27" a="1"/>
  <c r="D95" i="27" a="1"/>
  <c r="D96" i="27" a="1"/>
  <c r="D97" i="27" a="1"/>
  <c r="D98" i="27" a="1"/>
  <c r="D99" i="27" a="1"/>
  <c r="D100" i="27" a="1"/>
  <c r="D101" i="27" a="1"/>
  <c r="D102" i="27" a="1"/>
  <c r="D103" i="27" a="1"/>
  <c r="D104" i="27" a="1"/>
  <c r="D105" i="27" a="1"/>
  <c r="D106" i="27" a="1"/>
  <c r="D107" i="27" a="1"/>
  <c r="D108" i="27" a="1"/>
  <c r="D126" i="27" a="1"/>
  <c r="D128" i="27" a="1"/>
  <c r="D130" i="27" a="1"/>
  <c r="D131" i="27" a="1"/>
  <c r="D133" i="27" a="1"/>
  <c r="D135" i="27" a="1"/>
  <c r="D137" i="27" a="1"/>
  <c r="D138" i="27" a="1"/>
  <c r="D140" i="27" a="1"/>
  <c r="D141" i="27" a="1"/>
  <c r="D143" i="27" a="1"/>
  <c r="D145" i="27" a="1"/>
  <c r="D147" i="27" a="1"/>
  <c r="D148" i="27" a="1"/>
  <c r="D150" i="27" a="1"/>
  <c r="D151" i="27" a="1"/>
  <c r="D153" i="27" a="1"/>
  <c r="D155" i="27" a="1"/>
  <c r="D156" i="27" a="1"/>
  <c r="D158" i="27" a="1"/>
  <c r="D161" i="27" a="1"/>
  <c r="D162" i="27" a="1"/>
  <c r="D164" i="27" a="1"/>
  <c r="D166" i="27" a="1"/>
  <c r="D169" i="27" a="1"/>
  <c r="D170" i="27" a="1"/>
  <c r="D173" i="27" a="1"/>
  <c r="D175" i="27" a="1"/>
  <c r="D178" i="27" a="1"/>
  <c r="D180" i="27" a="1"/>
  <c r="D182" i="27" a="1"/>
  <c r="D185" i="27" a="1"/>
  <c r="D187" i="27" a="1"/>
  <c r="D190" i="27" a="1"/>
  <c r="D192" i="27" a="1"/>
  <c r="D194" i="27" a="1"/>
  <c r="D197" i="27" a="1"/>
  <c r="D198" i="27" a="1"/>
  <c r="D201" i="27" a="1"/>
  <c r="D204" i="27" a="1"/>
  <c r="D206" i="27" a="1"/>
  <c r="D209" i="27" a="1"/>
  <c r="D211" i="27" a="1"/>
  <c r="D212" i="27" a="1"/>
  <c r="D215" i="27" a="1"/>
  <c r="D218" i="27" a="1"/>
  <c r="D220" i="27" a="1"/>
  <c r="D222" i="27" a="1"/>
  <c r="D224" i="27" a="1"/>
  <c r="D225" i="27" a="1"/>
  <c r="D228" i="27" a="1"/>
  <c r="D229" i="27" a="1"/>
  <c r="D232" i="27" a="1"/>
  <c r="D234" i="27" a="1"/>
  <c r="D237" i="27" a="1"/>
  <c r="D238" i="27" a="1"/>
  <c r="D241" i="27" a="1"/>
  <c r="D244" i="27" a="1"/>
  <c r="D246" i="27" a="1"/>
  <c r="C68" i="27" a="1"/>
  <c r="C71" i="27" a="1"/>
  <c r="C72" i="27" a="1"/>
  <c r="C75" i="27" a="1"/>
  <c r="C77" i="27" a="1"/>
  <c r="C79" i="27" a="1"/>
  <c r="C81" i="27" a="1"/>
  <c r="C84" i="27" a="1"/>
  <c r="C87" i="27" a="1"/>
  <c r="C88" i="27" a="1"/>
  <c r="C91" i="27" a="1"/>
  <c r="C92" i="27" a="1"/>
  <c r="C95" i="27" a="1"/>
  <c r="C97" i="27" a="1"/>
  <c r="C137" i="27" a="1"/>
  <c r="C139" i="27" a="1"/>
  <c r="C142" i="27" a="1"/>
  <c r="C143" i="27" a="1"/>
  <c r="C146" i="27" a="1"/>
  <c r="C147" i="27" a="1"/>
  <c r="C150" i="27" a="1"/>
  <c r="C151" i="27" a="1"/>
  <c r="C153" i="27" a="1"/>
  <c r="C154" i="27" a="1"/>
  <c r="C156" i="27" a="1"/>
  <c r="C157" i="27" a="1"/>
  <c r="C160" i="27" a="1"/>
  <c r="C161" i="27" a="1"/>
  <c r="C163" i="27" a="1"/>
  <c r="C164" i="27" a="1"/>
  <c r="C166" i="27" a="1"/>
  <c r="C167" i="27" a="1"/>
  <c r="C169" i="27" a="1"/>
  <c r="C171" i="27" a="1"/>
  <c r="C172" i="27" a="1"/>
  <c r="C174" i="27" a="1"/>
  <c r="C176" i="27" a="1"/>
  <c r="C177" i="27" a="1"/>
  <c r="C179" i="27" a="1"/>
  <c r="C180" i="27" a="1"/>
  <c r="C182" i="27" a="1"/>
  <c r="C183" i="27" a="1"/>
  <c r="C185" i="27" a="1"/>
  <c r="C186" i="27" a="1"/>
  <c r="C188" i="27" a="1"/>
  <c r="C189" i="27" a="1"/>
  <c r="C191" i="27" a="1"/>
  <c r="C193" i="27" a="1"/>
  <c r="C194" i="27" a="1"/>
  <c r="C196" i="27" a="1"/>
  <c r="C197" i="27" a="1"/>
  <c r="C199" i="27" a="1"/>
  <c r="C200" i="27" a="1"/>
  <c r="C202" i="27" a="1"/>
  <c r="C203" i="27" a="1"/>
  <c r="C205" i="27" a="1"/>
  <c r="C206" i="27" a="1"/>
  <c r="C208" i="27" a="1"/>
  <c r="C209" i="27" a="1"/>
  <c r="C211" i="27" a="1"/>
  <c r="C212" i="27" a="1"/>
  <c r="C214" i="27" a="1"/>
  <c r="C215" i="27" a="1"/>
  <c r="C218" i="27" a="1"/>
  <c r="C221" i="27" a="1"/>
  <c r="C222" i="27" a="1"/>
  <c r="C225" i="27" a="1"/>
  <c r="C227" i="27" a="1"/>
  <c r="C229" i="27" a="1"/>
  <c r="C231" i="27" a="1"/>
  <c r="C233" i="27" a="1"/>
  <c r="C240" i="27" a="1"/>
  <c r="C243" i="27" a="1"/>
  <c r="C245" i="27" a="1"/>
  <c r="F246" i="27" a="1"/>
  <c r="D67" i="27" a="1"/>
  <c r="D69" i="27" a="1"/>
  <c r="D71" i="27" a="1"/>
  <c r="D109" i="27" a="1"/>
  <c r="D110" i="27" a="1"/>
  <c r="D111" i="27" a="1"/>
  <c r="D112" i="27" a="1"/>
  <c r="D113" i="27" a="1"/>
  <c r="D114" i="27" a="1"/>
  <c r="D115" i="27" a="1"/>
  <c r="D116" i="27" a="1"/>
  <c r="D117" i="27" a="1"/>
  <c r="D118" i="27" a="1"/>
  <c r="D119" i="27" a="1"/>
  <c r="D120" i="27" a="1"/>
  <c r="D121" i="27" a="1"/>
  <c r="D122" i="27" a="1"/>
  <c r="D123" i="27" a="1"/>
  <c r="D124" i="27" a="1"/>
  <c r="D125" i="27" a="1"/>
  <c r="D127" i="27" a="1"/>
  <c r="D129" i="27" a="1"/>
  <c r="D132" i="27" a="1"/>
  <c r="D134" i="27" a="1"/>
  <c r="D136" i="27" a="1"/>
  <c r="D139" i="27" a="1"/>
  <c r="D142" i="27" a="1"/>
  <c r="D144" i="27" a="1"/>
  <c r="D146" i="27" a="1"/>
  <c r="D149" i="27" a="1"/>
  <c r="D152" i="27" a="1"/>
  <c r="D154" i="27" a="1"/>
  <c r="D157" i="27" a="1"/>
  <c r="D160" i="27" a="1"/>
  <c r="D163" i="27" a="1"/>
  <c r="D167" i="27" a="1"/>
  <c r="D172" i="27" a="1"/>
  <c r="D177" i="27" a="1"/>
  <c r="D181" i="27" a="1"/>
  <c r="D184" i="27" a="1"/>
  <c r="D188" i="27" a="1"/>
  <c r="D191" i="27" a="1"/>
  <c r="D195" i="27" a="1"/>
  <c r="D200" i="27" a="1"/>
  <c r="D203" i="27" a="1"/>
  <c r="D207" i="27" a="1"/>
  <c r="D210" i="27" a="1"/>
  <c r="D213" i="27" a="1"/>
  <c r="D216" i="27" a="1"/>
  <c r="D219" i="27" a="1"/>
  <c r="D223" i="27" a="1"/>
  <c r="D227" i="27" a="1"/>
  <c r="D231" i="27" a="1"/>
  <c r="D235" i="27" a="1"/>
  <c r="D240" i="27" a="1"/>
  <c r="D245" i="27" a="1"/>
  <c r="C69" i="27" a="1"/>
  <c r="C73" i="27" a="1"/>
  <c r="C78" i="27" a="1"/>
  <c r="C82" i="27" a="1"/>
  <c r="C85" i="27" a="1"/>
  <c r="C89" i="27" a="1"/>
  <c r="C94" i="27" a="1"/>
  <c r="C136" i="27" a="1"/>
  <c r="C140" i="27" a="1"/>
  <c r="C145" i="27" a="1"/>
  <c r="C149" i="27" a="1"/>
  <c r="C152" i="27" a="1"/>
  <c r="C155" i="27" a="1"/>
  <c r="C158" i="27" a="1"/>
  <c r="C159" i="27" a="1"/>
  <c r="C162" i="27" a="1"/>
  <c r="C165" i="27" a="1"/>
  <c r="C168" i="27" a="1"/>
  <c r="C170" i="27" a="1"/>
  <c r="C173" i="27" a="1"/>
  <c r="C175" i="27" a="1"/>
  <c r="C178" i="27" a="1"/>
  <c r="C181" i="27" a="1"/>
  <c r="C184" i="27" a="1"/>
  <c r="C187" i="27" a="1"/>
  <c r="C190" i="27" a="1"/>
  <c r="C192" i="27" a="1"/>
  <c r="C195" i="27" a="1"/>
  <c r="C198" i="27" a="1"/>
  <c r="C201" i="27" a="1"/>
  <c r="C204" i="27" a="1"/>
  <c r="C207" i="27" a="1"/>
  <c r="C210" i="27" a="1"/>
  <c r="C213" i="27" a="1"/>
  <c r="C216" i="27" a="1"/>
  <c r="C219" i="27" a="1"/>
  <c r="C223" i="27" a="1"/>
  <c r="C228" i="27" a="1"/>
  <c r="C232" i="27" a="1"/>
  <c r="C235" i="27" a="1"/>
  <c r="C237" i="27" a="1"/>
  <c r="C239" i="27" a="1"/>
  <c r="C242" i="27" a="1"/>
  <c r="G66" i="27" a="1"/>
  <c r="C98" i="27" a="1"/>
  <c r="C99" i="27" a="1"/>
  <c r="C100" i="27" a="1"/>
  <c r="C101" i="27" a="1"/>
  <c r="C102" i="27" a="1"/>
  <c r="C103" i="27" a="1"/>
  <c r="C104" i="27" a="1"/>
  <c r="C105" i="27" a="1"/>
  <c r="C106" i="27" a="1"/>
  <c r="C107" i="27" a="1"/>
  <c r="C108" i="27" a="1"/>
  <c r="C109" i="27" a="1"/>
  <c r="C110" i="27" a="1"/>
  <c r="C111" i="27" a="1"/>
  <c r="C112" i="27" a="1"/>
  <c r="C113" i="27" a="1"/>
  <c r="C114" i="27" a="1"/>
  <c r="C115" i="27" a="1"/>
  <c r="C116" i="27" a="1"/>
  <c r="C117" i="27" a="1"/>
  <c r="C118" i="27" a="1"/>
  <c r="C119" i="27" a="1"/>
  <c r="C120" i="27" a="1"/>
  <c r="C121" i="27" a="1"/>
  <c r="C122" i="27" a="1"/>
  <c r="C123" i="27" a="1"/>
  <c r="C124" i="27" a="1"/>
  <c r="C125" i="27" a="1"/>
  <c r="C126" i="27" a="1"/>
  <c r="C127" i="27" a="1"/>
  <c r="C128" i="27" a="1"/>
  <c r="C129" i="27" a="1"/>
  <c r="C130" i="27" a="1"/>
  <c r="C131" i="27" a="1"/>
  <c r="C132" i="27" a="1"/>
  <c r="C133" i="27" a="1"/>
  <c r="C134" i="27" a="1"/>
  <c r="C135" i="27" a="1"/>
  <c r="C15" i="51"/>
  <c r="C102" i="51"/>
  <c r="C14" i="51"/>
  <c r="B10" i="51"/>
  <c r="B16" i="51"/>
  <c r="G22" i="27"/>
  <c r="D22" i="27"/>
  <c r="F6" i="38" s="1"/>
  <c r="D17" i="38"/>
  <c r="D16" i="38"/>
  <c r="D21" i="38"/>
  <c r="D9" i="56"/>
  <c r="F9" i="56" s="1"/>
  <c r="D7" i="56"/>
  <c r="M7" i="34"/>
  <c r="P7" i="34" s="1"/>
  <c r="N7" i="34"/>
  <c r="M8" i="34"/>
  <c r="P8" i="34" s="1"/>
  <c r="N8" i="34"/>
  <c r="M9" i="34"/>
  <c r="P9" i="34" s="1"/>
  <c r="N9" i="34"/>
  <c r="M25" i="34"/>
  <c r="P25" i="34" s="1"/>
  <c r="N25" i="34"/>
  <c r="M29" i="34"/>
  <c r="P29" i="34" s="1"/>
  <c r="O29" i="34"/>
  <c r="N29" i="34"/>
  <c r="M30" i="34"/>
  <c r="N30" i="34"/>
  <c r="O30" i="34"/>
  <c r="P30" i="34"/>
  <c r="M32" i="34"/>
  <c r="P32" i="34" s="1"/>
  <c r="N32" i="34"/>
  <c r="O32" i="34"/>
  <c r="M33" i="34"/>
  <c r="P33" i="34" s="1"/>
  <c r="O33" i="34"/>
  <c r="N33" i="34"/>
  <c r="M38" i="34"/>
  <c r="P38" i="34" s="1"/>
  <c r="N38" i="34"/>
  <c r="O38" i="34"/>
  <c r="M26" i="34"/>
  <c r="P26" i="34" s="1"/>
  <c r="N26" i="34"/>
  <c r="O26" i="34"/>
  <c r="M27" i="34"/>
  <c r="N27" i="34"/>
  <c r="M28" i="34"/>
  <c r="P28" i="34" s="1"/>
  <c r="N28" i="34"/>
  <c r="O28" i="34"/>
  <c r="M31" i="34"/>
  <c r="P31" i="34" s="1"/>
  <c r="N31" i="34"/>
  <c r="X7" i="34"/>
  <c r="X8" i="34"/>
  <c r="X36" i="34"/>
  <c r="X37" i="34"/>
  <c r="X38" i="34"/>
  <c r="X39" i="34"/>
  <c r="X40" i="34"/>
  <c r="X41" i="34"/>
  <c r="X42" i="34"/>
  <c r="X43" i="34"/>
  <c r="X44" i="34"/>
  <c r="X45" i="34"/>
  <c r="X46" i="34"/>
  <c r="X47" i="34"/>
  <c r="X48" i="34"/>
  <c r="X49" i="34"/>
  <c r="X50" i="34"/>
  <c r="X51" i="34"/>
  <c r="X52" i="34"/>
  <c r="X53" i="34"/>
  <c r="X54" i="34"/>
  <c r="X55" i="34"/>
  <c r="X56" i="34"/>
  <c r="X57" i="34"/>
  <c r="X58" i="34"/>
  <c r="X59" i="34"/>
  <c r="X60" i="34"/>
  <c r="X61" i="34"/>
  <c r="X62" i="34"/>
  <c r="X63" i="34"/>
  <c r="X72" i="34"/>
  <c r="X73" i="34"/>
  <c r="X74" i="34"/>
  <c r="X75" i="34"/>
  <c r="X76" i="34"/>
  <c r="X20" i="34"/>
  <c r="X21" i="34"/>
  <c r="X24" i="34"/>
  <c r="X25" i="34"/>
  <c r="X26" i="34"/>
  <c r="X27" i="34"/>
  <c r="X29" i="34"/>
  <c r="X32" i="34"/>
  <c r="X34" i="34"/>
  <c r="X35" i="34"/>
  <c r="X9" i="34"/>
  <c r="X22" i="34"/>
  <c r="X23" i="34"/>
  <c r="X28" i="34"/>
  <c r="X30" i="34"/>
  <c r="X31" i="34"/>
  <c r="X33" i="34"/>
  <c r="M20" i="34"/>
  <c r="P20" i="34" s="1"/>
  <c r="N20" i="34"/>
  <c r="O20" i="34"/>
  <c r="O21" i="34"/>
  <c r="N21" i="34"/>
  <c r="M21" i="34"/>
  <c r="P21" i="34" s="1"/>
  <c r="O22" i="34"/>
  <c r="N22" i="34"/>
  <c r="M22" i="34"/>
  <c r="P22" i="34" s="1"/>
  <c r="M23" i="34"/>
  <c r="P23" i="34" s="1"/>
  <c r="N23" i="34"/>
  <c r="O23" i="34"/>
  <c r="O27" i="34"/>
  <c r="P27" i="34"/>
  <c r="O34" i="34"/>
  <c r="M34" i="34"/>
  <c r="P34" i="34" s="1"/>
  <c r="N34" i="34"/>
  <c r="N35" i="34"/>
  <c r="O35" i="34"/>
  <c r="M35" i="34"/>
  <c r="P35" i="34" s="1"/>
  <c r="O36" i="34"/>
  <c r="N36" i="34"/>
  <c r="M36" i="34"/>
  <c r="P36" i="34" s="1"/>
  <c r="O37" i="34"/>
  <c r="M37" i="34"/>
  <c r="P37" i="34" s="1"/>
  <c r="N37" i="34"/>
  <c r="O39" i="34"/>
  <c r="N39" i="34"/>
  <c r="M39" i="34"/>
  <c r="P39" i="34" s="1"/>
  <c r="M40" i="34"/>
  <c r="N40" i="34"/>
  <c r="O40" i="34"/>
  <c r="P40" i="34"/>
  <c r="M41" i="34"/>
  <c r="P41" i="34" s="1"/>
  <c r="O41" i="34"/>
  <c r="N41" i="34"/>
  <c r="M42" i="34"/>
  <c r="N42" i="34"/>
  <c r="O42" i="34"/>
  <c r="P42" i="34"/>
  <c r="D58" i="38"/>
  <c r="D25" i="38"/>
  <c r="E6" i="38"/>
  <c r="D49" i="38"/>
  <c r="C49" i="38"/>
  <c r="B49" i="38"/>
  <c r="D59" i="38"/>
  <c r="D57" i="38"/>
  <c r="B35" i="38"/>
  <c r="B68" i="38" s="1"/>
  <c r="B70" i="38" s="1"/>
  <c r="B42" i="38"/>
  <c r="K114" i="4"/>
  <c r="K113" i="4"/>
  <c r="AK115" i="4" l="1"/>
  <c r="O31" i="61"/>
  <c r="H31" i="5"/>
  <c r="I32" i="5"/>
  <c r="O32" i="5"/>
  <c r="V32" i="5"/>
  <c r="AD32" i="61" s="1"/>
  <c r="W32" i="5"/>
  <c r="AG32" i="61" s="1"/>
  <c r="K32" i="5"/>
  <c r="U32" i="61" s="1"/>
  <c r="N32" i="5" a="1"/>
  <c r="X32" i="5"/>
  <c r="B32" i="61"/>
  <c r="AJ32" i="61" s="1" a="1"/>
  <c r="B33" i="5"/>
  <c r="J15" i="16"/>
  <c r="AK127" i="4" s="1"/>
  <c r="E30" i="5"/>
  <c r="F30" i="61"/>
  <c r="D71" i="2" a="1"/>
  <c r="J16" i="16"/>
  <c r="D15" i="2" a="1"/>
  <c r="D79" i="2" a="1"/>
  <c r="I16" i="56"/>
  <c r="D6" i="56"/>
  <c r="F6" i="56" s="1"/>
  <c r="D8" i="56"/>
  <c r="D108" i="51"/>
  <c r="C108" i="51"/>
  <c r="A111" i="51" s="1"/>
  <c r="C16" i="51"/>
  <c r="E7" i="56"/>
  <c r="E37" i="27"/>
  <c r="D37" i="27"/>
  <c r="C37" i="27"/>
  <c r="C5" i="27"/>
  <c r="Q20" i="34" a="1"/>
  <c r="Q21" i="34" a="1"/>
  <c r="Q22" i="34" a="1"/>
  <c r="Q23" i="34" a="1"/>
  <c r="Q27" i="34" a="1"/>
  <c r="Q34" i="34" a="1"/>
  <c r="Q35" i="34" a="1"/>
  <c r="Q36" i="34" a="1"/>
  <c r="Q37" i="34" a="1"/>
  <c r="Q39" i="34" a="1"/>
  <c r="Q40" i="34" a="1"/>
  <c r="Q41" i="34" a="1"/>
  <c r="Q42" i="34" a="1"/>
  <c r="Q7" i="34" a="1"/>
  <c r="Q8" i="34" a="1"/>
  <c r="Q9" i="34" a="1"/>
  <c r="Q24" i="34" a="1"/>
  <c r="Q25" i="34" a="1"/>
  <c r="Q26" i="34" a="1"/>
  <c r="Q28" i="34" a="1"/>
  <c r="Q29" i="34" a="1"/>
  <c r="Q30" i="34" a="1"/>
  <c r="Q31" i="34" a="1"/>
  <c r="Q32" i="34" a="1"/>
  <c r="Q33" i="34" a="1"/>
  <c r="Q38" i="34" a="1"/>
  <c r="E36" i="2"/>
  <c r="E44" i="2"/>
  <c r="E28" i="2"/>
  <c r="F123" i="4"/>
  <c r="E123" i="4"/>
  <c r="D123" i="4"/>
  <c r="F94" i="4"/>
  <c r="E94" i="4"/>
  <c r="D94" i="4"/>
  <c r="F23" i="4"/>
  <c r="F24" i="4" s="1"/>
  <c r="E23" i="4"/>
  <c r="E24" i="4" s="1"/>
  <c r="D23" i="4"/>
  <c r="D24" i="4" s="1"/>
  <c r="F17" i="4"/>
  <c r="E17" i="4"/>
  <c r="D17" i="4"/>
  <c r="E112" i="4"/>
  <c r="D112" i="4"/>
  <c r="F112" i="4"/>
  <c r="F32" i="3"/>
  <c r="F36" i="3"/>
  <c r="F35" i="3"/>
  <c r="F34" i="3"/>
  <c r="F33" i="3"/>
  <c r="F20" i="3"/>
  <c r="F19" i="3"/>
  <c r="F18" i="3"/>
  <c r="F17" i="3"/>
  <c r="F16" i="3"/>
  <c r="F15" i="3"/>
  <c r="F14" i="3"/>
  <c r="F13" i="3"/>
  <c r="F12" i="3"/>
  <c r="F11" i="3"/>
  <c r="F10" i="3"/>
  <c r="H10" i="3" s="1"/>
  <c r="F9" i="3"/>
  <c r="B51" i="38" s="1"/>
  <c r="G31" i="5" l="1"/>
  <c r="R31" i="5"/>
  <c r="L31" i="61"/>
  <c r="O32" i="61"/>
  <c r="H32" i="5"/>
  <c r="I33" i="5"/>
  <c r="O33" i="5"/>
  <c r="V33" i="5"/>
  <c r="AD33" i="61" s="1"/>
  <c r="W33" i="5"/>
  <c r="AG33" i="61" s="1"/>
  <c r="K33" i="5"/>
  <c r="U33" i="61" s="1"/>
  <c r="X33" i="5"/>
  <c r="N33" i="5" a="1"/>
  <c r="B33" i="61"/>
  <c r="AJ33" i="61" s="1" a="1"/>
  <c r="B34" i="5"/>
  <c r="S56" i="5"/>
  <c r="U56" i="5" s="1"/>
  <c r="AA56" i="61" s="1"/>
  <c r="S55" i="5"/>
  <c r="U55" i="5" s="1"/>
  <c r="AA55" i="61" s="1"/>
  <c r="S54" i="5"/>
  <c r="U54" i="5" s="1"/>
  <c r="AA54" i="61" s="1"/>
  <c r="S53" i="5"/>
  <c r="U53" i="5" s="1"/>
  <c r="AA53" i="61" s="1"/>
  <c r="S52" i="5"/>
  <c r="U52" i="5" s="1"/>
  <c r="AA52" i="61" s="1"/>
  <c r="S51" i="5"/>
  <c r="U51" i="5" s="1"/>
  <c r="AA51" i="61" s="1"/>
  <c r="S50" i="5"/>
  <c r="U50" i="5" s="1"/>
  <c r="AA50" i="61" s="1"/>
  <c r="S49" i="5"/>
  <c r="U49" i="5" s="1"/>
  <c r="AA49" i="61" s="1"/>
  <c r="S48" i="5"/>
  <c r="U48" i="5" s="1"/>
  <c r="AA48" i="61" s="1"/>
  <c r="S47" i="5"/>
  <c r="U47" i="5" s="1"/>
  <c r="AA47" i="61" s="1"/>
  <c r="S46" i="5"/>
  <c r="U46" i="5" s="1"/>
  <c r="AA46" i="61" s="1"/>
  <c r="S45" i="5"/>
  <c r="U45" i="5" s="1"/>
  <c r="AA45" i="61" s="1"/>
  <c r="S44" i="5"/>
  <c r="U44" i="5" s="1"/>
  <c r="AA44" i="61" s="1"/>
  <c r="S43" i="5"/>
  <c r="U43" i="5" s="1"/>
  <c r="AA43" i="61" s="1"/>
  <c r="S42" i="5"/>
  <c r="U42" i="5" s="1"/>
  <c r="AA42" i="61" s="1"/>
  <c r="S41" i="5"/>
  <c r="U41" i="5" s="1"/>
  <c r="AA41" i="61" s="1"/>
  <c r="S40" i="5"/>
  <c r="U40" i="5" s="1"/>
  <c r="AA40" i="61" s="1"/>
  <c r="S39" i="5"/>
  <c r="U39" i="5" s="1"/>
  <c r="AA39" i="61" s="1"/>
  <c r="S38" i="5"/>
  <c r="U38" i="5" s="1"/>
  <c r="AA38" i="61" s="1"/>
  <c r="S37" i="5"/>
  <c r="U37" i="5" s="1"/>
  <c r="AA37" i="61" s="1"/>
  <c r="S36" i="5"/>
  <c r="U36" i="5" s="1"/>
  <c r="AA36" i="61" s="1"/>
  <c r="S35" i="5"/>
  <c r="U35" i="5" s="1"/>
  <c r="AA35" i="61" s="1"/>
  <c r="S34" i="5"/>
  <c r="U34" i="5" s="1"/>
  <c r="AA34" i="61" s="1"/>
  <c r="S33" i="5"/>
  <c r="U33" i="5" s="1"/>
  <c r="AA33" i="61" s="1"/>
  <c r="S32" i="5"/>
  <c r="U32" i="5" s="1"/>
  <c r="AA32" i="61" s="1"/>
  <c r="T31" i="5"/>
  <c r="X31" i="61" s="1"/>
  <c r="S31" i="5"/>
  <c r="U31" i="5" s="1"/>
  <c r="AA31" i="61" s="1"/>
  <c r="D22" i="2" a="1"/>
  <c r="D18" i="2" a="1"/>
  <c r="H102" i="37"/>
  <c r="H103" i="37" s="1"/>
  <c r="G101" i="37"/>
  <c r="G103" i="37" s="1"/>
  <c r="F8" i="56"/>
  <c r="D10" i="56"/>
  <c r="E10" i="56"/>
  <c r="F7" i="56"/>
  <c r="E15" i="51"/>
  <c r="E14" i="51"/>
  <c r="D40" i="27"/>
  <c r="D53" i="27"/>
  <c r="V20" i="34"/>
  <c r="W20" i="34" s="1"/>
  <c r="V21" i="34"/>
  <c r="V22" i="34"/>
  <c r="W22" i="34" s="1"/>
  <c r="V23" i="34"/>
  <c r="V27" i="34"/>
  <c r="V34" i="34"/>
  <c r="V7" i="34"/>
  <c r="V8" i="34"/>
  <c r="W8" i="34" s="1"/>
  <c r="V9" i="34"/>
  <c r="V24" i="34"/>
  <c r="V25" i="34"/>
  <c r="V26" i="34"/>
  <c r="W26" i="34" s="1"/>
  <c r="V28" i="34"/>
  <c r="V29" i="34"/>
  <c r="V30" i="34"/>
  <c r="V31" i="34"/>
  <c r="V32" i="34"/>
  <c r="W32" i="34" s="1"/>
  <c r="V33" i="34"/>
  <c r="W33" i="34" s="1"/>
  <c r="V38" i="34"/>
  <c r="V35" i="34"/>
  <c r="V36" i="34"/>
  <c r="V37" i="34"/>
  <c r="V39" i="34"/>
  <c r="V40" i="34"/>
  <c r="V41" i="34"/>
  <c r="W41" i="34" s="1"/>
  <c r="V42" i="34"/>
  <c r="B27" i="3"/>
  <c r="B6" i="38"/>
  <c r="G32" i="3"/>
  <c r="B53" i="38"/>
  <c r="B55" i="38" s="1"/>
  <c r="F103" i="4"/>
  <c r="F115" i="4" s="1"/>
  <c r="F104" i="4"/>
  <c r="E103" i="4"/>
  <c r="E104" i="4"/>
  <c r="D103" i="4"/>
  <c r="D104" i="4"/>
  <c r="H17" i="3"/>
  <c r="G18" i="3"/>
  <c r="H9" i="3"/>
  <c r="G10" i="3"/>
  <c r="B24" i="3"/>
  <c r="C27" i="3"/>
  <c r="C26" i="3"/>
  <c r="H36" i="3"/>
  <c r="J36" i="3"/>
  <c r="G36" i="3"/>
  <c r="L36" i="3" s="1"/>
  <c r="J35" i="3"/>
  <c r="G35" i="3"/>
  <c r="L35" i="3" s="1"/>
  <c r="H35" i="3"/>
  <c r="G34" i="3"/>
  <c r="L34" i="3" s="1"/>
  <c r="H34" i="3"/>
  <c r="J34" i="3"/>
  <c r="G33" i="3"/>
  <c r="L33" i="3" s="1"/>
  <c r="H33" i="3"/>
  <c r="J33" i="3"/>
  <c r="H32" i="3"/>
  <c r="D53" i="38" s="1"/>
  <c r="J32" i="3"/>
  <c r="J31" i="3"/>
  <c r="H31" i="3"/>
  <c r="D52" i="38" s="1"/>
  <c r="G31" i="3"/>
  <c r="H20" i="3"/>
  <c r="H19" i="3"/>
  <c r="G20" i="3"/>
  <c r="B25" i="3" s="1"/>
  <c r="H18" i="3"/>
  <c r="G19" i="3"/>
  <c r="B26" i="3"/>
  <c r="H16" i="3"/>
  <c r="G17" i="3"/>
  <c r="H15" i="3"/>
  <c r="G16" i="3"/>
  <c r="G15" i="3"/>
  <c r="H14" i="3"/>
  <c r="G14" i="3"/>
  <c r="H13" i="3"/>
  <c r="G13" i="3"/>
  <c r="H12" i="3"/>
  <c r="G12" i="3"/>
  <c r="H11" i="3"/>
  <c r="G11" i="3"/>
  <c r="F31" i="5" l="1"/>
  <c r="I31" i="61"/>
  <c r="R32" i="5"/>
  <c r="T32" i="5" s="1"/>
  <c r="X32" i="61" s="1"/>
  <c r="G32" i="5"/>
  <c r="L32" i="61"/>
  <c r="O33" i="61"/>
  <c r="H33" i="5"/>
  <c r="F3" i="2"/>
  <c r="O34" i="5"/>
  <c r="C68" i="2" s="1"/>
  <c r="I34" i="5"/>
  <c r="V34" i="5"/>
  <c r="W34" i="5"/>
  <c r="AG34" i="61" s="1"/>
  <c r="K34" i="5"/>
  <c r="N34" i="5" a="1"/>
  <c r="X34" i="5"/>
  <c r="B34" i="61"/>
  <c r="AJ34" i="61" s="1" a="1"/>
  <c r="B35" i="5"/>
  <c r="E115" i="4"/>
  <c r="D115" i="4"/>
  <c r="D116" i="4"/>
  <c r="E116" i="4" s="1"/>
  <c r="F10" i="56"/>
  <c r="E16" i="51"/>
  <c r="W37" i="34"/>
  <c r="W25" i="34"/>
  <c r="W31" i="34"/>
  <c r="W28" i="34"/>
  <c r="W27" i="34"/>
  <c r="W21" i="34"/>
  <c r="W34" i="34"/>
  <c r="W38" i="34"/>
  <c r="W35" i="34"/>
  <c r="W23" i="34"/>
  <c r="W42" i="34"/>
  <c r="W40" i="34"/>
  <c r="W29" i="34"/>
  <c r="W30" i="34"/>
  <c r="W7" i="34"/>
  <c r="W39" i="34"/>
  <c r="W36" i="34"/>
  <c r="W9" i="34"/>
  <c r="W24" i="34"/>
  <c r="B11" i="38"/>
  <c r="C53" i="38"/>
  <c r="L32" i="3"/>
  <c r="L31" i="3"/>
  <c r="C52" i="38"/>
  <c r="F31" i="61" l="1"/>
  <c r="E31" i="5"/>
  <c r="F32" i="5"/>
  <c r="I32" i="61"/>
  <c r="R33" i="5"/>
  <c r="T33" i="5" s="1"/>
  <c r="X33" i="61" s="1"/>
  <c r="G33" i="5"/>
  <c r="L33" i="61"/>
  <c r="C3" i="34"/>
  <c r="C3" i="19"/>
  <c r="C3" i="27"/>
  <c r="B3" i="38" s="1"/>
  <c r="E3" i="37"/>
  <c r="C16" i="2"/>
  <c r="C20" i="2" s="1"/>
  <c r="O34" i="61"/>
  <c r="H34" i="5"/>
  <c r="C24" i="2"/>
  <c r="AD34" i="61"/>
  <c r="C10" i="2"/>
  <c r="U34" i="61"/>
  <c r="C66" i="2"/>
  <c r="C71" i="2"/>
  <c r="C69" i="2"/>
  <c r="C70" i="2"/>
  <c r="O35" i="5"/>
  <c r="I35" i="5"/>
  <c r="V35" i="5"/>
  <c r="AD35" i="61" s="1"/>
  <c r="W35" i="5"/>
  <c r="AG35" i="61" s="1"/>
  <c r="K35" i="5"/>
  <c r="U35" i="61" s="1"/>
  <c r="X35" i="5"/>
  <c r="N35" i="5" a="1"/>
  <c r="B35" i="61"/>
  <c r="AJ35" i="61" s="1" a="1"/>
  <c r="B36" i="5"/>
  <c r="F117" i="4"/>
  <c r="F116" i="4"/>
  <c r="G116" i="4" s="1"/>
  <c r="H116" i="4" s="1"/>
  <c r="I116" i="4" s="1"/>
  <c r="F32" i="61" l="1"/>
  <c r="E32" i="5"/>
  <c r="F33" i="5"/>
  <c r="I33" i="61"/>
  <c r="F14" i="37"/>
  <c r="F15" i="37"/>
  <c r="F16" i="37"/>
  <c r="L16" i="37" s="1"/>
  <c r="F17" i="37"/>
  <c r="L17" i="37" s="1"/>
  <c r="F18" i="37"/>
  <c r="L18" i="37" s="1"/>
  <c r="F19" i="37"/>
  <c r="L19" i="37" s="1"/>
  <c r="F20" i="37"/>
  <c r="L20" i="37" s="1"/>
  <c r="F21" i="37"/>
  <c r="L21" i="37" s="1"/>
  <c r="F22" i="37"/>
  <c r="F23" i="37"/>
  <c r="L23" i="37" s="1"/>
  <c r="F24" i="37"/>
  <c r="L24" i="37" s="1"/>
  <c r="F26" i="37"/>
  <c r="L26" i="37" s="1"/>
  <c r="F28" i="37"/>
  <c r="L28" i="37" s="1"/>
  <c r="F29" i="37"/>
  <c r="L29" i="37" s="1"/>
  <c r="F31" i="37"/>
  <c r="L31" i="37" s="1"/>
  <c r="F33" i="37"/>
  <c r="L33" i="37" s="1"/>
  <c r="F34" i="37"/>
  <c r="L34" i="37" s="1"/>
  <c r="F25" i="37"/>
  <c r="L25" i="37" s="1"/>
  <c r="F27" i="37"/>
  <c r="L27" i="37" s="1"/>
  <c r="F30" i="37"/>
  <c r="L30" i="37" s="1"/>
  <c r="F32" i="37"/>
  <c r="L32" i="37" s="1"/>
  <c r="F35" i="37"/>
  <c r="L35" i="37" s="1"/>
  <c r="F36" i="37"/>
  <c r="L36" i="37" s="1"/>
  <c r="F37" i="37"/>
  <c r="L37" i="37" s="1"/>
  <c r="F38" i="37"/>
  <c r="L38" i="37" s="1"/>
  <c r="F39" i="37"/>
  <c r="L39" i="37" s="1"/>
  <c r="F40" i="37"/>
  <c r="L40" i="37" s="1"/>
  <c r="F41" i="37"/>
  <c r="L41" i="37" s="1"/>
  <c r="F42" i="37"/>
  <c r="L42" i="37" s="1"/>
  <c r="F43" i="37"/>
  <c r="L43" i="37" s="1"/>
  <c r="F44" i="37"/>
  <c r="L44" i="37" s="1"/>
  <c r="F45" i="37"/>
  <c r="L45" i="37" s="1"/>
  <c r="F46" i="37"/>
  <c r="L46" i="37" s="1"/>
  <c r="F47" i="37"/>
  <c r="L47" i="37" s="1"/>
  <c r="F48" i="37"/>
  <c r="L48" i="37" s="1"/>
  <c r="F49" i="37"/>
  <c r="L49" i="37" s="1"/>
  <c r="F50" i="37"/>
  <c r="L50" i="37" s="1"/>
  <c r="F51" i="37"/>
  <c r="L51" i="37" s="1"/>
  <c r="F52" i="37"/>
  <c r="L52" i="37" s="1"/>
  <c r="F53" i="37"/>
  <c r="L53" i="37" s="1"/>
  <c r="F54" i="37"/>
  <c r="L54" i="37" s="1"/>
  <c r="F55" i="37"/>
  <c r="L55" i="37" s="1"/>
  <c r="F56" i="37"/>
  <c r="L56" i="37" s="1"/>
  <c r="F78" i="37"/>
  <c r="F79" i="37"/>
  <c r="F81" i="37"/>
  <c r="F82" i="37"/>
  <c r="F84" i="37"/>
  <c r="F86" i="37"/>
  <c r="F87" i="37"/>
  <c r="F88" i="37"/>
  <c r="F89" i="37"/>
  <c r="F90" i="37"/>
  <c r="F91" i="37"/>
  <c r="F93" i="37"/>
  <c r="F94" i="37"/>
  <c r="F57" i="37"/>
  <c r="L57" i="37" s="1"/>
  <c r="F58" i="37"/>
  <c r="L58" i="37" s="1"/>
  <c r="F59" i="37"/>
  <c r="L59" i="37" s="1"/>
  <c r="F60" i="37"/>
  <c r="L60" i="37" s="1"/>
  <c r="F61" i="37"/>
  <c r="L61" i="37" s="1"/>
  <c r="F69" i="37"/>
  <c r="F70" i="37"/>
  <c r="F71" i="37"/>
  <c r="F72" i="37"/>
  <c r="F73" i="37"/>
  <c r="F74" i="37"/>
  <c r="F75" i="37"/>
  <c r="F76" i="37"/>
  <c r="F77" i="37"/>
  <c r="F80" i="37"/>
  <c r="F83" i="37"/>
  <c r="F85" i="37"/>
  <c r="F92" i="37"/>
  <c r="R34" i="5"/>
  <c r="T34" i="5" s="1"/>
  <c r="G34" i="5"/>
  <c r="C15" i="2"/>
  <c r="L34" i="61"/>
  <c r="O35" i="61"/>
  <c r="H35" i="5"/>
  <c r="O36" i="5"/>
  <c r="I36" i="5"/>
  <c r="V36" i="5"/>
  <c r="AD36" i="61" s="1"/>
  <c r="W36" i="5"/>
  <c r="AG36" i="61" s="1"/>
  <c r="K36" i="5"/>
  <c r="U36" i="61" s="1"/>
  <c r="N36" i="5" a="1"/>
  <c r="X36" i="5"/>
  <c r="B36" i="61"/>
  <c r="AJ36" i="61" s="1" a="1"/>
  <c r="B37" i="5"/>
  <c r="F118" i="4"/>
  <c r="G118" i="4" s="1"/>
  <c r="H118" i="4" s="1"/>
  <c r="I118" i="4" s="1"/>
  <c r="G117" i="4"/>
  <c r="H117" i="4" s="1"/>
  <c r="I117" i="4" s="1"/>
  <c r="J117" i="4"/>
  <c r="J116" i="4"/>
  <c r="K116" i="4" s="1"/>
  <c r="L116" i="4" s="1"/>
  <c r="M116" i="4" s="1"/>
  <c r="F33" i="61" l="1"/>
  <c r="E33" i="5"/>
  <c r="B6" i="37"/>
  <c r="B19" i="38" s="1"/>
  <c r="L14" i="37"/>
  <c r="B9" i="37"/>
  <c r="B10" i="37"/>
  <c r="B20" i="38" s="1"/>
  <c r="B7" i="37"/>
  <c r="C19" i="38" s="1"/>
  <c r="K7" i="37"/>
  <c r="J7" i="37"/>
  <c r="E9" i="37"/>
  <c r="D10" i="37"/>
  <c r="C20" i="38" s="1"/>
  <c r="J6" i="37"/>
  <c r="K6" i="37"/>
  <c r="L15" i="37"/>
  <c r="L22" i="37"/>
  <c r="J8" i="37"/>
  <c r="B18" i="38" s="1"/>
  <c r="K8" i="37"/>
  <c r="C18" i="38" s="1"/>
  <c r="C22" i="2"/>
  <c r="X34" i="61"/>
  <c r="F34" i="5"/>
  <c r="I34" i="61"/>
  <c r="C14" i="2"/>
  <c r="R35" i="5"/>
  <c r="T35" i="5" s="1"/>
  <c r="X35" i="61" s="1"/>
  <c r="G35" i="5"/>
  <c r="L35" i="61"/>
  <c r="O36" i="61"/>
  <c r="H36" i="5"/>
  <c r="O37" i="5"/>
  <c r="I37" i="5"/>
  <c r="V37" i="5"/>
  <c r="AD37" i="61" s="1"/>
  <c r="W37" i="5"/>
  <c r="AG37" i="61" s="1"/>
  <c r="K37" i="5"/>
  <c r="U37" i="61" s="1"/>
  <c r="X37" i="5"/>
  <c r="N37" i="5" a="1"/>
  <c r="B37" i="61"/>
  <c r="AJ37" i="61" s="1" a="1"/>
  <c r="B38" i="5"/>
  <c r="J118" i="4"/>
  <c r="K118" i="4" s="1"/>
  <c r="L118" i="4" s="1"/>
  <c r="M118" i="4" s="1"/>
  <c r="K117" i="4"/>
  <c r="L117" i="4" s="1"/>
  <c r="M117" i="4" s="1"/>
  <c r="N117" i="4"/>
  <c r="N116" i="4"/>
  <c r="O116" i="4" s="1"/>
  <c r="P116" i="4" s="1"/>
  <c r="Q116" i="4" s="1"/>
  <c r="R116" i="4" s="1"/>
  <c r="D18" i="38" l="1"/>
  <c r="D19" i="38"/>
  <c r="D23" i="38"/>
  <c r="C13" i="2"/>
  <c r="F34" i="61"/>
  <c r="E34" i="5"/>
  <c r="C12" i="2" s="1"/>
  <c r="F35" i="5"/>
  <c r="I35" i="61"/>
  <c r="G36" i="5"/>
  <c r="R36" i="5"/>
  <c r="T36" i="5" s="1"/>
  <c r="X36" i="61" s="1"/>
  <c r="L36" i="61"/>
  <c r="O37" i="61"/>
  <c r="H37" i="5"/>
  <c r="O38" i="5"/>
  <c r="I38" i="5"/>
  <c r="V38" i="5"/>
  <c r="AD38" i="61" s="1"/>
  <c r="W38" i="5"/>
  <c r="AG38" i="61" s="1"/>
  <c r="K38" i="5"/>
  <c r="U38" i="61" s="1"/>
  <c r="N38" i="5" a="1"/>
  <c r="X38" i="5"/>
  <c r="B38" i="61"/>
  <c r="AJ38" i="61" s="1" a="1"/>
  <c r="B39" i="5"/>
  <c r="D20" i="38"/>
  <c r="J9" i="37"/>
  <c r="K9" i="37"/>
  <c r="N118" i="4"/>
  <c r="O118" i="4" s="1"/>
  <c r="P118" i="4" s="1"/>
  <c r="Q118" i="4" s="1"/>
  <c r="R118" i="4" s="1"/>
  <c r="O117" i="4"/>
  <c r="P117" i="4" s="1"/>
  <c r="Q117" i="4" s="1"/>
  <c r="R117" i="4" s="1"/>
  <c r="S117" i="4"/>
  <c r="S116" i="4"/>
  <c r="T116" i="4" s="1"/>
  <c r="U116" i="4" s="1"/>
  <c r="V116" i="4" s="1"/>
  <c r="C30" i="38" l="1"/>
  <c r="C29" i="38"/>
  <c r="C32" i="38"/>
  <c r="C31" i="38"/>
  <c r="B62" i="38"/>
  <c r="B66" i="38" s="1"/>
  <c r="C33" i="38"/>
  <c r="F35" i="61"/>
  <c r="E35" i="5"/>
  <c r="F36" i="5"/>
  <c r="I36" i="61"/>
  <c r="R37" i="5"/>
  <c r="T37" i="5" s="1"/>
  <c r="X37" i="61" s="1"/>
  <c r="G37" i="5"/>
  <c r="L37" i="61"/>
  <c r="O38" i="61"/>
  <c r="H38" i="5"/>
  <c r="O39" i="5"/>
  <c r="I39" i="5"/>
  <c r="V39" i="5"/>
  <c r="AD39" i="61" s="1"/>
  <c r="W39" i="5"/>
  <c r="AG39" i="61" s="1"/>
  <c r="K39" i="5"/>
  <c r="U39" i="61" s="1"/>
  <c r="N39" i="5" a="1"/>
  <c r="X39" i="5"/>
  <c r="B39" i="61"/>
  <c r="AJ39" i="61" s="1" a="1"/>
  <c r="B40" i="5"/>
  <c r="S118" i="4"/>
  <c r="T118" i="4" s="1"/>
  <c r="U118" i="4" s="1"/>
  <c r="V118" i="4" s="1"/>
  <c r="T117" i="4"/>
  <c r="U117" i="4" s="1"/>
  <c r="V117" i="4" s="1"/>
  <c r="W117" i="4"/>
  <c r="W116" i="4"/>
  <c r="X116" i="4" s="1"/>
  <c r="Y116" i="4" s="1"/>
  <c r="Z116" i="4" s="1"/>
  <c r="C35" i="38" l="1"/>
  <c r="D29" i="38"/>
  <c r="D35" i="38" s="1"/>
  <c r="B69" i="38" s="1"/>
  <c r="B71" i="38" s="1"/>
  <c r="F36" i="61"/>
  <c r="E36" i="5"/>
  <c r="F37" i="5"/>
  <c r="I37" i="61"/>
  <c r="G38" i="5"/>
  <c r="R38" i="5"/>
  <c r="T38" i="5" s="1"/>
  <c r="X38" i="61" s="1"/>
  <c r="L38" i="61"/>
  <c r="O39" i="61"/>
  <c r="H39" i="5"/>
  <c r="O40" i="5"/>
  <c r="I40" i="5"/>
  <c r="V40" i="5"/>
  <c r="AD40" i="61" s="1"/>
  <c r="W40" i="5"/>
  <c r="AG40" i="61" s="1"/>
  <c r="K40" i="5"/>
  <c r="U40" i="61" s="1"/>
  <c r="X40" i="5"/>
  <c r="N40" i="5" a="1"/>
  <c r="B40" i="61"/>
  <c r="AJ40" i="61" s="1" a="1"/>
  <c r="B41" i="5"/>
  <c r="W118" i="4"/>
  <c r="X118" i="4" s="1"/>
  <c r="Y118" i="4" s="1"/>
  <c r="Z118" i="4" s="1"/>
  <c r="X117" i="4"/>
  <c r="Y117" i="4" s="1"/>
  <c r="Z117" i="4" s="1"/>
  <c r="AA117" i="4"/>
  <c r="AA116" i="4"/>
  <c r="AB116" i="4" s="1"/>
  <c r="AC116" i="4" s="1"/>
  <c r="AD116" i="4" s="1"/>
  <c r="C57" i="27"/>
  <c r="D57" i="27" s="1"/>
  <c r="C58" i="27"/>
  <c r="D58" i="27" s="1"/>
  <c r="C59" i="27"/>
  <c r="D59" i="27" s="1"/>
  <c r="C60" i="27"/>
  <c r="D60" i="27" s="1"/>
  <c r="C54" i="27"/>
  <c r="C55" i="27"/>
  <c r="D55" i="27" s="1"/>
  <c r="C56" i="27"/>
  <c r="D56" i="27" s="1"/>
  <c r="R8" i="34" a="1"/>
  <c r="S8" i="34" a="1"/>
  <c r="T8" i="34" a="1"/>
  <c r="U8" i="34" a="1"/>
  <c r="T20" i="34" a="1"/>
  <c r="S20" i="34" a="1"/>
  <c r="U20" i="34" a="1"/>
  <c r="R20" i="34" a="1"/>
  <c r="U22" i="34" a="1"/>
  <c r="R22" i="34" a="1"/>
  <c r="T22" i="34" a="1"/>
  <c r="S22" i="34" a="1"/>
  <c r="R24" i="34" a="1"/>
  <c r="S24" i="34" a="1"/>
  <c r="U24" i="34" a="1"/>
  <c r="T24" i="34" a="1"/>
  <c r="R26" i="34" a="1"/>
  <c r="U26" i="34" a="1"/>
  <c r="S26" i="34" a="1"/>
  <c r="T26" i="34" a="1"/>
  <c r="U28" i="34" a="1"/>
  <c r="R28" i="34" a="1"/>
  <c r="S28" i="34" a="1"/>
  <c r="T28" i="34" a="1"/>
  <c r="R30" i="34" a="1"/>
  <c r="U30" i="34" a="1"/>
  <c r="S30" i="34" a="1"/>
  <c r="T30" i="34" a="1"/>
  <c r="R32" i="34" a="1"/>
  <c r="U32" i="34" a="1"/>
  <c r="S32" i="34" a="1"/>
  <c r="T32" i="34" a="1"/>
  <c r="S34" i="34" a="1"/>
  <c r="U34" i="34" a="1"/>
  <c r="R34" i="34" a="1"/>
  <c r="T34" i="34" a="1"/>
  <c r="R36" i="34" a="1"/>
  <c r="S36" i="34" a="1"/>
  <c r="U36" i="34" a="1"/>
  <c r="T36" i="34" a="1"/>
  <c r="R38" i="34" a="1"/>
  <c r="S38" i="34" a="1"/>
  <c r="U38" i="34" a="1"/>
  <c r="T38" i="34" a="1"/>
  <c r="R40" i="34" a="1"/>
  <c r="U40" i="34" a="1"/>
  <c r="S40" i="34" a="1"/>
  <c r="T40" i="34" a="1"/>
  <c r="S42" i="34" a="1"/>
  <c r="R42" i="34" a="1"/>
  <c r="U42" i="34" a="1"/>
  <c r="T42" i="34" a="1"/>
  <c r="E31" i="27"/>
  <c r="E32" i="27"/>
  <c r="C45" i="27"/>
  <c r="D45" i="27" s="1"/>
  <c r="C41" i="27"/>
  <c r="C42" i="27"/>
  <c r="D42" i="27" s="1"/>
  <c r="C43" i="27"/>
  <c r="D43" i="27" s="1"/>
  <c r="C44" i="27"/>
  <c r="D44" i="27" s="1"/>
  <c r="C46" i="27"/>
  <c r="D46" i="27" s="1"/>
  <c r="C47" i="27"/>
  <c r="D47" i="27" s="1"/>
  <c r="C48" i="27"/>
  <c r="D48" i="27" s="1"/>
  <c r="C49" i="27"/>
  <c r="C33" i="27"/>
  <c r="Y40" i="34" a="1"/>
  <c r="Y55" i="34" a="1"/>
  <c r="C31" i="27"/>
  <c r="C32" i="27"/>
  <c r="R7" i="34" a="1"/>
  <c r="S7" i="34" a="1"/>
  <c r="U7" i="34" a="1"/>
  <c r="T7" i="34" a="1"/>
  <c r="U9" i="34" a="1"/>
  <c r="S9" i="34" a="1"/>
  <c r="R9" i="34" a="1"/>
  <c r="T9" i="34" a="1"/>
  <c r="U21" i="34" a="1"/>
  <c r="S21" i="34" a="1"/>
  <c r="R21" i="34" a="1"/>
  <c r="T21" i="34" a="1"/>
  <c r="U23" i="34" a="1"/>
  <c r="S23" i="34" a="1"/>
  <c r="R23" i="34" a="1"/>
  <c r="T23" i="34" a="1"/>
  <c r="R25" i="34" a="1"/>
  <c r="U25" i="34" a="1"/>
  <c r="S25" i="34" a="1"/>
  <c r="T25" i="34" a="1"/>
  <c r="U27" i="34" a="1"/>
  <c r="S27" i="34" a="1"/>
  <c r="R27" i="34" a="1"/>
  <c r="T27" i="34" a="1"/>
  <c r="R29" i="34" a="1"/>
  <c r="U29" i="34" a="1"/>
  <c r="S29" i="34" a="1"/>
  <c r="T29" i="34" a="1"/>
  <c r="U31" i="34" a="1"/>
  <c r="R31" i="34" a="1"/>
  <c r="S31" i="34" a="1"/>
  <c r="T31" i="34" a="1"/>
  <c r="U33" i="34" a="1"/>
  <c r="R33" i="34" a="1"/>
  <c r="S33" i="34" a="1"/>
  <c r="T33" i="34" a="1"/>
  <c r="R35" i="34" a="1"/>
  <c r="U35" i="34" a="1"/>
  <c r="S35" i="34" a="1"/>
  <c r="T35" i="34" a="1"/>
  <c r="R37" i="34" a="1"/>
  <c r="U37" i="34" a="1"/>
  <c r="S37" i="34" a="1"/>
  <c r="T37" i="34" a="1"/>
  <c r="S39" i="34" a="1"/>
  <c r="R39" i="34" a="1"/>
  <c r="U39" i="34" a="1"/>
  <c r="T39" i="34" a="1"/>
  <c r="T41" i="34" a="1"/>
  <c r="U41" i="34" a="1"/>
  <c r="S41" i="34" a="1"/>
  <c r="R41" i="34" a="1"/>
  <c r="E18" i="2"/>
  <c r="E25" i="2"/>
  <c r="E29" i="2"/>
  <c r="E37" i="2"/>
  <c r="E45" i="2"/>
  <c r="F37" i="61" l="1"/>
  <c r="E37" i="5"/>
  <c r="F38" i="5"/>
  <c r="I38" i="61"/>
  <c r="G39" i="5"/>
  <c r="R39" i="5"/>
  <c r="T39" i="5" s="1"/>
  <c r="X39" i="61" s="1"/>
  <c r="L39" i="61"/>
  <c r="O40" i="61"/>
  <c r="H40" i="5"/>
  <c r="O41" i="5"/>
  <c r="I41" i="5"/>
  <c r="V41" i="5"/>
  <c r="AD41" i="61" s="1"/>
  <c r="W41" i="5"/>
  <c r="AG41" i="61" s="1"/>
  <c r="K41" i="5"/>
  <c r="U41" i="61" s="1"/>
  <c r="N41" i="5" a="1"/>
  <c r="X41" i="5"/>
  <c r="B41" i="61"/>
  <c r="AJ41" i="61" s="1" a="1"/>
  <c r="B42" i="5"/>
  <c r="AA118" i="4"/>
  <c r="AB118" i="4" s="1"/>
  <c r="AC118" i="4" s="1"/>
  <c r="AD118" i="4" s="1"/>
  <c r="AB117" i="4"/>
  <c r="AC117" i="4" s="1"/>
  <c r="AD117" i="4" s="1"/>
  <c r="D41" i="27"/>
  <c r="C50" i="27"/>
  <c r="D54" i="27"/>
  <c r="C61" i="27"/>
  <c r="D49" i="27"/>
  <c r="G26" i="27"/>
  <c r="AK117" i="4" l="1"/>
  <c r="AK116" i="4"/>
  <c r="F38" i="61"/>
  <c r="E38" i="5"/>
  <c r="F39" i="5"/>
  <c r="I39" i="61"/>
  <c r="R40" i="5"/>
  <c r="T40" i="5" s="1"/>
  <c r="X40" i="61" s="1"/>
  <c r="G40" i="5"/>
  <c r="L40" i="61"/>
  <c r="O41" i="61"/>
  <c r="H41" i="5"/>
  <c r="O42" i="5"/>
  <c r="I42" i="5"/>
  <c r="V42" i="5"/>
  <c r="AD42" i="61" s="1"/>
  <c r="W42" i="5"/>
  <c r="AG42" i="61" s="1"/>
  <c r="K42" i="5"/>
  <c r="U42" i="61" s="1"/>
  <c r="X42" i="5"/>
  <c r="N42" i="5" a="1"/>
  <c r="B42" i="61"/>
  <c r="AJ42" i="61" s="1" a="1"/>
  <c r="B43" i="5"/>
  <c r="D69" i="2" a="1"/>
  <c r="F70" i="2" a="1"/>
  <c r="F69" i="2" a="1"/>
  <c r="C62" i="27"/>
  <c r="D61" i="27"/>
  <c r="D62" i="27" s="1"/>
  <c r="D50" i="27"/>
  <c r="F39" i="61" l="1"/>
  <c r="E39" i="5"/>
  <c r="F40" i="5"/>
  <c r="I40" i="61"/>
  <c r="G41" i="5"/>
  <c r="R41" i="5"/>
  <c r="T41" i="5" s="1"/>
  <c r="X41" i="61" s="1"/>
  <c r="L41" i="61"/>
  <c r="O42" i="61"/>
  <c r="H42" i="5"/>
  <c r="O43" i="5"/>
  <c r="I43" i="5"/>
  <c r="V43" i="5"/>
  <c r="AD43" i="61" s="1"/>
  <c r="W43" i="5"/>
  <c r="AG43" i="61" s="1"/>
  <c r="K43" i="5"/>
  <c r="U43" i="61" s="1"/>
  <c r="N43" i="5" a="1"/>
  <c r="X43" i="5"/>
  <c r="B43" i="61"/>
  <c r="AJ43" i="61" s="1" a="1"/>
  <c r="B44" i="5"/>
  <c r="E21" i="2"/>
  <c r="E23" i="2"/>
  <c r="AK118" i="4" l="1"/>
  <c r="D70" i="2" a="1"/>
  <c r="F40" i="61"/>
  <c r="E40" i="5"/>
  <c r="F41" i="5"/>
  <c r="I41" i="61"/>
  <c r="G42" i="5"/>
  <c r="R42" i="5"/>
  <c r="T42" i="5" s="1"/>
  <c r="X42" i="61" s="1"/>
  <c r="L42" i="61"/>
  <c r="O43" i="61"/>
  <c r="H43" i="5"/>
  <c r="O44" i="5"/>
  <c r="I44" i="5"/>
  <c r="V44" i="5"/>
  <c r="AD44" i="61" s="1"/>
  <c r="W44" i="5"/>
  <c r="AG44" i="61" s="1"/>
  <c r="K44" i="5"/>
  <c r="U44" i="61" s="1"/>
  <c r="N44" i="5" a="1"/>
  <c r="X44" i="5"/>
  <c r="B44" i="61"/>
  <c r="AJ44" i="61" s="1" a="1"/>
  <c r="B45" i="5"/>
  <c r="E245" i="27"/>
  <c r="F41" i="61" l="1"/>
  <c r="E41" i="5"/>
  <c r="F42" i="5"/>
  <c r="I42" i="61"/>
  <c r="G43" i="5"/>
  <c r="R43" i="5"/>
  <c r="T43" i="5" s="1"/>
  <c r="X43" i="61" s="1"/>
  <c r="L43" i="61"/>
  <c r="O44" i="61"/>
  <c r="H44" i="5"/>
  <c r="O45" i="5"/>
  <c r="I45" i="5"/>
  <c r="V45" i="5"/>
  <c r="AD45" i="61" s="1"/>
  <c r="W45" i="5"/>
  <c r="AG45" i="61" s="1"/>
  <c r="K45" i="5"/>
  <c r="U45" i="61" s="1"/>
  <c r="N45" i="5" a="1"/>
  <c r="X45" i="5"/>
  <c r="B45" i="61"/>
  <c r="AJ45" i="61" s="1" a="1"/>
  <c r="B46" i="5"/>
  <c r="K245" i="27"/>
  <c r="J245" i="27"/>
  <c r="E244" i="27"/>
  <c r="F42" i="61" l="1"/>
  <c r="E42" i="5"/>
  <c r="F43" i="5"/>
  <c r="I43" i="61"/>
  <c r="G44" i="5"/>
  <c r="R44" i="5"/>
  <c r="T44" i="5" s="1"/>
  <c r="X44" i="61" s="1"/>
  <c r="L44" i="61"/>
  <c r="O45" i="61"/>
  <c r="H45" i="5"/>
  <c r="O46" i="5"/>
  <c r="I46" i="5"/>
  <c r="V46" i="5"/>
  <c r="AD46" i="61" s="1"/>
  <c r="W46" i="5"/>
  <c r="AG46" i="61" s="1"/>
  <c r="K46" i="5"/>
  <c r="U46" i="61" s="1"/>
  <c r="N46" i="5" a="1"/>
  <c r="X46" i="5"/>
  <c r="B46" i="61"/>
  <c r="AJ46" i="61" s="1" a="1"/>
  <c r="B47" i="5"/>
  <c r="K244" i="27"/>
  <c r="J244" i="27"/>
  <c r="E243" i="27"/>
  <c r="F43" i="61" l="1"/>
  <c r="E43" i="5"/>
  <c r="F44" i="5"/>
  <c r="I44" i="61"/>
  <c r="G45" i="5"/>
  <c r="R45" i="5"/>
  <c r="T45" i="5" s="1"/>
  <c r="X45" i="61" s="1"/>
  <c r="L45" i="61"/>
  <c r="O46" i="61"/>
  <c r="H46" i="5"/>
  <c r="O47" i="5"/>
  <c r="I47" i="5"/>
  <c r="V47" i="5"/>
  <c r="AD47" i="61" s="1"/>
  <c r="W47" i="5"/>
  <c r="AG47" i="61" s="1"/>
  <c r="K47" i="5"/>
  <c r="U47" i="61" s="1"/>
  <c r="N47" i="5" a="1"/>
  <c r="X47" i="5"/>
  <c r="B47" i="61"/>
  <c r="AJ47" i="61" s="1" a="1"/>
  <c r="B48" i="5"/>
  <c r="K243" i="27"/>
  <c r="J243" i="27"/>
  <c r="E242" i="27"/>
  <c r="F44" i="61" l="1"/>
  <c r="E44" i="5"/>
  <c r="F45" i="5"/>
  <c r="I45" i="61"/>
  <c r="R46" i="5"/>
  <c r="T46" i="5" s="1"/>
  <c r="X46" i="61" s="1"/>
  <c r="G46" i="5"/>
  <c r="L46" i="61"/>
  <c r="O47" i="61"/>
  <c r="H47" i="5"/>
  <c r="O48" i="5"/>
  <c r="I48" i="5"/>
  <c r="V48" i="5"/>
  <c r="AD48" i="61" s="1"/>
  <c r="W48" i="5"/>
  <c r="AG48" i="61" s="1"/>
  <c r="K48" i="5"/>
  <c r="U48" i="61" s="1"/>
  <c r="N48" i="5" a="1"/>
  <c r="X48" i="5"/>
  <c r="B48" i="61"/>
  <c r="AJ48" i="61" s="1" a="1"/>
  <c r="B49" i="5"/>
  <c r="J242" i="27"/>
  <c r="K242" i="27"/>
  <c r="E241" i="27"/>
  <c r="F45" i="61" l="1"/>
  <c r="E45" i="5"/>
  <c r="F46" i="5"/>
  <c r="I46" i="61"/>
  <c r="G47" i="5"/>
  <c r="R47" i="5"/>
  <c r="T47" i="5" s="1"/>
  <c r="X47" i="61" s="1"/>
  <c r="L47" i="61"/>
  <c r="O48" i="61"/>
  <c r="H48" i="5"/>
  <c r="O49" i="5"/>
  <c r="I49" i="5"/>
  <c r="V49" i="5"/>
  <c r="AD49" i="61" s="1"/>
  <c r="W49" i="5"/>
  <c r="AG49" i="61" s="1"/>
  <c r="K49" i="5"/>
  <c r="U49" i="61" s="1"/>
  <c r="X49" i="5"/>
  <c r="N49" i="5" a="1"/>
  <c r="B49" i="61"/>
  <c r="AJ49" i="61" s="1" a="1"/>
  <c r="B50" i="5"/>
  <c r="J241" i="27"/>
  <c r="K241" i="27"/>
  <c r="E240" i="27"/>
  <c r="F46" i="61" l="1"/>
  <c r="E46" i="5"/>
  <c r="F47" i="5"/>
  <c r="I47" i="61"/>
  <c r="R48" i="5"/>
  <c r="T48" i="5" s="1"/>
  <c r="X48" i="61" s="1"/>
  <c r="G48" i="5"/>
  <c r="L48" i="61"/>
  <c r="O49" i="61"/>
  <c r="H49" i="5"/>
  <c r="O50" i="5"/>
  <c r="I50" i="5"/>
  <c r="V50" i="5"/>
  <c r="AD50" i="61" s="1"/>
  <c r="W50" i="5"/>
  <c r="AG50" i="61" s="1"/>
  <c r="K50" i="5"/>
  <c r="U50" i="61" s="1"/>
  <c r="N50" i="5" a="1"/>
  <c r="X50" i="5"/>
  <c r="B50" i="61"/>
  <c r="AJ50" i="61" s="1" a="1"/>
  <c r="B51" i="5"/>
  <c r="J240" i="27"/>
  <c r="K240" i="27"/>
  <c r="E239" i="27"/>
  <c r="F47" i="61" l="1"/>
  <c r="E47" i="5"/>
  <c r="F48" i="5"/>
  <c r="I48" i="61"/>
  <c r="G49" i="5"/>
  <c r="R49" i="5"/>
  <c r="T49" i="5" s="1"/>
  <c r="X49" i="61" s="1"/>
  <c r="L49" i="61"/>
  <c r="O50" i="61"/>
  <c r="H50" i="5"/>
  <c r="O51" i="5"/>
  <c r="I51" i="5"/>
  <c r="V51" i="5"/>
  <c r="AD51" i="61" s="1"/>
  <c r="W51" i="5"/>
  <c r="AG51" i="61" s="1"/>
  <c r="K51" i="5"/>
  <c r="U51" i="61" s="1"/>
  <c r="N51" i="5" a="1"/>
  <c r="X51" i="5"/>
  <c r="B51" i="61"/>
  <c r="AJ51" i="61" s="1" a="1"/>
  <c r="B52" i="5"/>
  <c r="K239" i="27"/>
  <c r="J239" i="27"/>
  <c r="E238" i="27"/>
  <c r="F48" i="61" l="1"/>
  <c r="E48" i="5"/>
  <c r="F49" i="5"/>
  <c r="I49" i="61"/>
  <c r="G50" i="5"/>
  <c r="R50" i="5"/>
  <c r="T50" i="5" s="1"/>
  <c r="X50" i="61" s="1"/>
  <c r="L50" i="61"/>
  <c r="O51" i="61"/>
  <c r="H51" i="5"/>
  <c r="O52" i="5"/>
  <c r="I52" i="5"/>
  <c r="V52" i="5"/>
  <c r="AD52" i="61" s="1"/>
  <c r="W52" i="5"/>
  <c r="AG52" i="61" s="1"/>
  <c r="K52" i="5"/>
  <c r="U52" i="61" s="1"/>
  <c r="N52" i="5" a="1"/>
  <c r="X52" i="5"/>
  <c r="B52" i="61"/>
  <c r="AJ52" i="61" s="1" a="1"/>
  <c r="B53" i="5"/>
  <c r="J238" i="27"/>
  <c r="K238" i="27"/>
  <c r="E237" i="27"/>
  <c r="F49" i="61" l="1"/>
  <c r="E49" i="5"/>
  <c r="F50" i="5"/>
  <c r="I50" i="61"/>
  <c r="G51" i="5"/>
  <c r="R51" i="5"/>
  <c r="T51" i="5" s="1"/>
  <c r="X51" i="61" s="1"/>
  <c r="L51" i="61"/>
  <c r="O52" i="61"/>
  <c r="H52" i="5"/>
  <c r="O53" i="5"/>
  <c r="I53" i="5"/>
  <c r="V53" i="5"/>
  <c r="AD53" i="61" s="1"/>
  <c r="K53" i="5"/>
  <c r="U53" i="61" s="1"/>
  <c r="N53" i="5" a="1"/>
  <c r="X53" i="5"/>
  <c r="W53" i="5"/>
  <c r="AG53" i="61" s="1"/>
  <c r="B53" i="61"/>
  <c r="AJ53" i="61" s="1" a="1"/>
  <c r="B54" i="5"/>
  <c r="J237" i="27"/>
  <c r="K237" i="27"/>
  <c r="E236" i="27"/>
  <c r="F50" i="61" l="1"/>
  <c r="E50" i="5"/>
  <c r="F51" i="5"/>
  <c r="I51" i="61"/>
  <c r="G52" i="5"/>
  <c r="R52" i="5"/>
  <c r="T52" i="5" s="1"/>
  <c r="X52" i="61" s="1"/>
  <c r="L52" i="61"/>
  <c r="H53" i="5"/>
  <c r="O53" i="61"/>
  <c r="O54" i="5"/>
  <c r="W54" i="5"/>
  <c r="AG54" i="61" s="1"/>
  <c r="K54" i="5"/>
  <c r="U54" i="61" s="1"/>
  <c r="N54" i="5" a="1"/>
  <c r="X54" i="5"/>
  <c r="I54" i="5"/>
  <c r="V54" i="5"/>
  <c r="AD54" i="61" s="1"/>
  <c r="B54" i="61"/>
  <c r="AJ54" i="61" s="1" a="1"/>
  <c r="B55" i="5"/>
  <c r="K236" i="27"/>
  <c r="J236" i="27"/>
  <c r="E235" i="27"/>
  <c r="F51" i="61" l="1"/>
  <c r="E51" i="5"/>
  <c r="F52" i="5"/>
  <c r="I52" i="61"/>
  <c r="G53" i="5"/>
  <c r="R53" i="5"/>
  <c r="T53" i="5" s="1"/>
  <c r="X53" i="61" s="1"/>
  <c r="L53" i="61"/>
  <c r="O54" i="61"/>
  <c r="H54" i="5"/>
  <c r="O55" i="5"/>
  <c r="I55" i="5"/>
  <c r="V55" i="5"/>
  <c r="AD55" i="61" s="1"/>
  <c r="K55" i="5"/>
  <c r="U55" i="61" s="1"/>
  <c r="N55" i="5" a="1"/>
  <c r="X55" i="5"/>
  <c r="W55" i="5"/>
  <c r="AG55" i="61" s="1"/>
  <c r="B55" i="61"/>
  <c r="AJ55" i="61" s="1" a="1"/>
  <c r="B56" i="5"/>
  <c r="J235" i="27"/>
  <c r="K235" i="27"/>
  <c r="E234" i="27"/>
  <c r="F52" i="61" l="1"/>
  <c r="E52" i="5"/>
  <c r="F53" i="5"/>
  <c r="I53" i="61"/>
  <c r="R54" i="5"/>
  <c r="T54" i="5" s="1"/>
  <c r="X54" i="61" s="1"/>
  <c r="G54" i="5"/>
  <c r="L54" i="61"/>
  <c r="O55" i="61"/>
  <c r="H55" i="5"/>
  <c r="I56" i="5"/>
  <c r="W56" i="5"/>
  <c r="AG56" i="61" s="1"/>
  <c r="K56" i="5"/>
  <c r="U56" i="61" s="1"/>
  <c r="N56" i="5" a="1"/>
  <c r="X56" i="5"/>
  <c r="V56" i="5"/>
  <c r="AD56" i="61" s="1"/>
  <c r="B56" i="61"/>
  <c r="AJ56" i="61" s="1" a="1"/>
  <c r="O56" i="5"/>
  <c r="K234" i="27"/>
  <c r="J234" i="27"/>
  <c r="E233" i="27"/>
  <c r="F53" i="61" l="1"/>
  <c r="E53" i="5"/>
  <c r="F54" i="5"/>
  <c r="I54" i="61"/>
  <c r="R55" i="5"/>
  <c r="T55" i="5" s="1"/>
  <c r="X55" i="61" s="1"/>
  <c r="G55" i="5"/>
  <c r="L55" i="61"/>
  <c r="O56" i="61"/>
  <c r="H56" i="5"/>
  <c r="J233" i="27"/>
  <c r="K233" i="27"/>
  <c r="E232" i="27"/>
  <c r="F54" i="61" l="1"/>
  <c r="E54" i="5"/>
  <c r="F55" i="5"/>
  <c r="I55" i="61"/>
  <c r="G56" i="5"/>
  <c r="R56" i="5"/>
  <c r="T56" i="5" s="1"/>
  <c r="X56" i="61" s="1"/>
  <c r="L56" i="61"/>
  <c r="K232" i="27"/>
  <c r="J232" i="27"/>
  <c r="E231" i="27"/>
  <c r="F55" i="61" l="1"/>
  <c r="E55" i="5"/>
  <c r="F56" i="5"/>
  <c r="I56" i="61"/>
  <c r="J231" i="27"/>
  <c r="K231" i="27"/>
  <c r="E230" i="27"/>
  <c r="F56" i="61" l="1"/>
  <c r="E56" i="5"/>
  <c r="K230" i="27"/>
  <c r="J230" i="27"/>
  <c r="E229" i="27"/>
  <c r="J229" i="27" l="1"/>
  <c r="K229" i="27"/>
  <c r="E228" i="27"/>
  <c r="K228" i="27" l="1"/>
  <c r="J228" i="27"/>
  <c r="E227" i="27"/>
  <c r="J227" i="27" l="1"/>
  <c r="K227" i="27"/>
  <c r="E226" i="27"/>
  <c r="J226" i="27" l="1"/>
  <c r="K226" i="27"/>
  <c r="E225" i="27"/>
  <c r="J225" i="27" l="1"/>
  <c r="K225" i="27"/>
  <c r="E224" i="27"/>
  <c r="J224" i="27" l="1"/>
  <c r="K224" i="27"/>
  <c r="E223" i="27"/>
  <c r="J223" i="27" l="1"/>
  <c r="K223" i="27"/>
  <c r="E222" i="27"/>
  <c r="J222" i="27" l="1"/>
  <c r="K222" i="27"/>
  <c r="E221" i="27"/>
  <c r="J221" i="27" l="1"/>
  <c r="K221" i="27"/>
  <c r="E220" i="27"/>
  <c r="J220" i="27" l="1"/>
  <c r="K220" i="27"/>
  <c r="E219" i="27"/>
  <c r="K219" i="27" l="1"/>
  <c r="J219" i="27"/>
  <c r="E218" i="27"/>
  <c r="J218" i="27" l="1"/>
  <c r="K218" i="27"/>
  <c r="E217" i="27"/>
  <c r="J217" i="27" l="1"/>
  <c r="K217" i="27"/>
  <c r="E216" i="27"/>
  <c r="J216" i="27" l="1"/>
  <c r="K216" i="27"/>
  <c r="E215" i="27"/>
  <c r="K215" i="27" l="1"/>
  <c r="J215" i="27"/>
  <c r="E214" i="27"/>
  <c r="J214" i="27" l="1"/>
  <c r="K214" i="27"/>
  <c r="E213" i="27"/>
  <c r="J213" i="27" l="1"/>
  <c r="K213" i="27"/>
  <c r="E212" i="27"/>
  <c r="K212" i="27" l="1"/>
  <c r="J212" i="27"/>
  <c r="E211" i="27"/>
  <c r="J211" i="27" l="1"/>
  <c r="K211" i="27"/>
  <c r="E210" i="27"/>
  <c r="K210" i="27" l="1"/>
  <c r="J210" i="27"/>
  <c r="E209" i="27"/>
  <c r="J209" i="27" l="1"/>
  <c r="K209" i="27"/>
  <c r="E208" i="27"/>
  <c r="K208" i="27" l="1"/>
  <c r="J208" i="27"/>
  <c r="E207" i="27"/>
  <c r="J207" i="27" l="1"/>
  <c r="K207" i="27"/>
  <c r="E206" i="27"/>
  <c r="K206" i="27" l="1"/>
  <c r="J206" i="27"/>
  <c r="E205" i="27"/>
  <c r="K205" i="27" l="1"/>
  <c r="J205" i="27"/>
  <c r="E204" i="27"/>
  <c r="J204" i="27" l="1"/>
  <c r="K204" i="27"/>
  <c r="E203" i="27"/>
  <c r="J203" i="27" l="1"/>
  <c r="K203" i="27"/>
  <c r="E202" i="27"/>
  <c r="K202" i="27" l="1"/>
  <c r="J202" i="27"/>
  <c r="E201" i="27"/>
  <c r="J201" i="27" l="1"/>
  <c r="K201" i="27"/>
  <c r="E200" i="27"/>
  <c r="J200" i="27" l="1"/>
  <c r="K200" i="27"/>
  <c r="E199" i="27"/>
  <c r="J199" i="27" l="1"/>
  <c r="K199" i="27"/>
  <c r="E198" i="27"/>
  <c r="J198" i="27" l="1"/>
  <c r="K198" i="27"/>
  <c r="E197" i="27"/>
  <c r="K197" i="27" l="1"/>
  <c r="J197" i="27"/>
  <c r="E34" i="27"/>
  <c r="E196" i="27" s="1"/>
  <c r="K196" i="27" l="1"/>
  <c r="J196" i="27"/>
  <c r="C34" i="27"/>
  <c r="E195" i="27" s="1"/>
  <c r="J195" i="27" l="1"/>
  <c r="K195" i="27"/>
  <c r="E194" i="27"/>
  <c r="K194" i="27" l="1"/>
  <c r="J194" i="27"/>
  <c r="E193" i="27"/>
  <c r="K193" i="27" l="1"/>
  <c r="J193" i="27"/>
  <c r="E192" i="27"/>
  <c r="J192" i="27" l="1"/>
  <c r="K192" i="27"/>
  <c r="E191" i="27"/>
  <c r="K191" i="27" l="1"/>
  <c r="J191" i="27"/>
  <c r="E190" i="27"/>
  <c r="J190" i="27" l="1"/>
  <c r="K190" i="27"/>
  <c r="E189" i="27"/>
  <c r="K189" i="27" l="1"/>
  <c r="J189" i="27"/>
  <c r="E188" i="27"/>
  <c r="J188" i="27" l="1"/>
  <c r="K188" i="27"/>
  <c r="E187" i="27"/>
  <c r="J187" i="27" l="1"/>
  <c r="K187" i="27"/>
  <c r="E186" i="27"/>
  <c r="J186" i="27" l="1"/>
  <c r="K186" i="27"/>
  <c r="E185" i="27"/>
  <c r="K185" i="27" l="1"/>
  <c r="J185" i="27"/>
  <c r="E184" i="27"/>
  <c r="K184" i="27" l="1"/>
  <c r="J184" i="27"/>
  <c r="E183" i="27"/>
  <c r="K183" i="27" l="1"/>
  <c r="J183" i="27"/>
  <c r="E182" i="27"/>
  <c r="K182" i="27" l="1"/>
  <c r="J182" i="27"/>
  <c r="E181" i="27"/>
  <c r="J181" i="27" l="1"/>
  <c r="K181" i="27"/>
  <c r="E180" i="27"/>
  <c r="K180" i="27" l="1"/>
  <c r="J180" i="27"/>
  <c r="E179" i="27"/>
  <c r="J179" i="27" l="1"/>
  <c r="K179" i="27"/>
  <c r="E178" i="27"/>
  <c r="J178" i="27" l="1"/>
  <c r="K178" i="27"/>
  <c r="E177" i="27"/>
  <c r="K177" i="27" l="1"/>
  <c r="J177" i="27"/>
  <c r="Y76" i="34" a="1"/>
  <c r="E176" i="27" s="1"/>
  <c r="J176" i="27" l="1"/>
  <c r="K176" i="27"/>
  <c r="E175" i="27"/>
  <c r="K175" i="27" l="1"/>
  <c r="J175" i="27"/>
  <c r="Y75" i="34" a="1"/>
  <c r="E174" i="27" s="1"/>
  <c r="J174" i="27" l="1"/>
  <c r="K174" i="27"/>
  <c r="E173" i="27"/>
  <c r="K173" i="27" l="1"/>
  <c r="J173" i="27"/>
  <c r="Y74" i="34" a="1"/>
  <c r="E172" i="27" s="1"/>
  <c r="K172" i="27" l="1"/>
  <c r="J172" i="27"/>
  <c r="Y73" i="34" a="1"/>
  <c r="E171" i="27" s="1"/>
  <c r="E48" i="27" l="1"/>
  <c r="H48" i="27" s="1"/>
  <c r="F48" i="27"/>
  <c r="G48" i="27"/>
  <c r="K171" i="27"/>
  <c r="J171" i="27"/>
  <c r="E170" i="27"/>
  <c r="K170" i="27" l="1"/>
  <c r="J170" i="27"/>
  <c r="Y72" i="34" a="1"/>
  <c r="E169" i="27" s="1"/>
  <c r="J169" i="27" l="1"/>
  <c r="K169" i="27"/>
  <c r="E168" i="27"/>
  <c r="K168" i="27" l="1"/>
  <c r="J168" i="27"/>
  <c r="E167" i="27"/>
  <c r="J167" i="27" l="1"/>
  <c r="K167" i="27"/>
  <c r="Y63" i="34" a="1"/>
  <c r="E166" i="27" s="1"/>
  <c r="K166" i="27" l="1"/>
  <c r="J166" i="27"/>
  <c r="Y62" i="34" a="1"/>
  <c r="E165" i="27" s="1"/>
  <c r="J165" i="27" l="1"/>
  <c r="D34" i="27" s="1"/>
  <c r="K165" i="27"/>
  <c r="Y61" i="34" a="1"/>
  <c r="E164" i="27" s="1"/>
  <c r="K164" i="27" l="1"/>
  <c r="J164" i="27"/>
  <c r="Y60" i="34" a="1"/>
  <c r="E163" i="27" s="1"/>
  <c r="K163" i="27" l="1"/>
  <c r="J163" i="27"/>
  <c r="Y59" i="34" a="1"/>
  <c r="E162" i="27" s="1"/>
  <c r="J162" i="27" l="1"/>
  <c r="K162" i="27"/>
  <c r="Y58" i="34" a="1"/>
  <c r="E161" i="27" s="1"/>
  <c r="J161" i="27" l="1"/>
  <c r="K161" i="27"/>
  <c r="E160" i="27"/>
  <c r="K160" i="27" l="1"/>
  <c r="J160" i="27"/>
  <c r="Y57" i="34" a="1"/>
  <c r="E159" i="27" s="1"/>
  <c r="K159" i="27" l="1"/>
  <c r="J159" i="27"/>
  <c r="E158" i="27"/>
  <c r="K158" i="27" l="1"/>
  <c r="J158" i="27"/>
  <c r="Y56" i="34" a="1"/>
  <c r="E157" i="27" s="1"/>
  <c r="K157" i="27" l="1"/>
  <c r="J157" i="27"/>
  <c r="E156" i="27"/>
  <c r="J156" i="27" l="1"/>
  <c r="K156" i="27"/>
  <c r="E155" i="27"/>
  <c r="K155" i="27" l="1"/>
  <c r="J155" i="27"/>
  <c r="E154" i="27"/>
  <c r="J154" i="27" l="1"/>
  <c r="K154" i="27"/>
  <c r="Y54" i="34" a="1"/>
  <c r="E153" i="27" s="1"/>
  <c r="K153" i="27" l="1"/>
  <c r="J153" i="27"/>
  <c r="E152" i="27"/>
  <c r="J152" i="27" l="1"/>
  <c r="K152" i="27"/>
  <c r="E151" i="27"/>
  <c r="J151" i="27" l="1"/>
  <c r="K151" i="27"/>
  <c r="Y53" i="34" a="1"/>
  <c r="E150" i="27" s="1"/>
  <c r="K150" i="27" l="1"/>
  <c r="J150" i="27"/>
  <c r="Y52" i="34" a="1"/>
  <c r="E149" i="27" s="1"/>
  <c r="J149" i="27" l="1"/>
  <c r="K149" i="27"/>
  <c r="E148" i="27"/>
  <c r="J148" i="27" l="1"/>
  <c r="K148" i="27"/>
  <c r="E147" i="27"/>
  <c r="K147" i="27" l="1"/>
  <c r="J147" i="27"/>
  <c r="Y51" i="34" a="1"/>
  <c r="E146" i="27" s="1"/>
  <c r="J146" i="27" l="1"/>
  <c r="K146" i="27"/>
  <c r="E145" i="27"/>
  <c r="J145" i="27" l="1"/>
  <c r="K145" i="27"/>
  <c r="Y50" i="34" a="1"/>
  <c r="E144" i="27" s="1"/>
  <c r="J144" i="27" l="1"/>
  <c r="K144" i="27"/>
  <c r="E143" i="27"/>
  <c r="J143" i="27" l="1"/>
  <c r="K143" i="27"/>
  <c r="E35" i="27"/>
  <c r="E142" i="27" s="1"/>
  <c r="J142" i="27" l="1"/>
  <c r="K142" i="27"/>
  <c r="C35" i="27"/>
  <c r="E141" i="27" s="1"/>
  <c r="K141" i="27" l="1"/>
  <c r="J141" i="27"/>
  <c r="Y49" i="34" a="1"/>
  <c r="E140" i="27" s="1"/>
  <c r="J140" i="27" l="1"/>
  <c r="K140" i="27"/>
  <c r="E139" i="27"/>
  <c r="J139" i="27" l="1"/>
  <c r="K139" i="27"/>
  <c r="E36" i="27"/>
  <c r="E138" i="27" s="1"/>
  <c r="K138" i="27" l="1"/>
  <c r="J138" i="27"/>
  <c r="C36" i="27"/>
  <c r="E137" i="27" s="1"/>
  <c r="D32" i="27" l="1"/>
  <c r="D31" i="27"/>
  <c r="G31" i="27" s="1"/>
  <c r="K137" i="27"/>
  <c r="J137" i="27"/>
  <c r="Y48" i="34" a="1"/>
  <c r="E136" i="27" s="1"/>
  <c r="J136" i="27" l="1"/>
  <c r="K136" i="27"/>
  <c r="E135" i="27"/>
  <c r="K135" i="27" l="1"/>
  <c r="J135" i="27"/>
  <c r="E134" i="27"/>
  <c r="K134" i="27" l="1"/>
  <c r="J134" i="27"/>
  <c r="E133" i="27"/>
  <c r="J133" i="27" l="1"/>
  <c r="K133" i="27"/>
  <c r="Y47" i="34" a="1"/>
  <c r="E132" i="27" s="1"/>
  <c r="K132" i="27" l="1"/>
  <c r="J132" i="27"/>
  <c r="E131" i="27"/>
  <c r="K131" i="27" l="1"/>
  <c r="J131" i="27"/>
  <c r="Y46" i="34" a="1"/>
  <c r="E130" i="27" s="1"/>
  <c r="K130" i="27" l="1"/>
  <c r="J130" i="27"/>
  <c r="E129" i="27"/>
  <c r="K129" i="27" l="1"/>
  <c r="J129" i="27"/>
  <c r="Y45" i="34" a="1"/>
  <c r="E128" i="27" s="1"/>
  <c r="K128" i="27" l="1"/>
  <c r="J128" i="27"/>
  <c r="E127" i="27"/>
  <c r="J127" i="27" l="1"/>
  <c r="K127" i="27"/>
  <c r="E126" i="27"/>
  <c r="K126" i="27" l="1"/>
  <c r="J126" i="27"/>
  <c r="D35" i="27" s="1"/>
  <c r="E125" i="27"/>
  <c r="J125" i="27" l="1"/>
  <c r="K125" i="27"/>
  <c r="Y44" i="34" a="1"/>
  <c r="E124" i="27" s="1"/>
  <c r="K124" i="27" l="1"/>
  <c r="J124" i="27"/>
  <c r="E123" i="27"/>
  <c r="J123" i="27" l="1"/>
  <c r="K123" i="27"/>
  <c r="Y43" i="34" a="1"/>
  <c r="E122" i="27" s="1"/>
  <c r="K122" i="27" l="1"/>
  <c r="J122" i="27"/>
  <c r="D36" i="27" s="1"/>
  <c r="E121" i="27"/>
  <c r="J121" i="27" l="1"/>
  <c r="K121" i="27"/>
  <c r="Y42" i="34" a="1"/>
  <c r="E120" i="27" s="1"/>
  <c r="K120" i="27" l="1"/>
  <c r="J120" i="27"/>
  <c r="E119" i="27"/>
  <c r="J119" i="27" l="1"/>
  <c r="K119" i="27"/>
  <c r="Y41" i="34" a="1"/>
  <c r="E118" i="27" s="1"/>
  <c r="J118" i="27" l="1"/>
  <c r="K118" i="27"/>
  <c r="E33" i="27"/>
  <c r="E117" i="27" s="1"/>
  <c r="K117" i="27" l="1"/>
  <c r="J117" i="27"/>
  <c r="E116" i="27"/>
  <c r="K116" i="27" l="1"/>
  <c r="J116" i="27"/>
  <c r="E115" i="27"/>
  <c r="K115" i="27" l="1"/>
  <c r="J115" i="27"/>
  <c r="Y39" i="34" a="1"/>
  <c r="E114" i="27" s="1"/>
  <c r="J114" i="27" l="1"/>
  <c r="K114" i="27"/>
  <c r="Y38" i="34" a="1"/>
  <c r="E113" i="27" s="1"/>
  <c r="K113" i="27" l="1"/>
  <c r="J113" i="27"/>
  <c r="E112" i="27"/>
  <c r="K112" i="27" l="1"/>
  <c r="J112" i="27"/>
  <c r="Y37" i="34" a="1"/>
  <c r="E111" i="27" s="1"/>
  <c r="J111" i="27" l="1"/>
  <c r="K111" i="27"/>
  <c r="E110" i="27"/>
  <c r="K110" i="27" l="1"/>
  <c r="J110" i="27"/>
  <c r="Y36" i="34" a="1"/>
  <c r="E109" i="27" s="1"/>
  <c r="J109" i="27" l="1"/>
  <c r="K109" i="27"/>
  <c r="E108" i="27"/>
  <c r="G60" i="27" l="1"/>
  <c r="H60" i="27" s="1"/>
  <c r="F60" i="27"/>
  <c r="E60" i="27"/>
  <c r="K108" i="27"/>
  <c r="J108" i="27"/>
  <c r="Y35" i="34" a="1"/>
  <c r="E107" i="27" s="1"/>
  <c r="J107" i="27" l="1"/>
  <c r="D33" i="27" s="1"/>
  <c r="K107" i="27"/>
  <c r="E106" i="27"/>
  <c r="J106" i="27" l="1"/>
  <c r="K106" i="27"/>
  <c r="Y34" i="34" a="1"/>
  <c r="E105" i="27" s="1"/>
  <c r="J105" i="27" l="1"/>
  <c r="K105" i="27"/>
  <c r="Y33" i="34" a="1"/>
  <c r="E104" i="27" s="1"/>
  <c r="K104" i="27" l="1"/>
  <c r="J104" i="27"/>
  <c r="Y32" i="34" a="1"/>
  <c r="E103" i="27" s="1"/>
  <c r="K103" i="27" l="1"/>
  <c r="J103" i="27"/>
  <c r="G57" i="27"/>
  <c r="H57" i="27" s="1"/>
  <c r="F57" i="27"/>
  <c r="E57" i="27"/>
  <c r="E102" i="27"/>
  <c r="K102" i="27" l="1"/>
  <c r="F58" i="27"/>
  <c r="G58" i="27"/>
  <c r="H58" i="27" s="1"/>
  <c r="E58" i="27"/>
  <c r="J102" i="27"/>
  <c r="E101" i="27"/>
  <c r="K101" i="27" l="1"/>
  <c r="J101" i="27"/>
  <c r="E100" i="27"/>
  <c r="J100" i="27" l="1"/>
  <c r="K100" i="27"/>
  <c r="Y31" i="34" a="1"/>
  <c r="E99" i="27" s="1"/>
  <c r="J99" i="27" l="1"/>
  <c r="K99" i="27"/>
  <c r="E98" i="27"/>
  <c r="K98" i="27" l="1"/>
  <c r="J98" i="27"/>
  <c r="E97" i="27"/>
  <c r="K97" i="27" l="1"/>
  <c r="J97" i="27"/>
  <c r="Y30" i="34" a="1"/>
  <c r="E96" i="27" s="1"/>
  <c r="J96" i="27" l="1"/>
  <c r="K96" i="27"/>
  <c r="Y29" i="34" a="1"/>
  <c r="E95" i="27" s="1"/>
  <c r="K95" i="27" l="1"/>
  <c r="J95" i="27"/>
  <c r="E94" i="27"/>
  <c r="J94" i="27" l="1"/>
  <c r="K94" i="27"/>
  <c r="E93" i="27"/>
  <c r="J93" i="27" l="1"/>
  <c r="K93" i="27"/>
  <c r="E92" i="27"/>
  <c r="K92" i="27" l="1"/>
  <c r="J92" i="27"/>
  <c r="E91" i="27"/>
  <c r="J91" i="27" l="1"/>
  <c r="K91" i="27"/>
  <c r="E90" i="27"/>
  <c r="K90" i="27" l="1"/>
  <c r="J90" i="27"/>
  <c r="Y28" i="34" a="1"/>
  <c r="E89" i="27" s="1"/>
  <c r="J89" i="27" l="1"/>
  <c r="K89" i="27"/>
  <c r="Y27" i="34" a="1"/>
  <c r="E88" i="27" s="1"/>
  <c r="J88" i="27" l="1"/>
  <c r="K88" i="27"/>
  <c r="E87" i="27"/>
  <c r="J87" i="27" l="1"/>
  <c r="K87" i="27"/>
  <c r="E86" i="27"/>
  <c r="J86" i="27" l="1"/>
  <c r="K86" i="27"/>
  <c r="E85" i="27"/>
  <c r="K85" i="27" l="1"/>
  <c r="J85" i="27"/>
  <c r="Y26" i="34" a="1"/>
  <c r="E84" i="27" s="1"/>
  <c r="K84" i="27" l="1"/>
  <c r="J84" i="27"/>
  <c r="Y25" i="34" a="1"/>
  <c r="E83" i="27" s="1"/>
  <c r="K83" i="27" l="1"/>
  <c r="J83" i="27"/>
  <c r="E82" i="27"/>
  <c r="K82" i="27" l="1"/>
  <c r="J82" i="27"/>
  <c r="E81" i="27"/>
  <c r="K81" i="27" l="1"/>
  <c r="J81" i="27"/>
  <c r="Y24" i="34" a="1"/>
  <c r="E80" i="27" s="1"/>
  <c r="K80" i="27" l="1"/>
  <c r="J80" i="27"/>
  <c r="E79" i="27"/>
  <c r="E43" i="27" l="1"/>
  <c r="G43" i="27"/>
  <c r="J79" i="27"/>
  <c r="F43" i="27"/>
  <c r="K79" i="27"/>
  <c r="Y23" i="34" a="1"/>
  <c r="E78" i="27" s="1"/>
  <c r="J78" i="27" l="1"/>
  <c r="K78" i="27"/>
  <c r="E77" i="27"/>
  <c r="H43" i="27"/>
  <c r="J77" i="27" l="1"/>
  <c r="K77" i="27"/>
  <c r="Y22" i="34" a="1"/>
  <c r="E76" i="27" s="1"/>
  <c r="J76" i="27" l="1"/>
  <c r="K76" i="27"/>
  <c r="E75" i="27"/>
  <c r="J75" i="27" l="1"/>
  <c r="K75" i="27"/>
  <c r="Y21" i="34" a="1"/>
  <c r="E74" i="27" s="1"/>
  <c r="J74" i="27" l="1"/>
  <c r="G42" i="27"/>
  <c r="E42" i="27"/>
  <c r="K74" i="27"/>
  <c r="F42" i="27"/>
  <c r="E73" i="27"/>
  <c r="K73" i="27" l="1"/>
  <c r="J73" i="27"/>
  <c r="E72" i="27"/>
  <c r="J72" i="27" l="1"/>
  <c r="F47" i="27"/>
  <c r="G47" i="27"/>
  <c r="K72" i="27"/>
  <c r="E47" i="27"/>
  <c r="Y20" i="34" a="1"/>
  <c r="E71" i="27" s="1"/>
  <c r="E49" i="27" l="1"/>
  <c r="H49" i="27" s="1"/>
  <c r="G49" i="27"/>
  <c r="C26" i="27"/>
  <c r="F49" i="27"/>
  <c r="J71" i="27"/>
  <c r="K71" i="27"/>
  <c r="E70" i="27"/>
  <c r="H47" i="27"/>
  <c r="D26" i="27" l="1"/>
  <c r="F10" i="38" s="1"/>
  <c r="E10" i="38"/>
  <c r="B33" i="38" s="1"/>
  <c r="D33" i="38" s="1"/>
  <c r="J70" i="27"/>
  <c r="K70" i="27"/>
  <c r="G55" i="27"/>
  <c r="H55" i="27" s="1"/>
  <c r="E55" i="27"/>
  <c r="F55" i="27"/>
  <c r="Y9" i="34" a="1"/>
  <c r="E69" i="27" s="1"/>
  <c r="G59" i="27" l="1"/>
  <c r="H59" i="27" s="1"/>
  <c r="F59" i="27"/>
  <c r="E59" i="27"/>
  <c r="K69" i="27"/>
  <c r="J69" i="27"/>
  <c r="Y8" i="34" a="1"/>
  <c r="E68" i="27" s="1"/>
  <c r="K68" i="27" l="1"/>
  <c r="G44" i="27"/>
  <c r="F44" i="27"/>
  <c r="E44" i="27"/>
  <c r="J68" i="27"/>
  <c r="E67" i="27"/>
  <c r="F45" i="27" l="1"/>
  <c r="E45" i="27"/>
  <c r="G45" i="27"/>
  <c r="K67" i="27"/>
  <c r="F54" i="27"/>
  <c r="J67" i="27"/>
  <c r="E54" i="27"/>
  <c r="G54" i="27"/>
  <c r="Y7" i="34" a="1"/>
  <c r="E66" i="27" s="1"/>
  <c r="H44" i="27"/>
  <c r="F41" i="27" l="1"/>
  <c r="G41" i="27"/>
  <c r="E41" i="27"/>
  <c r="H45" i="27"/>
  <c r="H54" i="27"/>
  <c r="C17" i="27"/>
  <c r="G46" i="27"/>
  <c r="E46" i="27"/>
  <c r="F56" i="27"/>
  <c r="G56" i="27"/>
  <c r="E16" i="27"/>
  <c r="C10" i="27"/>
  <c r="E56" i="27"/>
  <c r="C7" i="27"/>
  <c r="F46" i="27"/>
  <c r="C25" i="27" a="1"/>
  <c r="D25" i="27" s="1"/>
  <c r="G25" i="27" a="1"/>
  <c r="J66" i="27"/>
  <c r="E17" i="27"/>
  <c r="K66" i="27"/>
  <c r="C8" i="27"/>
  <c r="C6" i="27"/>
  <c r="C9" i="27"/>
  <c r="B10" i="38" s="1"/>
  <c r="C10" i="38" s="1"/>
  <c r="G15" i="27"/>
  <c r="G14" i="27" s="1"/>
  <c r="F50" i="27" l="1"/>
  <c r="H41" i="27"/>
  <c r="G50" i="27"/>
  <c r="E50" i="27"/>
  <c r="C23" i="27" a="1"/>
  <c r="D17" i="27"/>
  <c r="G17" i="27" s="1"/>
  <c r="D16" i="27"/>
  <c r="F16" i="27"/>
  <c r="F17" i="27" a="1"/>
  <c r="C27" i="27"/>
  <c r="F61" i="27"/>
  <c r="F62" i="27" s="1"/>
  <c r="G27" i="27"/>
  <c r="B29" i="27"/>
  <c r="B8" i="38"/>
  <c r="F9" i="38"/>
  <c r="E9" i="38"/>
  <c r="B32" i="38" s="1"/>
  <c r="D32" i="38" s="1"/>
  <c r="H5" i="27"/>
  <c r="H6" i="27"/>
  <c r="C18" i="27"/>
  <c r="H7" i="27"/>
  <c r="F18" i="27"/>
  <c r="G18" i="27" s="1"/>
  <c r="H9" i="27"/>
  <c r="H8" i="27"/>
  <c r="H42" i="27"/>
  <c r="G61" i="27"/>
  <c r="B9" i="38"/>
  <c r="E61" i="27"/>
  <c r="E62" i="27" s="1"/>
  <c r="B7" i="38"/>
  <c r="D19" i="2" a="1"/>
  <c r="H46" i="27"/>
  <c r="H56" i="27"/>
  <c r="AK35" i="4" l="1"/>
  <c r="E7" i="38"/>
  <c r="B30" i="38" s="1"/>
  <c r="D23" i="27"/>
  <c r="F7" i="38" s="1"/>
  <c r="C24" i="27"/>
  <c r="G16" i="27"/>
  <c r="G23" i="27"/>
  <c r="B12" i="38"/>
  <c r="C8" i="38"/>
  <c r="D23" i="2" a="1"/>
  <c r="D21" i="2" a="1"/>
  <c r="E12" i="38"/>
  <c r="C9" i="38"/>
  <c r="C7" i="38"/>
  <c r="B13" i="38"/>
  <c r="H61" i="27"/>
  <c r="G62" i="27"/>
  <c r="H62" i="27" s="1"/>
  <c r="D24" i="2" l="1" a="1"/>
  <c r="E8" i="38"/>
  <c r="D24" i="27"/>
  <c r="B36" i="38"/>
  <c r="C68" i="38" s="1"/>
  <c r="C70" i="38" s="1"/>
  <c r="D30" i="38"/>
  <c r="B31" i="38" l="1"/>
  <c r="E11" i="38"/>
  <c r="D27" i="27"/>
  <c r="E24" i="27" s="1"/>
  <c r="F8" i="38"/>
  <c r="F11" i="38" s="1"/>
  <c r="D36" i="38"/>
  <c r="C69" i="38" s="1"/>
  <c r="C71" i="38" s="1"/>
  <c r="D70" i="38" l="1"/>
  <c r="D31" i="38"/>
  <c r="D34" i="38" s="1"/>
  <c r="B34" i="38"/>
  <c r="B37" i="38" s="1"/>
  <c r="D68" i="38" s="1"/>
  <c r="E23" i="27"/>
  <c r="E25" i="27"/>
  <c r="E26" i="27"/>
  <c r="E22" i="27"/>
  <c r="B39" i="38" l="1"/>
  <c r="B40" i="38"/>
  <c r="D37" i="38"/>
  <c r="D69" i="38" s="1"/>
  <c r="D71" i="38" s="1"/>
  <c r="B41" i="38"/>
  <c r="E27" i="27"/>
  <c r="D31" i="5" l="1"/>
  <c r="D63" i="5"/>
  <c r="E63" i="5" s="1"/>
  <c r="D30" i="5"/>
  <c r="D32" i="5"/>
  <c r="D33" i="5"/>
  <c r="L31" i="5" l="1"/>
  <c r="C31" i="5"/>
  <c r="D38" i="5"/>
  <c r="C30" i="5"/>
  <c r="C30" i="61" s="1"/>
  <c r="L30" i="5"/>
  <c r="M30" i="5" s="1"/>
  <c r="C32" i="5"/>
  <c r="C32" i="61" s="1"/>
  <c r="L32" i="5"/>
  <c r="M32" i="5" s="1"/>
  <c r="C33" i="5"/>
  <c r="C33" i="61" s="1"/>
  <c r="L33" i="5"/>
  <c r="M33" i="5" s="1"/>
  <c r="C31" i="61" l="1"/>
  <c r="D36" i="5"/>
  <c r="D34" i="5"/>
  <c r="M31" i="5"/>
  <c r="D35" i="5"/>
  <c r="D37" i="5"/>
  <c r="D64" i="5"/>
  <c r="E64" i="5" s="1"/>
  <c r="C38" i="5"/>
  <c r="C38" i="61" s="1"/>
  <c r="L38" i="5"/>
  <c r="M38" i="5" s="1"/>
  <c r="C36" i="5" l="1"/>
  <c r="C36" i="61" s="1"/>
  <c r="L36" i="5"/>
  <c r="M36" i="5" s="1"/>
  <c r="C34" i="5"/>
  <c r="L34" i="5"/>
  <c r="L35" i="5"/>
  <c r="M35" i="5" s="1"/>
  <c r="C35" i="5"/>
  <c r="C35" i="61" s="1"/>
  <c r="C37" i="5"/>
  <c r="C37" i="61" s="1"/>
  <c r="L37" i="5"/>
  <c r="M37" i="5" s="1"/>
  <c r="C34" i="61" l="1"/>
  <c r="C7" i="2"/>
  <c r="M34" i="5"/>
  <c r="C65" i="2" s="1"/>
  <c r="C61" i="2"/>
  <c r="D40" i="5"/>
  <c r="D39" i="5"/>
  <c r="D41" i="5"/>
  <c r="D65" i="5"/>
  <c r="E65" i="5" s="1"/>
  <c r="D42" i="5"/>
  <c r="L40" i="5" l="1"/>
  <c r="M40" i="5" s="1"/>
  <c r="C40" i="5"/>
  <c r="C40" i="61" s="1"/>
  <c r="C39" i="5"/>
  <c r="C39" i="61" s="1"/>
  <c r="L39" i="5"/>
  <c r="M39" i="5" s="1"/>
  <c r="L41" i="5"/>
  <c r="M41" i="5" s="1"/>
  <c r="C41" i="5"/>
  <c r="C41" i="61" s="1"/>
  <c r="L42" i="5"/>
  <c r="M42" i="5" s="1"/>
  <c r="C42" i="5"/>
  <c r="C42" i="61" s="1"/>
  <c r="D45" i="5" l="1"/>
  <c r="D66" i="5"/>
  <c r="E66" i="5" s="1"/>
  <c r="D43" i="5"/>
  <c r="D46" i="5"/>
  <c r="D44" i="5"/>
  <c r="C45" i="5" l="1"/>
  <c r="C45" i="61" s="1"/>
  <c r="L45" i="5"/>
  <c r="M45" i="5" s="1"/>
  <c r="C43" i="5"/>
  <c r="C43" i="61" s="1"/>
  <c r="L43" i="5"/>
  <c r="M43" i="5" s="1"/>
  <c r="C46" i="5"/>
  <c r="C46" i="61" s="1"/>
  <c r="L46" i="5"/>
  <c r="M46" i="5" s="1"/>
  <c r="C44" i="5"/>
  <c r="C44" i="61" s="1"/>
  <c r="L44" i="5"/>
  <c r="M44" i="5" s="1"/>
  <c r="D67" i="5" l="1"/>
  <c r="E67" i="5" s="1"/>
  <c r="D50" i="5"/>
  <c r="D51" i="5"/>
  <c r="D47" i="5"/>
  <c r="D49" i="5"/>
  <c r="D48" i="5"/>
  <c r="D55" i="5" l="1"/>
  <c r="L50" i="5"/>
  <c r="M50" i="5" s="1"/>
  <c r="C50" i="5"/>
  <c r="C50" i="61" s="1"/>
  <c r="C51" i="5"/>
  <c r="C51" i="61" s="1"/>
  <c r="L51" i="5"/>
  <c r="M51" i="5" s="1"/>
  <c r="C47" i="5"/>
  <c r="C47" i="61" s="1"/>
  <c r="L47" i="5"/>
  <c r="M47" i="5" s="1"/>
  <c r="L49" i="5"/>
  <c r="M49" i="5" s="1"/>
  <c r="C49" i="5"/>
  <c r="C49" i="61" s="1"/>
  <c r="L48" i="5"/>
  <c r="M48" i="5" s="1"/>
  <c r="C48" i="5"/>
  <c r="C48" i="61" s="1"/>
  <c r="D54" i="5" l="1"/>
  <c r="D52" i="5"/>
  <c r="C55" i="5"/>
  <c r="C55" i="61" s="1"/>
  <c r="L55" i="5"/>
  <c r="M55" i="5" s="1"/>
  <c r="D68" i="5"/>
  <c r="D53" i="5"/>
  <c r="C54" i="5" l="1"/>
  <c r="C54" i="61" s="1"/>
  <c r="L54" i="5"/>
  <c r="M54" i="5" s="1"/>
  <c r="C52" i="5"/>
  <c r="C52" i="61" s="1"/>
  <c r="L52" i="5"/>
  <c r="M52" i="5" s="1"/>
  <c r="E68" i="5"/>
  <c r="D56" i="5"/>
  <c r="C53" i="5"/>
  <c r="C53" i="61" s="1"/>
  <c r="L53" i="5"/>
  <c r="M53" i="5" s="1"/>
  <c r="L56" i="5" l="1"/>
  <c r="M56" i="5" s="1"/>
  <c r="C56" i="5"/>
  <c r="C56" i="61" s="1"/>
  <c r="E157" i="19" l="1" a="1"/>
  <c r="I157" i="19" a="1"/>
  <c r="B157" i="19" a="1"/>
  <c r="H157" i="19" a="1"/>
  <c r="J157" i="19" a="1"/>
  <c r="C157" i="19" a="1"/>
  <c r="D157" i="19" a="1"/>
  <c r="H159" i="19" a="1"/>
  <c r="D159" i="19" a="1"/>
  <c r="I159" i="19" a="1"/>
  <c r="B159" i="19" a="1"/>
  <c r="C159" i="19" a="1"/>
  <c r="J159" i="19" a="1"/>
  <c r="E159" i="19" a="1"/>
  <c r="J161" i="19" a="1"/>
  <c r="E161" i="19" a="1"/>
  <c r="B161" i="19" a="1"/>
  <c r="H161" i="19" a="1"/>
  <c r="D161" i="19" a="1"/>
  <c r="C161" i="19" a="1"/>
  <c r="I161" i="19" a="1"/>
  <c r="B163" i="19" a="1"/>
  <c r="J163" i="19" a="1"/>
  <c r="H163" i="19" a="1"/>
  <c r="E163" i="19" a="1"/>
  <c r="I163" i="19" a="1"/>
  <c r="D163" i="19" a="1"/>
  <c r="C163" i="19" a="1"/>
  <c r="D165" i="19" a="1"/>
  <c r="C165" i="19" a="1"/>
  <c r="H165" i="19" a="1"/>
  <c r="B165" i="19" a="1"/>
  <c r="E165" i="19" a="1"/>
  <c r="I165" i="19" a="1"/>
  <c r="J165" i="19" a="1"/>
  <c r="H167" i="19" a="1"/>
  <c r="J167" i="19" a="1"/>
  <c r="E167" i="19" a="1"/>
  <c r="D167" i="19" a="1"/>
  <c r="B167" i="19" a="1"/>
  <c r="I167" i="19" a="1"/>
  <c r="C167" i="19" a="1"/>
  <c r="I169" i="19" a="1"/>
  <c r="H169" i="19" a="1"/>
  <c r="E169" i="19" a="1"/>
  <c r="J169" i="19" a="1"/>
  <c r="B169" i="19" a="1"/>
  <c r="D169" i="19" a="1"/>
  <c r="C169" i="19" a="1"/>
  <c r="B171" i="19" a="1"/>
  <c r="I171" i="19" a="1"/>
  <c r="C171" i="19" a="1"/>
  <c r="H171" i="19" a="1"/>
  <c r="J171" i="19" a="1"/>
  <c r="E171" i="19" a="1"/>
  <c r="D171" i="19" a="1"/>
  <c r="J173" i="19" a="1"/>
  <c r="E173" i="19" a="1"/>
  <c r="C173" i="19" a="1"/>
  <c r="D173" i="19" a="1"/>
  <c r="I173" i="19" a="1"/>
  <c r="B173" i="19" a="1"/>
  <c r="H173" i="19" a="1"/>
  <c r="J175" i="19" a="1"/>
  <c r="I175" i="19" a="1"/>
  <c r="D175" i="19" a="1"/>
  <c r="E175" i="19" a="1"/>
  <c r="H175" i="19" a="1"/>
  <c r="B175" i="19" a="1"/>
  <c r="C175" i="19" a="1"/>
  <c r="H177" i="19" a="1"/>
  <c r="I177" i="19" a="1"/>
  <c r="E177" i="19" a="1"/>
  <c r="J177" i="19" a="1"/>
  <c r="C177" i="19" a="1"/>
  <c r="B177" i="19" a="1"/>
  <c r="D177" i="19" a="1"/>
  <c r="E179" i="19" a="1"/>
  <c r="J179" i="19" a="1"/>
  <c r="I179" i="19" a="1"/>
  <c r="B179" i="19" a="1"/>
  <c r="H179" i="19" a="1"/>
  <c r="C179" i="19" a="1"/>
  <c r="D179" i="19" a="1"/>
  <c r="I181" i="19" a="1"/>
  <c r="H181" i="19" a="1"/>
  <c r="B181" i="19" a="1"/>
  <c r="C181" i="19" a="1"/>
  <c r="D181" i="19" a="1"/>
  <c r="J181" i="19" a="1"/>
  <c r="E181" i="19" a="1"/>
  <c r="E158" i="19" a="1"/>
  <c r="I158" i="19" a="1"/>
  <c r="J158" i="19" a="1"/>
  <c r="B158" i="19" a="1"/>
  <c r="H158" i="19" a="1"/>
  <c r="C158" i="19" a="1"/>
  <c r="D158" i="19" a="1"/>
  <c r="E160" i="19" a="1"/>
  <c r="H160" i="19" a="1"/>
  <c r="B160" i="19" a="1"/>
  <c r="C160" i="19" a="1"/>
  <c r="J160" i="19" a="1"/>
  <c r="I160" i="19" a="1"/>
  <c r="D160" i="19" a="1"/>
  <c r="I162" i="19" a="1"/>
  <c r="E162" i="19" a="1"/>
  <c r="J162" i="19" a="1"/>
  <c r="B162" i="19" a="1"/>
  <c r="H162" i="19" a="1"/>
  <c r="D162" i="19" a="1"/>
  <c r="C162" i="19" a="1"/>
  <c r="D164" i="19" a="1"/>
  <c r="J164" i="19" a="1"/>
  <c r="C164" i="19" a="1"/>
  <c r="H164" i="19" a="1"/>
  <c r="E164" i="19" a="1"/>
  <c r="I164" i="19" a="1"/>
  <c r="B164" i="19" a="1"/>
  <c r="J166" i="19" a="1"/>
  <c r="C166" i="19" a="1"/>
  <c r="H166" i="19" a="1"/>
  <c r="E166" i="19" a="1"/>
  <c r="D166" i="19" a="1"/>
  <c r="I166" i="19" a="1"/>
  <c r="B166" i="19" a="1"/>
  <c r="E168" i="19" a="1"/>
  <c r="B168" i="19" a="1"/>
  <c r="I168" i="19" a="1"/>
  <c r="C168" i="19" a="1"/>
  <c r="J168" i="19" a="1"/>
  <c r="D168" i="19" a="1"/>
  <c r="H168" i="19" a="1"/>
  <c r="H170" i="19" a="1"/>
  <c r="I170" i="19" a="1"/>
  <c r="D170" i="19" a="1"/>
  <c r="C170" i="19" a="1"/>
  <c r="B170" i="19" a="1"/>
  <c r="E170" i="19" a="1"/>
  <c r="J170" i="19" a="1"/>
  <c r="B172" i="19" a="1"/>
  <c r="E172" i="19" a="1"/>
  <c r="D172" i="19" a="1"/>
  <c r="H172" i="19" a="1"/>
  <c r="I172" i="19" a="1"/>
  <c r="J172" i="19" a="1"/>
  <c r="C172" i="19" a="1"/>
  <c r="I174" i="19" a="1"/>
  <c r="B174" i="19" a="1"/>
  <c r="H174" i="19" a="1"/>
  <c r="C174" i="19" a="1"/>
  <c r="J174" i="19" a="1"/>
  <c r="E174" i="19" a="1"/>
  <c r="D174" i="19" a="1"/>
  <c r="E176" i="19" a="1"/>
  <c r="B176" i="19" a="1"/>
  <c r="I176" i="19" a="1"/>
  <c r="D176" i="19" a="1"/>
  <c r="C176" i="19" a="1"/>
  <c r="J176" i="19" a="1"/>
  <c r="H176" i="19" a="1"/>
  <c r="H178" i="19" a="1"/>
  <c r="D178" i="19" a="1"/>
  <c r="E178" i="19" a="1"/>
  <c r="B178" i="19" a="1"/>
  <c r="C178" i="19" a="1"/>
  <c r="J178" i="19" a="1"/>
  <c r="I178" i="19" a="1"/>
  <c r="C180" i="19" a="1"/>
  <c r="H180" i="19" a="1"/>
  <c r="D180" i="19" a="1"/>
  <c r="J180" i="19" a="1"/>
  <c r="E180" i="19" a="1"/>
  <c r="I180" i="19" a="1"/>
  <c r="B180" i="19" a="1"/>
  <c r="J246" i="27" l="1"/>
  <c r="K246" i="27"/>
  <c r="G79" i="2" s="1"/>
  <c r="G76" i="2" s="1"/>
  <c r="G73" i="2" s="1"/>
  <c r="H25" i="2" s="1"/>
  <c r="H19" i="2" s="1"/>
  <c r="K180" i="19" s="1" a="1"/>
  <c r="K179" i="19" s="1" a="1"/>
  <c r="F177" i="19" s="1"/>
  <c r="K177" i="19" s="1" a="1"/>
  <c r="K176" i="19" s="1" a="1"/>
  <c r="K174" i="19" s="1" a="1"/>
  <c r="K173" i="19" s="1" a="1"/>
  <c r="K171" i="19" s="1" a="1"/>
  <c r="K170" i="19" s="1" a="1"/>
  <c r="F168" i="19" s="1"/>
  <c r="K168" i="19" s="1" a="1"/>
  <c r="K167" i="19" s="1" a="1"/>
  <c r="K165" i="19" s="1" a="1"/>
  <c r="K164" i="19" s="1" a="1"/>
  <c r="K161" i="19" s="1" a="1"/>
  <c r="H20" i="19" l="1" a="1"/>
  <c r="B20" i="19" a="1"/>
  <c r="D20" i="19" a="1"/>
  <c r="J20" i="19" a="1"/>
  <c r="C20" i="19" a="1"/>
  <c r="K20" i="19" s="1" a="1"/>
  <c r="I20" i="19" a="1"/>
  <c r="B24" i="19" a="1"/>
  <c r="I24" i="19" a="1"/>
  <c r="D24" i="19" a="1"/>
  <c r="H24" i="19" a="1"/>
  <c r="C24" i="19" a="1"/>
  <c r="K24" i="19" s="1" a="1"/>
  <c r="J24" i="19" a="1"/>
  <c r="B32" i="19" a="1"/>
  <c r="I32" i="19" a="1"/>
  <c r="D32" i="19" a="1"/>
  <c r="C32" i="19" a="1"/>
  <c r="H32" i="19" a="1"/>
  <c r="J32" i="19" a="1"/>
  <c r="H40" i="19" a="1"/>
  <c r="I40" i="19" a="1"/>
  <c r="D40" i="19" a="1"/>
  <c r="J40" i="19" a="1"/>
  <c r="B40" i="19" a="1"/>
  <c r="C40" i="19" a="1"/>
  <c r="D48" i="19" a="1"/>
  <c r="I48" i="19" a="1"/>
  <c r="B48" i="19" a="1"/>
  <c r="J48" i="19" a="1"/>
  <c r="H48" i="19" a="1"/>
  <c r="C48" i="19" a="1"/>
  <c r="H72" i="19" a="1"/>
  <c r="I72" i="19" a="1"/>
  <c r="D72" i="19" a="1"/>
  <c r="C72" i="19" a="1"/>
  <c r="G72" i="19" s="1" a="1"/>
  <c r="J72" i="19" a="1"/>
  <c r="B72" i="19" a="1"/>
  <c r="E72" i="19" a="1"/>
  <c r="J79" i="19" a="1"/>
  <c r="H79" i="19" a="1"/>
  <c r="I79" i="19" a="1"/>
  <c r="B79" i="19" a="1"/>
  <c r="C79" i="19" a="1"/>
  <c r="D79" i="19" a="1"/>
  <c r="E79" i="19" a="1"/>
  <c r="I22" i="19" a="1"/>
  <c r="J22" i="19" a="1"/>
  <c r="B22" i="19" a="1"/>
  <c r="D22" i="19" a="1"/>
  <c r="H22" i="19" a="1"/>
  <c r="C22" i="19" a="1"/>
  <c r="K22" i="19" s="1" a="1"/>
  <c r="G22" i="19" a="1"/>
  <c r="H34" i="19" a="1"/>
  <c r="J34" i="19" a="1"/>
  <c r="B34" i="19" a="1"/>
  <c r="D34" i="19" a="1"/>
  <c r="F34" i="19" s="1"/>
  <c r="C34" i="19" a="1"/>
  <c r="I34" i="19" a="1"/>
  <c r="G34" i="19" a="1"/>
  <c r="B38" i="19" a="1"/>
  <c r="H38" i="19" a="1"/>
  <c r="J38" i="19" a="1"/>
  <c r="I38" i="19" a="1"/>
  <c r="C38" i="19" a="1"/>
  <c r="D38" i="19" a="1"/>
  <c r="G38" i="19" a="1"/>
  <c r="H80" i="19" a="1"/>
  <c r="B80" i="19" a="1"/>
  <c r="I80" i="19" a="1"/>
  <c r="C80" i="19" a="1"/>
  <c r="J80" i="19" a="1"/>
  <c r="D80" i="19" a="1"/>
  <c r="J109" i="19" a="1"/>
  <c r="I109" i="19" a="1"/>
  <c r="D109" i="19" a="1"/>
  <c r="H109" i="19" a="1"/>
  <c r="C109" i="19" a="1"/>
  <c r="B109" i="19" a="1"/>
  <c r="E109" i="19" a="1"/>
  <c r="D113" i="19" a="1"/>
  <c r="F113" i="19" s="1"/>
  <c r="I113" i="19" a="1"/>
  <c r="C113" i="19" a="1"/>
  <c r="B113" i="19" a="1"/>
  <c r="J113" i="19" a="1"/>
  <c r="H113" i="19" a="1"/>
  <c r="C121" i="19" a="1"/>
  <c r="G121" i="19" a="1"/>
  <c r="D121" i="19" a="1"/>
  <c r="E121" i="19" a="1"/>
  <c r="B121" i="19" a="1"/>
  <c r="J121" i="19" a="1"/>
  <c r="I121" i="19" a="1"/>
  <c r="H121" i="19" a="1"/>
  <c r="H125" i="19" a="1"/>
  <c r="J125" i="19" a="1"/>
  <c r="I125" i="19" a="1"/>
  <c r="G125" i="19" a="1"/>
  <c r="C125" i="19" a="1"/>
  <c r="B125" i="19" a="1"/>
  <c r="D125" i="19" a="1"/>
  <c r="E125" i="19" a="1"/>
  <c r="J129" i="19" a="1"/>
  <c r="E129" i="19" a="1"/>
  <c r="I129" i="19" a="1"/>
  <c r="G129" i="19" a="1"/>
  <c r="B129" i="19" a="1"/>
  <c r="C129" i="19" a="1"/>
  <c r="D129" i="19" a="1"/>
  <c r="H129" i="19" a="1"/>
  <c r="J133" i="19" a="1"/>
  <c r="G133" i="19" a="1"/>
  <c r="B133" i="19" a="1"/>
  <c r="C133" i="19" a="1"/>
  <c r="D133" i="19" a="1"/>
  <c r="H133" i="19" a="1"/>
  <c r="I133" i="19" a="1"/>
  <c r="E133" i="19" a="1"/>
  <c r="B28" i="19" a="1"/>
  <c r="J28" i="19" a="1"/>
  <c r="C28" i="19" a="1"/>
  <c r="H28" i="19" a="1"/>
  <c r="D28" i="19" a="1"/>
  <c r="F28" i="19" s="1"/>
  <c r="I28" i="19" a="1"/>
  <c r="I36" i="19" a="1"/>
  <c r="H36" i="19" a="1"/>
  <c r="B36" i="19" a="1"/>
  <c r="C36" i="19" a="1"/>
  <c r="J36" i="19" a="1"/>
  <c r="D36" i="19" a="1"/>
  <c r="J44" i="19" a="1"/>
  <c r="C44" i="19" a="1"/>
  <c r="E44" i="19" s="1" a="1"/>
  <c r="D44" i="19" a="1"/>
  <c r="I44" i="19" a="1"/>
  <c r="B44" i="19" a="1"/>
  <c r="H44" i="19" a="1"/>
  <c r="D52" i="19" a="1"/>
  <c r="F52" i="19" s="1"/>
  <c r="I52" i="19" a="1"/>
  <c r="B52" i="19" a="1"/>
  <c r="H52" i="19" a="1"/>
  <c r="J52" i="19" a="1"/>
  <c r="C52" i="19" a="1"/>
  <c r="K52" i="19" s="1" a="1"/>
  <c r="G52" i="19" a="1"/>
  <c r="I56" i="19" a="1"/>
  <c r="H56" i="19" a="1"/>
  <c r="C56" i="19" a="1"/>
  <c r="D56" i="19" a="1"/>
  <c r="J56" i="19" a="1"/>
  <c r="G56" i="19" a="1"/>
  <c r="B56" i="19" a="1"/>
  <c r="B60" i="19" a="1"/>
  <c r="C60" i="19" a="1"/>
  <c r="D60" i="19" a="1"/>
  <c r="I60" i="19" a="1"/>
  <c r="J60" i="19" a="1"/>
  <c r="H60" i="19" a="1"/>
  <c r="E60" i="19" a="1"/>
  <c r="G60" i="19" a="1"/>
  <c r="H64" i="19" a="1"/>
  <c r="I64" i="19" a="1"/>
  <c r="C64" i="19" a="1"/>
  <c r="D64" i="19" a="1"/>
  <c r="F64" i="19" s="1"/>
  <c r="J64" i="19" a="1"/>
  <c r="B64" i="19" a="1"/>
  <c r="J68" i="19" a="1"/>
  <c r="I68" i="19" a="1"/>
  <c r="B68" i="19" a="1"/>
  <c r="H68" i="19" a="1"/>
  <c r="C68" i="19" a="1"/>
  <c r="E68" i="19" s="1" a="1"/>
  <c r="D68" i="19" a="1"/>
  <c r="F68" i="19" s="1"/>
  <c r="G68" i="19" a="1"/>
  <c r="C18" i="19" a="1"/>
  <c r="H18" i="19" a="1"/>
  <c r="B18" i="19" a="1"/>
  <c r="J18" i="19" a="1"/>
  <c r="D18" i="19" a="1"/>
  <c r="I18" i="19" a="1"/>
  <c r="J26" i="19" a="1"/>
  <c r="H26" i="19" a="1"/>
  <c r="D26" i="19" a="1"/>
  <c r="I26" i="19" a="1"/>
  <c r="C26" i="19" a="1"/>
  <c r="B26" i="19" a="1"/>
  <c r="I30" i="19" a="1"/>
  <c r="H30" i="19" a="1"/>
  <c r="D30" i="19" a="1"/>
  <c r="C30" i="19" a="1"/>
  <c r="G30" i="19" s="1" a="1"/>
  <c r="B30" i="19" a="1"/>
  <c r="J30" i="19" a="1"/>
  <c r="C42" i="19" a="1"/>
  <c r="D42" i="19" a="1"/>
  <c r="B42" i="19" a="1"/>
  <c r="J42" i="19" a="1"/>
  <c r="I42" i="19" a="1"/>
  <c r="H42" i="19" a="1"/>
  <c r="E42" i="19" a="1"/>
  <c r="C46" i="19" a="1"/>
  <c r="E46" i="19" s="1" a="1"/>
  <c r="J46" i="19" a="1"/>
  <c r="D46" i="19" a="1"/>
  <c r="I46" i="19" a="1"/>
  <c r="B46" i="19" a="1"/>
  <c r="H46" i="19" a="1"/>
  <c r="C50" i="19" a="1"/>
  <c r="I50" i="19" a="1"/>
  <c r="J50" i="19" a="1"/>
  <c r="D50" i="19" a="1"/>
  <c r="F50" i="19" s="1"/>
  <c r="B50" i="19" a="1"/>
  <c r="H50" i="19" a="1"/>
  <c r="C54" i="19" a="1"/>
  <c r="H54" i="19" a="1"/>
  <c r="J54" i="19" a="1"/>
  <c r="D54" i="19" a="1"/>
  <c r="B54" i="19" a="1"/>
  <c r="I54" i="19" a="1"/>
  <c r="G54" i="19" a="1"/>
  <c r="C58" i="19" a="1"/>
  <c r="I58" i="19" a="1"/>
  <c r="B58" i="19" a="1"/>
  <c r="J58" i="19" a="1"/>
  <c r="D58" i="19" a="1"/>
  <c r="H58" i="19" a="1"/>
  <c r="E58" i="19" a="1"/>
  <c r="J62" i="19" a="1"/>
  <c r="I62" i="19" a="1"/>
  <c r="D62" i="19" a="1"/>
  <c r="F62" i="19" s="1"/>
  <c r="H62" i="19" a="1"/>
  <c r="C62" i="19" a="1"/>
  <c r="B62" i="19" a="1"/>
  <c r="H66" i="19" a="1"/>
  <c r="D66" i="19" a="1"/>
  <c r="I66" i="19" a="1"/>
  <c r="B66" i="19" a="1"/>
  <c r="C66" i="19" a="1"/>
  <c r="J66" i="19" a="1"/>
  <c r="G66" i="19" a="1"/>
  <c r="E66" i="19" a="1"/>
  <c r="H70" i="19" a="1"/>
  <c r="C70" i="19" a="1"/>
  <c r="G70" i="19" s="1" a="1"/>
  <c r="E70" i="19" a="1"/>
  <c r="D70" i="19" a="1"/>
  <c r="F70" i="19" s="1"/>
  <c r="B70" i="19" a="1"/>
  <c r="J70" i="19" a="1"/>
  <c r="I70" i="19" a="1"/>
  <c r="J74" i="19" a="1"/>
  <c r="H74" i="19" a="1"/>
  <c r="D74" i="19" a="1"/>
  <c r="I74" i="19" a="1"/>
  <c r="C74" i="19" a="1"/>
  <c r="B74" i="19" a="1"/>
  <c r="G74" i="19" a="1"/>
  <c r="E74" i="19" a="1"/>
  <c r="J85" i="19" a="1"/>
  <c r="D85" i="19" a="1"/>
  <c r="F85" i="19" s="1"/>
  <c r="C85" i="19" a="1"/>
  <c r="B85" i="19" a="1"/>
  <c r="H85" i="19" a="1"/>
  <c r="I85" i="19" a="1"/>
  <c r="G85" i="19" a="1"/>
  <c r="I89" i="19" a="1"/>
  <c r="B89" i="19" a="1"/>
  <c r="D89" i="19" a="1"/>
  <c r="J89" i="19" a="1"/>
  <c r="H89" i="19" a="1"/>
  <c r="C89" i="19" a="1"/>
  <c r="K89" i="19" s="1" a="1"/>
  <c r="G89" i="19" a="1"/>
  <c r="E89" i="19" a="1"/>
  <c r="B93" i="19" a="1"/>
  <c r="C93" i="19" a="1"/>
  <c r="D93" i="19" a="1"/>
  <c r="F93" i="19" s="1"/>
  <c r="J93" i="19" a="1"/>
  <c r="I93" i="19" a="1"/>
  <c r="H93" i="19" a="1"/>
  <c r="E93" i="19" a="1"/>
  <c r="G93" i="19" a="1"/>
  <c r="H97" i="19" a="1"/>
  <c r="I97" i="19" a="1"/>
  <c r="J97" i="19" a="1"/>
  <c r="B97" i="19" a="1"/>
  <c r="C97" i="19" a="1"/>
  <c r="K97" i="19" s="1" a="1"/>
  <c r="D97" i="19" a="1"/>
  <c r="F97" i="19" s="1"/>
  <c r="H101" i="19" a="1"/>
  <c r="B101" i="19" a="1"/>
  <c r="D101" i="19" a="1"/>
  <c r="F101" i="19" s="1"/>
  <c r="J101" i="19" a="1"/>
  <c r="I101" i="19" a="1"/>
  <c r="C101" i="19" a="1"/>
  <c r="K101" i="19" s="1" a="1"/>
  <c r="J105" i="19" a="1"/>
  <c r="C105" i="19" a="1"/>
  <c r="B105" i="19" a="1"/>
  <c r="H105" i="19" a="1"/>
  <c r="D105" i="19" a="1"/>
  <c r="I105" i="19" a="1"/>
  <c r="G105" i="19" a="1"/>
  <c r="E105" i="19" a="1"/>
  <c r="H117" i="19" a="1"/>
  <c r="J117" i="19" a="1"/>
  <c r="C117" i="19" a="1"/>
  <c r="B117" i="19" a="1"/>
  <c r="D117" i="19" a="1"/>
  <c r="E117" i="19" a="1"/>
  <c r="G117" i="19" a="1"/>
  <c r="I117" i="19" a="1"/>
  <c r="B19" i="19" a="1"/>
  <c r="I19" i="19" a="1"/>
  <c r="D19" i="19" a="1"/>
  <c r="J19" i="19" a="1"/>
  <c r="C19" i="19" a="1"/>
  <c r="H19" i="19" a="1"/>
  <c r="J23" i="19" a="1"/>
  <c r="D23" i="19" a="1"/>
  <c r="B23" i="19" a="1"/>
  <c r="H23" i="19" a="1"/>
  <c r="I23" i="19" a="1"/>
  <c r="C23" i="19" a="1"/>
  <c r="C27" i="19" a="1"/>
  <c r="B27" i="19" a="1"/>
  <c r="H27" i="19" a="1"/>
  <c r="D27" i="19" a="1"/>
  <c r="J27" i="19" a="1"/>
  <c r="I27" i="19" a="1"/>
  <c r="B31" i="19" a="1"/>
  <c r="D31" i="19" a="1"/>
  <c r="J31" i="19" a="1"/>
  <c r="H31" i="19" a="1"/>
  <c r="C31" i="19" a="1"/>
  <c r="I31" i="19" a="1"/>
  <c r="C35" i="19" a="1"/>
  <c r="D35" i="19" a="1"/>
  <c r="I35" i="19" a="1"/>
  <c r="J35" i="19" a="1"/>
  <c r="H35" i="19" a="1"/>
  <c r="B35" i="19" a="1"/>
  <c r="I39" i="19" a="1"/>
  <c r="B39" i="19" a="1"/>
  <c r="J39" i="19" a="1"/>
  <c r="C39" i="19" a="1"/>
  <c r="H39" i="19" a="1"/>
  <c r="D39" i="19" a="1"/>
  <c r="F39" i="19" s="1"/>
  <c r="F38" i="19" s="1"/>
  <c r="B43" i="19" a="1"/>
  <c r="J43" i="19" a="1"/>
  <c r="H43" i="19" a="1"/>
  <c r="D43" i="19" a="1"/>
  <c r="I43" i="19" a="1"/>
  <c r="C43" i="19" a="1"/>
  <c r="J47" i="19" a="1"/>
  <c r="H47" i="19" a="1"/>
  <c r="B47" i="19" a="1"/>
  <c r="I47" i="19" a="1"/>
  <c r="D47" i="19" a="1"/>
  <c r="F47" i="19" s="1"/>
  <c r="C47" i="19" a="1"/>
  <c r="E47" i="19" a="1"/>
  <c r="G47" i="19" a="1"/>
  <c r="I17" i="19" a="1"/>
  <c r="B17" i="19" a="1"/>
  <c r="D17" i="19" a="1"/>
  <c r="C17" i="19" a="1"/>
  <c r="K17" i="19" s="1" a="1"/>
  <c r="H17" i="19" a="1"/>
  <c r="J17" i="19" a="1"/>
  <c r="H21" i="19" a="1"/>
  <c r="D21" i="19" a="1"/>
  <c r="C21" i="19" a="1"/>
  <c r="B21" i="19" a="1"/>
  <c r="I21" i="19" a="1"/>
  <c r="J21" i="19" a="1"/>
  <c r="H25" i="19" a="1"/>
  <c r="J25" i="19" a="1"/>
  <c r="B25" i="19" a="1"/>
  <c r="I25" i="19" a="1"/>
  <c r="D25" i="19" a="1"/>
  <c r="C25" i="19" a="1"/>
  <c r="K25" i="19" s="1" a="1"/>
  <c r="J29" i="19" a="1"/>
  <c r="H29" i="19" a="1"/>
  <c r="B29" i="19" a="1"/>
  <c r="I29" i="19" a="1"/>
  <c r="D29" i="19" a="1"/>
  <c r="C29" i="19" a="1"/>
  <c r="K29" i="19" s="1" a="1"/>
  <c r="J33" i="19" a="1"/>
  <c r="I33" i="19" a="1"/>
  <c r="B33" i="19" a="1"/>
  <c r="D33" i="19" a="1"/>
  <c r="C33" i="19" a="1"/>
  <c r="K33" i="19" s="1" a="1"/>
  <c r="H33" i="19" a="1"/>
  <c r="I37" i="19" a="1"/>
  <c r="D37" i="19" a="1"/>
  <c r="H37" i="19" a="1"/>
  <c r="C37" i="19" a="1"/>
  <c r="J37" i="19" a="1"/>
  <c r="B37" i="19" a="1"/>
  <c r="J41" i="19" a="1"/>
  <c r="B41" i="19" a="1"/>
  <c r="C41" i="19" a="1"/>
  <c r="E41" i="19" s="1" a="1"/>
  <c r="I41" i="19" a="1"/>
  <c r="H41" i="19" a="1"/>
  <c r="G41" i="19" a="1"/>
  <c r="D41" i="19" a="1"/>
  <c r="D45" i="19" a="1"/>
  <c r="F45" i="19" s="1"/>
  <c r="H45" i="19" a="1"/>
  <c r="I45" i="19" a="1"/>
  <c r="B45" i="19" a="1"/>
  <c r="J45" i="19" a="1"/>
  <c r="C45" i="19" a="1"/>
  <c r="H49" i="19" a="1"/>
  <c r="J49" i="19" a="1"/>
  <c r="D49" i="19" a="1"/>
  <c r="F49" i="19" s="1"/>
  <c r="C49" i="19" a="1"/>
  <c r="B49" i="19" a="1"/>
  <c r="I49" i="19" a="1"/>
  <c r="C77" i="19" a="1"/>
  <c r="B77" i="19" a="1"/>
  <c r="H77" i="19" a="1"/>
  <c r="J77" i="19" a="1"/>
  <c r="I77" i="19" a="1"/>
  <c r="D77" i="19" a="1"/>
  <c r="E77" i="19" a="1"/>
  <c r="G77" i="19" a="1"/>
  <c r="C78" i="19" a="1"/>
  <c r="J78" i="19" a="1"/>
  <c r="I78" i="19" a="1"/>
  <c r="B78" i="19" a="1"/>
  <c r="H78" i="19" a="1"/>
  <c r="D78" i="19" a="1"/>
  <c r="G78" i="19" a="1"/>
  <c r="E78" i="19" a="1"/>
  <c r="H86" i="19" a="1"/>
  <c r="B86" i="19" a="1"/>
  <c r="J86" i="19" a="1"/>
  <c r="I86" i="19" a="1"/>
  <c r="C86" i="19" a="1"/>
  <c r="D86" i="19" a="1"/>
  <c r="F86" i="19" s="1"/>
  <c r="E86" i="19" a="1"/>
  <c r="D90" i="19" a="1"/>
  <c r="F90" i="19" s="1"/>
  <c r="J90" i="19" a="1"/>
  <c r="H90" i="19" a="1"/>
  <c r="C90" i="19" a="1"/>
  <c r="B90" i="19" a="1"/>
  <c r="I90" i="19" a="1"/>
  <c r="J94" i="19" a="1"/>
  <c r="I94" i="19" a="1"/>
  <c r="B94" i="19" a="1"/>
  <c r="C94" i="19" a="1"/>
  <c r="K94" i="19" s="1" a="1"/>
  <c r="H94" i="19" a="1"/>
  <c r="D94" i="19" a="1"/>
  <c r="G94" i="19" a="1"/>
  <c r="C98" i="19" a="1"/>
  <c r="D98" i="19" a="1"/>
  <c r="F98" i="19" s="1"/>
  <c r="J98" i="19" a="1"/>
  <c r="I98" i="19" a="1"/>
  <c r="H98" i="19" a="1"/>
  <c r="B98" i="19" a="1"/>
  <c r="B102" i="19" a="1"/>
  <c r="J102" i="19" a="1"/>
  <c r="H102" i="19" a="1"/>
  <c r="C102" i="19" a="1"/>
  <c r="K102" i="19" s="1" a="1"/>
  <c r="I102" i="19" a="1"/>
  <c r="D102" i="19" a="1"/>
  <c r="E102" i="19" a="1"/>
  <c r="H106" i="19" a="1"/>
  <c r="B106" i="19" a="1"/>
  <c r="D106" i="19" a="1"/>
  <c r="I106" i="19" a="1"/>
  <c r="C106" i="19" a="1"/>
  <c r="J106" i="19" a="1"/>
  <c r="H110" i="19" a="1"/>
  <c r="B110" i="19" a="1"/>
  <c r="I110" i="19" a="1"/>
  <c r="C110" i="19" a="1"/>
  <c r="D110" i="19" a="1"/>
  <c r="J110" i="19" a="1"/>
  <c r="E110" i="19" a="1"/>
  <c r="J114" i="19" a="1"/>
  <c r="H114" i="19" a="1"/>
  <c r="B114" i="19" a="1"/>
  <c r="C114" i="19" a="1"/>
  <c r="D114" i="19" a="1"/>
  <c r="F114" i="19" s="1"/>
  <c r="I114" i="19" a="1"/>
  <c r="H118" i="19" a="1"/>
  <c r="D118" i="19" a="1"/>
  <c r="F118" i="19" s="1"/>
  <c r="B118" i="19" a="1"/>
  <c r="C118" i="19" a="1"/>
  <c r="J118" i="19" a="1"/>
  <c r="I118" i="19" a="1"/>
  <c r="H122" i="19" a="1"/>
  <c r="G122" i="19" a="1"/>
  <c r="D122" i="19" a="1"/>
  <c r="F122" i="19" s="1"/>
  <c r="C122" i="19" a="1"/>
  <c r="J122" i="19" a="1"/>
  <c r="I122" i="19" a="1"/>
  <c r="B122" i="19" a="1"/>
  <c r="E122" i="19" a="1"/>
  <c r="D126" i="19" a="1"/>
  <c r="F126" i="19" s="1"/>
  <c r="G126" i="19" a="1"/>
  <c r="J126" i="19" a="1"/>
  <c r="E126" i="19" a="1"/>
  <c r="B126" i="19" a="1"/>
  <c r="C126" i="19" a="1"/>
  <c r="I126" i="19" a="1"/>
  <c r="H126" i="19" a="1"/>
  <c r="I130" i="19" a="1"/>
  <c r="H130" i="19" a="1"/>
  <c r="C130" i="19" a="1"/>
  <c r="J130" i="19" a="1"/>
  <c r="D130" i="19" a="1"/>
  <c r="B130" i="19" a="1"/>
  <c r="E130" i="19" a="1"/>
  <c r="B134" i="19" a="1"/>
  <c r="E134" i="19" a="1"/>
  <c r="C134" i="19" a="1"/>
  <c r="I134" i="19" a="1"/>
  <c r="D134" i="19" a="1"/>
  <c r="F134" i="19" s="1"/>
  <c r="G130" i="19" s="1" a="1"/>
  <c r="J134" i="19" a="1"/>
  <c r="H134" i="19" a="1"/>
  <c r="G134" i="19" a="1"/>
  <c r="B51" i="19" a="1"/>
  <c r="H51" i="19" a="1"/>
  <c r="I51" i="19" a="1"/>
  <c r="C51" i="19" a="1"/>
  <c r="D51" i="19" a="1"/>
  <c r="J51" i="19" a="1"/>
  <c r="E51" i="19" a="1"/>
  <c r="C53" i="19" a="1"/>
  <c r="H53" i="19" a="1"/>
  <c r="I53" i="19" a="1"/>
  <c r="J53" i="19" a="1"/>
  <c r="B53" i="19" a="1"/>
  <c r="D53" i="19" a="1"/>
  <c r="F53" i="19" s="1"/>
  <c r="F51" i="19" s="1"/>
  <c r="B55" i="19" a="1"/>
  <c r="J55" i="19" a="1"/>
  <c r="C55" i="19" a="1"/>
  <c r="H55" i="19" a="1"/>
  <c r="I55" i="19" a="1"/>
  <c r="D55" i="19" a="1"/>
  <c r="G55" i="19" a="1"/>
  <c r="E55" i="19" a="1"/>
  <c r="J57" i="19" a="1"/>
  <c r="D57" i="19" a="1"/>
  <c r="F57" i="19" s="1"/>
  <c r="F56" i="19" s="1"/>
  <c r="B57" i="19" a="1"/>
  <c r="I57" i="19" a="1"/>
  <c r="C57" i="19" a="1"/>
  <c r="K57" i="19" s="1" a="1"/>
  <c r="H57" i="19" a="1"/>
  <c r="I59" i="19" a="1"/>
  <c r="C59" i="19" a="1"/>
  <c r="B59" i="19" a="1"/>
  <c r="D59" i="19" a="1"/>
  <c r="J59" i="19" a="1"/>
  <c r="H59" i="19" a="1"/>
  <c r="B61" i="19" a="1"/>
  <c r="J61" i="19" a="1"/>
  <c r="H61" i="19" a="1"/>
  <c r="I61" i="19" a="1"/>
  <c r="D61" i="19" a="1"/>
  <c r="C61" i="19" a="1"/>
  <c r="K61" i="19" s="1" a="1"/>
  <c r="E61" i="19" a="1"/>
  <c r="C63" i="19" a="1"/>
  <c r="E63" i="19" a="1"/>
  <c r="I63" i="19" a="1"/>
  <c r="H63" i="19" a="1"/>
  <c r="B63" i="19" a="1"/>
  <c r="D63" i="19" a="1"/>
  <c r="J63" i="19" a="1"/>
  <c r="C65" i="19" a="1"/>
  <c r="B65" i="19" a="1"/>
  <c r="J65" i="19" a="1"/>
  <c r="H65" i="19" a="1"/>
  <c r="D65" i="19" a="1"/>
  <c r="F65" i="19" s="1"/>
  <c r="G65" i="19" a="1"/>
  <c r="I65" i="19" a="1"/>
  <c r="D67" i="19" a="1"/>
  <c r="F67" i="19" s="1"/>
  <c r="H67" i="19" a="1"/>
  <c r="C67" i="19" a="1"/>
  <c r="I67" i="19" a="1"/>
  <c r="J67" i="19" a="1"/>
  <c r="B67" i="19" a="1"/>
  <c r="H69" i="19" a="1"/>
  <c r="C69" i="19" a="1"/>
  <c r="J69" i="19" a="1"/>
  <c r="I69" i="19" a="1"/>
  <c r="B69" i="19" a="1"/>
  <c r="D69" i="19" a="1"/>
  <c r="B71" i="19" a="1"/>
  <c r="H71" i="19" a="1"/>
  <c r="J71" i="19" a="1"/>
  <c r="C71" i="19" a="1"/>
  <c r="D71" i="19" a="1"/>
  <c r="I71" i="19" a="1"/>
  <c r="G71" i="19" a="1"/>
  <c r="E71" i="19" a="1"/>
  <c r="H73" i="19" a="1"/>
  <c r="I73" i="19" a="1"/>
  <c r="J73" i="19" a="1"/>
  <c r="B73" i="19" a="1"/>
  <c r="D73" i="19" a="1"/>
  <c r="C73" i="19" a="1"/>
  <c r="C75" i="19" a="1"/>
  <c r="E75" i="19" s="1" a="1"/>
  <c r="H75" i="19" a="1"/>
  <c r="J75" i="19" a="1"/>
  <c r="D75" i="19" a="1"/>
  <c r="F75" i="19" s="1"/>
  <c r="B75" i="19" a="1"/>
  <c r="I75" i="19" a="1"/>
  <c r="D76" i="19" a="1"/>
  <c r="F76" i="19" s="1"/>
  <c r="J76" i="19" a="1"/>
  <c r="H76" i="19" a="1"/>
  <c r="B76" i="19" a="1"/>
  <c r="C76" i="19" a="1"/>
  <c r="K76" i="19" s="1" a="1"/>
  <c r="I76" i="19" a="1"/>
  <c r="G76" i="19" a="1"/>
  <c r="I83" i="19" a="1"/>
  <c r="H83" i="19" a="1"/>
  <c r="B83" i="19" a="1"/>
  <c r="D83" i="19" a="1"/>
  <c r="F83" i="19" s="1"/>
  <c r="J83" i="19" a="1"/>
  <c r="C83" i="19" a="1"/>
  <c r="K83" i="19" s="1" a="1"/>
  <c r="H87" i="19" a="1"/>
  <c r="I87" i="19" a="1"/>
  <c r="D87" i="19" a="1"/>
  <c r="B87" i="19" a="1"/>
  <c r="C87" i="19" a="1"/>
  <c r="G87" i="19" a="1"/>
  <c r="J87" i="19" a="1"/>
  <c r="C91" i="19" a="1"/>
  <c r="H91" i="19" a="1"/>
  <c r="D91" i="19" a="1"/>
  <c r="F91" i="19" s="1"/>
  <c r="I91" i="19" a="1"/>
  <c r="B91" i="19" a="1"/>
  <c r="J91" i="19" a="1"/>
  <c r="B95" i="19" a="1"/>
  <c r="J95" i="19" a="1"/>
  <c r="I95" i="19" a="1"/>
  <c r="C95" i="19" a="1"/>
  <c r="D95" i="19" a="1"/>
  <c r="H95" i="19" a="1"/>
  <c r="I99" i="19" a="1"/>
  <c r="D99" i="19" a="1"/>
  <c r="F99" i="19" s="1"/>
  <c r="B99" i="19" a="1"/>
  <c r="C99" i="19" a="1"/>
  <c r="H99" i="19" a="1"/>
  <c r="J99" i="19" a="1"/>
  <c r="B103" i="19" a="1"/>
  <c r="H103" i="19" a="1"/>
  <c r="C103" i="19" a="1"/>
  <c r="I103" i="19" a="1"/>
  <c r="J103" i="19" a="1"/>
  <c r="D103" i="19" a="1"/>
  <c r="I107" i="19" a="1"/>
  <c r="D107" i="19" a="1"/>
  <c r="C107" i="19" a="1"/>
  <c r="J107" i="19" a="1"/>
  <c r="B107" i="19" a="1"/>
  <c r="H107" i="19" a="1"/>
  <c r="I111" i="19" a="1"/>
  <c r="B111" i="19" a="1"/>
  <c r="D111" i="19" a="1"/>
  <c r="J111" i="19" a="1"/>
  <c r="C111" i="19" a="1"/>
  <c r="H111" i="19" a="1"/>
  <c r="E111" i="19" a="1"/>
  <c r="D115" i="19" a="1"/>
  <c r="B115" i="19" a="1"/>
  <c r="H115" i="19" a="1"/>
  <c r="I115" i="19" a="1"/>
  <c r="C115" i="19" a="1"/>
  <c r="G115" i="19" s="1" a="1"/>
  <c r="J115" i="19" a="1"/>
  <c r="B119" i="19" a="1"/>
  <c r="D119" i="19" a="1"/>
  <c r="F119" i="19" s="1"/>
  <c r="J119" i="19" a="1"/>
  <c r="C119" i="19" a="1"/>
  <c r="H119" i="19" a="1"/>
  <c r="I119" i="19" a="1"/>
  <c r="B123" i="19" a="1"/>
  <c r="D123" i="19" a="1"/>
  <c r="F123" i="19" s="1"/>
  <c r="H123" i="19" a="1"/>
  <c r="E123" i="19" a="1"/>
  <c r="C123" i="19" a="1"/>
  <c r="I123" i="19" a="1"/>
  <c r="J123" i="19" a="1"/>
  <c r="G123" i="19" a="1"/>
  <c r="J127" i="19" a="1"/>
  <c r="G127" i="19" a="1"/>
  <c r="I127" i="19" a="1"/>
  <c r="C127" i="19" a="1"/>
  <c r="H127" i="19" a="1"/>
  <c r="B127" i="19" a="1"/>
  <c r="D127" i="19" a="1"/>
  <c r="E127" i="19" a="1"/>
  <c r="C131" i="19" a="1"/>
  <c r="G131" i="19" a="1"/>
  <c r="I131" i="19" a="1"/>
  <c r="J131" i="19" a="1"/>
  <c r="D131" i="19" a="1"/>
  <c r="F131" i="19" s="1"/>
  <c r="E128" i="19" s="1" a="1"/>
  <c r="B131" i="19" a="1"/>
  <c r="H131" i="19" a="1"/>
  <c r="E131" i="19" a="1"/>
  <c r="I81" i="19" a="1"/>
  <c r="D81" i="19" a="1"/>
  <c r="F81" i="19" s="1"/>
  <c r="H81" i="19" a="1"/>
  <c r="J81" i="19" a="1"/>
  <c r="B81" i="19" a="1"/>
  <c r="C81" i="19" a="1"/>
  <c r="K81" i="19" s="1" a="1"/>
  <c r="G81" i="19" a="1"/>
  <c r="B82" i="19" a="1"/>
  <c r="D82" i="19" a="1"/>
  <c r="F82" i="19" s="1"/>
  <c r="F80" i="19" s="1"/>
  <c r="H82" i="19" a="1"/>
  <c r="C82" i="19" a="1"/>
  <c r="K82" i="19" s="1" a="1"/>
  <c r="I82" i="19" a="1"/>
  <c r="J82" i="19" a="1"/>
  <c r="G82" i="19" a="1"/>
  <c r="C84" i="19" a="1"/>
  <c r="H84" i="19" a="1"/>
  <c r="J84" i="19" a="1"/>
  <c r="I84" i="19" a="1"/>
  <c r="B84" i="19" a="1"/>
  <c r="D84" i="19" a="1"/>
  <c r="E84" i="19" a="1"/>
  <c r="G84" i="19" a="1"/>
  <c r="J88" i="19" a="1"/>
  <c r="B88" i="19" a="1"/>
  <c r="C88" i="19" a="1"/>
  <c r="K88" i="19" s="1" a="1"/>
  <c r="D88" i="19" a="1"/>
  <c r="I88" i="19" a="1"/>
  <c r="H88" i="19" a="1"/>
  <c r="E88" i="19" a="1"/>
  <c r="G88" i="19" a="1"/>
  <c r="D92" i="19" a="1"/>
  <c r="F92" i="19" s="1"/>
  <c r="C92" i="19" a="1"/>
  <c r="B92" i="19" a="1"/>
  <c r="E92" i="19" a="1"/>
  <c r="J92" i="19" a="1"/>
  <c r="I92" i="19" a="1"/>
  <c r="H92" i="19" a="1"/>
  <c r="H96" i="19" a="1"/>
  <c r="D96" i="19" a="1"/>
  <c r="I96" i="19" a="1"/>
  <c r="J96" i="19" a="1"/>
  <c r="C96" i="19" a="1"/>
  <c r="B96" i="19" a="1"/>
  <c r="J100" i="19" a="1"/>
  <c r="C100" i="19" a="1"/>
  <c r="D100" i="19" a="1"/>
  <c r="F100" i="19" s="1"/>
  <c r="I100" i="19" a="1"/>
  <c r="B100" i="19" a="1"/>
  <c r="H100" i="19" a="1"/>
  <c r="J104" i="19" a="1"/>
  <c r="H104" i="19" a="1"/>
  <c r="D104" i="19" a="1"/>
  <c r="B104" i="19" a="1"/>
  <c r="C104" i="19" a="1"/>
  <c r="K104" i="19" s="1" a="1"/>
  <c r="I104" i="19" a="1"/>
  <c r="B108" i="19" a="1"/>
  <c r="C108" i="19" a="1"/>
  <c r="G108" i="19" a="1"/>
  <c r="I108" i="19" a="1"/>
  <c r="D108" i="19" a="1"/>
  <c r="F108" i="19" s="1"/>
  <c r="H108" i="19" a="1"/>
  <c r="J108" i="19" a="1"/>
  <c r="D112" i="19" a="1"/>
  <c r="H112" i="19" a="1"/>
  <c r="I112" i="19" a="1"/>
  <c r="J112" i="19" a="1"/>
  <c r="B112" i="19" a="1"/>
  <c r="C112" i="19" a="1"/>
  <c r="G112" i="19" s="1" a="1"/>
  <c r="E112" i="19" a="1"/>
  <c r="H116" i="19" a="1"/>
  <c r="D116" i="19" a="1"/>
  <c r="B116" i="19" a="1"/>
  <c r="C116" i="19" a="1"/>
  <c r="E116" i="19" s="1" a="1"/>
  <c r="G116" i="19" a="1"/>
  <c r="I116" i="19" a="1"/>
  <c r="J116" i="19" a="1"/>
  <c r="C120" i="19" a="1"/>
  <c r="D120" i="19" a="1"/>
  <c r="F120" i="19" s="1"/>
  <c r="J120" i="19" a="1"/>
  <c r="H120" i="19" a="1"/>
  <c r="I120" i="19" a="1"/>
  <c r="E120" i="19" a="1"/>
  <c r="B120" i="19" a="1"/>
  <c r="G120" i="19" a="1"/>
  <c r="C124" i="19" a="1"/>
  <c r="E124" i="19" a="1"/>
  <c r="B124" i="19" a="1"/>
  <c r="D124" i="19" a="1"/>
  <c r="F124" i="19" s="1"/>
  <c r="H124" i="19" a="1"/>
  <c r="J124" i="19" a="1"/>
  <c r="I124" i="19" a="1"/>
  <c r="G124" i="19" a="1"/>
  <c r="C128" i="19" a="1"/>
  <c r="G128" i="19" a="1"/>
  <c r="B128" i="19" a="1"/>
  <c r="J128" i="19" a="1"/>
  <c r="D128" i="19" a="1"/>
  <c r="I128" i="19" a="1"/>
  <c r="H128" i="19" a="1"/>
  <c r="H132" i="19" a="1"/>
  <c r="E132" i="19" a="1"/>
  <c r="D132" i="19" a="1"/>
  <c r="F132" i="19" s="1"/>
  <c r="G132" i="19" a="1"/>
  <c r="C132" i="19" a="1"/>
  <c r="J132" i="19" a="1"/>
  <c r="B132" i="19" a="1"/>
  <c r="I132" i="19" a="1"/>
  <c r="D139" i="19" a="1"/>
  <c r="B139" i="19" a="1"/>
  <c r="I139" i="19" a="1"/>
  <c r="H139" i="19" a="1"/>
  <c r="C139" i="19" a="1"/>
  <c r="G139" i="19" s="1" a="1"/>
  <c r="E139" i="19" a="1"/>
  <c r="J139" i="19" a="1"/>
  <c r="I141" i="19" a="1"/>
  <c r="J141" i="19" a="1"/>
  <c r="C141" i="19" a="1"/>
  <c r="D141" i="19" a="1"/>
  <c r="B141" i="19" a="1"/>
  <c r="E141" i="19" a="1"/>
  <c r="H141" i="19" a="1"/>
  <c r="G141" i="19" a="1"/>
  <c r="D143" i="19" a="1"/>
  <c r="F143" i="19" s="1"/>
  <c r="B143" i="19" a="1"/>
  <c r="J143" i="19" a="1"/>
  <c r="H143" i="19" a="1"/>
  <c r="I143" i="19" a="1"/>
  <c r="E143" i="19" a="1"/>
  <c r="C143" i="19" a="1"/>
  <c r="G143" i="19" a="1"/>
  <c r="D145" i="19" a="1"/>
  <c r="C145" i="19" a="1"/>
  <c r="J145" i="19" a="1"/>
  <c r="I145" i="19" a="1"/>
  <c r="E145" i="19" a="1"/>
  <c r="B145" i="19" a="1"/>
  <c r="H145" i="19" a="1"/>
  <c r="I147" i="19" a="1"/>
  <c r="D147" i="19" a="1"/>
  <c r="F147" i="19" s="1"/>
  <c r="H147" i="19" a="1"/>
  <c r="C147" i="19" a="1"/>
  <c r="J147" i="19" a="1"/>
  <c r="B147" i="19" a="1"/>
  <c r="E147" i="19" a="1"/>
  <c r="G147" i="19" a="1"/>
  <c r="H149" i="19" a="1"/>
  <c r="I149" i="19" a="1"/>
  <c r="D149" i="19" a="1"/>
  <c r="E149" i="19" a="1"/>
  <c r="J149" i="19" a="1"/>
  <c r="C149" i="19" a="1"/>
  <c r="B149" i="19" a="1"/>
  <c r="J151" i="19" a="1"/>
  <c r="D151" i="19" a="1"/>
  <c r="I151" i="19" a="1"/>
  <c r="E151" i="19" a="1"/>
  <c r="C151" i="19" a="1"/>
  <c r="G151" i="19" s="1" a="1"/>
  <c r="H151" i="19" a="1"/>
  <c r="B151" i="19" a="1"/>
  <c r="I153" i="19" a="1"/>
  <c r="B153" i="19" a="1"/>
  <c r="D153" i="19" a="1"/>
  <c r="H153" i="19" a="1"/>
  <c r="E153" i="19" a="1"/>
  <c r="J153" i="19" a="1"/>
  <c r="C153" i="19" a="1"/>
  <c r="G153" i="19" s="1" a="1"/>
  <c r="H155" i="19" a="1"/>
  <c r="C155" i="19" a="1"/>
  <c r="E155" i="19" a="1"/>
  <c r="I155" i="19" a="1"/>
  <c r="B155" i="19" a="1"/>
  <c r="J155" i="19" a="1"/>
  <c r="D155" i="19" a="1"/>
  <c r="E12" i="19"/>
  <c r="C140" i="19" a="1"/>
  <c r="G140" i="19" s="1" a="1"/>
  <c r="E140" i="19" a="1"/>
  <c r="I140" i="19" a="1"/>
  <c r="B140" i="19" a="1"/>
  <c r="D140" i="19" a="1"/>
  <c r="F140" i="19" s="1"/>
  <c r="H140" i="19" a="1"/>
  <c r="J140" i="19" a="1"/>
  <c r="E142" i="19" a="1"/>
  <c r="D142" i="19" a="1"/>
  <c r="F142" i="19" s="1"/>
  <c r="I142" i="19" a="1"/>
  <c r="B142" i="19" a="1"/>
  <c r="C142" i="19" a="1"/>
  <c r="G142" i="19" s="1" a="1"/>
  <c r="H142" i="19" a="1"/>
  <c r="J142" i="19" a="1"/>
  <c r="I144" i="19" a="1"/>
  <c r="C144" i="19" a="1"/>
  <c r="H144" i="19" a="1"/>
  <c r="J144" i="19" a="1"/>
  <c r="E144" i="19" a="1"/>
  <c r="D144" i="19" a="1"/>
  <c r="B144" i="19" a="1"/>
  <c r="I146" i="19" a="1"/>
  <c r="E146" i="19" a="1"/>
  <c r="J146" i="19" a="1"/>
  <c r="D146" i="19" a="1"/>
  <c r="C146" i="19" a="1"/>
  <c r="B146" i="19" a="1"/>
  <c r="H146" i="19" a="1"/>
  <c r="J148" i="19" a="1"/>
  <c r="C148" i="19" a="1"/>
  <c r="I148" i="19" a="1"/>
  <c r="D148" i="19" a="1"/>
  <c r="F148" i="19" s="1"/>
  <c r="G145" i="19" s="1" a="1"/>
  <c r="H148" i="19" a="1"/>
  <c r="B148" i="19" a="1"/>
  <c r="E148" i="19" a="1"/>
  <c r="G148" i="19" a="1"/>
  <c r="H150" i="19" a="1"/>
  <c r="B150" i="19" a="1"/>
  <c r="E150" i="19" a="1"/>
  <c r="J150" i="19" a="1"/>
  <c r="C150" i="19" a="1"/>
  <c r="D150" i="19" a="1"/>
  <c r="I150" i="19" a="1"/>
  <c r="G150" i="19" a="1"/>
  <c r="D152" i="19" a="1"/>
  <c r="F152" i="19" s="1"/>
  <c r="C152" i="19" a="1"/>
  <c r="H152" i="19" a="1"/>
  <c r="I152" i="19" a="1"/>
  <c r="E152" i="19" a="1"/>
  <c r="B152" i="19" a="1"/>
  <c r="K152" i="19" s="1" a="1"/>
  <c r="J152" i="19" a="1"/>
  <c r="G152" i="19" a="1"/>
  <c r="I154" i="19" a="1"/>
  <c r="H154" i="19" a="1"/>
  <c r="E154" i="19" a="1"/>
  <c r="J154" i="19" a="1"/>
  <c r="B154" i="19" a="1"/>
  <c r="C154" i="19" a="1"/>
  <c r="D154" i="19" a="1"/>
  <c r="G154" i="19" a="1"/>
  <c r="C156" i="19" a="1"/>
  <c r="E156" i="19" a="1"/>
  <c r="B156" i="19" a="1"/>
  <c r="K156" i="19" s="1" a="1"/>
  <c r="J156" i="19" a="1"/>
  <c r="H156" i="19" a="1"/>
  <c r="D156" i="19" a="1"/>
  <c r="I156" i="19" a="1"/>
  <c r="G7" i="2"/>
  <c r="H7" i="2"/>
  <c r="E7" i="2"/>
  <c r="E8" i="2"/>
  <c r="G8" i="2"/>
  <c r="H8" i="2"/>
  <c r="E10" i="2"/>
  <c r="H10" i="2"/>
  <c r="G10" i="2"/>
  <c r="H12" i="2"/>
  <c r="G12" i="2"/>
  <c r="E12" i="2"/>
  <c r="E13" i="2"/>
  <c r="G13" i="2"/>
  <c r="H13" i="2"/>
  <c r="E14" i="2"/>
  <c r="G14" i="2"/>
  <c r="H14" i="2"/>
  <c r="G15" i="2"/>
  <c r="E15" i="2"/>
  <c r="H15" i="2"/>
  <c r="E16" i="2"/>
  <c r="G16" i="2"/>
  <c r="H16" i="2"/>
  <c r="G18" i="2"/>
  <c r="H18" i="2"/>
  <c r="G9" i="2" s="1"/>
  <c r="G19" i="2"/>
  <c r="E20" i="2"/>
  <c r="G20" i="2"/>
  <c r="H20" i="2"/>
  <c r="G21" i="2"/>
  <c r="E22" i="2"/>
  <c r="G22" i="2"/>
  <c r="H22" i="2"/>
  <c r="G23" i="2"/>
  <c r="E24" i="2"/>
  <c r="H24" i="2"/>
  <c r="G24" i="2"/>
  <c r="G25" i="2"/>
  <c r="H33" i="2"/>
  <c r="E33" i="2"/>
  <c r="G33" i="2"/>
  <c r="H41" i="2"/>
  <c r="E41" i="2"/>
  <c r="G41" i="2"/>
  <c r="H49" i="2"/>
  <c r="G49" i="2"/>
  <c r="E49" i="2"/>
  <c r="H57" i="2"/>
  <c r="E57" i="2"/>
  <c r="G57" i="2"/>
  <c r="G61" i="2"/>
  <c r="G59" i="2" s="1"/>
  <c r="E61" i="2"/>
  <c r="H61" i="2"/>
  <c r="G65" i="2"/>
  <c r="H65" i="2"/>
  <c r="E65" i="2"/>
  <c r="E66" i="2"/>
  <c r="G66" i="2"/>
  <c r="H66" i="2"/>
  <c r="H68" i="2"/>
  <c r="E68" i="2"/>
  <c r="G64" i="2" s="1"/>
  <c r="G63" i="2" s="1"/>
  <c r="G68" i="2"/>
  <c r="E69" i="2"/>
  <c r="H69" i="2"/>
  <c r="G69" i="2"/>
  <c r="E70" i="2"/>
  <c r="H70" i="2"/>
  <c r="G70" i="2"/>
  <c r="E71" i="2"/>
  <c r="H71" i="2"/>
  <c r="G71" i="2"/>
  <c r="G75" i="2"/>
  <c r="G62" i="2"/>
  <c r="H23" i="2" s="1"/>
  <c r="G78" i="2"/>
  <c r="G74" i="2" s="1"/>
  <c r="H21" i="2" s="1"/>
  <c r="D5" i="61" a="1"/>
  <c r="AE5" i="61" a="1"/>
  <c r="AB5" i="61" a="1"/>
  <c r="V5" i="61" a="1"/>
  <c r="S5" i="61" a="1"/>
  <c r="P5" i="61" a="1"/>
  <c r="M5" i="61" a="1"/>
  <c r="J5" i="61" a="1"/>
  <c r="G5" i="61" a="1"/>
  <c r="AH5" i="61" a="1"/>
  <c r="Y5" i="61" a="1"/>
  <c r="D6" i="61" a="1"/>
  <c r="G6" i="61" a="1"/>
  <c r="J6" i="61" a="1"/>
  <c r="M6" i="61" a="1"/>
  <c r="P6" i="61" a="1"/>
  <c r="S6" i="61" a="1"/>
  <c r="V6" i="61" a="1"/>
  <c r="Y6" i="61" a="1"/>
  <c r="AB6" i="61" a="1"/>
  <c r="AE6" i="61" a="1"/>
  <c r="AH6" i="61" a="1"/>
  <c r="D7" i="61" a="1"/>
  <c r="G7" i="61" a="1"/>
  <c r="J7" i="61" a="1"/>
  <c r="M7" i="61" a="1"/>
  <c r="P7" i="61" a="1"/>
  <c r="S7" i="61" a="1"/>
  <c r="V7" i="61" a="1"/>
  <c r="Y7" i="61" a="1"/>
  <c r="AB7" i="61" a="1"/>
  <c r="AE7" i="61" a="1"/>
  <c r="AH7" i="61" a="1"/>
  <c r="D8" i="61" a="1"/>
  <c r="G8" i="61" a="1"/>
  <c r="J8" i="61" a="1"/>
  <c r="M8" i="61" a="1"/>
  <c r="P8" i="61" a="1"/>
  <c r="S8" i="61" a="1"/>
  <c r="V8" i="61" a="1"/>
  <c r="Y8" i="61" a="1"/>
  <c r="AB8" i="61" a="1"/>
  <c r="AE8" i="61" a="1"/>
  <c r="AH8" i="61" a="1"/>
  <c r="V9" i="61" a="1"/>
  <c r="S9" i="61" a="1"/>
  <c r="G9" i="61" a="1"/>
  <c r="J9" i="61" a="1"/>
  <c r="D9" i="61" a="1"/>
  <c r="P9" i="61" a="1"/>
  <c r="AB9" i="61" a="1"/>
  <c r="AE9" i="61" a="1"/>
  <c r="M9" i="61" a="1"/>
  <c r="Y9" i="61" a="1"/>
  <c r="AH9" i="61" a="1"/>
  <c r="D10" i="61" a="1"/>
  <c r="J10" i="61" a="1"/>
  <c r="M10" i="61" a="1"/>
  <c r="G10" i="61" a="1"/>
  <c r="P10" i="61" a="1"/>
  <c r="S10" i="61" a="1"/>
  <c r="V10" i="61" a="1"/>
  <c r="Y10" i="61" a="1"/>
  <c r="AB10" i="61" a="1"/>
  <c r="AE10" i="61" a="1"/>
  <c r="AH10" i="61" a="1"/>
  <c r="G11" i="61" a="1"/>
  <c r="P11" i="61" a="1"/>
  <c r="S11" i="61" a="1"/>
  <c r="AB11" i="61" a="1"/>
  <c r="D11" i="61" a="1"/>
  <c r="M11" i="61" a="1"/>
  <c r="V11" i="61" a="1"/>
  <c r="AE11" i="61" a="1"/>
  <c r="AH11" i="61" a="1"/>
  <c r="J11" i="61" a="1"/>
  <c r="Y11" i="61" a="1"/>
  <c r="G12" i="61" a="1"/>
  <c r="P12" i="61" a="1"/>
  <c r="AE12" i="61" a="1"/>
  <c r="AH12" i="61" a="1"/>
  <c r="D12" i="61" a="1"/>
  <c r="M12" i="61" a="1"/>
  <c r="S12" i="61" a="1"/>
  <c r="V12" i="61" a="1"/>
  <c r="Y12" i="61" a="1"/>
  <c r="J12" i="61" a="1"/>
  <c r="AB12" i="61" a="1"/>
  <c r="D13" i="61" a="1"/>
  <c r="G13" i="61" a="1"/>
  <c r="J13" i="61" a="1"/>
  <c r="M13" i="61" a="1"/>
  <c r="P13" i="61" a="1"/>
  <c r="S13" i="61" a="1"/>
  <c r="V13" i="61" a="1"/>
  <c r="Y13" i="61" a="1"/>
  <c r="AB13" i="61" a="1"/>
  <c r="AE13" i="61" a="1"/>
  <c r="AH13" i="61" a="1"/>
  <c r="D14" i="61" a="1"/>
  <c r="G14" i="61" a="1"/>
  <c r="J14" i="61" a="1"/>
  <c r="M14" i="61" a="1"/>
  <c r="P14" i="61" a="1"/>
  <c r="S14" i="61" a="1"/>
  <c r="V14" i="61" a="1"/>
  <c r="Y14" i="61" a="1"/>
  <c r="AB14" i="61" a="1"/>
  <c r="AE14" i="61" a="1"/>
  <c r="AH14" i="61" a="1"/>
  <c r="D15" i="61" a="1"/>
  <c r="G15" i="61" a="1"/>
  <c r="J15" i="61" a="1"/>
  <c r="M15" i="61" a="1"/>
  <c r="P15" i="61" a="1"/>
  <c r="S15" i="61" a="1"/>
  <c r="V15" i="61" a="1"/>
  <c r="Y15" i="61" a="1"/>
  <c r="AB15" i="61" a="1"/>
  <c r="AE15" i="61" a="1"/>
  <c r="AH15" i="61" a="1"/>
  <c r="D16" i="61" a="1"/>
  <c r="G16" i="61" a="1"/>
  <c r="J16" i="61" a="1"/>
  <c r="M16" i="61" a="1"/>
  <c r="P16" i="61" a="1"/>
  <c r="S16" i="61" a="1"/>
  <c r="V16" i="61" a="1"/>
  <c r="Y16" i="61" a="1"/>
  <c r="AB16" i="61" a="1"/>
  <c r="AE16" i="61" a="1"/>
  <c r="AH16" i="61" a="1"/>
  <c r="D17" i="61" a="1"/>
  <c r="G17" i="61" a="1"/>
  <c r="J17" i="61" a="1"/>
  <c r="M17" i="61" a="1"/>
  <c r="P17" i="61" a="1"/>
  <c r="S17" i="61" a="1"/>
  <c r="V17" i="61" a="1"/>
  <c r="Y17" i="61" a="1"/>
  <c r="AB17" i="61" a="1"/>
  <c r="AE17" i="61" a="1"/>
  <c r="AH17" i="61" a="1"/>
  <c r="D18" i="61" a="1"/>
  <c r="G18" i="61" a="1"/>
  <c r="J18" i="61" a="1"/>
  <c r="M18" i="61" a="1"/>
  <c r="P18" i="61" a="1"/>
  <c r="S18" i="61" a="1"/>
  <c r="V18" i="61" a="1"/>
  <c r="Y18" i="61" a="1"/>
  <c r="AB18" i="61" a="1"/>
  <c r="AE18" i="61" a="1"/>
  <c r="AH18" i="61" a="1"/>
  <c r="D19" i="61" a="1"/>
  <c r="G19" i="61" a="1"/>
  <c r="J19" i="61" a="1"/>
  <c r="M19" i="61" a="1"/>
  <c r="P19" i="61" a="1"/>
  <c r="S19" i="61" a="1"/>
  <c r="V19" i="61" a="1"/>
  <c r="Y19" i="61" a="1"/>
  <c r="AB19" i="61" a="1"/>
  <c r="AE19" i="61" a="1"/>
  <c r="AH19" i="61" a="1"/>
  <c r="D20" i="61" a="1"/>
  <c r="G20" i="61" a="1"/>
  <c r="J20" i="61" a="1"/>
  <c r="M20" i="61" a="1"/>
  <c r="P20" i="61" a="1"/>
  <c r="S20" i="61" a="1"/>
  <c r="V20" i="61" a="1"/>
  <c r="Y20" i="61" a="1"/>
  <c r="AB20" i="61" a="1"/>
  <c r="AE20" i="61" a="1"/>
  <c r="AH20" i="61" a="1"/>
  <c r="D21" i="61" a="1"/>
  <c r="G21" i="61" a="1"/>
  <c r="J21" i="61" a="1"/>
  <c r="M21" i="61" a="1"/>
  <c r="P21" i="61" a="1"/>
  <c r="S21" i="61" a="1"/>
  <c r="V21" i="61" a="1"/>
  <c r="Y21" i="61" a="1"/>
  <c r="AB21" i="61" a="1"/>
  <c r="AE21" i="61" a="1"/>
  <c r="AH21" i="61" a="1"/>
  <c r="D22" i="61" a="1"/>
  <c r="G22" i="61" a="1"/>
  <c r="J22" i="61" a="1"/>
  <c r="M22" i="61" a="1"/>
  <c r="P22" i="61" a="1"/>
  <c r="S22" i="61" a="1"/>
  <c r="V22" i="61" a="1"/>
  <c r="Y22" i="61" a="1"/>
  <c r="AB22" i="61" a="1"/>
  <c r="AE22" i="61" a="1"/>
  <c r="AH22" i="61" a="1"/>
  <c r="D23" i="61" a="1"/>
  <c r="G23" i="61" a="1"/>
  <c r="J23" i="61" a="1"/>
  <c r="M23" i="61" a="1"/>
  <c r="P23" i="61" a="1"/>
  <c r="S23" i="61" a="1"/>
  <c r="V23" i="61" a="1"/>
  <c r="Y23" i="61" a="1"/>
  <c r="AB23" i="61" a="1"/>
  <c r="AE23" i="61" a="1"/>
  <c r="AH23" i="61" a="1"/>
  <c r="D24" i="61" a="1"/>
  <c r="G24" i="61" a="1"/>
  <c r="J24" i="61" a="1"/>
  <c r="M24" i="61" a="1"/>
  <c r="P24" i="61" a="1"/>
  <c r="S24" i="61" a="1"/>
  <c r="V24" i="61" a="1"/>
  <c r="Y24" i="61" a="1"/>
  <c r="AB24" i="61" a="1"/>
  <c r="AE24" i="61" a="1"/>
  <c r="AH24" i="61" a="1"/>
  <c r="AH25" i="61" a="1"/>
  <c r="AE25" i="61" a="1"/>
  <c r="V25" i="61" a="1"/>
  <c r="S25" i="61" a="1"/>
  <c r="J25" i="61" a="1"/>
  <c r="AB25" i="61" a="1"/>
  <c r="Y25" i="61" a="1"/>
  <c r="P25" i="61" a="1"/>
  <c r="D25" i="61" a="1"/>
  <c r="G25" i="61" a="1"/>
  <c r="M25" i="61" a="1"/>
  <c r="M26" i="61" a="1"/>
  <c r="G26" i="61" a="1"/>
  <c r="P26" i="61" a="1"/>
  <c r="J26" i="61" a="1"/>
  <c r="S26" i="61" a="1"/>
  <c r="AE26" i="61" a="1"/>
  <c r="AH26" i="61" a="1"/>
  <c r="D26" i="61" a="1"/>
  <c r="V26" i="61" a="1"/>
  <c r="Y26" i="61" a="1"/>
  <c r="AB26" i="61" a="1"/>
  <c r="D27" i="61" a="1"/>
  <c r="P27" i="61" a="1"/>
  <c r="S27" i="61" a="1"/>
  <c r="AB27" i="61" a="1"/>
  <c r="AE27" i="61" a="1"/>
  <c r="AH27" i="61" a="1"/>
  <c r="G27" i="61" a="1"/>
  <c r="J27" i="61" a="1"/>
  <c r="M27" i="61" a="1"/>
  <c r="V27" i="61" a="1"/>
  <c r="Y27" i="61" a="1"/>
  <c r="G28" i="61" a="1"/>
  <c r="J28" i="61" a="1"/>
  <c r="M28" i="61" a="1"/>
  <c r="V28" i="61" a="1"/>
  <c r="AH28" i="61" a="1"/>
  <c r="AE28" i="61" a="1"/>
  <c r="D28" i="61" a="1"/>
  <c r="P28" i="61" a="1"/>
  <c r="S28" i="61" a="1"/>
  <c r="Y28" i="61" a="1"/>
  <c r="AB28" i="61" a="1"/>
  <c r="P29" i="61" a="1"/>
  <c r="Y29" i="61" a="1"/>
  <c r="G29" i="61" a="1"/>
  <c r="AE29" i="61" a="1"/>
  <c r="M29" i="61" a="1"/>
  <c r="S29" i="61" a="1"/>
  <c r="V29" i="61" a="1"/>
  <c r="AH29" i="61" a="1"/>
  <c r="D29" i="61" a="1"/>
  <c r="J29" i="61" a="1"/>
  <c r="AB29" i="61" a="1"/>
  <c r="D30" i="61" a="1"/>
  <c r="V30" i="61" a="1"/>
  <c r="Y30" i="61" a="1"/>
  <c r="AE30" i="61" a="1"/>
  <c r="AH30" i="61" a="1"/>
  <c r="J30" i="61" a="1"/>
  <c r="S30" i="61" a="1"/>
  <c r="AB30" i="61" a="1"/>
  <c r="G30" i="61" a="1"/>
  <c r="M30" i="61" a="1"/>
  <c r="P30" i="61" a="1"/>
  <c r="M31" i="61" a="1"/>
  <c r="S31" i="61" a="1"/>
  <c r="V31" i="61" a="1"/>
  <c r="G31" i="61" a="1"/>
  <c r="AH31" i="61" a="1"/>
  <c r="D31" i="61" a="1"/>
  <c r="J31" i="61" a="1"/>
  <c r="P31" i="61" a="1"/>
  <c r="Y31" i="61" a="1"/>
  <c r="AB31" i="61" a="1"/>
  <c r="AE31" i="61" a="1"/>
  <c r="P32" i="61" a="1"/>
  <c r="S32" i="61" a="1"/>
  <c r="AB32" i="61" a="1"/>
  <c r="M32" i="61" a="1"/>
  <c r="D32" i="61" a="1"/>
  <c r="G32" i="61" a="1"/>
  <c r="J32" i="61" a="1"/>
  <c r="V32" i="61" a="1"/>
  <c r="Y32" i="61" a="1"/>
  <c r="AE32" i="61" a="1"/>
  <c r="AH32" i="61" a="1"/>
  <c r="D33" i="61" a="1"/>
  <c r="G33" i="61" a="1"/>
  <c r="J33" i="61" a="1"/>
  <c r="M33" i="61" a="1"/>
  <c r="P33" i="61" a="1"/>
  <c r="S33" i="61" a="1"/>
  <c r="V33" i="61" a="1"/>
  <c r="Y33" i="61" a="1"/>
  <c r="AB33" i="61" a="1"/>
  <c r="AE33" i="61" a="1"/>
  <c r="AH33" i="61" a="1"/>
  <c r="D34" i="61" a="1"/>
  <c r="G34" i="61" a="1"/>
  <c r="J34" i="61" a="1"/>
  <c r="M34" i="61" a="1"/>
  <c r="P34" i="61" a="1"/>
  <c r="S34" i="61" a="1"/>
  <c r="V34" i="61" a="1"/>
  <c r="Y34" i="61" a="1"/>
  <c r="AB34" i="61" a="1"/>
  <c r="AE34" i="61" a="1"/>
  <c r="AH34" i="61" a="1"/>
  <c r="D35" i="61" a="1"/>
  <c r="G35" i="61" a="1"/>
  <c r="J35" i="61" a="1"/>
  <c r="M35" i="61" a="1"/>
  <c r="P35" i="61" a="1"/>
  <c r="S35" i="61" a="1"/>
  <c r="T35" i="61" s="1"/>
  <c r="V35" i="61" a="1"/>
  <c r="Y35" i="61" a="1"/>
  <c r="AB35" i="61" a="1"/>
  <c r="AE35" i="61" a="1"/>
  <c r="AH35" i="61" a="1"/>
  <c r="D36" i="61" a="1"/>
  <c r="G36" i="61" a="1"/>
  <c r="J36" i="61" a="1"/>
  <c r="M36" i="61" a="1"/>
  <c r="P36" i="61" a="1"/>
  <c r="S36" i="61" a="1"/>
  <c r="T36" i="61" s="1"/>
  <c r="V36" i="61" a="1"/>
  <c r="Y36" i="61" a="1"/>
  <c r="AB36" i="61" a="1"/>
  <c r="AE36" i="61" a="1"/>
  <c r="AH36" i="61" a="1"/>
  <c r="D37" i="61" a="1"/>
  <c r="G37" i="61" a="1"/>
  <c r="J37" i="61" a="1"/>
  <c r="M37" i="61" a="1"/>
  <c r="P37" i="61" a="1"/>
  <c r="S37" i="61" a="1"/>
  <c r="V37" i="61" a="1"/>
  <c r="Y37" i="61" a="1"/>
  <c r="AB37" i="61" a="1"/>
  <c r="AE37" i="61" a="1"/>
  <c r="AH37" i="61" a="1"/>
  <c r="D38" i="61" a="1"/>
  <c r="G38" i="61" a="1"/>
  <c r="J38" i="61" a="1"/>
  <c r="M38" i="61" a="1"/>
  <c r="P38" i="61" a="1"/>
  <c r="S38" i="61" a="1"/>
  <c r="V38" i="61" a="1"/>
  <c r="Y38" i="61" a="1"/>
  <c r="AB38" i="61" a="1"/>
  <c r="AE38" i="61" a="1"/>
  <c r="AH38" i="61" a="1"/>
  <c r="D39" i="61" a="1"/>
  <c r="G39" i="61" a="1"/>
  <c r="J39" i="61" a="1"/>
  <c r="M39" i="61" a="1"/>
  <c r="P39" i="61" a="1"/>
  <c r="S39" i="61" a="1"/>
  <c r="V39" i="61" a="1"/>
  <c r="Y39" i="61" a="1"/>
  <c r="AB39" i="61" a="1"/>
  <c r="AE39" i="61" a="1"/>
  <c r="AH39" i="61" a="1"/>
  <c r="D40" i="61" a="1"/>
  <c r="G40" i="61" a="1"/>
  <c r="J40" i="61" a="1"/>
  <c r="M40" i="61" a="1"/>
  <c r="P40" i="61" a="1"/>
  <c r="S40" i="61" a="1"/>
  <c r="T40" i="61" s="1"/>
  <c r="V40" i="61" a="1"/>
  <c r="Y40" i="61" a="1"/>
  <c r="AB40" i="61" a="1"/>
  <c r="AE40" i="61" a="1"/>
  <c r="AH40" i="61" a="1"/>
  <c r="G41" i="61" a="1"/>
  <c r="Y41" i="61" a="1"/>
  <c r="AB41" i="61" a="1"/>
  <c r="AE41" i="61" a="1"/>
  <c r="AH41" i="61" a="1"/>
  <c r="P41" i="61" a="1"/>
  <c r="D41" i="61" a="1"/>
  <c r="J41" i="61" a="1"/>
  <c r="M41" i="61" a="1"/>
  <c r="S41" i="61" a="1"/>
  <c r="V41" i="61" a="1"/>
  <c r="D42" i="61" a="1"/>
  <c r="G42" i="61" a="1"/>
  <c r="M42" i="61" a="1"/>
  <c r="P42" i="61" a="1"/>
  <c r="AB42" i="61" a="1"/>
  <c r="AH42" i="61" a="1"/>
  <c r="J42" i="61" a="1"/>
  <c r="S42" i="61" a="1"/>
  <c r="V42" i="61" a="1"/>
  <c r="Y42" i="61" a="1"/>
  <c r="AE42" i="61" a="1"/>
  <c r="D43" i="61" a="1"/>
  <c r="J43" i="61" a="1"/>
  <c r="M43" i="61" a="1"/>
  <c r="P43" i="61" a="1"/>
  <c r="Y43" i="61" a="1"/>
  <c r="AH43" i="61" a="1"/>
  <c r="G43" i="61" a="1"/>
  <c r="S43" i="61" a="1"/>
  <c r="V43" i="61" a="1"/>
  <c r="AB43" i="61" a="1"/>
  <c r="AE43" i="61" a="1"/>
  <c r="D44" i="61" a="1"/>
  <c r="AH44" i="61" a="1"/>
  <c r="G44" i="61" a="1"/>
  <c r="J44" i="61" a="1"/>
  <c r="P44" i="61" a="1"/>
  <c r="S44" i="61" a="1"/>
  <c r="Y44" i="61" a="1"/>
  <c r="AB44" i="61" a="1"/>
  <c r="M44" i="61" a="1"/>
  <c r="V44" i="61" a="1"/>
  <c r="AE44" i="61" a="1"/>
  <c r="J45" i="61" a="1"/>
  <c r="M45" i="61" a="1"/>
  <c r="AH45" i="61" a="1"/>
  <c r="D45" i="61" a="1"/>
  <c r="S45" i="61" a="1"/>
  <c r="V45" i="61" a="1"/>
  <c r="G45" i="61" a="1"/>
  <c r="P45" i="61" a="1"/>
  <c r="Y45" i="61" a="1"/>
  <c r="AB45" i="61" a="1"/>
  <c r="AE45" i="61" a="1"/>
  <c r="D46" i="61" a="1"/>
  <c r="G46" i="61" a="1"/>
  <c r="V46" i="61" a="1"/>
  <c r="Y46" i="61" a="1"/>
  <c r="AE46" i="61" a="1"/>
  <c r="AH46" i="61" a="1"/>
  <c r="AI46" i="61" s="1"/>
  <c r="AF46" i="61" s="1"/>
  <c r="Z46" i="61" s="1"/>
  <c r="W46" i="61" s="1"/>
  <c r="H46" i="61" s="1"/>
  <c r="E46" i="61" s="1"/>
  <c r="AF45" i="61" s="1"/>
  <c r="AC45" i="61" s="1"/>
  <c r="Z45" i="61" s="1"/>
  <c r="Q45" i="61" s="1"/>
  <c r="H45" i="61" s="1"/>
  <c r="W45" i="61" s="1"/>
  <c r="E45" i="61" s="1"/>
  <c r="AI45" i="61" s="1"/>
  <c r="N45" i="61" s="1"/>
  <c r="K45" i="61" s="1"/>
  <c r="AF44" i="61" s="1"/>
  <c r="W44" i="61" s="1"/>
  <c r="N44" i="61" s="1"/>
  <c r="AC44" i="61" s="1"/>
  <c r="Z44" i="61" s="1"/>
  <c r="Q44" i="61" s="1"/>
  <c r="K44" i="61" s="1"/>
  <c r="H44" i="61" s="1"/>
  <c r="AI44" i="61" s="1"/>
  <c r="E44" i="61" s="1"/>
  <c r="AF43" i="61" s="1"/>
  <c r="AC43" i="61" s="1"/>
  <c r="W43" i="61" s="1"/>
  <c r="H43" i="61" s="1"/>
  <c r="AI43" i="61" s="1"/>
  <c r="J46" i="61" a="1"/>
  <c r="M46" i="61" a="1"/>
  <c r="P46" i="61" a="1"/>
  <c r="S46" i="61" a="1"/>
  <c r="AB46" i="61" a="1"/>
  <c r="G47" i="61" a="1"/>
  <c r="M47" i="61" a="1"/>
  <c r="P47" i="61" a="1"/>
  <c r="Y47" i="61" a="1"/>
  <c r="AB47" i="61" a="1"/>
  <c r="AH47" i="61" a="1"/>
  <c r="D47" i="61" a="1"/>
  <c r="J47" i="61" a="1"/>
  <c r="S47" i="61" a="1"/>
  <c r="T47" i="61" s="1"/>
  <c r="V47" i="61" a="1"/>
  <c r="AE47" i="61" a="1"/>
  <c r="J48" i="61" a="1"/>
  <c r="M48" i="61" a="1"/>
  <c r="Y48" i="61" a="1"/>
  <c r="AB48" i="61" a="1"/>
  <c r="AH48" i="61" a="1"/>
  <c r="D48" i="61" a="1"/>
  <c r="V48" i="61" a="1"/>
  <c r="G48" i="61" a="1"/>
  <c r="P48" i="61" a="1"/>
  <c r="S48" i="61" a="1"/>
  <c r="AE48" i="61" a="1"/>
  <c r="D49" i="61" a="1"/>
  <c r="G49" i="61" a="1"/>
  <c r="M49" i="61" a="1"/>
  <c r="P49" i="61" a="1"/>
  <c r="Y49" i="61" a="1"/>
  <c r="AE49" i="61" a="1"/>
  <c r="AH49" i="61" a="1"/>
  <c r="AB49" i="61" a="1"/>
  <c r="J49" i="61" a="1"/>
  <c r="S49" i="61" a="1"/>
  <c r="V49" i="61" a="1"/>
  <c r="M50" i="61" a="1"/>
  <c r="AB50" i="61" a="1"/>
  <c r="J50" i="61" a="1"/>
  <c r="Y50" i="61" a="1"/>
  <c r="AH50" i="61" a="1"/>
  <c r="D50" i="61" a="1"/>
  <c r="G50" i="61" a="1"/>
  <c r="P50" i="61" a="1"/>
  <c r="S50" i="61" a="1"/>
  <c r="V50" i="61" a="1"/>
  <c r="AE50" i="61" a="1"/>
  <c r="G51" i="61" a="1"/>
  <c r="S51" i="61" a="1"/>
  <c r="T51" i="61" s="1"/>
  <c r="T50" i="61" s="1"/>
  <c r="T49" i="61" s="1"/>
  <c r="T48" i="61" s="1"/>
  <c r="T45" i="61" s="1"/>
  <c r="G52" i="2" s="1"/>
  <c r="G39" i="2" s="1"/>
  <c r="E246" i="27" s="1"/>
  <c r="G31" i="2" s="1"/>
  <c r="V51" i="61" a="1"/>
  <c r="Y51" i="61" a="1"/>
  <c r="AE51" i="61" a="1"/>
  <c r="AH51" i="61" a="1"/>
  <c r="D51" i="61" a="1"/>
  <c r="J51" i="61" a="1"/>
  <c r="M51" i="61" a="1"/>
  <c r="P51" i="61" a="1"/>
  <c r="AB51" i="61" a="1"/>
  <c r="D52" i="61" a="1"/>
  <c r="V52" i="61" a="1"/>
  <c r="AB52" i="61" a="1"/>
  <c r="AH52" i="61" a="1"/>
  <c r="G52" i="61" a="1"/>
  <c r="J52" i="61" a="1"/>
  <c r="M52" i="61" a="1"/>
  <c r="P52" i="61" a="1"/>
  <c r="S52" i="61" a="1"/>
  <c r="T52" i="61" s="1"/>
  <c r="Y52" i="61" a="1"/>
  <c r="AE52" i="61" a="1"/>
  <c r="G53" i="61" a="1"/>
  <c r="S53" i="61" a="1"/>
  <c r="AE53" i="61" a="1"/>
  <c r="AH53" i="61" a="1"/>
  <c r="D53" i="61" a="1"/>
  <c r="J53" i="61" a="1"/>
  <c r="M53" i="61" a="1"/>
  <c r="P53" i="61" a="1"/>
  <c r="V53" i="61" a="1"/>
  <c r="Y53" i="61" a="1"/>
  <c r="AB53" i="61" a="1"/>
  <c r="M54" i="61" a="1"/>
  <c r="S54" i="61" a="1"/>
  <c r="T54" i="61" s="1"/>
  <c r="AB54" i="61" a="1"/>
  <c r="AE54" i="61" a="1"/>
  <c r="AH54" i="61" a="1"/>
  <c r="D54" i="61" a="1"/>
  <c r="G54" i="61" a="1"/>
  <c r="J54" i="61" a="1"/>
  <c r="P54" i="61" a="1"/>
  <c r="V54" i="61" a="1"/>
  <c r="Y54" i="61" a="1"/>
  <c r="Y55" i="61" a="1"/>
  <c r="AB55" i="61" a="1"/>
  <c r="AE55" i="61" a="1"/>
  <c r="AH55" i="61" a="1"/>
  <c r="D55" i="61" a="1"/>
  <c r="G55" i="61" a="1"/>
  <c r="J55" i="61" a="1"/>
  <c r="M55" i="61" a="1"/>
  <c r="P55" i="61" a="1"/>
  <c r="S55" i="61" a="1"/>
  <c r="V55" i="61" a="1"/>
  <c r="V56" i="61" a="1"/>
  <c r="Y56" i="61" a="1"/>
  <c r="AB56" i="61" a="1"/>
  <c r="AE56" i="61" a="1"/>
  <c r="G56" i="61" a="1"/>
  <c r="D56" i="61" a="1"/>
  <c r="J56" i="61" a="1"/>
  <c r="M56" i="61" a="1"/>
  <c r="P56" i="61" a="1"/>
  <c r="S56" i="61" a="1"/>
  <c r="T56" i="61" s="1"/>
  <c r="AH56" i="61" a="1"/>
  <c r="T46" i="61"/>
  <c r="T44" i="61" s="1"/>
  <c r="T43" i="61" s="1"/>
  <c r="T42" i="61"/>
  <c r="T55" i="61"/>
  <c r="K45" i="19" l="1" a="1"/>
  <c r="F89" i="19"/>
  <c r="E50" i="19" a="1"/>
  <c r="G50" i="19" a="1"/>
  <c r="K27" i="19" a="1"/>
  <c r="K35" i="19" a="1"/>
  <c r="K131" i="19" a="1"/>
  <c r="F71" i="19"/>
  <c r="F77" i="19" s="1"/>
  <c r="K107" i="19" a="1"/>
  <c r="F94" i="19"/>
  <c r="G92" i="19" s="1" a="1"/>
  <c r="F66" i="19"/>
  <c r="E85" i="19" a="1"/>
  <c r="K59" i="19" a="1"/>
  <c r="K21" i="19" a="1"/>
  <c r="K109" i="19" a="1"/>
  <c r="K34" i="19" a="1"/>
  <c r="E34" i="19" a="1"/>
  <c r="K38" i="19" a="1"/>
  <c r="E38" i="19" a="1"/>
  <c r="G118" i="19" a="1"/>
  <c r="E118" i="19" a="1"/>
  <c r="E73" i="19" a="1"/>
  <c r="G73" i="19" a="1"/>
  <c r="K87" i="19" a="1"/>
  <c r="E87" i="19" a="1"/>
  <c r="K95" i="19" a="1"/>
  <c r="G95" i="19" a="1"/>
  <c r="K99" i="19" a="1"/>
  <c r="E99" i="19" a="1"/>
  <c r="G119" i="19" a="1"/>
  <c r="E119" i="19" a="1"/>
  <c r="T39" i="61"/>
  <c r="G47" i="2" s="1"/>
  <c r="G44" i="2" s="1"/>
  <c r="K142" i="19" a="1"/>
  <c r="K153" i="19" a="1"/>
  <c r="K151" i="19" a="1"/>
  <c r="K148" i="19" a="1"/>
  <c r="K103" i="19" a="1"/>
  <c r="K67" i="19" a="1"/>
  <c r="F55" i="19" s="1"/>
  <c r="T53" i="61"/>
  <c r="T41" i="61" s="1"/>
  <c r="T37" i="61" s="1"/>
  <c r="T34" i="61"/>
  <c r="T33" i="61" s="1"/>
  <c r="T32" i="61" s="1"/>
  <c r="T31" i="61" s="1"/>
  <c r="T30" i="61" s="1"/>
  <c r="T29" i="61" s="1"/>
  <c r="T28" i="61" s="1"/>
  <c r="T27" i="61" s="1"/>
  <c r="T26" i="61" s="1"/>
  <c r="T25" i="61" s="1"/>
  <c r="T24" i="61" s="1"/>
  <c r="T23" i="61" s="1"/>
  <c r="T22" i="61" s="1"/>
  <c r="T21" i="61" s="1"/>
  <c r="T20" i="61" s="1"/>
  <c r="T19" i="61" s="1"/>
  <c r="T18" i="61" s="1"/>
  <c r="T17" i="61" s="1"/>
  <c r="T16" i="61" s="1"/>
  <c r="T15" i="61" s="1"/>
  <c r="T14" i="61" s="1"/>
  <c r="T13" i="61" s="1"/>
  <c r="T12" i="61" s="1"/>
  <c r="T11" i="61" s="1"/>
  <c r="T10" i="61" s="1"/>
  <c r="T9" i="61" s="1"/>
  <c r="T8" i="61" s="1"/>
  <c r="T7" i="61" s="1"/>
  <c r="T6" i="61" s="1"/>
  <c r="T5" i="61" s="1"/>
  <c r="G55" i="2" s="1"/>
  <c r="G53" i="2" s="1"/>
  <c r="G45" i="2" s="1"/>
  <c r="G37" i="2" s="1"/>
  <c r="G36" i="2" s="1"/>
  <c r="G29" i="2" s="1"/>
  <c r="F144" i="19" s="1"/>
  <c r="F141" i="19" s="1"/>
  <c r="F176" i="19" s="1"/>
  <c r="K144" i="19" a="1"/>
  <c r="K149" i="19" a="1"/>
  <c r="F145" i="19" s="1"/>
  <c r="F139" i="19" s="1"/>
  <c r="K132" i="19" s="1" a="1"/>
  <c r="K124" i="19" a="1"/>
  <c r="K120" i="19" a="1"/>
  <c r="K112" i="19" a="1"/>
  <c r="E104" i="19" a="1"/>
  <c r="E82" i="19" a="1"/>
  <c r="F95" i="19"/>
  <c r="F84" i="19"/>
  <c r="K69" i="19" a="1"/>
  <c r="F106" i="19" s="1"/>
  <c r="G102" i="19" a="1"/>
  <c r="G45" i="19" a="1"/>
  <c r="G33" i="19" a="1"/>
  <c r="E25" i="19" a="1"/>
  <c r="E21" i="19" a="1"/>
  <c r="K39" i="19" s="1" a="1"/>
  <c r="E27" i="19" a="1"/>
  <c r="K23" i="19" a="1"/>
  <c r="E23" i="19" a="1"/>
  <c r="E101" i="19" a="1"/>
  <c r="G97" i="19" a="1"/>
  <c r="K85" i="19" a="1"/>
  <c r="F74" i="19" s="1"/>
  <c r="K70" i="19" a="1"/>
  <c r="E59" i="19" a="1"/>
  <c r="F46" i="19"/>
  <c r="K26" i="19" a="1"/>
  <c r="F18" i="19" s="1"/>
  <c r="E18" i="19" s="1" a="1"/>
  <c r="K56" i="19" a="1"/>
  <c r="E52" i="19" a="1"/>
  <c r="K44" i="19" a="1"/>
  <c r="K129" i="19" s="1" a="1"/>
  <c r="F27" i="19"/>
  <c r="K147" i="19" s="1" a="1"/>
  <c r="K32" i="19" s="1" a="1"/>
  <c r="F127" i="19" s="1"/>
  <c r="F125" i="19" s="1"/>
  <c r="F150" i="19" s="1"/>
  <c r="K146" i="19" a="1"/>
  <c r="K155" i="19" a="1"/>
  <c r="K143" i="19" a="1"/>
  <c r="K141" i="19" a="1"/>
  <c r="H182" i="19"/>
  <c r="F78" i="19" s="1"/>
  <c r="K139" i="19" s="1" a="1"/>
  <c r="K108" i="19" a="1"/>
  <c r="F104" i="19"/>
  <c r="K92" i="19" a="1"/>
  <c r="F115" i="19" s="1"/>
  <c r="F109" i="19" s="1"/>
  <c r="K111" i="19" a="1"/>
  <c r="K91" i="19" a="1"/>
  <c r="K51" i="19" a="1"/>
  <c r="K134" i="19" a="1"/>
  <c r="K130" i="19" s="1" a="1"/>
  <c r="F117" i="19"/>
  <c r="G110" i="19" a="1"/>
  <c r="E94" i="19" a="1"/>
  <c r="K86" i="19" a="1"/>
  <c r="G86" i="19" a="1"/>
  <c r="G29" i="19" a="1"/>
  <c r="F79" i="19"/>
  <c r="F58" i="19" s="1"/>
  <c r="K54" i="19" a="1"/>
  <c r="K50" i="19" a="1"/>
  <c r="K46" i="19" a="1"/>
  <c r="K42" i="19" a="1"/>
  <c r="K30" i="19" a="1"/>
  <c r="E64" i="19" a="1"/>
  <c r="K121" i="19" a="1"/>
  <c r="G80" i="19" s="1" a="1"/>
  <c r="F22" i="19"/>
  <c r="E24" i="19" a="1"/>
  <c r="E17" i="19" a="1"/>
  <c r="E20" i="19" a="1"/>
  <c r="F69" i="19"/>
  <c r="F60" i="19" s="1"/>
  <c r="F48" i="19" s="1"/>
  <c r="F63" i="19" s="1"/>
  <c r="K119" i="19" a="1"/>
  <c r="E107" i="19" a="1"/>
  <c r="F107" i="19" s="1"/>
  <c r="F103" i="19"/>
  <c r="K122" i="19" a="1"/>
  <c r="T38" i="61"/>
  <c r="G28" i="2" s="1"/>
  <c r="K73" i="19" a="1"/>
  <c r="K75" i="19" a="1"/>
  <c r="K65" i="19" a="1"/>
  <c r="K63" i="19" a="1"/>
  <c r="G57" i="19" a="1"/>
  <c r="G35" i="19" a="1"/>
  <c r="K117" i="19" a="1"/>
  <c r="E97" i="19" a="1"/>
  <c r="G79" i="19" a="1"/>
  <c r="F149" i="19"/>
  <c r="G144" i="19" a="1"/>
  <c r="F181" i="19"/>
  <c r="G181" i="19" s="1" a="1"/>
  <c r="E13" i="19"/>
  <c r="E14" i="19"/>
  <c r="G149" i="19" a="1"/>
  <c r="I182" i="19"/>
  <c r="J182" i="19" s="1"/>
  <c r="F162" i="19" s="1"/>
  <c r="F159" i="19" s="1"/>
  <c r="F102" i="19" s="1"/>
  <c r="F72" i="19" s="1"/>
  <c r="G58" i="19" a="1"/>
  <c r="E56" i="19" a="1"/>
  <c r="F116" i="19"/>
  <c r="E108" i="19" a="1"/>
  <c r="G104" i="19" a="1"/>
  <c r="K84" i="19" a="1"/>
  <c r="K127" i="19" s="1" a="1"/>
  <c r="K123" i="19" a="1"/>
  <c r="E115" i="19" a="1"/>
  <c r="G111" i="19" a="1"/>
  <c r="G107" i="19" a="1"/>
  <c r="G99" i="19" a="1"/>
  <c r="E95" i="19" a="1"/>
  <c r="F87" i="19"/>
  <c r="E83" i="19" a="1"/>
  <c r="G83" i="19" a="1"/>
  <c r="E76" i="19" a="1"/>
  <c r="G75" i="19" a="1"/>
  <c r="K71" i="19" a="1"/>
  <c r="E69" i="19" a="1"/>
  <c r="G69" i="19" a="1"/>
  <c r="E67" i="19" a="1"/>
  <c r="G67" i="19" a="1"/>
  <c r="E65" i="19" a="1"/>
  <c r="G63" i="19" a="1"/>
  <c r="G61" i="19" a="1"/>
  <c r="G59" i="19" a="1"/>
  <c r="E57" i="19" a="1"/>
  <c r="K55" i="19" a="1"/>
  <c r="G51" i="19" a="1"/>
  <c r="K126" i="19" s="1" a="1"/>
  <c r="K118" i="19" a="1"/>
  <c r="B135" i="19" s="1" a="1"/>
  <c r="K98" i="19" a="1"/>
  <c r="F88" i="19"/>
  <c r="K78" i="19" a="1"/>
  <c r="K77" i="19" a="1"/>
  <c r="K49" i="19" a="1"/>
  <c r="E49" i="19" s="1" a="1"/>
  <c r="E45" i="19" a="1"/>
  <c r="K41" i="19" a="1"/>
  <c r="K37" i="19" a="1"/>
  <c r="E33" i="19" a="1"/>
  <c r="E29" i="19" a="1"/>
  <c r="G25" i="19" a="1"/>
  <c r="G21" i="19" a="1"/>
  <c r="J135" i="19"/>
  <c r="F178" i="19" s="1"/>
  <c r="F175" i="19" s="1"/>
  <c r="F154" i="19" s="1"/>
  <c r="K158" i="19" s="1" a="1"/>
  <c r="B109" i="51"/>
  <c r="D109" i="51" s="1"/>
  <c r="F43" i="19" s="1"/>
  <c r="F166" i="19" s="1"/>
  <c r="K47" i="19" a="1"/>
  <c r="F37" i="19"/>
  <c r="F36" i="19" s="1"/>
  <c r="F35" i="19" s="1"/>
  <c r="F32" i="19" s="1"/>
  <c r="F31" i="19" s="1"/>
  <c r="F29" i="19" s="1"/>
  <c r="F26" i="19" s="1"/>
  <c r="F25" i="19" s="1"/>
  <c r="F23" i="19" s="1"/>
  <c r="F133" i="19" s="1"/>
  <c r="F130" i="19" s="1"/>
  <c r="F96" i="19" s="1"/>
  <c r="E35" i="19" a="1"/>
  <c r="G27" i="19" a="1"/>
  <c r="G23" i="19" a="1"/>
  <c r="K105" i="19" a="1"/>
  <c r="G101" i="19" a="1"/>
  <c r="K93" i="19" a="1"/>
  <c r="K74" i="19" a="1"/>
  <c r="K66" i="19" a="1"/>
  <c r="E54" i="19" a="1"/>
  <c r="G46" i="19" a="1"/>
  <c r="G42" i="19" a="1"/>
  <c r="E30" i="19" a="1"/>
  <c r="E26" i="19" a="1"/>
  <c r="G26" i="19" a="1"/>
  <c r="K60" i="19" a="1"/>
  <c r="G44" i="19" a="1"/>
  <c r="K133" i="19" a="1"/>
  <c r="K125" i="19" a="1"/>
  <c r="K113" i="19" a="1"/>
  <c r="G109" i="19" a="1"/>
  <c r="E22" i="19" a="1"/>
  <c r="K40" i="19" a="1"/>
  <c r="G24" i="19" a="1"/>
  <c r="G20" i="19" a="1"/>
  <c r="K154" i="19" a="1"/>
  <c r="F153" i="19" s="1"/>
  <c r="F179" i="19" s="1"/>
  <c r="F173" i="19" s="1"/>
  <c r="F128" i="19"/>
  <c r="K128" i="19" s="1" a="1"/>
  <c r="K116" i="19" a="1"/>
  <c r="F112" i="19" s="1"/>
  <c r="F110" i="19" s="1"/>
  <c r="K68" i="19" a="1"/>
  <c r="F73" i="19"/>
  <c r="G17" i="19" s="1" a="1"/>
  <c r="K90" i="19" a="1"/>
  <c r="F30" i="19"/>
  <c r="C109" i="51"/>
  <c r="H135" i="19"/>
  <c r="I135" i="19"/>
  <c r="F17" i="19" s="1"/>
  <c r="F54" i="19" s="1"/>
  <c r="E80" i="19" s="1" a="1"/>
  <c r="F24" i="19"/>
  <c r="F105" i="19" s="1"/>
  <c r="K58" i="19" a="1"/>
  <c r="F44" i="19" s="1"/>
  <c r="F42" i="19" s="1"/>
  <c r="F40" i="19" s="1"/>
  <c r="F129" i="19" s="1"/>
  <c r="F121" i="19" s="1"/>
  <c r="K79" i="19" a="1"/>
  <c r="K72" i="19" a="1"/>
  <c r="AI56" i="61" s="1"/>
  <c r="Q56" i="61" s="1"/>
  <c r="N56" i="61" s="1"/>
  <c r="K56" i="61" s="1"/>
  <c r="E56" i="61" s="1"/>
  <c r="H56" i="61" s="1"/>
  <c r="AF56" i="61" s="1"/>
  <c r="AC56" i="61" s="1"/>
  <c r="Z56" i="61" s="1"/>
  <c r="W56" i="61" s="1"/>
  <c r="W55" i="61" s="1"/>
  <c r="Q55" i="61" s="1"/>
  <c r="N55" i="61" s="1"/>
  <c r="K55" i="61" s="1"/>
  <c r="H55" i="61" s="1"/>
  <c r="E55" i="61" s="1"/>
  <c r="AI55" i="61" s="1"/>
  <c r="AF55" i="61" s="1"/>
  <c r="AC55" i="61" s="1"/>
  <c r="Z55" i="61" s="1"/>
  <c r="Z54" i="61" s="1"/>
  <c r="W54" i="61" s="1"/>
  <c r="Q54" i="61" s="1"/>
  <c r="K54" i="61" s="1"/>
  <c r="H54" i="61" s="1"/>
  <c r="E54" i="61" s="1"/>
  <c r="AI54" i="61" s="1"/>
  <c r="AF54" i="61" s="1"/>
  <c r="AC54" i="61" s="1"/>
  <c r="N54" i="61" s="1"/>
  <c r="AC53" i="61" s="1"/>
  <c r="Z53" i="61" s="1"/>
  <c r="W53" i="61" s="1"/>
  <c r="Q53" i="61" s="1"/>
  <c r="N53" i="61" s="1"/>
  <c r="K53" i="61" s="1"/>
  <c r="E53" i="61" s="1"/>
  <c r="AI53" i="61" s="1"/>
  <c r="AF53" i="61" s="1"/>
  <c r="H53" i="61" s="1"/>
  <c r="AF52" i="61" s="1"/>
  <c r="Z52" i="61" s="1"/>
  <c r="Q52" i="61" s="1"/>
  <c r="N52" i="61" s="1"/>
  <c r="K52" i="61" s="1"/>
  <c r="H52" i="61" s="1"/>
  <c r="AI52" i="61" s="1"/>
  <c r="AC52" i="61" s="1"/>
  <c r="W52" i="61" s="1"/>
  <c r="E52" i="61" s="1"/>
  <c r="AC51" i="61" s="1"/>
  <c r="Q51" i="61" s="1"/>
  <c r="N51" i="61" s="1"/>
  <c r="K51" i="61" s="1"/>
  <c r="E51" i="61" s="1"/>
  <c r="AI51" i="61" s="1"/>
  <c r="AF51" i="61" s="1"/>
  <c r="Z51" i="61" s="1"/>
  <c r="W51" i="61" s="1"/>
  <c r="H51" i="61" s="1"/>
  <c r="AF50" i="61" s="1"/>
  <c r="W50" i="61" s="1"/>
  <c r="Q50" i="61" s="1"/>
  <c r="H50" i="61" s="1"/>
  <c r="E50" i="61" s="1"/>
  <c r="AI50" i="61" s="1"/>
  <c r="Z50" i="61" s="1"/>
  <c r="K50" i="61" s="1"/>
  <c r="AC50" i="61" s="1"/>
  <c r="N50" i="61" s="1"/>
  <c r="W49" i="61" s="1"/>
  <c r="K49" i="61" s="1"/>
  <c r="AC49" i="61" s="1"/>
  <c r="AI49" i="61" s="1"/>
  <c r="AF49" i="61" s="1"/>
  <c r="Z49" i="61" s="1"/>
  <c r="Q49" i="61" s="1"/>
  <c r="N49" i="61" s="1"/>
  <c r="H49" i="61" s="1"/>
  <c r="E49" i="61" s="1"/>
  <c r="AF48" i="61" s="1"/>
  <c r="Q48" i="61" s="1"/>
  <c r="H48" i="61" s="1"/>
  <c r="W48" i="61" s="1"/>
  <c r="E48" i="61" s="1"/>
  <c r="AI48" i="61" s="1"/>
  <c r="AC48" i="61" s="1"/>
  <c r="Z48" i="61" s="1"/>
  <c r="N48" i="61" s="1"/>
  <c r="K48" i="61" s="1"/>
  <c r="AF47" i="61" s="1"/>
  <c r="W47" i="61" s="1"/>
  <c r="K47" i="61" s="1"/>
  <c r="E47" i="61" s="1"/>
  <c r="AI47" i="61" s="1"/>
  <c r="AC47" i="61" s="1"/>
  <c r="Z47" i="61" s="1"/>
  <c r="Q47" i="61" s="1"/>
  <c r="N47" i="61" s="1"/>
  <c r="H47" i="61" s="1"/>
  <c r="AC46" i="61" s="1"/>
  <c r="Q46" i="61" s="1"/>
  <c r="N46" i="61" s="1"/>
  <c r="K46" i="61" s="1"/>
  <c r="Z43" i="61" s="1"/>
  <c r="Q43" i="61" s="1"/>
  <c r="N43" i="61" s="1"/>
  <c r="K43" i="61" s="1"/>
  <c r="E43" i="61" s="1"/>
  <c r="AF42" i="61" s="1"/>
  <c r="Z42" i="61" s="1"/>
  <c r="W42" i="61" s="1"/>
  <c r="K42" i="61" s="1"/>
  <c r="AI42" i="61" s="1"/>
  <c r="AC42" i="61" s="1"/>
  <c r="Q42" i="61" s="1"/>
  <c r="N42" i="61" s="1"/>
  <c r="H42" i="61" s="1"/>
  <c r="E42" i="61" s="1"/>
  <c r="W41" i="61" s="1"/>
  <c r="N41" i="61" s="1"/>
  <c r="K41" i="61" s="1"/>
  <c r="E41" i="61" s="1"/>
  <c r="Q41" i="61" s="1"/>
  <c r="AI41" i="61" s="1"/>
  <c r="AF41" i="61" s="1"/>
  <c r="AC41" i="61" s="1"/>
  <c r="Z41" i="61" s="1"/>
  <c r="H41" i="61" s="1"/>
  <c r="AI40" i="61" s="1"/>
  <c r="AF40" i="61" s="1"/>
  <c r="AC40" i="61" s="1"/>
  <c r="Z40" i="61" s="1"/>
  <c r="W40" i="61" s="1"/>
  <c r="Q40" i="61" s="1"/>
  <c r="N40" i="61" s="1"/>
  <c r="K40" i="61" s="1"/>
  <c r="H40" i="61" s="1"/>
  <c r="E40" i="61" s="1"/>
  <c r="AI39" i="61" s="1"/>
  <c r="AF39" i="61" s="1"/>
  <c r="AC39" i="61" s="1"/>
  <c r="Z39" i="61" s="1"/>
  <c r="W39" i="61" s="1"/>
  <c r="Q39" i="61" s="1"/>
  <c r="N39" i="61" s="1"/>
  <c r="K39" i="61" s="1"/>
  <c r="H39" i="61" s="1"/>
  <c r="E39" i="61" s="1"/>
  <c r="AI38" i="61" s="1"/>
  <c r="AF38" i="61" s="1"/>
  <c r="AC38" i="61" s="1"/>
  <c r="Z38" i="61" s="1"/>
  <c r="W38" i="61" s="1"/>
  <c r="Q38" i="61" s="1"/>
  <c r="N38" i="61" s="1"/>
  <c r="K38" i="61" s="1"/>
  <c r="H38" i="61" s="1"/>
  <c r="E38" i="61" s="1"/>
  <c r="AI37" i="61" s="1"/>
  <c r="AF37" i="61" s="1"/>
  <c r="AC37" i="61" s="1"/>
  <c r="Z37" i="61" s="1"/>
  <c r="W37" i="61" s="1"/>
  <c r="Q37" i="61" s="1"/>
  <c r="N37" i="61" s="1"/>
  <c r="K37" i="61" s="1"/>
  <c r="H37" i="61" s="1"/>
  <c r="E37" i="61" s="1"/>
  <c r="AI36" i="61" s="1"/>
  <c r="AF36" i="61" s="1"/>
  <c r="AC36" i="61" s="1"/>
  <c r="Z36" i="61" s="1"/>
  <c r="W36" i="61" s="1"/>
  <c r="Q36" i="61" s="1"/>
  <c r="N36" i="61" s="1"/>
  <c r="K36" i="61" s="1"/>
  <c r="H36" i="61" s="1"/>
  <c r="E36" i="61" s="1"/>
  <c r="AI35" i="61" s="1"/>
  <c r="AF35" i="61" s="1"/>
  <c r="AC35" i="61" s="1"/>
  <c r="Z35" i="61" s="1"/>
  <c r="W35" i="61" s="1"/>
  <c r="Q35" i="61" s="1"/>
  <c r="N35" i="61" s="1"/>
  <c r="K35" i="61" s="1"/>
  <c r="H35" i="61" s="1"/>
  <c r="E35" i="61" s="1"/>
  <c r="AI34" i="61" s="1"/>
  <c r="AF34" i="61" s="1"/>
  <c r="AC34" i="61" s="1"/>
  <c r="Z34" i="61" s="1"/>
  <c r="W34" i="61" s="1"/>
  <c r="Q34" i="61" s="1"/>
  <c r="N34" i="61" s="1"/>
  <c r="K34" i="61" s="1"/>
  <c r="H34" i="61" s="1"/>
  <c r="E34" i="61" s="1"/>
  <c r="AI33" i="61" s="1"/>
  <c r="AF33" i="61" s="1"/>
  <c r="AC33" i="61" s="1"/>
  <c r="Z33" i="61" s="1"/>
  <c r="W33" i="61" s="1"/>
  <c r="Q33" i="61" s="1"/>
  <c r="N33" i="61" s="1"/>
  <c r="K33" i="61" s="1"/>
  <c r="H33" i="61" s="1"/>
  <c r="E33" i="61" s="1"/>
  <c r="AI32" i="61" s="1"/>
  <c r="AF32" i="61" s="1"/>
  <c r="Z32" i="61" s="1"/>
  <c r="W32" i="61" s="1"/>
  <c r="K32" i="61" s="1"/>
  <c r="H32" i="61" s="1"/>
  <c r="E32" i="61" s="1"/>
  <c r="N32" i="61" s="1"/>
  <c r="AC32" i="61" s="1"/>
  <c r="Q32" i="61" s="1"/>
  <c r="AF31" i="61" s="1"/>
  <c r="AC31" i="61" s="1"/>
  <c r="Z31" i="61" s="1"/>
  <c r="Q31" i="61" s="1"/>
  <c r="K31" i="61" s="1"/>
  <c r="E31" i="61" s="1"/>
  <c r="AI31" i="61" s="1"/>
  <c r="H31" i="61" s="1"/>
  <c r="W31" i="61" s="1"/>
  <c r="N31" i="61" s="1"/>
  <c r="Q30" i="61" s="1"/>
  <c r="N30" i="61" s="1"/>
  <c r="H30" i="61" s="1"/>
  <c r="AC30" i="61" s="1"/>
  <c r="K30" i="61" s="1"/>
  <c r="AI30" i="61" s="1"/>
  <c r="AF30" i="61" s="1"/>
  <c r="Z30" i="61" s="1"/>
  <c r="W30" i="61" s="1"/>
  <c r="E30" i="61" s="1"/>
  <c r="AC29" i="61" s="1"/>
  <c r="K29" i="61" s="1"/>
  <c r="E29" i="61" s="1"/>
  <c r="AI29" i="61" s="1"/>
  <c r="W29" i="61" s="1"/>
  <c r="N29" i="61" s="1"/>
  <c r="AF29" i="61" s="1"/>
  <c r="H29" i="61" s="1"/>
  <c r="Z29" i="61" s="1"/>
  <c r="Q29" i="61" s="1"/>
  <c r="AC28" i="61" s="1"/>
  <c r="Z28" i="61" s="1"/>
  <c r="Q28" i="61" s="1"/>
  <c r="E28" i="61" s="1"/>
  <c r="AF28" i="61" s="1"/>
  <c r="AI28" i="61" s="1"/>
  <c r="W28" i="61" s="1"/>
  <c r="N28" i="61" s="1"/>
  <c r="K28" i="61" s="1"/>
  <c r="H28" i="61" s="1"/>
  <c r="Z27" i="61" s="1"/>
  <c r="W27" i="61" s="1"/>
  <c r="N27" i="61" s="1"/>
  <c r="K27" i="61" s="1"/>
  <c r="H27" i="61" s="1"/>
  <c r="AI27" i="61" s="1"/>
  <c r="AF27" i="61" s="1"/>
  <c r="AC27" i="61" s="1"/>
  <c r="Q27" i="61" s="1"/>
  <c r="E27" i="61" s="1"/>
  <c r="AC26" i="61" s="1"/>
  <c r="Z26" i="61" s="1"/>
  <c r="W26" i="61" s="1"/>
  <c r="E26" i="61" s="1"/>
  <c r="AI26" i="61" s="1"/>
  <c r="AF26" i="61" s="1"/>
  <c r="K26" i="61" s="1"/>
  <c r="Q26" i="61" s="1"/>
  <c r="H26" i="61" s="1"/>
  <c r="N26" i="61" s="1"/>
  <c r="N25" i="61" s="1"/>
  <c r="H25" i="61" s="1"/>
  <c r="E25" i="61" s="1"/>
  <c r="Q25" i="61" s="1"/>
  <c r="Z25" i="61" s="1"/>
  <c r="AC25" i="61" s="1"/>
  <c r="K25" i="61" s="1"/>
  <c r="W25" i="61" s="1"/>
  <c r="AF25" i="61" s="1"/>
  <c r="AI25" i="61" s="1"/>
  <c r="AI24" i="61" s="1"/>
  <c r="AF24" i="61" s="1"/>
  <c r="AC24" i="61" s="1"/>
  <c r="Z24" i="61" s="1"/>
  <c r="W24" i="61" s="1"/>
  <c r="Q24" i="61" s="1"/>
  <c r="N24" i="61" s="1"/>
  <c r="K24" i="61" s="1"/>
  <c r="H24" i="61" s="1"/>
  <c r="E24" i="61" s="1"/>
  <c r="AI23" i="61" s="1"/>
  <c r="AF23" i="61" s="1"/>
  <c r="AC23" i="61" s="1"/>
  <c r="Z23" i="61" s="1"/>
  <c r="W23" i="61" s="1"/>
  <c r="Q23" i="61" s="1"/>
  <c r="N23" i="61" s="1"/>
  <c r="K23" i="61" s="1"/>
  <c r="H23" i="61" s="1"/>
  <c r="E23" i="61" s="1"/>
  <c r="AI22" i="61" s="1"/>
  <c r="AF22" i="61" s="1"/>
  <c r="AC22" i="61" s="1"/>
  <c r="Z22" i="61" s="1"/>
  <c r="W22" i="61" s="1"/>
  <c r="Q22" i="61" s="1"/>
  <c r="N22" i="61" s="1"/>
  <c r="K22" i="61" s="1"/>
  <c r="H22" i="61" s="1"/>
  <c r="E22" i="61" s="1"/>
  <c r="AI21" i="61" s="1"/>
  <c r="AF21" i="61" s="1"/>
  <c r="AC21" i="61" s="1"/>
  <c r="Z21" i="61" s="1"/>
  <c r="W21" i="61" s="1"/>
  <c r="Q21" i="61" s="1"/>
  <c r="N21" i="61" s="1"/>
  <c r="K21" i="61" s="1"/>
  <c r="H21" i="61" s="1"/>
  <c r="E21" i="61" s="1"/>
  <c r="AI20" i="61" s="1"/>
  <c r="AF20" i="61" s="1"/>
  <c r="AC20" i="61" s="1"/>
  <c r="Z20" i="61" s="1"/>
  <c r="W20" i="61" s="1"/>
  <c r="Q20" i="61" s="1"/>
  <c r="N20" i="61" s="1"/>
  <c r="K20" i="61" s="1"/>
  <c r="H20" i="61" s="1"/>
  <c r="E20" i="61" s="1"/>
  <c r="AI19" i="61" s="1"/>
  <c r="AF19" i="61" s="1"/>
  <c r="AC19" i="61" s="1"/>
  <c r="Z19" i="61" s="1"/>
  <c r="W19" i="61" s="1"/>
  <c r="Q19" i="61" s="1"/>
  <c r="N19" i="61" s="1"/>
  <c r="K19" i="61" s="1"/>
  <c r="H19" i="61" s="1"/>
  <c r="E19" i="61" s="1"/>
  <c r="AI18" i="61" s="1"/>
  <c r="AF18" i="61" s="1"/>
  <c r="AC18" i="61" s="1"/>
  <c r="Z18" i="61" s="1"/>
  <c r="W18" i="61" s="1"/>
  <c r="Q18" i="61" s="1"/>
  <c r="N18" i="61" s="1"/>
  <c r="K18" i="61" s="1"/>
  <c r="H18" i="61" s="1"/>
  <c r="E18" i="61" s="1"/>
  <c r="AI17" i="61" s="1"/>
  <c r="AF17" i="61" s="1"/>
  <c r="AC17" i="61" s="1"/>
  <c r="Z17" i="61" s="1"/>
  <c r="W17" i="61" s="1"/>
  <c r="Q17" i="61" s="1"/>
  <c r="N17" i="61" s="1"/>
  <c r="K17" i="61" s="1"/>
  <c r="H17" i="61" s="1"/>
  <c r="E17" i="61" s="1"/>
  <c r="AI16" i="61" s="1"/>
  <c r="AF16" i="61" s="1"/>
  <c r="AC16" i="61" s="1"/>
  <c r="Z16" i="61" s="1"/>
  <c r="W16" i="61" s="1"/>
  <c r="Q16" i="61" s="1"/>
  <c r="N16" i="61" s="1"/>
  <c r="K16" i="61" s="1"/>
  <c r="H16" i="61" s="1"/>
  <c r="E16" i="61" s="1"/>
  <c r="AI15" i="61" s="1"/>
  <c r="AF15" i="61" s="1"/>
  <c r="AC15" i="61" s="1"/>
  <c r="Z15" i="61" s="1"/>
  <c r="W15" i="61" s="1"/>
  <c r="Q15" i="61" s="1"/>
  <c r="N15" i="61" s="1"/>
  <c r="K15" i="61" s="1"/>
  <c r="H15" i="61" s="1"/>
  <c r="E15" i="61" s="1"/>
  <c r="AI14" i="61" s="1"/>
  <c r="AF14" i="61" s="1"/>
  <c r="AC14" i="61" s="1"/>
  <c r="Z14" i="61" s="1"/>
  <c r="W14" i="61" s="1"/>
  <c r="Q14" i="61" s="1"/>
  <c r="N14" i="61" s="1"/>
  <c r="K14" i="61" s="1"/>
  <c r="H14" i="61" s="1"/>
  <c r="E14" i="61" s="1"/>
  <c r="AI13" i="61" s="1"/>
  <c r="AF13" i="61" s="1"/>
  <c r="AC13" i="61" s="1"/>
  <c r="Z13" i="61" s="1"/>
  <c r="W13" i="61" s="1"/>
  <c r="Q13" i="61" s="1"/>
  <c r="N13" i="61" s="1"/>
  <c r="K13" i="61" s="1"/>
  <c r="H13" i="61" s="1"/>
  <c r="E13" i="61" s="1"/>
  <c r="AC12" i="61" s="1"/>
  <c r="K12" i="61" s="1"/>
  <c r="Z12" i="61" s="1"/>
  <c r="W12" i="61" s="1"/>
  <c r="N12" i="61" s="1"/>
  <c r="E12" i="61" s="1"/>
  <c r="AI12" i="61" s="1"/>
  <c r="AF12" i="61" s="1"/>
  <c r="Q12" i="61" s="1"/>
  <c r="H12" i="61" s="1"/>
  <c r="Z11" i="61" s="1"/>
  <c r="K11" i="61" s="1"/>
  <c r="AI11" i="61" s="1"/>
  <c r="AF11" i="61" s="1"/>
  <c r="W11" i="61" s="1"/>
  <c r="N11" i="61" s="1"/>
  <c r="E11" i="61" s="1"/>
  <c r="AC11" i="61" s="1"/>
  <c r="Q11" i="61" s="1"/>
  <c r="H11" i="61" s="1"/>
  <c r="AI10" i="61" s="1"/>
  <c r="AF10" i="61" s="1"/>
  <c r="AC10" i="61" s="1"/>
  <c r="Z10" i="61" s="1"/>
  <c r="W10" i="61" s="1"/>
  <c r="Q10" i="61" s="1"/>
  <c r="H10" i="61" s="1"/>
  <c r="N10" i="61" s="1"/>
  <c r="K10" i="61" s="1"/>
  <c r="E10" i="61" s="1"/>
  <c r="AI9" i="61" s="1"/>
  <c r="Z9" i="61" s="1"/>
  <c r="N9" i="61" s="1"/>
  <c r="AF9" i="61" s="1"/>
  <c r="AC9" i="61" s="1"/>
  <c r="Q9" i="61" s="1"/>
  <c r="E9" i="61" s="1"/>
  <c r="K9" i="61" s="1"/>
  <c r="H9" i="61" s="1"/>
  <c r="W9" i="61" s="1"/>
  <c r="AI8" i="61" s="1"/>
  <c r="AF8" i="61" s="1"/>
  <c r="AC8" i="61" s="1"/>
  <c r="Z8" i="61" s="1"/>
  <c r="W8" i="61" s="1"/>
  <c r="Q8" i="61" s="1"/>
  <c r="N8" i="61" s="1"/>
  <c r="K8" i="61" s="1"/>
  <c r="H8" i="61" s="1"/>
  <c r="E8" i="61" s="1"/>
  <c r="AI7" i="61" s="1"/>
  <c r="AF7" i="61" s="1"/>
  <c r="AC7" i="61" s="1"/>
  <c r="Z7" i="61" s="1"/>
  <c r="W7" i="61" s="1"/>
  <c r="Q7" i="61" s="1"/>
  <c r="N7" i="61" s="1"/>
  <c r="K7" i="61" s="1"/>
  <c r="H7" i="61" s="1"/>
  <c r="E7" i="61" s="1"/>
  <c r="AI6" i="61" s="1"/>
  <c r="AF6" i="61" s="1"/>
  <c r="AC6" i="61" s="1"/>
  <c r="Z6" i="61" s="1"/>
  <c r="W6" i="61" s="1"/>
  <c r="Q6" i="61" s="1"/>
  <c r="N6" i="61" s="1"/>
  <c r="K6" i="61" s="1"/>
  <c r="H6" i="61" s="1"/>
  <c r="E6" i="61" s="1"/>
  <c r="Z5" i="61" s="1"/>
  <c r="AI5" i="61" s="1"/>
  <c r="H5" i="61" s="1"/>
  <c r="K5" i="61" s="1"/>
  <c r="N5" i="61" s="1"/>
  <c r="Q5" i="61" s="1"/>
  <c r="W5" i="61" s="1"/>
  <c r="AC5" i="61" s="1"/>
  <c r="AF5" i="61" s="1"/>
  <c r="E5" i="61" s="1"/>
  <c r="G28" i="19" l="1" a="1"/>
  <c r="E28" i="19" a="1"/>
  <c r="G19" i="19" a="1"/>
  <c r="E19" i="19" a="1"/>
  <c r="E31" i="19" a="1"/>
  <c r="G31" i="19" a="1"/>
  <c r="F151" i="19"/>
  <c r="K145" i="19" s="1" a="1"/>
  <c r="E98" i="19" a="1"/>
  <c r="G98" i="19" a="1"/>
  <c r="F111" i="19"/>
  <c r="K110" i="19" a="1"/>
  <c r="K19" i="19" a="1"/>
  <c r="K31" i="19" a="1"/>
  <c r="E48" i="19" a="1"/>
  <c r="G48" i="19" a="1"/>
  <c r="G43" i="19" a="1"/>
  <c r="E43" i="19" a="1"/>
  <c r="E114" i="19" a="1"/>
  <c r="G114" i="19" a="1"/>
  <c r="G53" i="19" a="1"/>
  <c r="E53" i="19" a="1"/>
  <c r="K36" i="19" a="1"/>
  <c r="G36" i="19" a="1"/>
  <c r="G146" i="19" a="1"/>
  <c r="E100" i="19" a="1"/>
  <c r="G100" i="19" a="1"/>
  <c r="G96" i="19" a="1"/>
  <c r="E96" i="19" a="1"/>
  <c r="F41" i="19"/>
  <c r="F20" i="19"/>
  <c r="K150" i="19" a="1"/>
  <c r="K28" i="19" a="1"/>
  <c r="E62" i="19" a="1"/>
  <c r="G62" i="19" a="1"/>
  <c r="K62" i="19" a="1"/>
  <c r="K115" i="19" a="1"/>
  <c r="K181" i="19" a="1"/>
  <c r="K48" i="19" a="1"/>
  <c r="K43" i="19" a="1"/>
  <c r="K114" i="19" a="1"/>
  <c r="K53" i="19" a="1"/>
  <c r="K80" i="19" a="1"/>
  <c r="E36" i="19" a="1"/>
  <c r="K106" i="19" a="1"/>
  <c r="E106" i="19" a="1"/>
  <c r="K100" i="19" a="1"/>
  <c r="K96" i="19" a="1"/>
  <c r="G103" i="19" a="1"/>
  <c r="E103" i="19" a="1"/>
  <c r="G90" i="19" a="1"/>
  <c r="E90" i="19" a="1"/>
  <c r="E40" i="19" a="1"/>
  <c r="G40" i="19" a="1"/>
  <c r="G113" i="19" a="1"/>
  <c r="E113" i="19" a="1"/>
  <c r="E37" i="19" a="1"/>
  <c r="G37" i="19" a="1"/>
  <c r="E81" i="19" a="1"/>
  <c r="F146" i="19"/>
  <c r="F61" i="19"/>
  <c r="F59" i="19" s="1"/>
  <c r="K64" i="19" a="1"/>
  <c r="G64" i="19" a="1"/>
  <c r="G106" i="19" a="1"/>
  <c r="E91" i="19" a="1"/>
  <c r="G91" i="19" a="1"/>
  <c r="E32" i="19" a="1"/>
  <c r="G32" i="19" a="1"/>
  <c r="K18" i="19" a="1"/>
  <c r="G18" i="19" a="1"/>
  <c r="G39" i="19" a="1"/>
  <c r="E39" i="19" a="1"/>
  <c r="G49" i="19" a="1"/>
  <c r="F33" i="19" l="1"/>
  <c r="F19" i="19"/>
  <c r="B119" i="51"/>
  <c r="F21" i="19"/>
  <c r="B120" i="51" s="1"/>
  <c r="F180" i="19"/>
  <c r="G180" i="19" s="1" a="1"/>
  <c r="C119" i="51"/>
  <c r="C118" i="51"/>
  <c r="K140" i="19" a="1"/>
  <c r="C120" i="51"/>
  <c r="C144" i="51" s="1"/>
  <c r="B144" i="51" l="1"/>
  <c r="G179" i="19" a="1"/>
  <c r="B118" i="51"/>
  <c r="D119" i="51" s="1"/>
  <c r="C121" i="51"/>
  <c r="C140" i="51" s="1"/>
  <c r="C141" i="51"/>
  <c r="G178" i="19" l="1" a="1"/>
  <c r="D118" i="51"/>
  <c r="B141" i="51"/>
  <c r="B121" i="51"/>
  <c r="D120" i="51"/>
  <c r="D121" i="51" l="1"/>
  <c r="A148" i="51"/>
  <c r="C124" i="51"/>
  <c r="B124" i="51"/>
  <c r="B140" i="51"/>
  <c r="C123" i="51"/>
  <c r="B123" i="51"/>
  <c r="K178" i="19" a="1"/>
  <c r="G177" i="19" l="1" a="1"/>
  <c r="D143" i="51"/>
  <c r="D142" i="51"/>
  <c r="D145" i="51"/>
  <c r="D144" i="51"/>
  <c r="D141" i="51"/>
  <c r="G176" i="19" l="1" a="1"/>
  <c r="G175" i="19" l="1" a="1"/>
  <c r="K175" i="19" l="1" a="1"/>
  <c r="F174" i="19" l="1"/>
  <c r="G174" i="19" s="1" a="1"/>
  <c r="G173" i="19" l="1" a="1"/>
  <c r="F172" i="19" l="1"/>
  <c r="G172" i="19" s="1" a="1"/>
  <c r="K172" i="19" l="1" a="1"/>
  <c r="F171" i="19" l="1"/>
  <c r="G171" i="19" s="1" a="1"/>
  <c r="F170" i="19" l="1"/>
  <c r="G170" i="19" s="1" a="1"/>
  <c r="F169" i="19" l="1"/>
  <c r="G169" i="19" s="1" a="1"/>
  <c r="K169" i="19" l="1" a="1"/>
  <c r="G168" i="19" l="1" a="1"/>
  <c r="F167" i="19" l="1"/>
  <c r="G167" i="19" s="1" a="1"/>
  <c r="G166" i="19" l="1" a="1"/>
  <c r="K166" i="19" l="1" a="1"/>
  <c r="F165" i="19" l="1"/>
  <c r="G165" i="19" s="1" a="1"/>
  <c r="F164" i="19" l="1"/>
  <c r="G164" i="19" s="1" a="1"/>
  <c r="F163" i="19" l="1"/>
  <c r="G163" i="19" s="1" a="1"/>
  <c r="K163" i="19" l="1" a="1"/>
  <c r="G162" i="19" l="1" a="1"/>
  <c r="K162" i="19" l="1" a="1"/>
  <c r="F161" i="19" l="1"/>
  <c r="G161" i="19" s="1" a="1"/>
  <c r="F160" i="19" l="1"/>
  <c r="G160" i="19" s="1" a="1"/>
  <c r="K160" i="19" l="1" a="1"/>
  <c r="G159" i="19" l="1" a="1"/>
  <c r="K159" i="19" l="1" a="1"/>
  <c r="F158" i="19" l="1"/>
  <c r="G158" i="19" s="1" a="1"/>
  <c r="F157" i="19" l="1"/>
  <c r="G157" i="19" s="1" a="1"/>
  <c r="K157" i="19" l="1" a="1"/>
  <c r="F156" i="19" l="1"/>
  <c r="G156" i="19" s="1" a="1"/>
  <c r="F155" i="19" l="1"/>
  <c r="G155" i="19" s="1" a="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Sergio Chidichimo</author>
  </authors>
  <commentList>
    <comment ref="A14" authorId="0" shapeId="0" xr:uid="{93B4ED80-2128-41ED-808D-575CAF2FFB4F}">
      <text>
        <r>
          <rPr>
            <b/>
            <sz val="9"/>
            <color indexed="81"/>
            <rFont val="Tahoma"/>
            <family val="2"/>
          </rPr>
          <t>Sergio Chidichimo:</t>
        </r>
        <r>
          <rPr>
            <sz val="9"/>
            <color indexed="81"/>
            <rFont val="Tahoma"/>
            <family val="2"/>
          </rPr>
          <t xml:space="preserve">
Total payments received in a calendar month ÷ total net charges for that month (current charges only). Avg of Apr/May/Jun. Source: Entrata receipts by charge code.</t>
        </r>
      </text>
    </comment>
    <comment ref="D14" authorId="0" shapeId="0" xr:uid="{00801863-6B5E-4EF4-8B9E-18E7344CBCE2}">
      <text>
        <r>
          <rPr>
            <b/>
            <sz val="9"/>
            <color indexed="81"/>
            <rFont val="Tahoma"/>
            <charset val="1"/>
          </rPr>
          <t>Sergio Chidichimo:</t>
        </r>
        <r>
          <rPr>
            <sz val="9"/>
            <color indexed="81"/>
            <rFont val="Tahoma"/>
            <charset val="1"/>
          </rPr>
          <t xml:space="preserve">
Source: Uploaded 'Receipts By Charge Codes.xlsx' (Apr 2026). Total Cash Collections $785,362 / Gross Charges $890,342 = 88.2%. Gross charges from Data_2!V65 (prior week hardcode).</t>
        </r>
      </text>
    </comment>
    <comment ref="A15" authorId="0" shapeId="0" xr:uid="{BAAE1393-4DFA-4447-A7BB-A9F2C3739287}">
      <text>
        <r>
          <rPr>
            <b/>
            <sz val="9"/>
            <color indexed="81"/>
            <rFont val="Tahoma"/>
            <family val="2"/>
          </rPr>
          <t>Of all cases reaching a courtroom hearing during Q2, % resulting in judgment for possession on first appearance. Dismissals from tenant payment or voluntary vacate prior to hearing don't count against. Shawna coordinates with Nationwide, RSI, and outside counsel.</t>
        </r>
      </text>
    </comment>
    <comment ref="G15" authorId="0" shapeId="0" xr:uid="{3DFA9088-E3F4-4629-B9C5-357C919893AE}">
      <text>
        <r>
          <rPr>
            <b/>
            <sz val="9"/>
            <color indexed="81"/>
            <rFont val="Tahoma"/>
            <family val="2"/>
          </rPr>
          <t>Sergio Chidichimo:</t>
        </r>
        <r>
          <rPr>
            <sz val="9"/>
            <color indexed="81"/>
            <rFont val="Tahoma"/>
            <family val="2"/>
          </rPr>
          <t xml:space="preserve">
Average of months with data entered</t>
        </r>
      </text>
    </comment>
    <comment ref="A20" authorId="0" shapeId="0" xr:uid="{EEDD8ACD-B0E0-4B48-A6F5-A4E061BCFCCC}">
      <text>
        <r>
          <rPr>
            <b/>
            <sz val="9"/>
            <color indexed="81"/>
            <rFont val="Tahoma"/>
            <family val="2"/>
          </rPr>
          <t>Sergio Chidichimo:</t>
        </r>
        <r>
          <rPr>
            <sz val="9"/>
            <color indexed="81"/>
            <rFont val="Tahoma"/>
            <family val="2"/>
          </rPr>
          <t xml:space="preserve">
Paired target: Physical Occ = occupied ÷ 880 units. Economic Occ = collected rental revenue ÷ gross potential rent. BOTH thresholds must be met. Enter Physical in Apr/May/Jun columns; Economic in H20 sub-line.</t>
        </r>
      </text>
    </comment>
    <comment ref="F20" authorId="0" shapeId="0" xr:uid="{F1C29997-6B1A-4E07-BAF3-5EAEDFA03455}">
      <text>
        <r>
          <rPr>
            <b/>
            <sz val="9"/>
            <color indexed="81"/>
            <rFont val="Tahoma"/>
            <family val="2"/>
          </rPr>
          <t>Sergio Chidichimo:</t>
        </r>
        <r>
          <rPr>
            <sz val="9"/>
            <color indexed="81"/>
            <rFont val="Tahoma"/>
            <family val="2"/>
          </rPr>
          <t xml:space="preserve">
Enter June 30 Physical Occupancy here</t>
        </r>
      </text>
    </comment>
    <comment ref="A21" authorId="0" shapeId="0" xr:uid="{80CD03CA-0470-44E0-9D00-D415589841AC}">
      <text>
        <r>
          <rPr>
            <b/>
            <sz val="9"/>
            <color indexed="81"/>
            <rFont val="Tahoma"/>
            <family val="2"/>
          </rPr>
          <t>Of all leases expiring in Q2 (Apr/May/Jun combined, ~170 leases), % that execute a renewal. Early move-outs excluded from denominator. MTM conversions to fixed-term count. Feb benchmark: 68%.</t>
        </r>
      </text>
    </comment>
    <comment ref="F21" authorId="0" shapeId="0" xr:uid="{FFC238AF-3134-4557-B7F3-8DB6BD1EEADB}">
      <text>
        <r>
          <rPr>
            <b/>
            <sz val="9"/>
            <color indexed="81"/>
            <rFont val="Tahoma"/>
            <family val="2"/>
          </rPr>
          <t>Enter June renewal conversion rate here</t>
        </r>
      </text>
    </comment>
    <comment ref="G21" authorId="0" shapeId="0" xr:uid="{208158EB-E8D8-4E24-85E9-CE593FCB9A7F}">
      <text>
        <r>
          <rPr>
            <b/>
            <sz val="9"/>
            <color indexed="81"/>
            <rFont val="Tahoma"/>
            <family val="2"/>
          </rPr>
          <t>Average of months with data entered</t>
        </r>
      </text>
    </comment>
    <comment ref="A27" authorId="0" shapeId="0" xr:uid="{5073F305-2EF3-4FA7-AAD6-26E6389C80A4}">
      <text>
        <r>
          <rPr>
            <b/>
            <sz val="9"/>
            <color indexed="81"/>
            <rFont val="Tahoma"/>
            <family val="2"/>
          </rPr>
          <t>Sergio Chidichimo:</t>
        </r>
        <r>
          <rPr>
            <sz val="9"/>
            <color indexed="81"/>
            <rFont val="Tahoma"/>
            <family val="2"/>
          </rPr>
          <t xml:space="preserve">
Actual NOI for June ÷ proforma NOI for June (~$258K at 90% physical occ). Full P&amp;L including all operating expenses. June-only measurement aligned with occupancy date.</t>
        </r>
      </text>
    </comment>
    <comment ref="D27" authorId="0" shapeId="0" xr:uid="{BBBB754E-9F72-4D03-922E-56E9B6E7E208}">
      <text>
        <r>
          <rPr>
            <b/>
            <sz val="9"/>
            <color indexed="81"/>
            <rFont val="Tahoma"/>
            <family val="2"/>
          </rPr>
          <t>Sergio Chidichimo:</t>
        </r>
        <r>
          <rPr>
            <sz val="9"/>
            <color indexed="81"/>
            <rFont val="Tahoma"/>
            <family val="2"/>
          </rPr>
          <t xml:space="preserve">
Enter June actual NOI here</t>
        </r>
      </text>
    </comment>
    <comment ref="E27" authorId="0" shapeId="0" xr:uid="{7EEB64EA-955B-4C23-83CB-64EA6DE87CAD}">
      <text>
        <r>
          <rPr>
            <b/>
            <sz val="9"/>
            <color indexed="81"/>
            <rFont val="Tahoma"/>
            <family val="2"/>
          </rPr>
          <t>Sergio Chidichimo:</t>
        </r>
        <r>
          <rPr>
            <sz val="9"/>
            <color indexed="81"/>
            <rFont val="Tahoma"/>
            <family val="2"/>
          </rPr>
          <t xml:space="preserve">
Enter June actual NOI here</t>
        </r>
      </text>
    </comment>
    <comment ref="F27" authorId="0" shapeId="0" xr:uid="{0EBE9181-3F7A-430D-AE84-D8E337118B3C}">
      <text>
        <r>
          <rPr>
            <b/>
            <sz val="9"/>
            <color indexed="81"/>
            <rFont val="Tahoma"/>
            <family val="2"/>
          </rPr>
          <t>Sergio Chidichimo:</t>
        </r>
        <r>
          <rPr>
            <sz val="9"/>
            <color indexed="81"/>
            <rFont val="Tahoma"/>
            <family val="2"/>
          </rPr>
          <t xml:space="preserve">
Enter June actual NOI here</t>
        </r>
      </text>
    </comment>
    <comment ref="G27" authorId="0" shapeId="0" xr:uid="{65B3E08A-FAC7-44B4-9DF9-6CA5D3A7237A}">
      <text>
        <r>
          <rPr>
            <b/>
            <sz val="9"/>
            <color indexed="81"/>
            <rFont val="Tahoma"/>
            <family val="2"/>
          </rPr>
          <t>Sergio Chidichimo:</t>
        </r>
        <r>
          <rPr>
            <sz val="9"/>
            <color indexed="81"/>
            <rFont val="Tahoma"/>
            <family val="2"/>
          </rPr>
          <t xml:space="preserve">
June proforma NOI = ~$258,000</t>
        </r>
      </text>
    </comment>
    <comment ref="A28" authorId="0" shapeId="0" xr:uid="{A3BBF5F3-5558-4D15-BCEA-7FF3FEE7CF19}">
      <text>
        <r>
          <rPr>
            <b/>
            <sz val="9"/>
            <color indexed="81"/>
            <rFont val="Tahoma"/>
            <family val="2"/>
          </rPr>
          <t>Sergio Chidichimo:</t>
        </r>
        <r>
          <rPr>
            <sz val="9"/>
            <color indexed="81"/>
            <rFont val="Tahoma"/>
            <family val="2"/>
          </rPr>
          <t xml:space="preserve">
Total delinquency balance (current, former, eviction, skip) as of June 30. Starting balance: $688K. Lower is better. Nylsa has authority to approve write-offs, prioritize collections, and direct eviction strategy.</t>
        </r>
      </text>
    </comment>
    <comment ref="D28" authorId="0" shapeId="0" xr:uid="{200229E4-2EBE-41A1-A09F-13F275D898B8}">
      <text>
        <r>
          <rPr>
            <b/>
            <sz val="9"/>
            <color indexed="81"/>
            <rFont val="Tahoma"/>
            <family val="2"/>
          </rPr>
          <t>Sergio Chidichimo:</t>
        </r>
        <r>
          <rPr>
            <sz val="9"/>
            <color indexed="81"/>
            <rFont val="Tahoma"/>
            <family val="2"/>
          </rPr>
          <t xml:space="preserve">
Enter June actual NOI here</t>
        </r>
      </text>
    </comment>
    <comment ref="E28" authorId="0" shapeId="0" xr:uid="{6B742ABD-54F7-4772-B3D5-3F4BC4A34622}">
      <text>
        <r>
          <rPr>
            <b/>
            <sz val="9"/>
            <color indexed="81"/>
            <rFont val="Tahoma"/>
            <family val="2"/>
          </rPr>
          <t>Sergio Chidichimo:</t>
        </r>
        <r>
          <rPr>
            <sz val="9"/>
            <color indexed="81"/>
            <rFont val="Tahoma"/>
            <family val="2"/>
          </rPr>
          <t xml:space="preserve">
Enter June actual NOI here</t>
        </r>
      </text>
    </comment>
    <comment ref="F28" authorId="0" shapeId="0" xr:uid="{79B25046-BF3F-4CEA-86C1-7B9AFA545B00}">
      <text>
        <r>
          <rPr>
            <b/>
            <sz val="9"/>
            <color indexed="81"/>
            <rFont val="Tahoma"/>
            <family val="2"/>
          </rPr>
          <t>Sergio Chidichimo:</t>
        </r>
        <r>
          <rPr>
            <sz val="9"/>
            <color indexed="81"/>
            <rFont val="Tahoma"/>
            <family val="2"/>
          </rPr>
          <t xml:space="preserve">
Enter June 30 total delinquency balance here</t>
        </r>
      </text>
    </comment>
    <comment ref="A34" authorId="0" shapeId="0" xr:uid="{C7EEE85F-4A0C-4CC6-90A2-CD349C2808E8}">
      <text>
        <r>
          <rPr>
            <b/>
            <sz val="9"/>
            <color indexed="81"/>
            <rFont val="Tahoma"/>
            <family val="2"/>
          </rPr>
          <t>Sergio Chidichimo:</t>
        </r>
        <r>
          <rPr>
            <sz val="9"/>
            <color indexed="81"/>
            <rFont val="Tahoma"/>
            <family val="2"/>
          </rPr>
          <t xml:space="preserve">
Of all evictions filed with Nationwide/RSI during Q2, % accepted by court on first submission without correction, re-filing, or dismissal due to paperwork errors, entity name issues, or improper service.</t>
        </r>
      </text>
    </comment>
    <comment ref="G34" authorId="0" shapeId="0" xr:uid="{F7B7FC6F-B17E-46B3-89A8-4CBC8288850A}">
      <text>
        <r>
          <rPr>
            <b/>
            <sz val="9"/>
            <color indexed="81"/>
            <rFont val="Tahoma"/>
            <family val="2"/>
          </rPr>
          <t>Sergio Chidichimo:</t>
        </r>
        <r>
          <rPr>
            <sz val="9"/>
            <color indexed="81"/>
            <rFont val="Tahoma"/>
            <family val="2"/>
          </rPr>
          <t xml:space="preserve">
Average of months with data entered</t>
        </r>
      </text>
    </comment>
    <comment ref="A35" authorId="0" shapeId="0" xr:uid="{FD81FB05-2B87-42C1-8512-C7A0640EC727}">
      <text>
        <r>
          <rPr>
            <b/>
            <sz val="9"/>
            <color indexed="81"/>
            <rFont val="Tahoma"/>
            <family val="2"/>
          </rPr>
          <t>Sergio Chidichimo:</t>
        </r>
        <r>
          <rPr>
            <sz val="9"/>
            <color indexed="81"/>
            <rFont val="Tahoma"/>
            <family val="2"/>
          </rPr>
          <t xml:space="preserve">
Two components: (1) 100% of qualifying losses must have claims filed within 30 days, (2) $ approved &amp; paid ÷ $ claimed must meet recovery threshold. Current exposure ~$269K. Industry approval 60-75% when filed correctly. Expected recoveries $40-65K.</t>
        </r>
      </text>
    </comment>
    <comment ref="G35" authorId="0" shapeId="0" xr:uid="{75ABC922-5880-4FEC-B245-034CA8A98CFB}">
      <text>
        <r>
          <rPr>
            <b/>
            <sz val="9"/>
            <color indexed="81"/>
            <rFont val="Tahoma"/>
            <family val="2"/>
          </rPr>
          <t>Sergio Chidichimo:</t>
        </r>
        <r>
          <rPr>
            <sz val="9"/>
            <color indexed="81"/>
            <rFont val="Tahoma"/>
            <family val="2"/>
          </rPr>
          <t xml:space="preserve">
Average recovery rate across months with data</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Sergio Chidichimo</author>
  </authors>
  <commentList>
    <comment ref="C10" authorId="0" shapeId="0" xr:uid="{1141E068-0B68-4E2A-A3DC-93EB9425E6DB}">
      <text>
        <r>
          <rPr>
            <b/>
            <sz val="9"/>
            <color indexed="81"/>
            <rFont val="Tahoma"/>
            <charset val="1"/>
          </rPr>
          <t>Sergio Chidichimo:</t>
        </r>
        <r>
          <rPr>
            <sz val="9"/>
            <color indexed="81"/>
            <rFont val="Tahoma"/>
            <charset val="1"/>
          </rPr>
          <t xml:space="preserve">
New participant added for Q3.</t>
        </r>
      </text>
    </comment>
    <comment ref="A15" authorId="0" shapeId="0" xr:uid="{05808EC8-D2B5-4384-A0F6-A5FA1933CD16}">
      <text>
        <r>
          <rPr>
            <b/>
            <sz val="9"/>
            <color indexed="81"/>
            <rFont val="Tahoma"/>
            <charset val="1"/>
          </rPr>
          <t>Sergio Chidichimo:</t>
        </r>
        <r>
          <rPr>
            <sz val="9"/>
            <color indexed="81"/>
            <rFont val="Tahoma"/>
            <charset val="1"/>
          </rPr>
          <t xml:space="preserve">
Total payments received in a calendar month ÷ total net charges for that month (current charges only). Avg of Jul/Aug/Sep. Source: Entrata receipts by charge code. Target raised from 90% (Q2) to 92% for Q3; moves to 94% in Q4.</t>
        </r>
      </text>
    </comment>
    <comment ref="A16" authorId="0" shapeId="0" xr:uid="{5290996E-E15E-45A8-8ABA-B23421C312E9}">
      <text>
        <r>
          <rPr>
            <b/>
            <sz val="9"/>
            <color indexed="81"/>
            <rFont val="Tahoma"/>
            <charset val="1"/>
          </rPr>
          <t>Sergio Chidichimo:</t>
        </r>
        <r>
          <rPr>
            <sz val="9"/>
            <color indexed="81"/>
            <rFont val="Tahoma"/>
            <charset val="1"/>
          </rPr>
          <t xml:space="preserve">
Of all cases reaching a courtroom hearing during Q3, % resulting in judgment for possession on first appearance. Dismissals from tenant payment or voluntary vacate prior to hearing don't count against. Shawna coordinates with Nationwide, RSI, and outside counsel.</t>
        </r>
      </text>
    </comment>
    <comment ref="G16" authorId="0" shapeId="0" xr:uid="{175F314D-EC50-4827-A5EF-CE7A74C5EA70}">
      <text>
        <r>
          <rPr>
            <b/>
            <sz val="9"/>
            <color indexed="81"/>
            <rFont val="Tahoma"/>
            <charset val="1"/>
          </rPr>
          <t>Sergio Chidichimo:</t>
        </r>
        <r>
          <rPr>
            <sz val="9"/>
            <color indexed="81"/>
            <rFont val="Tahoma"/>
            <charset val="1"/>
          </rPr>
          <t xml:space="preserve">
Average of months with data entered</t>
        </r>
      </text>
    </comment>
    <comment ref="A21" authorId="0" shapeId="0" xr:uid="{23E78CD7-0D9D-4410-8E4D-E662824F9571}">
      <text>
        <r>
          <rPr>
            <b/>
            <sz val="9"/>
            <color indexed="81"/>
            <rFont val="Tahoma"/>
            <charset val="1"/>
          </rPr>
          <t>Sergio Chidichimo:</t>
        </r>
        <r>
          <rPr>
            <sz val="9"/>
            <color indexed="81"/>
            <rFont val="Tahoma"/>
            <charset val="1"/>
          </rPr>
          <t xml:space="preserve">
Physical occupancy = occupied ÷ 880 units, measured as of September 30. Single 79% target for Q3 — Q2's paired economic-occupancy threshold was dropped per the Q3 memo. Jul/Aug columns are for tracking; only the September 30 value determines the payout.</t>
        </r>
      </text>
    </comment>
    <comment ref="F21" authorId="0" shapeId="0" xr:uid="{DA1C95B1-3789-4745-8708-F7DB7CAD6854}">
      <text>
        <r>
          <rPr>
            <b/>
            <sz val="9"/>
            <color indexed="81"/>
            <rFont val="Tahoma"/>
            <charset val="1"/>
          </rPr>
          <t>Sergio Chidichimo:</t>
        </r>
        <r>
          <rPr>
            <sz val="9"/>
            <color indexed="81"/>
            <rFont val="Tahoma"/>
            <charset val="1"/>
          </rPr>
          <t xml:space="preserve">
Enter September 30 physical occupancy here — this is the measured value</t>
        </r>
      </text>
    </comment>
    <comment ref="A22" authorId="0" shapeId="0" xr:uid="{C84FFBF2-36D7-4B31-B54E-2F39A3D27A91}">
      <text>
        <r>
          <rPr>
            <b/>
            <sz val="9"/>
            <color indexed="81"/>
            <rFont val="Tahoma"/>
            <charset val="1"/>
          </rPr>
          <t>Sergio Chidichimo:</t>
        </r>
        <r>
          <rPr>
            <sz val="9"/>
            <color indexed="81"/>
            <rFont val="Tahoma"/>
            <charset val="1"/>
          </rPr>
          <t xml:space="preserve">
Of all leases expiring each month, % that execute a renewal. Early move-outs excluded from denominator. MTM conversions to fixed-term count. Q3 target: 65% or above EACH month (not a quarterly average).</t>
        </r>
      </text>
    </comment>
    <comment ref="G22" authorId="0" shapeId="0" xr:uid="{40C8A6FA-A4C9-4AA8-9D73-0455A49B426B}">
      <text>
        <r>
          <rPr>
            <b/>
            <sz val="9"/>
            <color indexed="81"/>
            <rFont val="Tahoma"/>
            <charset val="1"/>
          </rPr>
          <t>Sergio Chidichimo:</t>
        </r>
        <r>
          <rPr>
            <sz val="9"/>
            <color indexed="81"/>
            <rFont val="Tahoma"/>
            <charset val="1"/>
          </rPr>
          <t xml:space="preserve">
Average shown for reference; Base Met requires every entered month to be ≥65%</t>
        </r>
      </text>
    </comment>
    <comment ref="A27" authorId="0" shapeId="0" xr:uid="{E240C280-53AA-4E3B-8C24-83A8F36EE9C5}">
      <text>
        <r>
          <rPr>
            <b/>
            <sz val="9"/>
            <color indexed="81"/>
            <rFont val="Tahoma"/>
            <charset val="1"/>
          </rPr>
          <t>Sergio Chidichimo:</t>
        </r>
        <r>
          <rPr>
            <sz val="9"/>
            <color indexed="81"/>
            <rFont val="Tahoma"/>
            <charset val="1"/>
          </rPr>
          <t xml:space="preserve">
Enter monthly total expenses as % of budget (actual ÷ budgeted, including above- and below-the-line items). Base target: operate within budgeted guidelines — quarterly average ≤100% of budget. Source: CAF V2 budget vs. Entrata/T12 actuals.</t>
        </r>
      </text>
    </comment>
    <comment ref="C27" authorId="0" shapeId="0" xr:uid="{D6DBB011-1B98-4604-BF2A-A9B2CB4383C3}">
      <text>
        <r>
          <rPr>
            <b/>
            <sz val="9"/>
            <color indexed="81"/>
            <rFont val="Tahoma"/>
            <charset val="1"/>
          </rPr>
          <t>Sergio Chidichimo:</t>
        </r>
        <r>
          <rPr>
            <sz val="9"/>
            <color indexed="81"/>
            <rFont val="Tahoma"/>
            <charset val="1"/>
          </rPr>
          <t xml:space="preserve">
Pending final confirmation from Sergio — Q3 memo lists this KPI as 'base target of meeting budgeted guidelines'</t>
        </r>
      </text>
    </comment>
    <comment ref="G27" authorId="0" shapeId="0" xr:uid="{ED05FC08-67B8-42E8-A0CF-D2D6665EB24A}">
      <text>
        <r>
          <rPr>
            <b/>
            <sz val="9"/>
            <color indexed="81"/>
            <rFont val="Tahoma"/>
            <charset val="1"/>
          </rPr>
          <t>Sergio Chidichimo:</t>
        </r>
        <r>
          <rPr>
            <sz val="9"/>
            <color indexed="81"/>
            <rFont val="Tahoma"/>
            <charset val="1"/>
          </rPr>
          <t xml:space="preserve">
Average of months with data entered</t>
        </r>
      </text>
    </comment>
    <comment ref="A28" authorId="0" shapeId="0" xr:uid="{F2361F9C-414A-4036-BEC3-E164FC8FB728}">
      <text>
        <r>
          <rPr>
            <b/>
            <sz val="9"/>
            <color indexed="81"/>
            <rFont val="Tahoma"/>
            <charset val="1"/>
          </rPr>
          <t>Sergio Chidichimo:</t>
        </r>
        <r>
          <rPr>
            <sz val="9"/>
            <color indexed="81"/>
            <rFont val="Tahoma"/>
            <charset val="1"/>
          </rPr>
          <t xml:space="preserve">
Quarterly average of month-end total delinquency balances (current, former, eviction, skip). Q3 base target: average &lt; $75,000. Q2 target was ≤$200K single measurement at quarter end. Nylsa has authority to approve write-offs, prioritize collections, and direct eviction strategy.</t>
        </r>
      </text>
    </comment>
    <comment ref="C28" authorId="0" shapeId="0" xr:uid="{ECF49AB3-6C6C-4659-B26C-91CD3B7F7A71}">
      <text>
        <r>
          <rPr>
            <b/>
            <sz val="9"/>
            <color indexed="81"/>
            <rFont val="Tahoma"/>
            <charset val="1"/>
          </rPr>
          <t>Sergio Chidichimo:</t>
        </r>
        <r>
          <rPr>
            <sz val="9"/>
            <color indexed="81"/>
            <rFont val="Tahoma"/>
            <charset val="1"/>
          </rPr>
          <t xml:space="preserve">
Pending final confirmation from Sergio — Q3 memo: 'quarterly average monthly delinquency balance &lt; $75,000'</t>
        </r>
      </text>
    </comment>
    <comment ref="F28" authorId="0" shapeId="0" xr:uid="{23E1F050-7126-48E5-A568-A2C4252E2A94}">
      <text>
        <r>
          <rPr>
            <b/>
            <sz val="9"/>
            <color indexed="81"/>
            <rFont val="Tahoma"/>
            <charset val="1"/>
          </rPr>
          <t>Sergio Chidichimo:</t>
        </r>
        <r>
          <rPr>
            <sz val="9"/>
            <color indexed="81"/>
            <rFont val="Tahoma"/>
            <charset val="1"/>
          </rPr>
          <t xml:space="preserve">
Enter month-end total delinquency balance for each month</t>
        </r>
      </text>
    </comment>
    <comment ref="A33" authorId="0" shapeId="0" xr:uid="{380FD71D-6301-4EFE-B362-0113550BB940}">
      <text>
        <r>
          <rPr>
            <b/>
            <sz val="9"/>
            <color indexed="81"/>
            <rFont val="Tahoma"/>
            <charset val="1"/>
          </rPr>
          <t>Sergio Chidichimo:</t>
        </r>
        <r>
          <rPr>
            <sz val="9"/>
            <color indexed="81"/>
            <rFont val="Tahoma"/>
            <charset val="1"/>
          </rPr>
          <t xml:space="preserve">
Of all evictions filed with Nationwide/RSI during Q3, % accepted by court on first submission without correction, re-filing, or dismissal due to paperwork errors, entity name issues, or improper service.</t>
        </r>
      </text>
    </comment>
    <comment ref="C33" authorId="0" shapeId="0" xr:uid="{0BE14FC1-F4E5-44D1-96EF-0BECF9D58570}">
      <text>
        <r>
          <rPr>
            <b/>
            <sz val="9"/>
            <color indexed="81"/>
            <rFont val="Tahoma"/>
            <charset val="1"/>
          </rPr>
          <t>Sergio Chidichimo:</t>
        </r>
        <r>
          <rPr>
            <sz val="9"/>
            <color indexed="81"/>
            <rFont val="Tahoma"/>
            <charset val="1"/>
          </rPr>
          <t xml:space="preserve">
Pending final confirmation from Sergio per Q3 memo</t>
        </r>
      </text>
    </comment>
    <comment ref="G33" authorId="0" shapeId="0" xr:uid="{74EFD8F1-65CC-4220-B54F-154CEF22F904}">
      <text>
        <r>
          <rPr>
            <b/>
            <sz val="9"/>
            <color indexed="81"/>
            <rFont val="Tahoma"/>
            <charset val="1"/>
          </rPr>
          <t>Sergio Chidichimo:</t>
        </r>
        <r>
          <rPr>
            <sz val="9"/>
            <color indexed="81"/>
            <rFont val="Tahoma"/>
            <charset val="1"/>
          </rPr>
          <t xml:space="preserve">
Average of months with data entered</t>
        </r>
      </text>
    </comment>
    <comment ref="A34" authorId="0" shapeId="0" xr:uid="{5BEA809A-C384-4706-B1E0-50BAFE7ED1D3}">
      <text>
        <r>
          <rPr>
            <b/>
            <sz val="9"/>
            <color indexed="81"/>
            <rFont val="Tahoma"/>
            <charset val="1"/>
          </rPr>
          <t>Sergio Chidichimo:</t>
        </r>
        <r>
          <rPr>
            <sz val="9"/>
            <color indexed="81"/>
            <rFont val="Tahoma"/>
            <charset val="1"/>
          </rPr>
          <t xml:space="preserve">
Two components: (1) 100% of qualifying losses must have claims filed within 30 days, (2) $ approved &amp; paid ÷ $ claimed must exceed 60%. Enter monthly recovery rate; the 100%-filed component is verified from the LeaseLock tab.</t>
        </r>
      </text>
    </comment>
    <comment ref="C34" authorId="0" shapeId="0" xr:uid="{DE2F2117-1700-45C7-B3C8-72DD85E096D5}">
      <text>
        <r>
          <rPr>
            <b/>
            <sz val="9"/>
            <color indexed="81"/>
            <rFont val="Tahoma"/>
            <charset val="1"/>
          </rPr>
          <t>Sergio Chidichimo:</t>
        </r>
        <r>
          <rPr>
            <sz val="9"/>
            <color indexed="81"/>
            <rFont val="Tahoma"/>
            <charset val="1"/>
          </rPr>
          <t xml:space="preserve">
Pending final confirmation from Sergio per Q3 memo: 'base target of 100% filed, and &gt;60% recovered funds'</t>
        </r>
      </text>
    </comment>
    <comment ref="G34" authorId="0" shapeId="0" xr:uid="{3F68EE49-4C6C-41DD-9C3D-F2040628D1EC}">
      <text>
        <r>
          <rPr>
            <b/>
            <sz val="9"/>
            <color indexed="81"/>
            <rFont val="Tahoma"/>
            <charset val="1"/>
          </rPr>
          <t>Sergio Chidichimo:</t>
        </r>
        <r>
          <rPr>
            <sz val="9"/>
            <color indexed="81"/>
            <rFont val="Tahoma"/>
            <charset val="1"/>
          </rPr>
          <t xml:space="preserve">
Average recovery rate across months with data</t>
        </r>
      </text>
    </comment>
    <comment ref="A39" authorId="0" shapeId="0" xr:uid="{24BFFD23-070C-43FE-9041-BB7DED7CAF74}">
      <text>
        <r>
          <rPr>
            <b/>
            <sz val="9"/>
            <color indexed="81"/>
            <rFont val="Tahoma"/>
            <charset val="1"/>
          </rPr>
          <t>Sergio Chidichimo:</t>
        </r>
        <r>
          <rPr>
            <sz val="9"/>
            <color indexed="81"/>
            <rFont val="Tahoma"/>
            <charset val="1"/>
          </rPr>
          <t xml:space="preserve">
Net new leases per month (gross new leases minus cancels/denials). Base target: 52 net leases per month average = 12.5 weekly × 4.3 weeks. Target accounts for September not being a leasing-season month.</t>
        </r>
      </text>
    </comment>
    <comment ref="F39" authorId="0" shapeId="0" xr:uid="{20ACDE97-7303-4674-8DC5-E50A8D1F6A60}">
      <text>
        <r>
          <rPr>
            <b/>
            <sz val="9"/>
            <color indexed="81"/>
            <rFont val="Tahoma"/>
            <charset val="1"/>
          </rPr>
          <t>Sergio Chidichimo:</t>
        </r>
        <r>
          <rPr>
            <sz val="9"/>
            <color indexed="81"/>
            <rFont val="Tahoma"/>
            <charset val="1"/>
          </rPr>
          <t xml:space="preserve">
Enter net leases generated each month</t>
        </r>
      </text>
    </comment>
    <comment ref="G39" authorId="0" shapeId="0" xr:uid="{C228415B-A9E3-4B7A-9EE8-2E1EE3512319}">
      <text>
        <r>
          <rPr>
            <b/>
            <sz val="9"/>
            <color indexed="81"/>
            <rFont val="Tahoma"/>
            <charset val="1"/>
          </rPr>
          <t>Sergio Chidichimo:</t>
        </r>
        <r>
          <rPr>
            <sz val="9"/>
            <color indexed="81"/>
            <rFont val="Tahoma"/>
            <charset val="1"/>
          </rPr>
          <t xml:space="preserve">
Average of months with data entered</t>
        </r>
      </text>
    </comment>
    <comment ref="A40" authorId="0" shapeId="0" xr:uid="{9F7A9266-463A-4603-849B-52A4F8E8EE79}">
      <text>
        <r>
          <rPr>
            <b/>
            <sz val="9"/>
            <color indexed="81"/>
            <rFont val="Tahoma"/>
            <charset val="1"/>
          </rPr>
          <t>Sergio Chidichimo:</t>
        </r>
        <r>
          <rPr>
            <sz val="9"/>
            <color indexed="81"/>
            <rFont val="Tahoma"/>
            <charset val="1"/>
          </rPr>
          <t xml:space="preserve">
Evictions filed per month on CAF-screened prospects; quarterly average must stay below 5. Focus shifted from decision days (&lt;10, already in place) to screening quality — ensures screening isn't relaxed in lieu of occupancy gains. Confirmed direction: FEWER than 5 (memo's '&gt;5' was inverted).</t>
        </r>
      </text>
    </comment>
    <comment ref="F40" authorId="0" shapeId="0" xr:uid="{BDA316E4-4C62-4EDD-ABD1-1710A7D4FDE7}">
      <text>
        <r>
          <rPr>
            <b/>
            <sz val="9"/>
            <color indexed="81"/>
            <rFont val="Tahoma"/>
            <charset val="1"/>
          </rPr>
          <t>Sergio Chidichimo:</t>
        </r>
        <r>
          <rPr>
            <sz val="9"/>
            <color indexed="81"/>
            <rFont val="Tahoma"/>
            <charset val="1"/>
          </rPr>
          <t xml:space="preserve">
Enter # of evictions filed each month on CAF-screened prospects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Sergio Chidichimo</author>
  </authors>
  <commentList>
    <comment ref="C10" authorId="0" shapeId="0" xr:uid="{4D2AA8B0-15B5-4034-BF39-19C3EEDB78E5}">
      <text>
        <r>
          <rPr>
            <b/>
            <sz val="9"/>
            <color indexed="81"/>
            <rFont val="Tahoma"/>
            <charset val="1"/>
          </rPr>
          <t>Sergio Chidichimo:</t>
        </r>
        <r>
          <rPr>
            <sz val="9"/>
            <color indexed="81"/>
            <rFont val="Tahoma"/>
            <charset val="1"/>
          </rPr>
          <t xml:space="preserve">
Target: weekly move-outs from Targets col K (sums to stabilization model monthly totals: Jul 42, Aug 33, Sep 34, Oct 30, Nov 31, Dec 21).</t>
        </r>
      </text>
    </comment>
    <comment ref="D64" authorId="0" shapeId="0" xr:uid="{CB07655F-2639-4E0E-898F-87D73B62509D}">
      <text>
        <r>
          <rPr>
            <b/>
            <sz val="9"/>
            <color indexed="81"/>
            <rFont val="Tahoma"/>
            <charset val="1"/>
          </rPr>
          <t>Sergio Chidichimo:</t>
        </r>
        <r>
          <rPr>
            <sz val="9"/>
            <color indexed="81"/>
            <rFont val="Tahoma"/>
            <charset val="1"/>
          </rPr>
          <t xml:space="preserve">
Net Charges = Gross Charges + Credits (credits stored as negatives), per Data_2 row 87. Denominator of Collection %.</t>
        </r>
      </text>
    </comment>
    <comment ref="D65" authorId="0" shapeId="0" xr:uid="{98757FA6-C356-40CC-A7D9-8C096AFEB7A0}">
      <text>
        <r>
          <rPr>
            <b/>
            <sz val="9"/>
            <color indexed="81"/>
            <rFont val="Tahoma"/>
            <charset val="1"/>
          </rPr>
          <t>Payments = receipts less NSFs, per Data_2 row 88. Numerator of Collection %.</t>
        </r>
      </text>
    </comment>
    <comment ref="D68" authorId="0" shapeId="0" xr:uid="{2BC2BC01-F8EE-4B87-91D0-3EF8F4701488}">
      <text>
        <r>
          <rPr>
            <b/>
            <sz val="9"/>
            <color indexed="81"/>
            <rFont val="Tahoma"/>
            <charset val="1"/>
          </rPr>
          <t>Sergio Chidichimo:</t>
        </r>
        <r>
          <rPr>
            <sz val="9"/>
            <color indexed="81"/>
            <rFont val="Tahoma"/>
            <charset val="1"/>
          </rPr>
          <t xml:space="preserve">
Current+Notice resident balances from the aged receivables report (Data_2 row 97 weekly tracking, live SUMIF for current week). Shown negative per row convention. Weekly history begins week 26 (7/1/26) — prior weeks were never captured on this basis.</t>
        </r>
      </text>
    </comment>
    <comment ref="D69" authorId="0" shapeId="0" xr:uid="{5A4FB142-016B-434D-9325-C970DF934B2C}">
      <text>
        <r>
          <rPr>
            <b/>
            <sz val="9"/>
            <color indexed="81"/>
            <rFont val="Tahoma"/>
            <charset val="1"/>
          </rPr>
          <t>Sergio Chidichimo:</t>
        </r>
        <r>
          <rPr>
            <sz val="9"/>
            <color indexed="81"/>
            <rFont val="Tahoma"/>
            <charset val="1"/>
          </rPr>
          <t xml:space="preserve">
Average days to collect for the last completed month (Data_2 row 102): dollar-weighted average time from charge to collection, built from the weekly cumulative Collection % curve (midpoint convention; dollars not collected in-month carried at month length). Replaces 'Prior Month DSO' (aged-AR basis) 7/1/26. Computed for all historical weeks from stored weekly Collection %.</t>
        </r>
      </text>
    </comment>
    <comment ref="D70" authorId="0" shapeId="0" xr:uid="{48E5CA3D-2A55-4B92-8F47-14C2C34DA3C0}">
      <text>
        <r>
          <rPr>
            <b/>
            <sz val="9"/>
            <color indexed="81"/>
            <rFont val="Tahoma"/>
            <charset val="1"/>
          </rPr>
          <t>Sergio Chidichimo:</t>
        </r>
        <r>
          <rPr>
            <sz val="9"/>
            <color indexed="81"/>
            <rFont val="Tahoma"/>
            <charset val="1"/>
          </rPr>
          <t xml:space="preserve">
Average of the last two completed months' Avg Days to Collect (Data_2 row 103). Target shown is the current month's target (X col on Targets); actual reflects prior months — expect a lag when the collection curve is improving.</t>
        </r>
      </text>
    </comment>
    <comment ref="D71" authorId="0" shapeId="0" xr:uid="{F078756E-5C2E-42CD-919B-E2F96707D502}">
      <text>
        <r>
          <rPr>
            <b/>
            <sz val="9"/>
            <color indexed="81"/>
            <rFont val="Tahoma"/>
            <charset val="1"/>
          </rPr>
          <t>Sergio Chidichimo:</t>
        </r>
        <r>
          <rPr>
            <sz val="9"/>
            <color indexed="81"/>
            <rFont val="Tahoma"/>
            <charset val="1"/>
          </rPr>
          <t xml:space="preserve">
Countback DSO = (1 − month-to-date Collection %) × days in month, from Data_2 row 100. Equals classic AR countback while receivables are under one month of charges. Computable for ALL historical weeks because it uses each week's stored MTD Collection % (Data_2 row 89) — unaffected by the payments-history overwrite. Resets with the billing cycle: high in week 1, counts down to the month-end residual. Prior-month carryover AR is tracked separately by the aged-AR DSO rows above.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Maelle-Anne Le Neel</author>
    <author>Sergio Chidichimo</author>
    <author>Maelle-Anne</author>
  </authors>
  <commentList>
    <comment ref="O41" authorId="0" shapeId="0" xr:uid="{0D413E48-4871-42BA-9C4F-974F5B974099}">
      <text>
        <r>
          <rPr>
            <sz val="11"/>
            <color theme="1"/>
            <rFont val="Calibri"/>
            <family val="2"/>
            <charset val="1"/>
          </rPr>
          <t>Updated: Excludes MTM leases from Expirations denominator. Renewal % = Renewals / (Expirations - MTM)</t>
        </r>
      </text>
    </comment>
    <comment ref="P41" authorId="0" shapeId="0" xr:uid="{727D29A2-AFA0-4C2D-A69A-5B116FD6C604}">
      <text>
        <r>
          <rPr>
            <sz val="11"/>
            <color theme="1"/>
            <rFont val="Calibri"/>
            <family val="2"/>
            <charset val="1"/>
          </rPr>
          <t>Updated: Excludes MTM leases from Expirations denominator. Renewal % = Renewals / (Expirations - MTM)</t>
        </r>
      </text>
    </comment>
    <comment ref="Q41" authorId="0" shapeId="0" xr:uid="{99F80F6B-DCFD-4A19-94F0-0930D13362B5}">
      <text>
        <r>
          <rPr>
            <sz val="11"/>
            <color theme="1"/>
            <rFont val="Calibri"/>
            <family val="2"/>
            <charset val="1"/>
          </rPr>
          <t>Updated: Excludes MTM leases from Expirations denominator. Renewal % = Renewals / (Expirations - MTM)</t>
        </r>
      </text>
    </comment>
    <comment ref="R41" authorId="0" shapeId="0" xr:uid="{FDE7D475-1A60-4AF7-B67E-7A03209D9AE1}">
      <text>
        <r>
          <rPr>
            <sz val="11"/>
            <color theme="1"/>
            <rFont val="Calibri"/>
            <family val="2"/>
            <charset val="1"/>
          </rPr>
          <t>Updated: Excludes MTM leases from Expirations denominator. Renewal % = Renewals / (Expirations - MTM)</t>
        </r>
      </text>
    </comment>
    <comment ref="S41" authorId="0" shapeId="0" xr:uid="{EA54ED9E-E4BF-498C-815E-748259151990}">
      <text>
        <r>
          <rPr>
            <sz val="11"/>
            <color theme="1"/>
            <rFont val="Calibri"/>
            <family val="2"/>
            <charset val="1"/>
          </rPr>
          <t>Updated: Excludes MTM leases from Expirations denominator. Renewal % = Renewals / (Expirations - MTM)</t>
        </r>
      </text>
    </comment>
    <comment ref="T41" authorId="0" shapeId="0" xr:uid="{4924AA41-389A-48B0-AC9C-516BC365E443}">
      <text>
        <r>
          <rPr>
            <sz val="11"/>
            <color theme="1"/>
            <rFont val="Calibri"/>
            <family val="2"/>
            <charset val="1"/>
          </rPr>
          <t>Updated: Excludes MTM leases from Expirations denominator. Renewal % = Renewals / (Expirations - MTM)</t>
        </r>
      </text>
    </comment>
    <comment ref="U41" authorId="0" shapeId="0" xr:uid="{48131F85-A79B-423A-B3C1-4FA74DB489F4}">
      <text>
        <r>
          <rPr>
            <sz val="11"/>
            <color theme="1"/>
            <rFont val="Calibri"/>
            <family val="2"/>
            <charset val="1"/>
          </rPr>
          <t>Updated: Excludes MTM leases from Expirations denominator. Renewal % = Renewals / (Expirations - MTM)</t>
        </r>
      </text>
    </comment>
    <comment ref="V41" authorId="0" shapeId="0" xr:uid="{09357631-AAA6-4977-BF6F-E401ABB3C2AF}">
      <text>
        <r>
          <rPr>
            <sz val="11"/>
            <color theme="1"/>
            <rFont val="Calibri"/>
            <family val="2"/>
            <charset val="1"/>
          </rPr>
          <t>Updated: Excludes MTM leases from Expirations denominator. Renewal % = Renewals / (Expirations - MTM)</t>
        </r>
      </text>
    </comment>
    <comment ref="W41" authorId="0" shapeId="0" xr:uid="{9A87CD0D-7B9B-4B7E-9B4D-375C7E7175B0}">
      <text>
        <r>
          <rPr>
            <sz val="11"/>
            <color theme="1"/>
            <rFont val="Calibri"/>
            <family val="2"/>
            <charset val="1"/>
          </rPr>
          <t>Updated 2026-05-05: Numerator now includes Transfers (col H) as retained residents. Previously Renewals only (col F).</t>
        </r>
      </text>
    </comment>
    <comment ref="X41" authorId="0" shapeId="0" xr:uid="{F745D00B-D747-4D1B-916A-ACEBE808A3A4}">
      <text>
        <r>
          <rPr>
            <sz val="11"/>
            <color theme="1"/>
            <rFont val="Calibri"/>
            <family val="2"/>
            <charset val="1"/>
          </rPr>
          <t>Updated 2026-05-05: Numerator now includes Transfers (col H) as retained residents. Previously Renewals only (col F).</t>
        </r>
      </text>
    </comment>
    <comment ref="Y41" authorId="0" shapeId="0" xr:uid="{B2B373B8-6741-4B58-8834-624427278FEB}">
      <text>
        <r>
          <rPr>
            <sz val="11"/>
            <color theme="1"/>
            <rFont val="Calibri"/>
            <family val="2"/>
            <charset val="1"/>
          </rPr>
          <t>Updated 2026-05-05: Numerator now includes Transfers (col H) as retained residents. Previously Renewals only (col F).</t>
        </r>
      </text>
    </comment>
    <comment ref="Z41" authorId="0" shapeId="0" xr:uid="{79284566-19E5-4365-875C-91D2E6236DDC}">
      <text>
        <r>
          <rPr>
            <sz val="11"/>
            <color theme="1"/>
            <rFont val="Calibri"/>
            <family val="2"/>
            <charset val="1"/>
          </rPr>
          <t>Updated 2026-05-05: Numerator now includes Transfers (col H) as retained residents. Previously Renewals only (col F).</t>
        </r>
      </text>
    </comment>
    <comment ref="AA41" authorId="0" shapeId="0" xr:uid="{EFD33780-6D6A-4A00-BC9C-1B03E87055DC}">
      <text>
        <r>
          <rPr>
            <sz val="11"/>
            <color theme="1"/>
            <rFont val="Calibri"/>
            <family val="2"/>
            <charset val="1"/>
          </rPr>
          <t>Updated 2026-05-05: Numerator now includes Transfers (col H) as retained residents. Previously Renewals only (col F).</t>
        </r>
      </text>
    </comment>
    <comment ref="AB41" authorId="0" shapeId="0" xr:uid="{A5AE5C3A-0942-48DE-88AF-80359C731C51}">
      <text>
        <r>
          <rPr>
            <sz val="11"/>
            <color theme="1"/>
            <rFont val="Calibri"/>
            <family val="2"/>
            <charset val="1"/>
          </rPr>
          <t>Updated 2026-05-05: Numerator now includes Transfers (col H) as retained residents. Previously Renewals only (col F).</t>
        </r>
      </text>
    </comment>
    <comment ref="AC41" authorId="0" shapeId="0" xr:uid="{378CC032-C9F8-4B05-9F3D-C2873D59680C}">
      <text>
        <r>
          <rPr>
            <sz val="11"/>
            <color theme="1"/>
            <rFont val="Calibri"/>
            <family val="2"/>
            <charset val="1"/>
          </rPr>
          <t>Updated 2026-05-05: Numerator now includes Transfers (col H) as retained residents. Previously Renewals only (col F).</t>
        </r>
      </text>
    </comment>
    <comment ref="AD41" authorId="0" shapeId="0" xr:uid="{2DDC6EBF-C294-4D0C-9B75-6073502DB8DA}">
      <text>
        <r>
          <rPr>
            <sz val="11"/>
            <color theme="1"/>
            <rFont val="Calibri"/>
            <family val="2"/>
            <charset val="1"/>
          </rPr>
          <t>Updated 2026-05-05: Numerator now includes Transfers (col H) as retained residents. Previously Renewals only (col F).</t>
        </r>
      </text>
    </comment>
    <comment ref="AE41" authorId="0" shapeId="0" xr:uid="{8B6C1983-39DF-41C7-8935-2E1DD23876ED}">
      <text>
        <r>
          <rPr>
            <sz val="11"/>
            <color theme="1"/>
            <rFont val="Calibri"/>
            <family val="2"/>
            <charset val="1"/>
          </rPr>
          <t>Updated 2026-05-05: Numerator now includes Transfers (col H) as retained residents. Previously Renewals only (col F).</t>
        </r>
      </text>
    </comment>
    <comment ref="AF41" authorId="0" shapeId="0" xr:uid="{8AE8DE05-5425-4107-963B-CFC7B3F72AF8}">
      <text>
        <r>
          <rPr>
            <sz val="11"/>
            <color theme="1"/>
            <rFont val="Calibri"/>
            <family val="2"/>
            <charset val="1"/>
          </rPr>
          <t>Updated 2026-05-05: Numerator now includes Transfers (col H) as retained residents. Previously Renewals only (col F).</t>
        </r>
      </text>
    </comment>
    <comment ref="AG41" authorId="0" shapeId="0" xr:uid="{D71B64FA-3289-461C-8ADB-91464008D33D}">
      <text>
        <r>
          <rPr>
            <sz val="11"/>
            <color theme="1"/>
            <rFont val="Calibri"/>
            <family val="2"/>
            <charset val="1"/>
          </rPr>
          <t>Updated 2026-05-05: Numerator now includes Transfers (col H) as retained residents. Previously Renewals only (col F).</t>
        </r>
      </text>
    </comment>
    <comment ref="AH41" authorId="0" shapeId="0" xr:uid="{CC46ABE5-CEBE-4403-81F3-AD66DAFC3D00}">
      <text>
        <r>
          <rPr>
            <sz val="11"/>
            <color theme="1"/>
            <rFont val="Calibri"/>
            <family val="2"/>
            <charset val="1"/>
          </rPr>
          <t>Updated 2026-05-05: Numerator now includes Transfers (col H) as retained residents. Previously Renewals only (col F).</t>
        </r>
      </text>
    </comment>
    <comment ref="AI41" authorId="0" shapeId="0" xr:uid="{0D7B9F10-72ED-4315-973E-9616A1EAE80D}">
      <text>
        <r>
          <rPr>
            <sz val="11"/>
            <color theme="1"/>
            <rFont val="Calibri"/>
            <family val="2"/>
            <charset val="1"/>
          </rPr>
          <t>Updated 2026-05-05: Numerator now includes Transfers (col H) as retained residents. Previously Renewals only (col F).</t>
        </r>
      </text>
    </comment>
    <comment ref="AJ41" authorId="0" shapeId="0" xr:uid="{F7643FE6-597E-4FFE-B970-E5B06BCF5C03}">
      <text>
        <r>
          <rPr>
            <sz val="11"/>
            <color theme="1"/>
            <rFont val="Calibri"/>
            <family val="2"/>
            <charset val="1"/>
          </rPr>
          <t>Updated 2026-05-05: Numerator now includes Transfers (col H) as retained residents. Previously Renewals only (col F).</t>
        </r>
      </text>
    </comment>
    <comment ref="AK41" authorId="0" shapeId="0" xr:uid="{F42642D9-BBA2-483A-9BA1-924BE4786122}">
      <text>
        <r>
          <rPr>
            <sz val="11"/>
            <color theme="1"/>
            <rFont val="Calibri"/>
            <family val="2"/>
            <charset val="1"/>
          </rPr>
          <t>Updated 2026-05-05: Numerator now includes Transfers (col H) as retained residents. Previously Renewals only (col F).</t>
        </r>
      </text>
    </comment>
    <comment ref="O46" authorId="1" shapeId="0" xr:uid="{5D9A9C57-592B-46F7-9E71-4A829A324D79}">
      <text>
        <r>
          <rPr>
            <b/>
            <sz val="9"/>
            <color indexed="81"/>
            <rFont val="Tahoma"/>
            <family val="2"/>
          </rPr>
          <t>Sergio Chidichimo:</t>
        </r>
        <r>
          <rPr>
            <sz val="9"/>
            <color indexed="81"/>
            <rFont val="Tahoma"/>
            <family val="2"/>
          </rPr>
          <t xml:space="preserve">
Updated: Excludes MTM leases from Expirations denominator. Renewal % = Renewals / (Expirations - MTM)</t>
        </r>
      </text>
    </comment>
    <comment ref="P46" authorId="1" shapeId="0" xr:uid="{196AC1CB-320F-481C-AFFD-19F9F9FEFD3B}">
      <text>
        <r>
          <rPr>
            <b/>
            <sz val="9"/>
            <color indexed="81"/>
            <rFont val="Tahoma"/>
            <family val="2"/>
          </rPr>
          <t>Sergio Chidichimo:</t>
        </r>
        <r>
          <rPr>
            <sz val="9"/>
            <color indexed="81"/>
            <rFont val="Tahoma"/>
            <family val="2"/>
          </rPr>
          <t xml:space="preserve">
Updated: Excludes MTM leases from Expirations denominator. Renewal % = Renewals / (Expirations - MTM)</t>
        </r>
      </text>
    </comment>
    <comment ref="Q46" authorId="1" shapeId="0" xr:uid="{A5664894-77DC-454E-97AC-8B9479AE12C3}">
      <text>
        <r>
          <rPr>
            <b/>
            <sz val="9"/>
            <color indexed="81"/>
            <rFont val="Tahoma"/>
            <family val="2"/>
          </rPr>
          <t>Sergio Chidichimo:</t>
        </r>
        <r>
          <rPr>
            <sz val="9"/>
            <color indexed="81"/>
            <rFont val="Tahoma"/>
            <family val="2"/>
          </rPr>
          <t xml:space="preserve">
Updated: Excludes MTM leases from Expirations denominator. Renewal % = Renewals / (Expirations - MTM)</t>
        </r>
      </text>
    </comment>
    <comment ref="R46" authorId="1" shapeId="0" xr:uid="{D892AC1F-FAD6-4E36-8EA8-BDB013D1799F}">
      <text>
        <r>
          <rPr>
            <b/>
            <sz val="9"/>
            <color indexed="81"/>
            <rFont val="Tahoma"/>
            <family val="2"/>
          </rPr>
          <t>Sergio Chidichimo:</t>
        </r>
        <r>
          <rPr>
            <sz val="9"/>
            <color indexed="81"/>
            <rFont val="Tahoma"/>
            <family val="2"/>
          </rPr>
          <t xml:space="preserve">
Updated: Excludes MTM leases from Expirations denominator. Renewal % = Renewals / (Expirations - MTM)</t>
        </r>
      </text>
    </comment>
    <comment ref="S46" authorId="1" shapeId="0" xr:uid="{ACF9A39C-1F07-45C1-A488-7FAD5F11253D}">
      <text>
        <r>
          <rPr>
            <b/>
            <sz val="9"/>
            <color indexed="81"/>
            <rFont val="Tahoma"/>
            <family val="2"/>
          </rPr>
          <t>Sergio Chidichimo:</t>
        </r>
        <r>
          <rPr>
            <sz val="9"/>
            <color indexed="81"/>
            <rFont val="Tahoma"/>
            <family val="2"/>
          </rPr>
          <t xml:space="preserve">
Updated: Excludes MTM leases from Expirations denominator. Renewal % = Renewals / (Expirations - MTM)</t>
        </r>
      </text>
    </comment>
    <comment ref="T46" authorId="1" shapeId="0" xr:uid="{BAE56B31-FFC6-4075-9EAC-9235A122C37D}">
      <text>
        <r>
          <rPr>
            <b/>
            <sz val="9"/>
            <color indexed="81"/>
            <rFont val="Tahoma"/>
            <family val="2"/>
          </rPr>
          <t>Sergio Chidichimo:</t>
        </r>
        <r>
          <rPr>
            <sz val="9"/>
            <color indexed="81"/>
            <rFont val="Tahoma"/>
            <family val="2"/>
          </rPr>
          <t xml:space="preserve">
Updated: Excludes MTM leases from Expirations denominator. Renewal % = Renewals / (Expirations - MTM)</t>
        </r>
      </text>
    </comment>
    <comment ref="U46" authorId="1" shapeId="0" xr:uid="{0E5CF48C-5857-4A55-BC4C-62A418624FFD}">
      <text>
        <r>
          <rPr>
            <b/>
            <sz val="9"/>
            <color indexed="81"/>
            <rFont val="Tahoma"/>
            <family val="2"/>
          </rPr>
          <t>Sergio Chidichimo:</t>
        </r>
        <r>
          <rPr>
            <sz val="9"/>
            <color indexed="81"/>
            <rFont val="Tahoma"/>
            <family val="2"/>
          </rPr>
          <t xml:space="preserve">
Updated: Excludes MTM leases from Expirations denominator. Renewal % = Renewals / (Expirations - MTM)</t>
        </r>
      </text>
    </comment>
    <comment ref="V46" authorId="1" shapeId="0" xr:uid="{31D88E19-E812-4FF9-AFFB-9EFE15ECDB01}">
      <text>
        <r>
          <rPr>
            <b/>
            <sz val="9"/>
            <color indexed="81"/>
            <rFont val="Tahoma"/>
            <family val="2"/>
          </rPr>
          <t>Sergio Chidichimo:</t>
        </r>
        <r>
          <rPr>
            <sz val="9"/>
            <color indexed="81"/>
            <rFont val="Tahoma"/>
            <family val="2"/>
          </rPr>
          <t xml:space="preserve">
Updated: Excludes MTM leases from Expirations denominator. Renewal % = Renewals / (Expirations - MTM)</t>
        </r>
      </text>
    </comment>
    <comment ref="W46" authorId="1" shapeId="0" xr:uid="{173BFDAE-5910-41C9-9A08-B95AE76A8624}">
      <text>
        <r>
          <rPr>
            <b/>
            <sz val="9"/>
            <color indexed="81"/>
            <rFont val="Tahoma"/>
            <family val="2"/>
          </rPr>
          <t>Updated 2026-05-05: Numerator now includes Transfers (col H) as retained residents. Previously Renewals only (col F).</t>
        </r>
      </text>
    </comment>
    <comment ref="X46" authorId="1" shapeId="0" xr:uid="{4EAB48BF-85EF-41E9-9083-37A836B135A1}">
      <text>
        <r>
          <rPr>
            <b/>
            <sz val="9"/>
            <color indexed="81"/>
            <rFont val="Tahoma"/>
            <family val="2"/>
          </rPr>
          <t>Updated 2026-05-05: Numerator now includes Transfers (col H) as retained residents. Previously Renewals only (col F).</t>
        </r>
      </text>
    </comment>
    <comment ref="Y46" authorId="1" shapeId="0" xr:uid="{BCBA344C-44ED-4A99-9F97-253A585F0853}">
      <text>
        <r>
          <rPr>
            <b/>
            <sz val="9"/>
            <color indexed="81"/>
            <rFont val="Tahoma"/>
            <family val="2"/>
          </rPr>
          <t>Updated 2026-05-05: Numerator now includes Transfers (col H) as retained residents. Previously Renewals only (col F).</t>
        </r>
      </text>
    </comment>
    <comment ref="Z46" authorId="1" shapeId="0" xr:uid="{FE2B25D7-C4B5-455D-9876-4ED94AC6C9A0}">
      <text>
        <r>
          <rPr>
            <b/>
            <sz val="9"/>
            <color indexed="81"/>
            <rFont val="Tahoma"/>
            <family val="2"/>
          </rPr>
          <t>Updated 2026-05-05: Numerator now includes Transfers (col H) as retained residents. Previously Renewals only (col F).</t>
        </r>
      </text>
    </comment>
    <comment ref="AA46" authorId="1" shapeId="0" xr:uid="{5D920217-D8BB-48A2-A8E3-2D30D282BC29}">
      <text>
        <r>
          <rPr>
            <b/>
            <sz val="9"/>
            <color indexed="81"/>
            <rFont val="Tahoma"/>
            <family val="2"/>
          </rPr>
          <t>Updated 2026-05-05: Numerator now includes Transfers (col H) as retained residents. Previously Renewals only (col F).</t>
        </r>
      </text>
    </comment>
    <comment ref="AB46" authorId="1" shapeId="0" xr:uid="{5B4F2AB3-6EA9-4F42-AB17-F27A870B4111}">
      <text>
        <r>
          <rPr>
            <b/>
            <sz val="9"/>
            <color indexed="81"/>
            <rFont val="Tahoma"/>
            <family val="2"/>
          </rPr>
          <t>Updated 2026-05-05: Numerator now includes Transfers (col H) as retained residents. Previously Renewals only (col F).</t>
        </r>
      </text>
    </comment>
    <comment ref="AC46" authorId="1" shapeId="0" xr:uid="{E3FD4D6A-425F-4E53-9BFB-E3B96B09DDEC}">
      <text>
        <r>
          <rPr>
            <b/>
            <sz val="9"/>
            <color indexed="81"/>
            <rFont val="Tahoma"/>
            <family val="2"/>
          </rPr>
          <t>Updated 2026-05-05: Numerator now includes Transfers (col H) as retained residents. Previously Renewals only (col F).</t>
        </r>
      </text>
    </comment>
    <comment ref="AD46" authorId="1" shapeId="0" xr:uid="{057809F7-9AC8-4B81-8FB2-DDCF7F254B21}">
      <text>
        <r>
          <rPr>
            <b/>
            <sz val="9"/>
            <color indexed="81"/>
            <rFont val="Tahoma"/>
            <family val="2"/>
          </rPr>
          <t>Updated 2026-05-05: Numerator now includes Transfers (col H) as retained residents. Previously Renewals only (col F).</t>
        </r>
      </text>
    </comment>
    <comment ref="AE46" authorId="1" shapeId="0" xr:uid="{32EF2CF0-5695-4E72-9C78-ABD17EB3AED8}">
      <text>
        <r>
          <rPr>
            <b/>
            <sz val="9"/>
            <color indexed="81"/>
            <rFont val="Tahoma"/>
            <family val="2"/>
          </rPr>
          <t>Updated 2026-05-05: Numerator now includes Transfers (col H) as retained residents. Previously Renewals only (col F).</t>
        </r>
      </text>
    </comment>
    <comment ref="AF46" authorId="1" shapeId="0" xr:uid="{5FF8ECCF-D646-44E4-82F7-BAD99B54142F}">
      <text>
        <r>
          <rPr>
            <b/>
            <sz val="9"/>
            <color indexed="81"/>
            <rFont val="Tahoma"/>
            <family val="2"/>
          </rPr>
          <t>Updated 2026-05-05: Numerator now includes Transfers (col H) as retained residents. Previously Renewals only (col F).</t>
        </r>
      </text>
    </comment>
    <comment ref="AG46" authorId="1" shapeId="0" xr:uid="{7D39B132-EF7A-405C-AC6B-C5BADB5CF942}">
      <text>
        <r>
          <rPr>
            <b/>
            <sz val="9"/>
            <color indexed="81"/>
            <rFont val="Tahoma"/>
            <family val="2"/>
          </rPr>
          <t>Updated 2026-05-05: Numerator now includes Transfers (col H) as retained residents. Previously Renewals only (col F).</t>
        </r>
      </text>
    </comment>
    <comment ref="AH46" authorId="1" shapeId="0" xr:uid="{D05B598A-3DA0-4F4D-8438-DC1A87157C62}">
      <text>
        <r>
          <rPr>
            <b/>
            <sz val="9"/>
            <color indexed="81"/>
            <rFont val="Tahoma"/>
            <family val="2"/>
          </rPr>
          <t>Updated 2026-05-05: Numerator now includes Transfers (col H) as retained residents. Previously Renewals only (col F).</t>
        </r>
      </text>
    </comment>
    <comment ref="AI46" authorId="1" shapeId="0" xr:uid="{C1D9058C-B9EE-4839-8067-60F8A47EE505}">
      <text>
        <r>
          <rPr>
            <b/>
            <sz val="9"/>
            <color indexed="81"/>
            <rFont val="Tahoma"/>
            <family val="2"/>
          </rPr>
          <t>Updated 2026-05-05: Numerator now includes Transfers (col H) as retained residents. Previously Renewals only (col F).</t>
        </r>
      </text>
    </comment>
    <comment ref="AJ46" authorId="1" shapeId="0" xr:uid="{0E3DBD38-38E6-48AC-9C03-643FE880BCE3}">
      <text>
        <r>
          <rPr>
            <b/>
            <sz val="9"/>
            <color indexed="81"/>
            <rFont val="Tahoma"/>
            <family val="2"/>
          </rPr>
          <t>Updated 2026-05-05: Numerator now includes Transfers (col H) as retained residents. Previously Renewals only (col F).</t>
        </r>
      </text>
    </comment>
    <comment ref="AK46" authorId="1" shapeId="0" xr:uid="{E595CB9A-E7E6-41B2-B348-B6F38DBCCDA7}">
      <text>
        <r>
          <rPr>
            <b/>
            <sz val="9"/>
            <color indexed="81"/>
            <rFont val="Tahoma"/>
            <family val="2"/>
          </rPr>
          <t>Updated 2026-05-05: Numerator now includes Transfers (col H) as retained residents. Previously Renewals only (col F).</t>
        </r>
      </text>
    </comment>
    <comment ref="O51" authorId="1" shapeId="0" xr:uid="{FCF7BB3D-3EE3-421A-B2FD-37F04F80B124}">
      <text>
        <r>
          <rPr>
            <b/>
            <sz val="9"/>
            <color indexed="81"/>
            <rFont val="Tahoma"/>
            <family val="2"/>
          </rPr>
          <t>Sergio Chidichimo:</t>
        </r>
        <r>
          <rPr>
            <sz val="9"/>
            <color indexed="81"/>
            <rFont val="Tahoma"/>
            <family val="2"/>
          </rPr>
          <t xml:space="preserve">
Updated: Excludes MTM leases from Expirations denominator. Renewal % = Renewals / (Expirations - MTM)</t>
        </r>
      </text>
    </comment>
    <comment ref="P51" authorId="1" shapeId="0" xr:uid="{FC80671F-0912-4F9E-B514-A2384BA31D2F}">
      <text>
        <r>
          <rPr>
            <b/>
            <sz val="9"/>
            <color indexed="81"/>
            <rFont val="Tahoma"/>
            <family val="2"/>
          </rPr>
          <t>Sergio Chidichimo:</t>
        </r>
        <r>
          <rPr>
            <sz val="9"/>
            <color indexed="81"/>
            <rFont val="Tahoma"/>
            <family val="2"/>
          </rPr>
          <t xml:space="preserve">
Updated: Excludes MTM leases from Expirations denominator. Renewal % = Renewals / (Expirations - MTM)</t>
        </r>
      </text>
    </comment>
    <comment ref="Q51" authorId="1" shapeId="0" xr:uid="{2A14F587-6F33-4BC3-8EF4-D68B5239DDCA}">
      <text>
        <r>
          <rPr>
            <b/>
            <sz val="9"/>
            <color indexed="81"/>
            <rFont val="Tahoma"/>
            <family val="2"/>
          </rPr>
          <t>Sergio Chidichimo:</t>
        </r>
        <r>
          <rPr>
            <sz val="9"/>
            <color indexed="81"/>
            <rFont val="Tahoma"/>
            <family val="2"/>
          </rPr>
          <t xml:space="preserve">
Updated: Excludes MTM leases from Expirations denominator. Renewal % = Renewals / (Expirations - MTM)</t>
        </r>
      </text>
    </comment>
    <comment ref="R51" authorId="1" shapeId="0" xr:uid="{AB7EB510-315F-45BF-8101-D2EBEBE2FC33}">
      <text>
        <r>
          <rPr>
            <b/>
            <sz val="9"/>
            <color indexed="81"/>
            <rFont val="Tahoma"/>
            <family val="2"/>
          </rPr>
          <t>Sergio Chidichimo:</t>
        </r>
        <r>
          <rPr>
            <sz val="9"/>
            <color indexed="81"/>
            <rFont val="Tahoma"/>
            <family val="2"/>
          </rPr>
          <t xml:space="preserve">
Updated: Excludes MTM leases from Expirations denominator. Renewal % = Renewals / (Expirations - MTM)</t>
        </r>
      </text>
    </comment>
    <comment ref="S51" authorId="1" shapeId="0" xr:uid="{A1152FC8-FF01-4580-9369-CF03EA31AA38}">
      <text>
        <r>
          <rPr>
            <b/>
            <sz val="9"/>
            <color indexed="81"/>
            <rFont val="Tahoma"/>
            <family val="2"/>
          </rPr>
          <t>Sergio Chidichimo:</t>
        </r>
        <r>
          <rPr>
            <sz val="9"/>
            <color indexed="81"/>
            <rFont val="Tahoma"/>
            <family val="2"/>
          </rPr>
          <t xml:space="preserve">
Updated: Excludes MTM leases from Expirations denominator. Renewal % = Renewals / (Expirations - MTM)</t>
        </r>
      </text>
    </comment>
    <comment ref="T51" authorId="1" shapeId="0" xr:uid="{6ECC5A4E-2EDC-4E62-B0E1-91B04B802BF0}">
      <text>
        <r>
          <rPr>
            <b/>
            <sz val="9"/>
            <color indexed="81"/>
            <rFont val="Tahoma"/>
            <family val="2"/>
          </rPr>
          <t>Sergio Chidichimo:</t>
        </r>
        <r>
          <rPr>
            <sz val="9"/>
            <color indexed="81"/>
            <rFont val="Tahoma"/>
            <family val="2"/>
          </rPr>
          <t xml:space="preserve">
Updated: Excludes MTM leases from Expirations denominator. Renewal % = Renewals / (Expirations - MTM)</t>
        </r>
      </text>
    </comment>
    <comment ref="U51" authorId="1" shapeId="0" xr:uid="{A75919C8-1C6A-4EA5-A5DB-D7FD26354B0A}">
      <text>
        <r>
          <rPr>
            <b/>
            <sz val="9"/>
            <color indexed="81"/>
            <rFont val="Tahoma"/>
            <family val="2"/>
          </rPr>
          <t>Sergio Chidichimo:</t>
        </r>
        <r>
          <rPr>
            <sz val="9"/>
            <color indexed="81"/>
            <rFont val="Tahoma"/>
            <family val="2"/>
          </rPr>
          <t xml:space="preserve">
Updated: Excludes MTM leases from Expirations denominator. Renewal % = Renewals / (Expirations - MTM)</t>
        </r>
      </text>
    </comment>
    <comment ref="V51" authorId="1" shapeId="0" xr:uid="{37AA1880-D5C0-4A24-A5BE-AF9D2F00DF43}">
      <text>
        <r>
          <rPr>
            <b/>
            <sz val="9"/>
            <color indexed="81"/>
            <rFont val="Tahoma"/>
            <family val="2"/>
          </rPr>
          <t>Sergio Chidichimo:</t>
        </r>
        <r>
          <rPr>
            <sz val="9"/>
            <color indexed="81"/>
            <rFont val="Tahoma"/>
            <family val="2"/>
          </rPr>
          <t xml:space="preserve">
Updated: Excludes MTM leases from Expirations denominator. Renewal % = Renewals / (Expirations - MTM)</t>
        </r>
      </text>
    </comment>
    <comment ref="W51" authorId="1" shapeId="0" xr:uid="{AC4C665D-0450-42AD-B797-FF37EE28422B}">
      <text>
        <r>
          <rPr>
            <b/>
            <sz val="9"/>
            <color indexed="81"/>
            <rFont val="Tahoma"/>
            <family val="2"/>
          </rPr>
          <t>Updated 2026-05-05: Numerator now includes Transfers (col H) as retained residents. Previously Renewals only (col F).</t>
        </r>
      </text>
    </comment>
    <comment ref="X51" authorId="1" shapeId="0" xr:uid="{427A2FEF-ED8F-4E8A-A37A-382391D87FCE}">
      <text>
        <r>
          <rPr>
            <b/>
            <sz val="9"/>
            <color indexed="81"/>
            <rFont val="Tahoma"/>
            <family val="2"/>
          </rPr>
          <t>Updated 2026-05-05: Numerator now includes Transfers (col H) as retained residents. Previously Renewals only (col F).</t>
        </r>
      </text>
    </comment>
    <comment ref="Y51" authorId="1" shapeId="0" xr:uid="{56DB2814-F8B3-45A3-B1AF-B3D690582EE0}">
      <text>
        <r>
          <rPr>
            <b/>
            <sz val="9"/>
            <color indexed="81"/>
            <rFont val="Tahoma"/>
            <family val="2"/>
          </rPr>
          <t>Updated 2026-05-05: Numerator now includes Transfers (col H) as retained residents. Previously Renewals only (col F).</t>
        </r>
      </text>
    </comment>
    <comment ref="Z51" authorId="1" shapeId="0" xr:uid="{074C5893-4826-4DF6-9AA4-F826477AB9F6}">
      <text>
        <r>
          <rPr>
            <b/>
            <sz val="9"/>
            <color indexed="81"/>
            <rFont val="Tahoma"/>
            <family val="2"/>
          </rPr>
          <t>Updated 2026-05-05: Numerator now includes Transfers (col H) as retained residents. Previously Renewals only (col F).</t>
        </r>
      </text>
    </comment>
    <comment ref="AA51" authorId="1" shapeId="0" xr:uid="{178C7BB8-6162-40ED-A462-FD43296F3DA6}">
      <text>
        <r>
          <rPr>
            <b/>
            <sz val="9"/>
            <color indexed="81"/>
            <rFont val="Tahoma"/>
            <family val="2"/>
          </rPr>
          <t>Updated 2026-05-05: Numerator now includes Transfers (col H) as retained residents. Previously Renewals only (col F).</t>
        </r>
      </text>
    </comment>
    <comment ref="AB51" authorId="1" shapeId="0" xr:uid="{AF8D94B9-D3E2-485E-A3FF-58D7F5045347}">
      <text>
        <r>
          <rPr>
            <b/>
            <sz val="9"/>
            <color indexed="81"/>
            <rFont val="Tahoma"/>
            <family val="2"/>
          </rPr>
          <t>Updated 2026-05-05: Numerator now includes Transfers (col H) as retained residents. Previously Renewals only (col F).</t>
        </r>
      </text>
    </comment>
    <comment ref="AC51" authorId="1" shapeId="0" xr:uid="{F8CD764F-590A-41CC-88CE-A146B7E2F25E}">
      <text>
        <r>
          <rPr>
            <b/>
            <sz val="9"/>
            <color indexed="81"/>
            <rFont val="Tahoma"/>
            <family val="2"/>
          </rPr>
          <t>Updated 2026-05-05: Numerator now includes Transfers (col H) as retained residents. Previously Renewals only (col F).</t>
        </r>
      </text>
    </comment>
    <comment ref="AD51" authorId="1" shapeId="0" xr:uid="{0A1191E2-50D8-4A99-B66F-61E425028580}">
      <text>
        <r>
          <rPr>
            <b/>
            <sz val="9"/>
            <color indexed="81"/>
            <rFont val="Tahoma"/>
            <family val="2"/>
          </rPr>
          <t>Updated 2026-05-05: Numerator now includes Transfers (col H) as retained residents. Previously Renewals only (col F).</t>
        </r>
      </text>
    </comment>
    <comment ref="AE51" authorId="1" shapeId="0" xr:uid="{DFB383CF-9529-4D43-A907-DA5790D189DA}">
      <text>
        <r>
          <rPr>
            <b/>
            <sz val="9"/>
            <color indexed="81"/>
            <rFont val="Tahoma"/>
            <family val="2"/>
          </rPr>
          <t>Updated 2026-05-05: Numerator now includes Transfers (col H) as retained residents. Previously Renewals only (col F).</t>
        </r>
      </text>
    </comment>
    <comment ref="AF51" authorId="1" shapeId="0" xr:uid="{4F00DCA1-2A5E-4871-8287-9CA6847B7208}">
      <text>
        <r>
          <rPr>
            <b/>
            <sz val="9"/>
            <color indexed="81"/>
            <rFont val="Tahoma"/>
            <family val="2"/>
          </rPr>
          <t>Updated 2026-05-05: Numerator now includes Transfers (col H) as retained residents. Previously Renewals only (col F).</t>
        </r>
      </text>
    </comment>
    <comment ref="AG51" authorId="1" shapeId="0" xr:uid="{C0214B43-0AE1-48D1-9791-77204EC197B3}">
      <text>
        <r>
          <rPr>
            <b/>
            <sz val="9"/>
            <color indexed="81"/>
            <rFont val="Tahoma"/>
            <family val="2"/>
          </rPr>
          <t>Updated 2026-05-05: Numerator now includes Transfers (col H) as retained residents. Previously Renewals only (col F).</t>
        </r>
      </text>
    </comment>
    <comment ref="AH51" authorId="1" shapeId="0" xr:uid="{8ED03D69-FC1A-4771-8A5E-80B8D66108A4}">
      <text>
        <r>
          <rPr>
            <b/>
            <sz val="9"/>
            <color indexed="81"/>
            <rFont val="Tahoma"/>
            <family val="2"/>
          </rPr>
          <t>Updated 2026-05-05: Numerator now includes Transfers (col H) as retained residents. Previously Renewals only (col F).</t>
        </r>
      </text>
    </comment>
    <comment ref="AI51" authorId="1" shapeId="0" xr:uid="{3F83C84C-AB8E-48D1-B5E1-C4234AB596BB}">
      <text>
        <r>
          <rPr>
            <b/>
            <sz val="9"/>
            <color indexed="81"/>
            <rFont val="Tahoma"/>
            <family val="2"/>
          </rPr>
          <t>Updated 2026-05-05: Numerator now includes Transfers (col H) as retained residents. Previously Renewals only (col F).</t>
        </r>
      </text>
    </comment>
    <comment ref="AJ51" authorId="1" shapeId="0" xr:uid="{4E434647-27BB-4F07-90D5-B7EF44427A81}">
      <text>
        <r>
          <rPr>
            <b/>
            <sz val="9"/>
            <color indexed="81"/>
            <rFont val="Tahoma"/>
            <family val="2"/>
          </rPr>
          <t>Updated 2026-05-05: Numerator now includes Transfers (col H) as retained residents. Previously Renewals only (col F).</t>
        </r>
      </text>
    </comment>
    <comment ref="AK51" authorId="1" shapeId="0" xr:uid="{BBDD3DFC-07AD-4FD7-92DF-89FF9A57D107}">
      <text>
        <r>
          <rPr>
            <b/>
            <sz val="9"/>
            <color indexed="81"/>
            <rFont val="Tahoma"/>
            <family val="2"/>
          </rPr>
          <t>Updated 2026-05-05: Numerator now includes Transfers (col H) as retained residents. Previously Renewals only (col F).</t>
        </r>
      </text>
    </comment>
    <comment ref="O58" authorId="1" shapeId="0" xr:uid="{9D40E22C-E3F7-4D28-BCBC-5741E83A28B6}">
      <text>
        <r>
          <rPr>
            <b/>
            <sz val="9"/>
            <color indexed="81"/>
            <rFont val="Tahoma"/>
            <family val="2"/>
          </rPr>
          <t>Sergio Chidichimo:</t>
        </r>
        <r>
          <rPr>
            <sz val="9"/>
            <color indexed="81"/>
            <rFont val="Tahoma"/>
            <family val="2"/>
          </rPr>
          <t xml:space="preserve">
Updated: Excludes MTM leases from Expirations denominator. Renewal % = Renewals / (Expirations - MTM)</t>
        </r>
      </text>
    </comment>
    <comment ref="P58" authorId="1" shapeId="0" xr:uid="{3ED9348F-242F-4E8B-AD08-4E1C9A06BAAF}">
      <text>
        <r>
          <rPr>
            <b/>
            <sz val="9"/>
            <color indexed="81"/>
            <rFont val="Tahoma"/>
            <family val="2"/>
          </rPr>
          <t>Sergio Chidichimo:</t>
        </r>
        <r>
          <rPr>
            <sz val="9"/>
            <color indexed="81"/>
            <rFont val="Tahoma"/>
            <family val="2"/>
          </rPr>
          <t xml:space="preserve">
Updated: Excludes MTM leases from Expirations denominator. Renewal % = Renewals / (Expirations - MTM)</t>
        </r>
      </text>
    </comment>
    <comment ref="Q58" authorId="1" shapeId="0" xr:uid="{F7D53CD8-EFC7-4D49-88B9-59E8570C0C7F}">
      <text>
        <r>
          <rPr>
            <b/>
            <sz val="9"/>
            <color indexed="81"/>
            <rFont val="Tahoma"/>
            <family val="2"/>
          </rPr>
          <t>Sergio Chidichimo:</t>
        </r>
        <r>
          <rPr>
            <sz val="9"/>
            <color indexed="81"/>
            <rFont val="Tahoma"/>
            <family val="2"/>
          </rPr>
          <t xml:space="preserve">
Updated: Excludes MTM leases from Expirations denominator. Renewal % = Renewals / (Expirations - MTM)</t>
        </r>
      </text>
    </comment>
    <comment ref="R58" authorId="1" shapeId="0" xr:uid="{1E066C09-5F97-46D8-99EF-8E726BAD22FB}">
      <text>
        <r>
          <rPr>
            <b/>
            <sz val="9"/>
            <color indexed="81"/>
            <rFont val="Tahoma"/>
            <family val="2"/>
          </rPr>
          <t>Sergio Chidichimo:</t>
        </r>
        <r>
          <rPr>
            <sz val="9"/>
            <color indexed="81"/>
            <rFont val="Tahoma"/>
            <family val="2"/>
          </rPr>
          <t xml:space="preserve">
Updated: Excludes MTM leases from Expirations denominator. Renewal % = Renewals / (Expirations - MTM)</t>
        </r>
      </text>
    </comment>
    <comment ref="S58" authorId="1" shapeId="0" xr:uid="{649106F7-1124-4E64-855C-E244782206D4}">
      <text>
        <r>
          <rPr>
            <b/>
            <sz val="9"/>
            <color indexed="81"/>
            <rFont val="Tahoma"/>
            <family val="2"/>
          </rPr>
          <t>Sergio Chidichimo:</t>
        </r>
        <r>
          <rPr>
            <sz val="9"/>
            <color indexed="81"/>
            <rFont val="Tahoma"/>
            <family val="2"/>
          </rPr>
          <t xml:space="preserve">
Updated: Excludes MTM leases from Expirations denominator. Renewal % = Renewals / (Expirations - MTM)</t>
        </r>
      </text>
    </comment>
    <comment ref="T58" authorId="1" shapeId="0" xr:uid="{EE6E7F58-80E0-40F7-A7D9-ED1506BF941C}">
      <text>
        <r>
          <rPr>
            <b/>
            <sz val="9"/>
            <color indexed="81"/>
            <rFont val="Tahoma"/>
            <family val="2"/>
          </rPr>
          <t>Sergio Chidichimo:</t>
        </r>
        <r>
          <rPr>
            <sz val="9"/>
            <color indexed="81"/>
            <rFont val="Tahoma"/>
            <family val="2"/>
          </rPr>
          <t xml:space="preserve">
Updated: Excludes MTM leases from Expirations denominator. Renewal % = Renewals / (Expirations - MTM)</t>
        </r>
      </text>
    </comment>
    <comment ref="U58" authorId="1" shapeId="0" xr:uid="{1F010F40-05AA-477E-8851-CB1017D2C884}">
      <text>
        <r>
          <rPr>
            <b/>
            <sz val="9"/>
            <color indexed="81"/>
            <rFont val="Tahoma"/>
            <family val="2"/>
          </rPr>
          <t>Sergio Chidichimo:</t>
        </r>
        <r>
          <rPr>
            <sz val="9"/>
            <color indexed="81"/>
            <rFont val="Tahoma"/>
            <family val="2"/>
          </rPr>
          <t xml:space="preserve">
Updated: Excludes MTM leases from Expirations denominator. Renewal % = Renewals / (Expirations - MTM)</t>
        </r>
      </text>
    </comment>
    <comment ref="V58" authorId="1" shapeId="0" xr:uid="{C5810431-85B1-4975-81DF-B9524319CB44}">
      <text>
        <r>
          <rPr>
            <b/>
            <sz val="9"/>
            <color indexed="81"/>
            <rFont val="Tahoma"/>
            <family val="2"/>
          </rPr>
          <t>Sergio Chidichimo:</t>
        </r>
        <r>
          <rPr>
            <sz val="9"/>
            <color indexed="81"/>
            <rFont val="Tahoma"/>
            <family val="2"/>
          </rPr>
          <t xml:space="preserve">
Updated: Excludes MTM leases from Expirations denominator. Renewal % = Renewals / (Expirations - MTM)</t>
        </r>
      </text>
    </comment>
    <comment ref="W58" authorId="1" shapeId="0" xr:uid="{69B83D86-347F-430B-B7B7-6C7B681B2465}">
      <text>
        <r>
          <rPr>
            <b/>
            <sz val="9"/>
            <color indexed="81"/>
            <rFont val="Tahoma"/>
            <family val="2"/>
          </rPr>
          <t>Updated 2026-05-05: Numerator now includes Transfers (col H) as retained residents. Previously Renewals only (col F).</t>
        </r>
      </text>
    </comment>
    <comment ref="X58" authorId="1" shapeId="0" xr:uid="{946A5416-B298-443B-B1F3-FB45296B49D6}">
      <text>
        <r>
          <rPr>
            <b/>
            <sz val="9"/>
            <color indexed="81"/>
            <rFont val="Tahoma"/>
            <family val="2"/>
          </rPr>
          <t>Updated 2026-05-05: Numerator now includes Transfers (col H) as retained residents. Previously Renewals only (col F).</t>
        </r>
      </text>
    </comment>
    <comment ref="Y58" authorId="1" shapeId="0" xr:uid="{42C526AD-5AA1-4F28-8A96-FC082552BCAA}">
      <text>
        <r>
          <rPr>
            <b/>
            <sz val="9"/>
            <color indexed="81"/>
            <rFont val="Tahoma"/>
            <family val="2"/>
          </rPr>
          <t>Updated 2026-05-05: Numerator now includes Transfers (col H) as retained residents. Previously Renewals only (col F).</t>
        </r>
      </text>
    </comment>
    <comment ref="Z58" authorId="1" shapeId="0" xr:uid="{312016DF-4A5C-4CE0-9DD2-F95CF7BE5D97}">
      <text>
        <r>
          <rPr>
            <b/>
            <sz val="9"/>
            <color indexed="81"/>
            <rFont val="Tahoma"/>
            <family val="2"/>
          </rPr>
          <t>Updated 2026-05-05: Numerator now includes Transfers (col H) as retained residents. Previously Renewals only (col F).</t>
        </r>
      </text>
    </comment>
    <comment ref="AA58" authorId="1" shapeId="0" xr:uid="{6B082066-ECC5-40A6-8AC4-61D92C24EE35}">
      <text>
        <r>
          <rPr>
            <b/>
            <sz val="9"/>
            <color indexed="81"/>
            <rFont val="Tahoma"/>
            <family val="2"/>
          </rPr>
          <t>Updated 2026-05-05: Numerator now includes Transfers (col H) as retained residents. Previously Renewals only (col F).</t>
        </r>
      </text>
    </comment>
    <comment ref="AB58" authorId="1" shapeId="0" xr:uid="{9511F791-C89A-4325-A660-177AB754F9C8}">
      <text>
        <r>
          <rPr>
            <b/>
            <sz val="9"/>
            <color indexed="81"/>
            <rFont val="Tahoma"/>
            <family val="2"/>
          </rPr>
          <t>Updated 2026-05-05: Numerator now includes Transfers (col H) as retained residents. Previously Renewals only (col F).</t>
        </r>
      </text>
    </comment>
    <comment ref="AC58" authorId="1" shapeId="0" xr:uid="{5BD39B93-BDDD-4F15-A416-A008B4EB9744}">
      <text>
        <r>
          <rPr>
            <b/>
            <sz val="9"/>
            <color indexed="81"/>
            <rFont val="Tahoma"/>
            <family val="2"/>
          </rPr>
          <t>Updated 2026-05-05: Numerator now includes Transfers (col H) as retained residents. Previously Renewals only (col F).</t>
        </r>
      </text>
    </comment>
    <comment ref="AD58" authorId="1" shapeId="0" xr:uid="{6C210662-F356-4633-93E3-BE1E5193C792}">
      <text>
        <r>
          <rPr>
            <b/>
            <sz val="9"/>
            <color indexed="81"/>
            <rFont val="Tahoma"/>
            <family val="2"/>
          </rPr>
          <t>Updated 2026-05-05: Numerator now includes Transfers (col H) as retained residents. Previously Renewals only (col F).</t>
        </r>
      </text>
    </comment>
    <comment ref="AE58" authorId="1" shapeId="0" xr:uid="{D7D1E65E-5EC0-41A9-A914-D8D323E4BCE5}">
      <text>
        <r>
          <rPr>
            <b/>
            <sz val="9"/>
            <color indexed="81"/>
            <rFont val="Tahoma"/>
            <family val="2"/>
          </rPr>
          <t>Updated 2026-05-05: Numerator now includes Transfers (col H) as retained residents. Previously Renewals only (col F).</t>
        </r>
      </text>
    </comment>
    <comment ref="AF58" authorId="1" shapeId="0" xr:uid="{C80FB880-EB90-4F7F-A8BB-478F7CD29092}">
      <text>
        <r>
          <rPr>
            <b/>
            <sz val="9"/>
            <color indexed="81"/>
            <rFont val="Tahoma"/>
            <family val="2"/>
          </rPr>
          <t>Updated 2026-05-05: Numerator now includes Transfers (col H) as retained residents. Previously Renewals only (col F).</t>
        </r>
      </text>
    </comment>
    <comment ref="AG58" authorId="1" shapeId="0" xr:uid="{EE0382D3-E3A4-4727-B185-6765FB3F2BCC}">
      <text>
        <r>
          <rPr>
            <b/>
            <sz val="9"/>
            <color indexed="81"/>
            <rFont val="Tahoma"/>
            <family val="2"/>
          </rPr>
          <t>Updated 2026-05-05: Numerator now includes Transfers (col H) as retained residents. Previously Renewals only (col F).</t>
        </r>
      </text>
    </comment>
    <comment ref="AH58" authorId="1" shapeId="0" xr:uid="{1FEB7E12-3431-4CBF-8E1E-B13F41FE40EB}">
      <text>
        <r>
          <rPr>
            <b/>
            <sz val="9"/>
            <color indexed="81"/>
            <rFont val="Tahoma"/>
            <family val="2"/>
          </rPr>
          <t>Updated 2026-05-05: Numerator now includes Transfers (col H) as retained residents. Previously Renewals only (col F).</t>
        </r>
      </text>
    </comment>
    <comment ref="AI58" authorId="1" shapeId="0" xr:uid="{D16A131B-5967-43B2-9FBA-68E065B94506}">
      <text>
        <r>
          <rPr>
            <b/>
            <sz val="9"/>
            <color indexed="81"/>
            <rFont val="Tahoma"/>
            <family val="2"/>
          </rPr>
          <t>Updated 2026-05-05: Numerator now includes Transfers (col H) as retained residents. Previously Renewals only (col F).</t>
        </r>
      </text>
    </comment>
    <comment ref="AJ58" authorId="1" shapeId="0" xr:uid="{7218BC6D-E112-491F-A949-B493DFBE0E73}">
      <text>
        <r>
          <rPr>
            <b/>
            <sz val="9"/>
            <color indexed="81"/>
            <rFont val="Tahoma"/>
            <family val="2"/>
          </rPr>
          <t>Updated 2026-05-05: Numerator now includes Transfers (col H) as retained residents. Previously Renewals only (col F).</t>
        </r>
      </text>
    </comment>
    <comment ref="AK58" authorId="1" shapeId="0" xr:uid="{56ABCB53-CCB0-4641-BDF1-BA277F6ED25A}">
      <text>
        <r>
          <rPr>
            <b/>
            <sz val="9"/>
            <color indexed="81"/>
            <rFont val="Tahoma"/>
            <family val="2"/>
          </rPr>
          <t>Updated 2026-05-05: Numerator now includes Transfers (col H) as retained residents. Previously Renewals only (col F).</t>
        </r>
      </text>
    </comment>
    <comment ref="O90" authorId="1" shapeId="0" xr:uid="{FDAC6A83-7FF2-4ED5-878F-BDACDEDB194C}">
      <text>
        <r>
          <rPr>
            <b/>
            <sz val="9"/>
            <color indexed="81"/>
            <rFont val="Tahoma"/>
            <family val="2"/>
          </rPr>
          <t>Sergio Chidichimo:</t>
        </r>
        <r>
          <rPr>
            <sz val="9"/>
            <color indexed="81"/>
            <rFont val="Tahoma"/>
            <family val="2"/>
          </rPr>
          <t xml:space="preserve">
Source: Res_Retention sheet, column O (MTM). Sums MTM across all months.</t>
        </r>
      </text>
    </comment>
    <comment ref="P90" authorId="1" shapeId="0" xr:uid="{F8424E83-A246-4001-BE38-A0C0838EF745}">
      <text>
        <r>
          <rPr>
            <b/>
            <sz val="9"/>
            <color indexed="81"/>
            <rFont val="Tahoma"/>
            <family val="2"/>
          </rPr>
          <t>Sergio Chidichimo:</t>
        </r>
        <r>
          <rPr>
            <sz val="9"/>
            <color indexed="81"/>
            <rFont val="Tahoma"/>
            <family val="2"/>
          </rPr>
          <t xml:space="preserve">
Source: Res_Retention sheet, column O (MTM). Sums MTM across all months.</t>
        </r>
      </text>
    </comment>
    <comment ref="Q90" authorId="1" shapeId="0" xr:uid="{7C42179B-F3EE-49ED-9AB4-D8D61D4C5D67}">
      <text>
        <r>
          <rPr>
            <b/>
            <sz val="9"/>
            <color indexed="81"/>
            <rFont val="Tahoma"/>
            <family val="2"/>
          </rPr>
          <t>Sergio Chidichimo:</t>
        </r>
        <r>
          <rPr>
            <sz val="9"/>
            <color indexed="81"/>
            <rFont val="Tahoma"/>
            <family val="2"/>
          </rPr>
          <t xml:space="preserve">
Source: Res_Retention sheet, column O (MTM). Sums MTM across all months.</t>
        </r>
      </text>
    </comment>
    <comment ref="R90" authorId="1" shapeId="0" xr:uid="{D9DA8910-FB63-417C-B758-75972937776B}">
      <text>
        <r>
          <rPr>
            <b/>
            <sz val="9"/>
            <color indexed="81"/>
            <rFont val="Tahoma"/>
            <family val="2"/>
          </rPr>
          <t>Sergio Chidichimo:</t>
        </r>
        <r>
          <rPr>
            <sz val="9"/>
            <color indexed="81"/>
            <rFont val="Tahoma"/>
            <family val="2"/>
          </rPr>
          <t xml:space="preserve">
Source: Res_Retention sheet, column O (MTM). Sums MTM across all months.</t>
        </r>
      </text>
    </comment>
    <comment ref="S90" authorId="1" shapeId="0" xr:uid="{E0927697-DADF-41C3-915C-D31456D9F650}">
      <text>
        <r>
          <rPr>
            <b/>
            <sz val="9"/>
            <color indexed="81"/>
            <rFont val="Tahoma"/>
            <family val="2"/>
          </rPr>
          <t>Sergio Chidichimo:</t>
        </r>
        <r>
          <rPr>
            <sz val="9"/>
            <color indexed="81"/>
            <rFont val="Tahoma"/>
            <family val="2"/>
          </rPr>
          <t xml:space="preserve">
Source: Res_Retention sheet, column O (MTM). Sums MTM across all months.</t>
        </r>
      </text>
    </comment>
    <comment ref="T90" authorId="1" shapeId="0" xr:uid="{A77461F3-58EE-465C-9859-987F2490A1B4}">
      <text>
        <r>
          <rPr>
            <b/>
            <sz val="9"/>
            <color indexed="81"/>
            <rFont val="Tahoma"/>
            <family val="2"/>
          </rPr>
          <t>Sergio Chidichimo:</t>
        </r>
        <r>
          <rPr>
            <sz val="9"/>
            <color indexed="81"/>
            <rFont val="Tahoma"/>
            <family val="2"/>
          </rPr>
          <t xml:space="preserve">
Source: Res_Retention sheet, column O (MTM). Sums MTM across all months.</t>
        </r>
      </text>
    </comment>
    <comment ref="U90" authorId="1" shapeId="0" xr:uid="{E58FFE8D-962F-4992-AF73-B655FBA0D31E}">
      <text>
        <r>
          <rPr>
            <b/>
            <sz val="9"/>
            <color indexed="81"/>
            <rFont val="Tahoma"/>
            <family val="2"/>
          </rPr>
          <t>Sergio Chidichimo:</t>
        </r>
        <r>
          <rPr>
            <sz val="9"/>
            <color indexed="81"/>
            <rFont val="Tahoma"/>
            <family val="2"/>
          </rPr>
          <t xml:space="preserve">
Source: Res_Retention sheet, column O (MTM). Sums MTM across all months.</t>
        </r>
      </text>
    </comment>
    <comment ref="V90" authorId="1" shapeId="0" xr:uid="{F049ACE2-B386-48C5-A076-EBCD8C775DFC}">
      <text>
        <r>
          <rPr>
            <b/>
            <sz val="9"/>
            <color indexed="81"/>
            <rFont val="Tahoma"/>
            <family val="2"/>
          </rPr>
          <t>Sergio Chidichimo:</t>
        </r>
        <r>
          <rPr>
            <sz val="9"/>
            <color indexed="81"/>
            <rFont val="Tahoma"/>
            <family val="2"/>
          </rPr>
          <t xml:space="preserve">
Source: Res_Retention sheet, column O (MTM). Sums MTM across all months.</t>
        </r>
      </text>
    </comment>
    <comment ref="W90" authorId="1" shapeId="0" xr:uid="{8C6AA728-1A45-4ECB-94B9-8CCEEA8612D0}">
      <text>
        <r>
          <rPr>
            <b/>
            <sz val="9"/>
            <color indexed="81"/>
            <rFont val="Tahoma"/>
            <family val="2"/>
          </rPr>
          <t>Sergio Chidichimo:</t>
        </r>
        <r>
          <rPr>
            <sz val="9"/>
            <color indexed="81"/>
            <rFont val="Tahoma"/>
            <family val="2"/>
          </rPr>
          <t xml:space="preserve">
Source: Res_Retention sheet, column O (MTM). Sums MTM across all months.</t>
        </r>
      </text>
    </comment>
    <comment ref="X90" authorId="1" shapeId="0" xr:uid="{C113B46C-923D-46E9-B0B9-8C7539B60665}">
      <text>
        <r>
          <rPr>
            <b/>
            <sz val="9"/>
            <color indexed="81"/>
            <rFont val="Tahoma"/>
            <family val="2"/>
          </rPr>
          <t>Sergio Chidichimo:</t>
        </r>
        <r>
          <rPr>
            <sz val="9"/>
            <color indexed="81"/>
            <rFont val="Tahoma"/>
            <family val="2"/>
          </rPr>
          <t xml:space="preserve">
Source: Res_Retention sheet, column O (MTM). Sums MTM across all months.</t>
        </r>
      </text>
    </comment>
    <comment ref="Y90" authorId="1" shapeId="0" xr:uid="{70B2FEEA-6B3F-4B1B-B0CC-25037D72A4D3}">
      <text>
        <r>
          <rPr>
            <b/>
            <sz val="9"/>
            <color indexed="81"/>
            <rFont val="Tahoma"/>
            <family val="2"/>
          </rPr>
          <t>Sergio Chidichimo:</t>
        </r>
        <r>
          <rPr>
            <sz val="9"/>
            <color indexed="81"/>
            <rFont val="Tahoma"/>
            <family val="2"/>
          </rPr>
          <t xml:space="preserve">
Source: Res_Retention sheet, column O (MTM). Sums MTM across all months.</t>
        </r>
      </text>
    </comment>
    <comment ref="Z90" authorId="1" shapeId="0" xr:uid="{D086E21C-6482-4D27-AEFA-3A1EB5DDF027}">
      <text>
        <r>
          <rPr>
            <b/>
            <sz val="9"/>
            <color indexed="81"/>
            <rFont val="Tahoma"/>
            <family val="2"/>
          </rPr>
          <t>Sergio Chidichimo:</t>
        </r>
        <r>
          <rPr>
            <sz val="9"/>
            <color indexed="81"/>
            <rFont val="Tahoma"/>
            <family val="2"/>
          </rPr>
          <t xml:space="preserve">
Source: Res_Retention sheet, column O (MTM). Sums MTM across all months.</t>
        </r>
      </text>
    </comment>
    <comment ref="AA90" authorId="1" shapeId="0" xr:uid="{EBD00297-56C4-464E-9625-1B46AB8642AF}">
      <text>
        <r>
          <rPr>
            <sz val="11"/>
            <color theme="1"/>
            <rFont val="Calibri"/>
            <family val="2"/>
            <charset val="1"/>
          </rPr>
          <t xml:space="preserve">Sergio Chidichimo:
Source: Res_Retention sheet, column O (MTM). Sums MTM across all months.
not part of my usual file updates but I updated this one this week for accuracy - ML </t>
        </r>
      </text>
    </comment>
    <comment ref="AB90" authorId="1" shapeId="0" xr:uid="{951E71CE-E38A-4B62-9CCE-F53EA542EB95}">
      <text>
        <r>
          <rPr>
            <sz val="11"/>
            <color theme="1"/>
            <rFont val="Calibri"/>
            <family val="2"/>
            <charset val="1"/>
          </rPr>
          <t xml:space="preserve">Sergio Chidichimo:
Source: Res_Retention sheet, column O (MTM). Sums MTM across all months.
not part of my usual file updates but I updated this one this week for accuracy - ML </t>
        </r>
      </text>
    </comment>
    <comment ref="AC90" authorId="1" shapeId="0" xr:uid="{F2A2789A-9FBB-4BA2-BF6E-0CD6BD2A8D83}">
      <text>
        <r>
          <rPr>
            <sz val="11"/>
            <color theme="1"/>
            <rFont val="Calibri"/>
            <family val="2"/>
            <charset val="1"/>
          </rPr>
          <t xml:space="preserve">Sergio Chidichimo:
Source: Res_Retention sheet, column O (MTM). Sums MTM across all months.
not part of my usual file updates but I updated this one this week for accuracy - ML </t>
        </r>
      </text>
    </comment>
    <comment ref="AD90" authorId="1" shapeId="0" xr:uid="{7FED6D4E-A8B6-46FA-95F4-9DCCBF4C6F52}">
      <text>
        <r>
          <rPr>
            <sz val="11"/>
            <color theme="1"/>
            <rFont val="Calibri"/>
            <family val="2"/>
            <charset val="1"/>
          </rPr>
          <t xml:space="preserve">Sergio Chidichimo:
Source: Res_Retention sheet, column O (MTM). Sums MTM across all months.
not part of my usual file updates but I updated this one this week for accuracy - ML </t>
        </r>
      </text>
    </comment>
    <comment ref="AE90" authorId="1" shapeId="0" xr:uid="{38D6DE14-3CE3-4EDA-96C2-73292E0D1C24}">
      <text>
        <r>
          <rPr>
            <sz val="11"/>
            <color theme="1"/>
            <rFont val="Calibri"/>
            <family val="2"/>
            <charset val="1"/>
          </rPr>
          <t xml:space="preserve">Sergio Chidichimo:
Source: Res_Retention sheet, column O (MTM). Sums MTM across all months.
not part of my usual file updates but I updated this one this week for accuracy - ML </t>
        </r>
      </text>
    </comment>
    <comment ref="AF90" authorId="1" shapeId="0" xr:uid="{97A914CB-8EAB-4DE1-BBA3-D546CFC5D82D}">
      <text>
        <r>
          <rPr>
            <sz val="11"/>
            <color theme="1"/>
            <rFont val="Calibri"/>
            <family val="2"/>
            <charset val="1"/>
          </rPr>
          <t xml:space="preserve">Sergio Chidichimo:
Source: Res_Retention sheet, column O (MTM). Sums MTM across all months.
not part of my usual file updates but I updated this one this week for accuracy - ML </t>
        </r>
      </text>
    </comment>
    <comment ref="AG90" authorId="1" shapeId="0" xr:uid="{3340F0EB-0165-4E16-B14E-9503D18F44CA}">
      <text>
        <r>
          <rPr>
            <sz val="11"/>
            <color theme="1"/>
            <rFont val="Calibri"/>
            <family val="2"/>
            <charset val="1"/>
          </rPr>
          <t xml:space="preserve">Sergio Chidichimo:
Source: Res_Retention sheet, column O (MTM). Sums MTM across all months.
not part of my usual file updates but I updated this one this week for accuracy - ML </t>
        </r>
      </text>
    </comment>
    <comment ref="AH90" authorId="1" shapeId="0" xr:uid="{0245FC06-7E70-4658-89CC-625ABD55A8CD}">
      <text>
        <r>
          <rPr>
            <sz val="11"/>
            <color theme="1"/>
            <rFont val="Calibri"/>
            <family val="2"/>
            <charset val="1"/>
          </rPr>
          <t xml:space="preserve">Sergio Chidichimo:
Source: Res_Retention sheet, column O (MTM). Sums MTM across all months.
not part of my usual file updates but I updated this one this week for accuracy - ML </t>
        </r>
      </text>
    </comment>
    <comment ref="AI90" authorId="1" shapeId="0" xr:uid="{FFAA8CCB-A056-4EF2-8DC6-D39566013348}">
      <text>
        <r>
          <rPr>
            <sz val="11"/>
            <color theme="1"/>
            <rFont val="Calibri"/>
            <family val="2"/>
            <charset val="1"/>
          </rPr>
          <t xml:space="preserve">Sergio Chidichimo:
Source: Res_Retention sheet, column O (MTM). Sums MTM across all months.
not part of my usual file updates but I updated this one this week for accuracy - ML </t>
        </r>
      </text>
    </comment>
    <comment ref="AJ90" authorId="1" shapeId="0" xr:uid="{0E84CDBD-BFCD-416A-813E-77936333C2EE}">
      <text>
        <r>
          <rPr>
            <sz val="11"/>
            <color theme="1"/>
            <rFont val="Calibri"/>
            <family val="2"/>
            <charset val="1"/>
          </rPr>
          <t xml:space="preserve">Sergio Chidichimo:
Source: Res_Retention sheet, column O (MTM). Sums MTM across all months.
not part of my usual file updates but I updated this one this week for accuracy - ML </t>
        </r>
      </text>
    </comment>
    <comment ref="AK90" authorId="1" shapeId="0" xr:uid="{36AD9B6B-DC62-4370-83B8-3E81DDDB9B4B}">
      <text>
        <r>
          <rPr>
            <sz val="11"/>
            <color theme="1"/>
            <rFont val="Calibri"/>
            <family val="2"/>
            <charset val="1"/>
          </rPr>
          <t xml:space="preserve">Sergio Chidichimo:
Source: Res_Retention sheet, column O (MTM). Sums MTM across all months.
not part of my usual file updates but I updated this one this week for accuracy - ML </t>
        </r>
      </text>
    </comment>
    <comment ref="F98" authorId="2" shapeId="0" xr:uid="{9CE0D5E9-B273-43FC-AB1F-8C91F142B6F0}">
      <text>
        <r>
          <rPr>
            <b/>
            <sz val="9"/>
            <color indexed="81"/>
            <rFont val="Tahoma"/>
            <family val="2"/>
          </rPr>
          <t>Maelle-Anne:</t>
        </r>
        <r>
          <rPr>
            <sz val="9"/>
            <color indexed="81"/>
            <rFont val="Tahoma"/>
            <family val="2"/>
          </rPr>
          <t xml:space="preserve">
did not include water bills yet-posted on 1/7/26 total $75,662.55</t>
        </r>
      </text>
    </comment>
    <comment ref="AD102" authorId="1" shapeId="0" xr:uid="{E81B1263-80BC-4B59-93F7-0E2E23A07A23}">
      <text>
        <r>
          <rPr>
            <b/>
            <sz val="9"/>
            <color indexed="81"/>
            <rFont val="Tahoma"/>
            <charset val="1"/>
          </rPr>
          <t>Sergio Chidichimo:</t>
        </r>
        <r>
          <rPr>
            <sz val="9"/>
            <color indexed="81"/>
            <rFont val="Tahoma"/>
            <charset val="1"/>
          </rPr>
          <t xml:space="preserve">
Restored 7/1/26: week-25 receipts totaled $732,122.45 (captured from the dashboard before a formula drag replaced this row's history with live pulls of the current receipts file), less that week's NSFs. NOTE: D88:AC88 (weeks 1-24) were also overwritten by the drag and now all reference the CURRENT 'receipts by charge code-AVA' totals - their original weekly values are not recoverable from this workbook.</t>
        </r>
      </text>
    </comment>
    <comment ref="N106" authorId="0" shapeId="0" xr:uid="{A964E251-0909-4400-B562-95305781992F}">
      <text>
        <r>
          <rPr>
            <sz val="11"/>
            <color theme="1"/>
            <rFont val="Calibri"/>
            <family val="2"/>
            <charset val="1"/>
          </rPr>
          <t>Maelle-Anne Le Neel:
Rent due by the 3rd- reflects March rent</t>
        </r>
      </text>
    </comment>
    <comment ref="AE113" authorId="1" shapeId="0" xr:uid="{C4343E6C-C75F-4A3F-BAF5-4EEBADFB8E6F}">
      <text>
        <r>
          <rPr>
            <b/>
            <sz val="9"/>
            <color indexed="81"/>
            <rFont val="Tahoma"/>
            <charset val="1"/>
          </rPr>
          <t>Sergio Chidichimo:</t>
        </r>
        <r>
          <rPr>
            <sz val="9"/>
            <color indexed="81"/>
            <rFont val="Tahoma"/>
            <charset val="1"/>
          </rPr>
          <t xml:space="preserve">
DSO basis corrected 7/1/26: numerator = current + notice resident balances from aged receivables report ($119,375 at wk 26), NOT whole-book delinquency from trending tab ($953K incl. former/evicted residents pending write-off). Denominator unchanged: T12 monthly revenue. Weeks 1-25 (D98:AD98) remain on the old whole-book basis.</t>
        </r>
      </text>
    </comment>
    <comment ref="AF113" authorId="1" shapeId="0" xr:uid="{8663C488-463B-42CE-93B5-86FA26BDFCA2}">
      <text>
        <r>
          <rPr>
            <b/>
            <sz val="9"/>
            <color indexed="81"/>
            <rFont val="Tahoma"/>
            <charset val="1"/>
          </rPr>
          <t>Sergio Chidichimo:</t>
        </r>
        <r>
          <rPr>
            <sz val="9"/>
            <color indexed="81"/>
            <rFont val="Tahoma"/>
            <charset val="1"/>
          </rPr>
          <t xml:space="preserve">
DSO basis corrected 7/1/26: numerator = current + notice resident balances from aged receivables report ($119,375 at wk 26), NOT whole-book delinquency from trending tab ($953K incl. former/evicted residents pending write-off). Denominator unchanged: T12 monthly revenue. Weeks 1-25 (D98:AD98) remain on the old whole-book basis.</t>
        </r>
      </text>
    </comment>
    <comment ref="AG113" authorId="1" shapeId="0" xr:uid="{412632E8-7A76-4B66-9E36-A14578274C37}">
      <text>
        <r>
          <rPr>
            <b/>
            <sz val="9"/>
            <color indexed="81"/>
            <rFont val="Tahoma"/>
            <charset val="1"/>
          </rPr>
          <t>Sergio Chidichimo:</t>
        </r>
        <r>
          <rPr>
            <sz val="9"/>
            <color indexed="81"/>
            <rFont val="Tahoma"/>
            <charset val="1"/>
          </rPr>
          <t xml:space="preserve">
DSO basis corrected 7/1/26: numerator = current + notice resident balances from aged receivables report ($119,375 at wk 26), NOT whole-book delinquency from trending tab ($953K incl. former/evicted residents pending write-off). Denominator unchanged: T12 monthly revenue. Weeks 1-25 (D98:AD98) remain on the old whole-book basis.</t>
        </r>
      </text>
    </comment>
    <comment ref="AH113" authorId="1" shapeId="0" xr:uid="{B768279A-43CD-4D5E-B593-040FB3B8E6CA}">
      <text>
        <r>
          <rPr>
            <b/>
            <sz val="9"/>
            <color indexed="81"/>
            <rFont val="Tahoma"/>
            <charset val="1"/>
          </rPr>
          <t>Sergio Chidichimo:</t>
        </r>
        <r>
          <rPr>
            <sz val="9"/>
            <color indexed="81"/>
            <rFont val="Tahoma"/>
            <charset val="1"/>
          </rPr>
          <t xml:space="preserve">
DSO basis corrected 7/1/26: numerator = current + notice resident balances from aged receivables report ($119,375 at wk 26), NOT whole-book delinquency from trending tab ($953K incl. former/evicted residents pending write-off). Denominator unchanged: T12 monthly revenue. Weeks 1-25 (D98:AD98) remain on the old whole-book basis.</t>
        </r>
      </text>
    </comment>
    <comment ref="AI113" authorId="1" shapeId="0" xr:uid="{A94E2784-7B11-4487-9429-84B13CFDD66A}">
      <text>
        <r>
          <rPr>
            <b/>
            <sz val="9"/>
            <color indexed="81"/>
            <rFont val="Tahoma"/>
            <charset val="1"/>
          </rPr>
          <t>Sergio Chidichimo:</t>
        </r>
        <r>
          <rPr>
            <sz val="9"/>
            <color indexed="81"/>
            <rFont val="Tahoma"/>
            <charset val="1"/>
          </rPr>
          <t xml:space="preserve">
DSO basis corrected 7/1/26: numerator = current + notice resident balances from aged receivables report ($119,375 at wk 26), NOT whole-book delinquency from trending tab ($953K incl. former/evicted residents pending write-off). Denominator unchanged: T12 monthly revenue. Weeks 1-25 (D98:AD98) remain on the old whole-book basis.</t>
        </r>
      </text>
    </comment>
    <comment ref="AJ113" authorId="1" shapeId="0" xr:uid="{AD3B7CA1-23A7-40EE-92EA-31EFF28D121F}">
      <text>
        <r>
          <rPr>
            <b/>
            <sz val="9"/>
            <color indexed="81"/>
            <rFont val="Tahoma"/>
            <charset val="1"/>
          </rPr>
          <t>Sergio Chidichimo:</t>
        </r>
        <r>
          <rPr>
            <sz val="9"/>
            <color indexed="81"/>
            <rFont val="Tahoma"/>
            <charset val="1"/>
          </rPr>
          <t xml:space="preserve">
DSO basis corrected 7/1/26: numerator = current + notice resident balances from aged receivables report ($119,375 at wk 26), NOT whole-book delinquency from trending tab ($953K incl. former/evicted residents pending write-off). Denominator unchanged: T12 monthly revenue. Weeks 1-25 (D98:AD98) remain on the old whole-book basis.</t>
        </r>
      </text>
    </comment>
    <comment ref="AK113" authorId="1" shapeId="0" xr:uid="{A0701DDC-ED7C-4D45-8D54-603CC9952CC7}">
      <text>
        <r>
          <rPr>
            <b/>
            <sz val="9"/>
            <color indexed="81"/>
            <rFont val="Tahoma"/>
            <charset val="1"/>
          </rPr>
          <t>Sergio Chidichimo:</t>
        </r>
        <r>
          <rPr>
            <sz val="9"/>
            <color indexed="81"/>
            <rFont val="Tahoma"/>
            <charset val="1"/>
          </rPr>
          <t xml:space="preserve">
DSO basis corrected 7/1/26: numerator = current + notice resident balances from aged receivables report ($119,375 at wk 26), NOT whole-book delinquency from trending tab ($953K incl. former/evicted residents pending write-off). Denominator unchanged: T12 monthly revenue. Weeks 1-25 (D98:AD98) remain on the old whole-book basis.</t>
        </r>
      </text>
    </comment>
    <comment ref="AE114" authorId="1" shapeId="0" xr:uid="{BE618CF9-0712-4CB8-B81E-1722B176453F}">
      <text>
        <r>
          <rPr>
            <b/>
            <sz val="9"/>
            <color indexed="81"/>
            <rFont val="Tahoma"/>
            <charset val="1"/>
          </rPr>
          <t>Sergio Chidichimo:</t>
        </r>
        <r>
          <rPr>
            <sz val="9"/>
            <color indexed="81"/>
            <rFont val="Tahoma"/>
            <charset val="1"/>
          </rPr>
          <t xml:space="preserve">
2-month trailing DSO, same corrected numerator (aged receivables current+notice residents), denominator = 2-month average T12 revenue.</t>
        </r>
      </text>
    </comment>
    <comment ref="AF114" authorId="1" shapeId="0" xr:uid="{D618B3D3-A8AD-4FCC-936D-61161C914842}">
      <text>
        <r>
          <rPr>
            <b/>
            <sz val="9"/>
            <color indexed="81"/>
            <rFont val="Tahoma"/>
            <charset val="1"/>
          </rPr>
          <t>Sergio Chidichimo:</t>
        </r>
        <r>
          <rPr>
            <sz val="9"/>
            <color indexed="81"/>
            <rFont val="Tahoma"/>
            <charset val="1"/>
          </rPr>
          <t xml:space="preserve">
2-month trailing DSO, same corrected numerator (aged receivables current+notice residents), denominator = 2-month average T12 revenue.</t>
        </r>
      </text>
    </comment>
    <comment ref="AG114" authorId="1" shapeId="0" xr:uid="{39BC883A-54BA-431B-AE4E-DADEC773F5A5}">
      <text>
        <r>
          <rPr>
            <b/>
            <sz val="9"/>
            <color indexed="81"/>
            <rFont val="Tahoma"/>
            <charset val="1"/>
          </rPr>
          <t>Sergio Chidichimo:</t>
        </r>
        <r>
          <rPr>
            <sz val="9"/>
            <color indexed="81"/>
            <rFont val="Tahoma"/>
            <charset val="1"/>
          </rPr>
          <t xml:space="preserve">
2-month trailing DSO, same corrected numerator (aged receivables current+notice residents), denominator = 2-month average T12 revenue.</t>
        </r>
      </text>
    </comment>
    <comment ref="AH114" authorId="1" shapeId="0" xr:uid="{A013E508-D140-41E9-9B05-6F4A5E70B1FE}">
      <text>
        <r>
          <rPr>
            <b/>
            <sz val="9"/>
            <color indexed="81"/>
            <rFont val="Tahoma"/>
            <charset val="1"/>
          </rPr>
          <t>Sergio Chidichimo:</t>
        </r>
        <r>
          <rPr>
            <sz val="9"/>
            <color indexed="81"/>
            <rFont val="Tahoma"/>
            <charset val="1"/>
          </rPr>
          <t xml:space="preserve">
2-month trailing DSO, same corrected numerator (aged receivables current+notice residents), denominator = 2-month average T12 revenue.</t>
        </r>
      </text>
    </comment>
    <comment ref="AI114" authorId="1" shapeId="0" xr:uid="{0EE3B5E4-2AA4-4D75-A541-6267FCBB61B8}">
      <text>
        <r>
          <rPr>
            <b/>
            <sz val="9"/>
            <color indexed="81"/>
            <rFont val="Tahoma"/>
            <charset val="1"/>
          </rPr>
          <t>Sergio Chidichimo:</t>
        </r>
        <r>
          <rPr>
            <sz val="9"/>
            <color indexed="81"/>
            <rFont val="Tahoma"/>
            <charset val="1"/>
          </rPr>
          <t xml:space="preserve">
2-month trailing DSO, same corrected numerator (aged receivables current+notice residents), denominator = 2-month average T12 revenue.</t>
        </r>
      </text>
    </comment>
    <comment ref="AJ114" authorId="1" shapeId="0" xr:uid="{4DF2A45C-CB21-4968-9A2D-BB3729537B5F}">
      <text>
        <r>
          <rPr>
            <b/>
            <sz val="9"/>
            <color indexed="81"/>
            <rFont val="Tahoma"/>
            <charset val="1"/>
          </rPr>
          <t>Sergio Chidichimo:</t>
        </r>
        <r>
          <rPr>
            <sz val="9"/>
            <color indexed="81"/>
            <rFont val="Tahoma"/>
            <charset val="1"/>
          </rPr>
          <t xml:space="preserve">
2-month trailing DSO, same corrected numerator (aged receivables current+notice residents), denominator = 2-month average T12 revenue.</t>
        </r>
      </text>
    </comment>
    <comment ref="AK114" authorId="1" shapeId="0" xr:uid="{E79B7E9E-0DED-4F81-BD41-90E35C473034}">
      <text>
        <r>
          <rPr>
            <b/>
            <sz val="9"/>
            <color indexed="81"/>
            <rFont val="Tahoma"/>
            <charset val="1"/>
          </rPr>
          <t>Sergio Chidichimo:</t>
        </r>
        <r>
          <rPr>
            <sz val="9"/>
            <color indexed="81"/>
            <rFont val="Tahoma"/>
            <charset val="1"/>
          </rPr>
          <t xml:space="preserve">
2-month trailing DSO, same corrected numerator (aged receivables current+notice residents), denominator = 2-month average T12 revenue.</t>
        </r>
      </text>
    </comment>
    <comment ref="J120" authorId="0" shapeId="0" xr:uid="{C61C5A84-8B3A-41B1-9F6A-881B86B547B1}">
      <text>
        <r>
          <rPr>
            <sz val="11"/>
            <color theme="1"/>
            <rFont val="Calibri"/>
            <family val="2"/>
            <charset val="1"/>
          </rPr>
          <t>Maelle-Anne Le Neel:
The report was originally formatted by calendar month. For the 2/16/26 update, reports should instead be pulled by “last week” to reflect week-over-week open and completed counts, not month-to-date totals.</t>
        </r>
      </text>
    </comment>
    <comment ref="M120" authorId="0" shapeId="0" xr:uid="{E84047D9-5739-4CC2-A3C3-BD967F414DC5}">
      <text>
        <r>
          <rPr>
            <sz val="11"/>
            <color theme="1"/>
            <rFont val="Calibri"/>
            <family val="2"/>
            <charset val="1"/>
          </rPr>
          <t xml:space="preserve">Maelle-Anne Le Neel:
updating report going forward to the Work Order Summary -Weekly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Sergio Chidichimo</author>
    <author>tc={1B69C1AD-40A3-4E6B-A161-26538F876C3C}</author>
  </authors>
  <commentList>
    <comment ref="N1" authorId="0" shapeId="0" xr:uid="{8B0A55F5-432C-444D-9664-94821441E3DB}">
      <text>
        <r>
          <rPr>
            <b/>
            <sz val="9"/>
            <color indexed="81"/>
            <rFont val="Tahoma"/>
            <charset val="1"/>
          </rPr>
          <t>Sergio Chidichimo:
2026-07-27: "Taiwo, Yejide" removed from this list — still on the rent roll at W12-1-1221 (Occupied No Notice), so not a former resident. All other names on this list, and all 118 residents shown in the Evictions &amp; Former section, were checked against RR_Unit_Details and are not on the rent roll.
Claude:
2026-08-05 weekly check vs RR_Unit_Details: "Avila, Marcos" (bal at S38-251, now occupying W03-1-0320) and "Rocha, Luis" (bal at W27-2-2008, now at S40-262) found on the rent roll — added to CURRENT OVERRIDE (P8:P9), likely on-site transfers with balances on prior units. All 43 Current-section residents verified on the rent roll. N-list names verified NOT on the rent roll; P-list names verified ON the rent roll.
Claude:
2026-08-12 weekly check vs RR_Unit_Details (637 occupied/notice residents), full qualifying population: "Nwabunor, Stanley (Stanley)" ($270.82 at W15-2-3090, now occupying W03-1-0301) found on the rent roll — added to CURRENT OVERRIDE (P10), on-site transfer pattern. Four qualifying accounts NOT on the rent roll moved to Former via MOVED OUT OVERRIDE (N19:N22): Eliuth, Gerson ($581.97); Walker, Myocsheonia ($2,094.34); Rodriguez, Joseph ($3,504.84); Yoryina, Emelyn ($232.37). Section formulas ($2:$460) verified to cover the refreshed aged receivable data (ends row 182). All 38 column-L notes re-paired to owners' new rows (0 orphaned). Result: 0 mismatches both directions; Former 102 of 102 qualifying ($562,816); Current 59 accounts, 43 displayed.</t>
        </r>
      </text>
    </comment>
    <comment ref="K11" authorId="1" shapeId="0" xr:uid="{1B69C1AD-40A3-4E6B-A161-26538F876C3C}">
      <text>
        <t>[Threaded comment]
Your version of Excel allows you to read this threaded comment; however, any edits to it will get removed if the file is opened in a newer version of Excel. Learn more: https://go.microsoft.com/fwlink/?linkid=870924
Comment:
    Avery's Recovery % = Total Paid (LeaseLock col M) / Claimed Within Limit (LeaseLock col W). Each claim is capped at its coverage limit ($750/$1,000, LeaseLock col P) so the team isn't penalized for amounts claimed above the cap. The standard Recovery Rate (H11) divides by Total Claimed.</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Sergio Chidichimo</author>
  </authors>
  <commentList>
    <comment ref="B66" authorId="0" shapeId="0" xr:uid="{80A2DF53-2B11-4B58-AD2A-D8BA6C9BDCDB}">
      <text>
        <r>
          <rPr>
            <b/>
            <sz val="9"/>
            <color indexed="81"/>
            <rFont val="Tahoma"/>
            <charset val="1"/>
          </rPr>
          <t>Sergio Chidichimo:</t>
        </r>
        <r>
          <rPr>
            <sz val="9"/>
            <color indexed="81"/>
            <rFont val="Tahoma"/>
            <charset val="1"/>
          </rPr>
          <t xml:space="preserve">
Updated 2026-05-05: Added Application_Status_May to VSTACK.</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Sergio Chidichimo</author>
  </authors>
  <commentList>
    <comment ref="E13" authorId="0" shapeId="0" xr:uid="{67E3047D-E472-42D8-BD74-13E0D680709D}">
      <text>
        <r>
          <rPr>
            <b/>
            <sz val="9"/>
            <color indexed="81"/>
            <rFont val="Tahoma"/>
            <charset val="1"/>
          </rPr>
          <t>Sergio Chidichimo:</t>
        </r>
        <r>
          <rPr>
            <sz val="9"/>
            <color indexed="81"/>
            <rFont val="Tahoma"/>
            <charset val="1"/>
          </rPr>
          <t xml:space="preserve">
Updated 2026-05-05: Added Application_Status_May to denial count.</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tc={606F71D6-CE33-4881-82AE-6CBD7E723D22}</author>
    <author>tc={5FD13FFD-3711-4856-9EFB-8089C7A9C816}</author>
    <author>tc={FBB46EAC-B627-4802-8EAB-DC906B5E5EA8}</author>
  </authors>
  <commentList>
    <comment ref="B5" authorId="0" shapeId="0" xr:uid="{606F71D6-CE33-4881-82AE-6CBD7E723D22}">
      <text>
        <t>[Threaded comment]
Your version of Excel allows you to read this threaded comment; however, any edits to it will get removed if the file is opened in a newer version of Excel. Learn more: https://go.microsoft.com/fwlink/?linkid=870924
Comment:
    Source: ResMan Aged Receivables CSV, 12/14/2025. Count of all accounts with any balance (Dec/Nov/Oct/Older &gt; 0). External data — update manually if baseline changes.</t>
      </text>
    </comment>
    <comment ref="B6" authorId="1" shapeId="0" xr:uid="{5FD13FFD-3711-4856-9EFB-8089C7A9C816}">
      <text>
        <t>[Threaded comment]
Your version of Excel allows you to read this threaded comment; however, any edits to it will get removed if the file is opened in a newer version of Excel. Learn more: https://go.microsoft.com/fwlink/?linkid=870924
Comment:
    Source: ResMan Aged Receivables CSV, 12/14/2025. Sum of Total Balance column for all 144 accounts. External data — update manually if baseline changes.</t>
      </text>
    </comment>
    <comment ref="B128" authorId="2" shapeId="0" xr:uid="{FBB46EAC-B627-4802-8EAB-DC906B5E5EA8}">
      <text>
        <t>[Threaded comment]
Your version of Excel allows you to read this threaded comment; however, any edits to it will get removed if the file is opened in a newer version of Excel. Learn more: https://go.microsoft.com/fwlink/?linkid=870924
Comment:
    Manually classified from Delinquency_Detail_3 RSI Notes &amp; CAF Notes columns. Update when case statuses change.</t>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Sergio Chidichimo</author>
  </authors>
  <commentList>
    <comment ref="X30" authorId="0" shapeId="0" xr:uid="{2CA01AC0-6B8E-4D71-A8F9-AADF1B572461}">
      <text>
        <r>
          <rPr>
            <b/>
            <sz val="9"/>
            <color indexed="81"/>
            <rFont val="Tahoma"/>
            <charset val="1"/>
          </rPr>
          <t>Sergio Chidichimo:</t>
        </r>
        <r>
          <rPr>
            <sz val="9"/>
            <color indexed="81"/>
            <rFont val="Tahoma"/>
            <charset val="1"/>
          </rPr>
          <t xml:space="preserve">
Target average days to collect: dollar-weighted days outstanding implied by the target collection curve (weekly profile C82:C85 x month-end Coll % target N62:O68), midpoint convention; dollars uncollected in-month carried to month length.</t>
        </r>
      </text>
    </comment>
    <comment ref="X31" authorId="0" shapeId="0" xr:uid="{7B0E7AD1-315B-48FA-906E-5BF768553436}">
      <text>
        <r>
          <rPr>
            <b/>
            <sz val="9"/>
            <color indexed="81"/>
            <rFont val="Tahoma"/>
            <charset val="1"/>
          </rPr>
          <t>Sergio Chidichimo:</t>
        </r>
        <r>
          <rPr>
            <sz val="9"/>
            <color indexed="81"/>
            <rFont val="Tahoma"/>
            <charset val="1"/>
          </rPr>
          <t xml:space="preserve">
Target average days to collect: dollar-weighted days outstanding implied by the target collection curve (weekly profile C82:C85 x month-end Coll % target N62:O68), midpoint convention; dollars uncollected in-month carried to month length.</t>
        </r>
      </text>
    </comment>
    <comment ref="X32" authorId="0" shapeId="0" xr:uid="{4382F056-BE44-4BD7-A233-F1FF56549920}">
      <text>
        <r>
          <rPr>
            <b/>
            <sz val="9"/>
            <color indexed="81"/>
            <rFont val="Tahoma"/>
            <charset val="1"/>
          </rPr>
          <t>Sergio Chidichimo:</t>
        </r>
        <r>
          <rPr>
            <sz val="9"/>
            <color indexed="81"/>
            <rFont val="Tahoma"/>
            <charset val="1"/>
          </rPr>
          <t xml:space="preserve">
Target average days to collect: dollar-weighted days outstanding implied by the target collection curve (weekly profile C82:C85 x month-end Coll % target N62:O68), midpoint convention; dollars uncollected in-month carried to month length.</t>
        </r>
      </text>
    </comment>
    <comment ref="X33" authorId="0" shapeId="0" xr:uid="{85F1398E-7F27-4C3A-8CB1-5F282EA1F7E5}">
      <text>
        <r>
          <rPr>
            <b/>
            <sz val="9"/>
            <color indexed="81"/>
            <rFont val="Tahoma"/>
            <charset val="1"/>
          </rPr>
          <t>Sergio Chidichimo:</t>
        </r>
        <r>
          <rPr>
            <sz val="9"/>
            <color indexed="81"/>
            <rFont val="Tahoma"/>
            <charset val="1"/>
          </rPr>
          <t xml:space="preserve">
Target average days to collect: dollar-weighted days outstanding implied by the target collection curve (weekly profile C82:C85 x month-end Coll % target N62:O68), midpoint convention; dollars uncollected in-month carried to month length.</t>
        </r>
      </text>
    </comment>
    <comment ref="X34" authorId="0" shapeId="0" xr:uid="{F1EA7C7B-1F5E-4A27-B559-8F01B1321672}">
      <text>
        <r>
          <rPr>
            <b/>
            <sz val="9"/>
            <color indexed="81"/>
            <rFont val="Tahoma"/>
            <charset val="1"/>
          </rPr>
          <t>Sergio Chidichimo:</t>
        </r>
        <r>
          <rPr>
            <sz val="9"/>
            <color indexed="81"/>
            <rFont val="Tahoma"/>
            <charset val="1"/>
          </rPr>
          <t xml:space="preserve">
Target average days to collect: dollar-weighted days outstanding implied by the target collection curve (weekly profile C82:C85 x month-end Coll % target N62:O68), midpoint convention; dollars uncollected in-month carried to month length.</t>
        </r>
      </text>
    </comment>
    <comment ref="X35" authorId="0" shapeId="0" xr:uid="{9E6937F3-7EE5-47CA-97CE-3591FDA7DDE4}">
      <text>
        <r>
          <rPr>
            <b/>
            <sz val="9"/>
            <color indexed="81"/>
            <rFont val="Tahoma"/>
            <charset val="1"/>
          </rPr>
          <t>Sergio Chidichimo:</t>
        </r>
        <r>
          <rPr>
            <sz val="9"/>
            <color indexed="81"/>
            <rFont val="Tahoma"/>
            <charset val="1"/>
          </rPr>
          <t xml:space="preserve">
Target average days to collect: dollar-weighted days outstanding implied by the target collection curve (weekly profile C82:C85 x month-end Coll % target N62:O68), midpoint convention; dollars uncollected in-month carried to month length.</t>
        </r>
      </text>
    </comment>
    <comment ref="X36" authorId="0" shapeId="0" xr:uid="{E96A86AD-05AA-411B-BC3C-CBD5473A5992}">
      <text>
        <r>
          <rPr>
            <b/>
            <sz val="9"/>
            <color indexed="81"/>
            <rFont val="Tahoma"/>
            <charset val="1"/>
          </rPr>
          <t>Sergio Chidichimo:</t>
        </r>
        <r>
          <rPr>
            <sz val="9"/>
            <color indexed="81"/>
            <rFont val="Tahoma"/>
            <charset val="1"/>
          </rPr>
          <t xml:space="preserve">
Target average days to collect: dollar-weighted days outstanding implied by the target collection curve (weekly profile C82:C85 x month-end Coll % target N62:O68), midpoint convention; dollars uncollected in-month carried to month length.</t>
        </r>
      </text>
    </comment>
    <comment ref="X37" authorId="0" shapeId="0" xr:uid="{B70D8563-7ACD-4B75-8F19-780327A9DD67}">
      <text>
        <r>
          <rPr>
            <b/>
            <sz val="9"/>
            <color indexed="81"/>
            <rFont val="Tahoma"/>
            <charset val="1"/>
          </rPr>
          <t>Sergio Chidichimo:</t>
        </r>
        <r>
          <rPr>
            <sz val="9"/>
            <color indexed="81"/>
            <rFont val="Tahoma"/>
            <charset val="1"/>
          </rPr>
          <t xml:space="preserve">
Target average days to collect: dollar-weighted days outstanding implied by the target collection curve (weekly profile C82:C85 x month-end Coll % target N62:O68), midpoint convention; dollars uncollected in-month carried to month length.</t>
        </r>
      </text>
    </comment>
    <comment ref="X38" authorId="0" shapeId="0" xr:uid="{59873599-6394-4CA9-8EEB-00C86E694C07}">
      <text>
        <r>
          <rPr>
            <b/>
            <sz val="9"/>
            <color indexed="81"/>
            <rFont val="Tahoma"/>
            <charset val="1"/>
          </rPr>
          <t>Sergio Chidichimo:</t>
        </r>
        <r>
          <rPr>
            <sz val="9"/>
            <color indexed="81"/>
            <rFont val="Tahoma"/>
            <charset val="1"/>
          </rPr>
          <t xml:space="preserve">
Target average days to collect: dollar-weighted days outstanding implied by the target collection curve (weekly profile C82:C85 x month-end Coll % target N62:O68), midpoint convention; dollars uncollected in-month carried to month length.</t>
        </r>
      </text>
    </comment>
    <comment ref="X39" authorId="0" shapeId="0" xr:uid="{47CC203F-24F5-435B-B6A0-35815CCB024A}">
      <text>
        <r>
          <rPr>
            <b/>
            <sz val="9"/>
            <color indexed="81"/>
            <rFont val="Tahoma"/>
            <charset val="1"/>
          </rPr>
          <t>Sergio Chidichimo:</t>
        </r>
        <r>
          <rPr>
            <sz val="9"/>
            <color indexed="81"/>
            <rFont val="Tahoma"/>
            <charset val="1"/>
          </rPr>
          <t xml:space="preserve">
Target average days to collect: dollar-weighted days outstanding implied by the target collection curve (weekly profile C82:C85 x month-end Coll % target N62:O68), midpoint convention; dollars uncollected in-month carried to month length.</t>
        </r>
      </text>
    </comment>
    <comment ref="X40" authorId="0" shapeId="0" xr:uid="{EFFDDC8F-B42E-4EC8-9661-F78CDF954C41}">
      <text>
        <r>
          <rPr>
            <b/>
            <sz val="9"/>
            <color indexed="81"/>
            <rFont val="Tahoma"/>
            <charset val="1"/>
          </rPr>
          <t>Sergio Chidichimo:</t>
        </r>
        <r>
          <rPr>
            <sz val="9"/>
            <color indexed="81"/>
            <rFont val="Tahoma"/>
            <charset val="1"/>
          </rPr>
          <t xml:space="preserve">
Target average days to collect: dollar-weighted days outstanding implied by the target collection curve (weekly profile C82:C85 x month-end Coll % target N62:O68), midpoint convention; dollars uncollected in-month carried to month length.</t>
        </r>
      </text>
    </comment>
    <comment ref="X41" authorId="0" shapeId="0" xr:uid="{C6E17165-5C4D-43D8-962A-735D6A269F1B}">
      <text>
        <r>
          <rPr>
            <b/>
            <sz val="9"/>
            <color indexed="81"/>
            <rFont val="Tahoma"/>
            <charset val="1"/>
          </rPr>
          <t>Sergio Chidichimo:</t>
        </r>
        <r>
          <rPr>
            <sz val="9"/>
            <color indexed="81"/>
            <rFont val="Tahoma"/>
            <charset val="1"/>
          </rPr>
          <t xml:space="preserve">
Target average days to collect: dollar-weighted days outstanding implied by the target collection curve (weekly profile C82:C85 x month-end Coll % target N62:O68), midpoint convention; dollars uncollected in-month carried to month length.</t>
        </r>
      </text>
    </comment>
    <comment ref="X42" authorId="0" shapeId="0" xr:uid="{BBFDC69D-2D1E-4388-BDBE-0C6ADD3CA987}">
      <text>
        <r>
          <rPr>
            <b/>
            <sz val="9"/>
            <color indexed="81"/>
            <rFont val="Tahoma"/>
            <charset val="1"/>
          </rPr>
          <t>Sergio Chidichimo:</t>
        </r>
        <r>
          <rPr>
            <sz val="9"/>
            <color indexed="81"/>
            <rFont val="Tahoma"/>
            <charset val="1"/>
          </rPr>
          <t xml:space="preserve">
Target average days to collect: dollar-weighted days outstanding implied by the target collection curve (weekly profile C82:C85 x month-end Coll % target N62:O68), midpoint convention; dollars uncollected in-month carried to month length.</t>
        </r>
      </text>
    </comment>
    <comment ref="X43" authorId="0" shapeId="0" xr:uid="{F22D1206-AB53-4286-A0FF-573BFAA3B193}">
      <text>
        <r>
          <rPr>
            <b/>
            <sz val="9"/>
            <color indexed="81"/>
            <rFont val="Tahoma"/>
            <charset val="1"/>
          </rPr>
          <t>Sergio Chidichimo:</t>
        </r>
        <r>
          <rPr>
            <sz val="9"/>
            <color indexed="81"/>
            <rFont val="Tahoma"/>
            <charset val="1"/>
          </rPr>
          <t xml:space="preserve">
Target average days to collect: dollar-weighted days outstanding implied by the target collection curve (weekly profile C82:C85 x month-end Coll % target N62:O68), midpoint convention; dollars uncollected in-month carried to month length.</t>
        </r>
      </text>
    </comment>
    <comment ref="X44" authorId="0" shapeId="0" xr:uid="{B3F411BD-1569-43AC-82F6-02EDAB29241A}">
      <text>
        <r>
          <rPr>
            <b/>
            <sz val="9"/>
            <color indexed="81"/>
            <rFont val="Tahoma"/>
            <charset val="1"/>
          </rPr>
          <t>Sergio Chidichimo:</t>
        </r>
        <r>
          <rPr>
            <sz val="9"/>
            <color indexed="81"/>
            <rFont val="Tahoma"/>
            <charset val="1"/>
          </rPr>
          <t xml:space="preserve">
Target average days to collect: dollar-weighted days outstanding implied by the target collection curve (weekly profile C82:C85 x month-end Coll % target N62:O68), midpoint convention; dollars uncollected in-month carried to month length.</t>
        </r>
      </text>
    </comment>
    <comment ref="X45" authorId="0" shapeId="0" xr:uid="{79795A60-760C-4932-96AE-BC5C7D31603A}">
      <text>
        <r>
          <rPr>
            <b/>
            <sz val="9"/>
            <color indexed="81"/>
            <rFont val="Tahoma"/>
            <charset val="1"/>
          </rPr>
          <t>Sergio Chidichimo:</t>
        </r>
        <r>
          <rPr>
            <sz val="9"/>
            <color indexed="81"/>
            <rFont val="Tahoma"/>
            <charset val="1"/>
          </rPr>
          <t xml:space="preserve">
Target average days to collect: dollar-weighted days outstanding implied by the target collection curve (weekly profile C82:C85 x month-end Coll % target N62:O68), midpoint convention; dollars uncollected in-month carried to month length.</t>
        </r>
      </text>
    </comment>
    <comment ref="X46" authorId="0" shapeId="0" xr:uid="{794B49A8-8C1E-4D76-822B-0A80F784E452}">
      <text>
        <r>
          <rPr>
            <b/>
            <sz val="9"/>
            <color indexed="81"/>
            <rFont val="Tahoma"/>
            <charset val="1"/>
          </rPr>
          <t>Sergio Chidichimo:</t>
        </r>
        <r>
          <rPr>
            <sz val="9"/>
            <color indexed="81"/>
            <rFont val="Tahoma"/>
            <charset val="1"/>
          </rPr>
          <t xml:space="preserve">
Target average days to collect: dollar-weighted days outstanding implied by the target collection curve (weekly profile C82:C85 x month-end Coll % target N62:O68), midpoint convention; dollars uncollected in-month carried to month length.</t>
        </r>
      </text>
    </comment>
    <comment ref="X47" authorId="0" shapeId="0" xr:uid="{4F9ADA28-48F7-4EB8-88E7-BFF454C06FF0}">
      <text>
        <r>
          <rPr>
            <b/>
            <sz val="9"/>
            <color indexed="81"/>
            <rFont val="Tahoma"/>
            <charset val="1"/>
          </rPr>
          <t>Sergio Chidichimo:</t>
        </r>
        <r>
          <rPr>
            <sz val="9"/>
            <color indexed="81"/>
            <rFont val="Tahoma"/>
            <charset val="1"/>
          </rPr>
          <t xml:space="preserve">
Target average days to collect: dollar-weighted days outstanding implied by the target collection curve (weekly profile C82:C85 x month-end Coll % target N62:O68), midpoint convention; dollars uncollected in-month carried to month length.</t>
        </r>
      </text>
    </comment>
    <comment ref="X48" authorId="0" shapeId="0" xr:uid="{3A1FA44D-799A-40EF-BE86-8BA4ACE42A03}">
      <text>
        <r>
          <rPr>
            <b/>
            <sz val="9"/>
            <color indexed="81"/>
            <rFont val="Tahoma"/>
            <charset val="1"/>
          </rPr>
          <t>Sergio Chidichimo:</t>
        </r>
        <r>
          <rPr>
            <sz val="9"/>
            <color indexed="81"/>
            <rFont val="Tahoma"/>
            <charset val="1"/>
          </rPr>
          <t xml:space="preserve">
Target average days to collect: dollar-weighted days outstanding implied by the target collection curve (weekly profile C82:C85 x month-end Coll % target N62:O68), midpoint convention; dollars uncollected in-month carried to month length.</t>
        </r>
      </text>
    </comment>
    <comment ref="X49" authorId="0" shapeId="0" xr:uid="{B21B1A2A-D797-4EED-AAFE-84254802D53C}">
      <text>
        <r>
          <rPr>
            <b/>
            <sz val="9"/>
            <color indexed="81"/>
            <rFont val="Tahoma"/>
            <charset val="1"/>
          </rPr>
          <t>Sergio Chidichimo:</t>
        </r>
        <r>
          <rPr>
            <sz val="9"/>
            <color indexed="81"/>
            <rFont val="Tahoma"/>
            <charset val="1"/>
          </rPr>
          <t xml:space="preserve">
Target average days to collect: dollar-weighted days outstanding implied by the target collection curve (weekly profile C82:C85 x month-end Coll % target N62:O68), midpoint convention; dollars uncollected in-month carried to month length.</t>
        </r>
      </text>
    </comment>
    <comment ref="X50" authorId="0" shapeId="0" xr:uid="{853D82A3-9704-4B21-B712-6BC35806F2BD}">
      <text>
        <r>
          <rPr>
            <b/>
            <sz val="9"/>
            <color indexed="81"/>
            <rFont val="Tahoma"/>
            <charset val="1"/>
          </rPr>
          <t>Sergio Chidichimo:</t>
        </r>
        <r>
          <rPr>
            <sz val="9"/>
            <color indexed="81"/>
            <rFont val="Tahoma"/>
            <charset val="1"/>
          </rPr>
          <t xml:space="preserve">
Target average days to collect: dollar-weighted days outstanding implied by the target collection curve (weekly profile C82:C85 x month-end Coll % target N62:O68), midpoint convention; dollars uncollected in-month carried to month length.</t>
        </r>
      </text>
    </comment>
    <comment ref="X51" authorId="0" shapeId="0" xr:uid="{4F84D159-0E60-4FD6-B9C3-1A30402F15EC}">
      <text>
        <r>
          <rPr>
            <b/>
            <sz val="9"/>
            <color indexed="81"/>
            <rFont val="Tahoma"/>
            <charset val="1"/>
          </rPr>
          <t>Sergio Chidichimo:</t>
        </r>
        <r>
          <rPr>
            <sz val="9"/>
            <color indexed="81"/>
            <rFont val="Tahoma"/>
            <charset val="1"/>
          </rPr>
          <t xml:space="preserve">
Target average days to collect: dollar-weighted days outstanding implied by the target collection curve (weekly profile C82:C85 x month-end Coll % target N62:O68), midpoint convention; dollars uncollected in-month carried to month length.</t>
        </r>
      </text>
    </comment>
    <comment ref="X52" authorId="0" shapeId="0" xr:uid="{5604B382-E074-444B-819A-F61BC03A7C94}">
      <text>
        <r>
          <rPr>
            <b/>
            <sz val="9"/>
            <color indexed="81"/>
            <rFont val="Tahoma"/>
            <charset val="1"/>
          </rPr>
          <t>Sergio Chidichimo:</t>
        </r>
        <r>
          <rPr>
            <sz val="9"/>
            <color indexed="81"/>
            <rFont val="Tahoma"/>
            <charset val="1"/>
          </rPr>
          <t xml:space="preserve">
Target average days to collect: dollar-weighted days outstanding implied by the target collection curve (weekly profile C82:C85 x month-end Coll % target N62:O68), midpoint convention; dollars uncollected in-month carried to month length.</t>
        </r>
      </text>
    </comment>
    <comment ref="X53" authorId="0" shapeId="0" xr:uid="{78D7E05C-A44F-45EA-A430-8DE9C60B8354}">
      <text>
        <r>
          <rPr>
            <b/>
            <sz val="9"/>
            <color indexed="81"/>
            <rFont val="Tahoma"/>
            <charset val="1"/>
          </rPr>
          <t>Sergio Chidichimo:</t>
        </r>
        <r>
          <rPr>
            <sz val="9"/>
            <color indexed="81"/>
            <rFont val="Tahoma"/>
            <charset val="1"/>
          </rPr>
          <t xml:space="preserve">
Target average days to collect: dollar-weighted days outstanding implied by the target collection curve (weekly profile C82:C85 x month-end Coll % target N62:O68), midpoint convention; dollars uncollected in-month carried to month length.</t>
        </r>
      </text>
    </comment>
    <comment ref="X54" authorId="0" shapeId="0" xr:uid="{8D9E3829-828D-47D5-82A5-42FCCF821D43}">
      <text>
        <r>
          <rPr>
            <b/>
            <sz val="9"/>
            <color indexed="81"/>
            <rFont val="Tahoma"/>
            <charset val="1"/>
          </rPr>
          <t>Sergio Chidichimo:</t>
        </r>
        <r>
          <rPr>
            <sz val="9"/>
            <color indexed="81"/>
            <rFont val="Tahoma"/>
            <charset val="1"/>
          </rPr>
          <t xml:space="preserve">
Target average days to collect: dollar-weighted days outstanding implied by the target collection curve (weekly profile C82:C85 x month-end Coll % target N62:O68), midpoint convention; dollars uncollected in-month carried to month length.</t>
        </r>
      </text>
    </comment>
    <comment ref="X55" authorId="0" shapeId="0" xr:uid="{01E9AFB1-AA8A-4311-9351-D2643E3679BA}">
      <text>
        <r>
          <rPr>
            <b/>
            <sz val="9"/>
            <color indexed="81"/>
            <rFont val="Tahoma"/>
            <charset val="1"/>
          </rPr>
          <t>Sergio Chidichimo:</t>
        </r>
        <r>
          <rPr>
            <sz val="9"/>
            <color indexed="81"/>
            <rFont val="Tahoma"/>
            <charset val="1"/>
          </rPr>
          <t xml:space="preserve">
Target average days to collect: dollar-weighted days outstanding implied by the target collection curve (weekly profile C82:C85 x month-end Coll % target N62:O68), midpoint convention; dollars uncollected in-month carried to month length.</t>
        </r>
      </text>
    </comment>
    <comment ref="X56" authorId="0" shapeId="0" xr:uid="{F77F49F8-03CC-4D9D-8456-9108B8DCA281}">
      <text>
        <r>
          <rPr>
            <b/>
            <sz val="9"/>
            <color indexed="81"/>
            <rFont val="Tahoma"/>
            <charset val="1"/>
          </rPr>
          <t>Sergio Chidichimo:</t>
        </r>
        <r>
          <rPr>
            <sz val="9"/>
            <color indexed="81"/>
            <rFont val="Tahoma"/>
            <charset val="1"/>
          </rPr>
          <t xml:space="preserve">
Target average days to collect: dollar-weighted days outstanding implied by the target collection curve (weekly profile C82:C85 x month-end Coll % target N62:O68), midpoint convention; dollars uncollected in-month carried to month length.</t>
        </r>
      </text>
    </comment>
    <comment ref="D62" authorId="0" shapeId="0" xr:uid="{A9BFE861-878F-4F4C-A59A-D0A6C8264FE2}">
      <text>
        <r>
          <rPr>
            <b/>
            <sz val="9"/>
            <color indexed="81"/>
            <rFont val="Tahoma"/>
            <charset val="1"/>
          </rPr>
          <t>Back-solved so the anchor week (C88) interpolates exactly to the anchor units (C89): model-start units = anchor units − cumulative net absorption from 6/26 to the anchor date (cum-at-period-start Q62:Q68 + pro-rata share of the anchor period's absorption P62:P68). Works for an anchor in any period, so the ramp re-baselines automatically each week as actuals post to Data_2.</t>
        </r>
      </text>
    </comment>
    <comment ref="E62" authorId="0" shapeId="0" xr:uid="{4E0C8E1F-1ED7-4C6C-84D9-8F25B2ED4784}">
      <text>
        <r>
          <rPr>
            <b/>
            <sz val="9"/>
            <color indexed="81"/>
            <rFont val="Tahoma"/>
            <charset val="1"/>
          </rPr>
          <t>Sergio Chidichimo:</t>
        </r>
        <r>
          <rPr>
            <sz val="9"/>
            <color indexed="81"/>
            <rFont val="Tahoma"/>
            <charset val="1"/>
          </rPr>
          <t xml:space="preserve">
Units End = Units Start + Net Leases/wk × weeks in period − Move-Outs/mo. Ramp re-derived 7/8/26 from the unchanged NL and Move-Out assumptions after re-baselining 7/6/26 occupancy to 71.8%.</t>
        </r>
      </text>
    </comment>
    <comment ref="K62" authorId="0" shapeId="0" xr:uid="{1C4601A6-07C3-460D-A2E3-6498FAAA17CB}">
      <text>
        <r>
          <rPr>
            <b/>
            <sz val="9"/>
            <color indexed="81"/>
            <rFont val="Tahoma"/>
            <charset val="1"/>
          </rPr>
          <t>Sergio Chidichimo:</t>
        </r>
        <r>
          <rPr>
            <sz val="9"/>
            <color indexed="81"/>
            <rFont val="Tahoma"/>
            <charset val="1"/>
          </rPr>
          <t xml:space="preserve">
Delinquency target basis per management: start $120K at week 26, trend to $80K steady state by Nov. (Note: actual net delinquency on trending delinquency tab was ~$953K at 6/29 — these targets assume the aged balance is resolved/written off per the refi scenario.)</t>
        </r>
      </text>
    </comment>
    <comment ref="O62" authorId="0" shapeId="0" xr:uid="{D181ACF5-DD4F-46B1-8BCE-D484B5E50B94}">
      <text>
        <r>
          <rPr>
            <b/>
            <sz val="9"/>
            <color indexed="81"/>
            <rFont val="Tahoma"/>
            <charset val="1"/>
          </rPr>
          <t>Sergio Chidichimo:</t>
        </r>
        <r>
          <rPr>
            <sz val="9"/>
            <color indexed="81"/>
            <rFont val="Tahoma"/>
            <charset val="1"/>
          </rPr>
          <t xml:space="preserve">
Month-end collection % targets per management (7/1/26): Jun 90%, Jul 92%, Aug 93%, Sep 94%, Oct 94% (assumed hold), Nov+ 95%. Weekly targets = this x intra-month profile (C82:C85).</t>
        </r>
      </text>
    </comment>
    <comment ref="P62" authorId="0" shapeId="0" xr:uid="{B3FC343B-D8A8-465F-9B69-EE4B545ED832}">
      <text>
        <r>
          <rPr>
            <b/>
            <sz val="9"/>
            <color indexed="81"/>
            <rFont val="Tahoma"/>
            <charset val="1"/>
          </rPr>
          <t>Sergio Chidichimo:</t>
        </r>
        <r>
          <rPr>
            <sz val="9"/>
            <color indexed="81"/>
            <rFont val="Tahoma"/>
            <charset val="1"/>
          </rPr>
          <t xml:space="preserve">
Net absorption for the period = Net Leases/wk × weeks − Move-Outs/mo.</t>
        </r>
      </text>
    </comment>
    <comment ref="E68" authorId="0" shapeId="0" xr:uid="{39F38B5A-D556-4930-B7C4-1078250D0D7B}">
      <text>
        <r>
          <rPr>
            <b/>
            <sz val="9"/>
            <color indexed="81"/>
            <rFont val="Tahoma"/>
            <charset val="1"/>
          </rPr>
          <t>Sergio Chidichimo:</t>
        </r>
        <r>
          <rPr>
            <sz val="9"/>
            <color indexed="81"/>
            <rFont val="Tahoma"/>
            <charset val="1"/>
          </rPr>
          <t xml:space="preserve">
YE stub week held flat, consistent with prior convention (model horizon ends 12/26).</t>
        </r>
      </text>
    </comment>
    <comment ref="H68" authorId="0" shapeId="0" xr:uid="{D337EE75-C969-4C6A-A2DA-84B9AD53AA22}">
      <text>
        <r>
          <rPr>
            <b/>
            <sz val="9"/>
            <color indexed="81"/>
            <rFont val="Tahoma"/>
            <charset val="1"/>
          </rPr>
          <t>Sergio Chidichimo:</t>
        </r>
        <r>
          <rPr>
            <sz val="9"/>
            <color indexed="81"/>
            <rFont val="Tahoma"/>
            <charset val="1"/>
          </rPr>
          <t xml:space="preserve">
Year-end stub week (12/28): move-outs prorated at Dec weekly rate (model horizon ends 12/26).</t>
        </r>
      </text>
    </comment>
    <comment ref="P68" authorId="0" shapeId="0" xr:uid="{6085E72F-D0D2-49C2-A83F-D9DCD389CA35}">
      <text>
        <r>
          <rPr>
            <b/>
            <sz val="9"/>
            <color indexed="81"/>
            <rFont val="Tahoma"/>
            <charset val="1"/>
          </rPr>
          <t>Sergio Chidichimo:</t>
        </r>
        <r>
          <rPr>
            <sz val="9"/>
            <color indexed="81"/>
            <rFont val="Tahoma"/>
            <charset val="1"/>
          </rPr>
          <t xml:space="preserve">
YE stub week held flat (E68 = D68), consistent with prior convention.</t>
        </r>
      </text>
    </comment>
    <comment ref="C71" authorId="0" shapeId="0" xr:uid="{5175D4F2-7D4D-4B0A-9674-5A95F02913D9}">
      <text>
        <r>
          <rPr>
            <b/>
            <sz val="9"/>
            <color indexed="81"/>
            <rFont val="Tahoma"/>
            <charset val="1"/>
          </rPr>
          <t>Sergio Chidichimo:</t>
        </r>
        <r>
          <rPr>
            <sz val="9"/>
            <color indexed="81"/>
            <rFont val="Tahoma"/>
            <charset val="1"/>
          </rPr>
          <t xml:space="preserve">
Source: AVA_Stabilization Targets (6.8.26).xlsx, Rollforward_Model assumption C12</t>
        </r>
      </text>
    </comment>
    <comment ref="C72" authorId="0" shapeId="0" xr:uid="{CA6AB426-F245-4E88-B95A-9F1A8A759E07}">
      <text>
        <r>
          <rPr>
            <b/>
            <sz val="9"/>
            <color indexed="81"/>
            <rFont val="Tahoma"/>
            <charset val="1"/>
          </rPr>
          <t>Sergio Chidichimo:</t>
        </r>
        <r>
          <rPr>
            <sz val="9"/>
            <color indexed="81"/>
            <rFont val="Tahoma"/>
            <charset val="1"/>
          </rPr>
          <t xml:space="preserve">
Source: AVA_Stabilization Targets (6.8.26).xlsx, Rollforward_Model assumption C5 (65% of expiring leases renew)</t>
        </r>
      </text>
    </comment>
    <comment ref="C73" authorId="0" shapeId="0" xr:uid="{EFD697BA-492C-4EA1-8D3C-0855AD235F42}">
      <text>
        <r>
          <rPr>
            <b/>
            <sz val="9"/>
            <color indexed="81"/>
            <rFont val="Tahoma"/>
            <charset val="1"/>
          </rPr>
          <t>Sergio Chidichimo:</t>
        </r>
        <r>
          <rPr>
            <sz val="9"/>
            <color indexed="81"/>
            <rFont val="Tahoma"/>
            <charset val="1"/>
          </rPr>
          <t xml:space="preserve">
Source: AVA_Stabilization Targets (6.8.26).xlsx, Rollforward_Model assumption C4</t>
        </r>
      </text>
    </comment>
    <comment ref="C74" authorId="0" shapeId="0" xr:uid="{26292AED-B151-4334-BC17-76DE530097CA}">
      <text>
        <r>
          <rPr>
            <b/>
            <sz val="9"/>
            <color indexed="81"/>
            <rFont val="Tahoma"/>
            <charset val="1"/>
          </rPr>
          <t>Sergio Chidichimo:</t>
        </r>
        <r>
          <rPr>
            <sz val="9"/>
            <color indexed="81"/>
            <rFont val="Tahoma"/>
            <charset val="1"/>
          </rPr>
          <t xml:space="preserve">
Derived from DSO_Calculation actuals: Jan-26 $997K/681 units = $1,464; Feb-26 $897K/654 = $1,372; FY2025 ~$1.01M/mo. Set slightly conservative at $1,350.</t>
        </r>
      </text>
    </comment>
    <comment ref="C75" authorId="0" shapeId="0" xr:uid="{3AFA178C-7081-4D80-BEAA-D791D224FA64}">
      <text>
        <r>
          <rPr>
            <b/>
            <sz val="9"/>
            <color indexed="81"/>
            <rFont val="Tahoma"/>
            <charset val="1"/>
          </rPr>
          <t>Sergio Chidichimo:</t>
        </r>
        <r>
          <rPr>
            <sz val="9"/>
            <color indexed="81"/>
            <rFont val="Tahoma"/>
            <charset val="1"/>
          </rPr>
          <t xml:space="preserve">
Mar-26 actual 26% (617 prospects → 163 tours, model Sources tab). Target set at 25%.</t>
        </r>
      </text>
    </comment>
    <comment ref="C76" authorId="0" shapeId="0" xr:uid="{420E973D-432F-4694-9B42-8E0D5F50DC61}">
      <text>
        <r>
          <rPr>
            <b/>
            <sz val="9"/>
            <color indexed="81"/>
            <rFont val="Tahoma"/>
            <charset val="1"/>
          </rPr>
          <t>Sergio Chidichimo:</t>
        </r>
        <r>
          <rPr>
            <sz val="9"/>
            <color indexed="81"/>
            <rFont val="Tahoma"/>
            <charset val="1"/>
          </rPr>
          <t xml:space="preserve">
Mar-26 actual 60% (163 tours → 98 apps). Target 62%.</t>
        </r>
      </text>
    </comment>
    <comment ref="C77" authorId="0" shapeId="0" xr:uid="{62BA4A07-6690-4452-B01E-65ECEEA84896}">
      <text>
        <r>
          <rPr>
            <b/>
            <sz val="9"/>
            <color indexed="81"/>
            <rFont val="Tahoma"/>
            <charset val="1"/>
          </rPr>
          <t>Mar-26 actual 39% (98 subs → 38 approved). Target 67%: tighter pre-qualification before submission (fewer, better apps) — keeps tours ≤40/wk while hitting model net apps/leases.</t>
        </r>
      </text>
    </comment>
    <comment ref="C78" authorId="0" shapeId="0" xr:uid="{9B3F5F8F-C367-41F4-A73F-F039B90F24C0}">
      <text>
        <r>
          <rPr>
            <b/>
            <sz val="9"/>
            <color indexed="81"/>
            <rFont val="Tahoma"/>
            <charset val="1"/>
          </rPr>
          <t>Sergio Chidichimo:</t>
        </r>
        <r>
          <rPr>
            <sz val="9"/>
            <color indexed="81"/>
            <rFont val="Tahoma"/>
            <charset val="1"/>
          </rPr>
          <t xml:space="preserve">
Mar-26 actual ~95% (38 approved → 36 net leases). Target 90% (conservative).</t>
        </r>
      </text>
    </comment>
    <comment ref="C79" authorId="0" shapeId="0" xr:uid="{8133835A-19AF-4C35-8E80-880E86B3C7E2}">
      <text>
        <r>
          <rPr>
            <b/>
            <sz val="9"/>
            <color indexed="81"/>
            <rFont val="Tahoma"/>
            <charset val="1"/>
          </rPr>
          <t>Management cap: pipeline held at 65 max.</t>
        </r>
      </text>
    </comment>
    <comment ref="C80" authorId="0" shapeId="0" xr:uid="{BBB77D5B-D3F4-4C74-AC6F-1825F1EAFEC3}">
      <text>
        <r>
          <rPr>
            <b/>
            <sz val="9"/>
            <color indexed="81"/>
            <rFont val="Tahoma"/>
            <charset val="1"/>
          </rPr>
          <t>Management target: 30 apps open at any time.</t>
        </r>
      </text>
    </comment>
    <comment ref="C81" authorId="0" shapeId="0" xr:uid="{1926DD1C-E5EA-4A27-8EAE-818DCE05DD50}">
      <text>
        <r>
          <rPr>
            <b/>
            <sz val="9"/>
            <color indexed="81"/>
            <rFont val="Tahoma"/>
            <charset val="1"/>
          </rPr>
          <t>Sergio Chidichimo:</t>
        </r>
        <r>
          <rPr>
            <sz val="9"/>
            <color indexed="81"/>
            <rFont val="Tahoma"/>
            <charset val="1"/>
          </rPr>
          <t xml:space="preserve">
Prior targets: 25% loss rate at stabilized pipeline.</t>
        </r>
      </text>
    </comment>
    <comment ref="C82" authorId="0" shapeId="0" xr:uid="{C47427EF-8B07-476E-9FFD-2DC206558520}">
      <text>
        <r>
          <rPr>
            <b/>
            <sz val="9"/>
            <color indexed="81"/>
            <rFont val="Tahoma"/>
            <charset val="1"/>
          </rPr>
          <t>Sergio Chidichimo:</t>
        </r>
        <r>
          <rPr>
            <sz val="9"/>
            <color indexed="81"/>
            <rFont val="Tahoma"/>
            <charset val="1"/>
          </rPr>
          <t xml:space="preserve">
Share of month-end collection % achieved by week of month. From prior targets' intra-month pattern (40-60% wk1, 75-85% wk2, 85-93% wk3, peak wk4).</t>
        </r>
      </text>
    </comment>
    <comment ref="C87" authorId="0" shapeId="0" xr:uid="{7DD1849C-38E5-4546-94BC-93E5E1AB2AF1}">
      <text>
        <r>
          <rPr>
            <b/>
            <sz val="9"/>
            <color indexed="81"/>
            <rFont val="Tahoma"/>
            <charset val="1"/>
          </rPr>
          <t>Latest actual Occupancy % posted in Data_2 row 6 (fed live from Boxscore MMR -Availability). Auto-updates when each new week is posted, re-baselining the whole ramp. Note: this % uses the boxscore denominator (excludes down units), so anchor units (C89 = % × 880) can differ slightly from physical occupied units in Data_2 row 7.</t>
        </r>
      </text>
    </comment>
    <comment ref="C88" authorId="0" shapeId="0" xr:uid="{F71D16E7-0D0A-4AAD-A198-6F0B096D4670}">
      <text>
        <r>
          <rPr>
            <b/>
            <sz val="9"/>
            <color indexed="81"/>
            <rFont val="Tahoma"/>
            <charset val="1"/>
          </rPr>
          <t>Latest week with actual Occupancy % posted in Data_2 (row 6), floored at the model start 6/26/26. Advances automatically as new weeks are posted.</t>
        </r>
      </text>
    </comment>
    <comment ref="C89" authorId="0" shapeId="0" xr:uid="{6B46F432-21B1-46BD-85A6-62EC1E1B0507}">
      <text>
        <r>
          <rPr>
            <b/>
            <sz val="9"/>
            <color indexed="81"/>
            <rFont val="Tahoma"/>
            <charset val="1"/>
          </rPr>
          <t>Sergio Chidichimo:</t>
        </r>
        <r>
          <rPr>
            <sz val="9"/>
            <color indexed="81"/>
            <rFont val="Tahoma"/>
            <charset val="1"/>
          </rPr>
          <t xml:space="preserve">
Actual Occupied Units for the anchor week, pulled from Data_2 row 7.</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Sergio Chidichimo</author>
  </authors>
  <commentList>
    <comment ref="S4" authorId="0" shapeId="0" xr:uid="{3E99DCC4-7EA2-4330-8ECA-9533D26321AA}">
      <text>
        <r>
          <rPr>
            <b/>
            <sz val="9"/>
            <color indexed="81"/>
            <rFont val="Tahoma"/>
            <charset val="1"/>
          </rPr>
          <t>Sergio Chidichimo:</t>
        </r>
        <r>
          <rPr>
            <sz val="9"/>
            <color indexed="81"/>
            <rFont val="Tahoma"/>
            <charset val="1"/>
          </rPr>
          <t xml:space="preserve">
Actual Renewal % is posted monthly in Data_2 (RENEWALS blocks). Each week pulls the value from the block whose month contains the week (Renewal % row = 3 rows below the month-date row in Data_2 col A). Blank for months with no renewal block posted.</t>
        </r>
      </text>
    </comment>
    <comment ref="AJ4" authorId="0" shapeId="0" xr:uid="{5D4E81D3-C91C-4344-8F9B-F80EFEAA4852}">
      <text>
        <r>
          <rPr>
            <b/>
            <sz val="9"/>
            <color indexed="81"/>
            <rFont val="Tahoma"/>
            <charset val="1"/>
          </rPr>
          <t>Sergio Chidichimo:</t>
        </r>
        <r>
          <rPr>
            <sz val="9"/>
            <color indexed="81"/>
            <rFont val="Tahoma"/>
            <charset val="1"/>
          </rPr>
          <t xml:space="preserve">
Helper: Data_2 column number of the posted week matching each row's week (window: week start −6 days through week start; handles Mon vs Tue date offsets between Targets and Data_2). Blank until that week's actuals are posted — keeps Actual/Var columns blank for future weeks.</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Sergio Chidichimo</author>
  </authors>
  <commentList>
    <comment ref="C32" authorId="0" shapeId="0" xr:uid="{4A45A263-9B99-4918-9C9E-519AAC8DECA1}">
      <text>
        <r>
          <rPr>
            <b/>
            <sz val="9"/>
            <color indexed="81"/>
            <rFont val="Tahoma"/>
            <family val="2"/>
          </rPr>
          <t>Sergio Chidichimo:</t>
        </r>
        <r>
          <rPr>
            <sz val="9"/>
            <color indexed="81"/>
            <rFont val="Tahoma"/>
            <family val="2"/>
          </rPr>
          <t xml:space="preserve">
A/R balance is not yet reconciled — write-offs for Feb are pending.</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<sst xmlns="http://schemas.openxmlformats.org/spreadsheetml/2006/main" count="70006" uniqueCount="11218">
  <si>
    <t>Turn #</t>
  </si>
  <si>
    <t>Date</t>
  </si>
  <si>
    <t>User Request</t>
  </si>
  <si>
    <t>Action Taken</t>
  </si>
  <si>
    <t>Details</t>
  </si>
  <si>
    <t>Outcome</t>
  </si>
  <si>
    <t>User asked if any tabs reference data from the RR_Unit_Details tab.</t>
  </si>
  <si>
    <t>Searched all 40 sheets for formula references to RR_Unit_Details (and partial variants).</t>
  </si>
  <si>
    <t>Used matchFormulas search for 'RR_Unit_Details', 'RR_Unit', and 'Unit_Details' across all sheets. Zero matches found in all searches.</t>
  </si>
  <si>
    <t>RR_Unit_Details is a standalone data tab with no inbound formula references from other sheets.</t>
  </si>
  <si>
    <t>User asked if any tabs reference data from the Res_Retention tab.</t>
  </si>
  <si>
    <t>Searched all sheets for formula references to Res_Retention.</t>
  </si>
  <si>
    <t>Found 1 match: Data_2!R57 contains =SUMPRODUCT((Res_Retention!$O$2:$O$14)) with result 79.</t>
  </si>
  <si>
    <t>Only Data_2 pulls from Res_Retention via a single SUMPRODUCT formula.</t>
  </si>
  <si>
    <t>User uploaded CSV (Untitled-2026-03-31.csv, 113 rows of LeaseLock claims data) and asked to import it into the LeaseLock tab.</t>
  </si>
  <si>
    <t>Parsed CSV, mapped 26 CSV columns to 22 LeaseLock columns (A-V), wrote all 113 rows with values and formulas.</t>
  </si>
  <si>
    <t>Column mapping: A=Item#, B=pmc_name, C=tenant, D=unit, E=property, F=status, G=substatus, H=certificate_id (text), I/J=blank, K=carrier, L=total_claimed, M=total_paid, N=formula(L-M), O=formula(M/L as %), P=unused_coverage+paid, Q=denial_reason, R=dismissed, S=blank, T=days(reported-moveout), U=loss_date, V=TEXT(U,YYYY-MM). Formatted L/M/N/P as $#,##0.00, O as 0.0%, U as mm/dd/yyyy, H as text.</t>
  </si>
  <si>
    <t>113 rows populated in LeaseLock!A2:V114. All formulas verified working. Certificate IDs fixed from scientific notation to text.</t>
  </si>
  <si>
    <t>User corrected that column A should contain claim_number from CSV, not a row counter. Asked about filling other missing columns.</t>
  </si>
  <si>
    <t>Replaced A2:A114 with claim_number values from CSV (e.g. 25-103410). Identified which columns still lack data.</t>
  </si>
  <si>
    <t>Formatted A as text to preserve dash format. Columns I(LossType), J(LossCause), S(Adjuster) have no CSV equivalent. Remaining unmapped CSV fields: claim_reported_date, reported_reoccupied_date, claim_dispute_date, total_claimed_amount_within_limit_usd, is_claim_action_required, claim_is_missing_documentation, claim_missing_documentation_list, owner_name, pms_property_id, pms_tenant_id.</t>
  </si>
  <si>
    <t>Column A now shows claim numbers. Awaiting user direction on where to place remaining unmapped CSV fields.</t>
  </si>
  <si>
    <t>Excel peer (rollforward model) requested Jan-26, Feb-26, Mar-26 total move-outs with component breakdown (lease expiration / NTV / early / evictions) and source citation.</t>
  </si>
  <si>
    <t>Queried Move_Out_Reasons sheet, parsed 96 rows, categorized by Reason + Early Termination flag, aggregated by month.</t>
  </si>
  <si>
    <t>Source: Move_Out_Reasons!A1:M97 (row-level move-out log). Dates stored as Excel serials. Bucketing: Eviction = Skipped During Eviction + Skipped Without Notice + Failure To Pay; Lease Expiration = Non-Renewal (by Property); Early Move-Out = Early Termination flag Yes (non-eviction); NTV = resident-initiated non-renewal, Early Termination No. Jan-26: 5 (3 evict, 1 lease exp, 0 early, 1 NTV). Feb-26: 33 (11 evict, 1 lease exp, 6 early, 15 NTV). Mar-26: 28 (14 evict, 1 lease exp, 0 early, 13 NTV).</t>
  </si>
  <si>
    <t>Totals and breakdown shared with rollforward Excel peer via JSON file (move_outs_breakdown.json) and message. Note: no separate 'monthly totals' summary table exists in the workbook — figures derived by aggregating the row-level log.</t>
  </si>
  <si>
    <t>Rollforward peer asked for stricter eviction definition: formal eviction filings that resulted in a move-out in Jan/Feb/Mar 2026, plus residual skip/SWN/FTP count per month.</t>
  </si>
  <si>
    <t>Pulled Evictions_RSI!A1:I62 (60 filings, all Feb 2026 issue dates), matched to eviction-bucket move-outs in Move_Out_Reasons by last-name + unit number.</t>
  </si>
  <si>
    <t>Methodology: formal eviction move-out = (a) Reason = 'Skipped During Eviction' OR (b) matching RSI filing with status in {Granted, LC Handling Appeal, Dismissed (Tenant Vacated)}. Cancelled filings treated as NOT formal (filing dropped). Strict-formal counts: Jan-26=0, Feb-26=4, Mar-26=0. Residual skip/SWN/FTP: Jan-26=3, Feb-26=7, Mar-26=14. Broad view (any filing match incl. Cancelled): Feb-26=7, Mar-26=5.</t>
  </si>
  <si>
    <t>Results shared via eviction_split.json to rollforward peer. Key caveat: RSI sheet only contains Feb 2026 filings — Jan-26 zero formal likely reflects data scope, not reality; Mar-26 zero strict-formal because tenants skipped before court dates arrived.</t>
  </si>
  <si>
    <t>Rollforward peer asked for comprehensive cross-reference of eviction/skip data across ALL source sheets — enumerate sources, flag conflicts, recommend authoritative methodology.</t>
  </si>
  <si>
    <t>Enumerated 42 sheets, pulled raw data from Evictions_RSI (60 filings Feb-only), Eviction_Success_Rate (47 tenants w/balance since 12/15/25), resident aged receivable (136 rows sampled), Write_Off_Recon (42 accounts 60+ days), Data_2 (weekly metrics), Delinquency_Detail_3 (current delinquent residents). Built unit-level cross-reference joining Move_Out_Reasons to ResMan Lease Status.</t>
  </si>
  <si>
    <t>MAJOR FINDING: ResMan's structured Lease Status field is authoritative; 3-way comparison on 28 Jan-Mar eviction-bucket move-outs: Move_Out_Reasons=27 skip/1 eviction, RSI strict=4 formal, ResMan=26 Past-Skip/1 Past-Eviction (Candler)/1 not in sample. 5 explicit conflicts flagged, biggest: 3 'Dismissed (Tenant Vacated)' RSI filings are Past-Skip per ResMan — invalidates prior eviction_split.json's Feb=4 formal. Correct count is Feb=1 formal/10 skip.</t>
  </si>
  <si>
    <t>Wrote eviction_crossref.json to shared files; sent to rollforward peer with recommendation to rebuild on ResMan basis. Data gaps flagged: RSI missing Jan/Mar filings, my RAR sample missed ~12 units (voluntary move-outs not needed for eviction classification anyway).</t>
  </si>
  <si>
    <t>Rollforward peer asked for AVA workbook style guide (colors, fonts, number formats, section headers, borders, layout) to apply matching branding to another workbook.</t>
  </si>
  <si>
    <t>Inspected Dashboard_1 (canonical styled sheet), Data_2 (wide time-series), Res_Retention (unstyled). Pulled real cell styles, borders, column widths, row heights, freeze panes. Wrote comprehensive style guide to ava_style_guide.json and shared with peer.</t>
  </si>
  <si>
    <t>Primary palette: navy #1F3864 (title/headers), light blue #E8EEF4 (sub-section fills), divider #2E5090, good #C6EFCE/#006100, bad #FFC7CE/#9C0006, input #0000FF on #DEEAF6, gridline #D9D9D9. Calibri throughout. Title 18pt bold, section headers 9-10pt bold, body 9pt (Dashboard) or 11pt (Data_2). Number formats: 0.0% / 0.00% / #,##0 / 0.0 / m/d/yy / mmm-yy / mmmm d,yyyy. No currency or multiples in source workbook (flagged for peer).</t>
  </si>
  <si>
    <t>ava_style_guide.json written to shared files (~14k chars). Peer has canonical example ranges, hex codes, font specs, border patterns, and layout conventions for applying matching branding to Rollforward Model.</t>
  </si>
  <si>
    <t>Rollforward peer asked to narrow the style guide to ONLY the 'blue' formatted summary/dashboard tabs (not raw data dumps), with specific focus on colors, fonts, totals, input cells, and canonical example ranges.</t>
  </si>
  <si>
    <t>Surveyed all 42 tabs, classified 10 as blue-formatted (Dashboard_1, Delinquency_Detail_3, App_Pipeline_Intel_4, Action_Item_Tracker_5, Weekly_Question_Set_6, Screening_Impact_Analysis_7, Eviction_Success_Rate, CAF vs Pipeline Comparison, Incentive_Scorecard, Instructions) vs 29+ raw data tabs. Flagged variants: Data_2 (styled data table, 20pt title), LeaseLock (#102346 vendor palette, not AVA), Claude Log (#4472C4 Excel default). Pulled real styles from 3 canonical blue tabs (Dashboard_1, Delinquency_Detail_3, Action_Item_Tracker_5) + Eviction_Success_Rate for totals-row pattern.</t>
  </si>
  <si>
    <t>Brand palette: #1F3864 primary navy (title, header bars), #1B365D subsection label text, #E8EEF4 subsection/total fills, #2E5090 divider borders (thin/medium), #DEEAF6 emphasized/input fill with #0000FF bold input text. Status triad: good #C6EFCE/#006100, warning #FFF2CC/#BF8F00, bad #FFC7CE/#9C0006. Calibri throughout. Title 18pt bold navy; column-header bars 8-9pt white-on-navy bold; subsection labels 9-10pt bold navy on light blue; body 8-9pt. Number formats: $#,##0.00 (with cents), $#,##0 (whole), #,##0, 0.0%, 0.0, m/d/yyyy, mm/dd/yyyy, 'mmmm d, yyyy'. Totals: fill #E8EEF4 + bold black + thin #1F3864 top/bottom borders (canonical: Eviction_Success_Rate A16:E16).</t>
  </si>
  <si>
    <t>Wrote ava_style_guide.json (~13k chars) to shared files and sent to peer. Guide is narrowly scoped: explicit list of blue vs raw tabs, canonical example ranges for every element (title, header bar, subsection label, totals, input cell, status badges, currency, dates), and notes on 2 tabs that look similar but use different palettes (LeaseLock, Claude Log) so the peer doesn't copy them by mistake.</t>
  </si>
  <si>
    <t>Peer acknowledged eviction_split.json but reported both other tasks (cross-tab verification + style guide) still open — they hadn't received the files. Asked to complete both.</t>
  </si>
  <si>
    <t>Rewrote both files fresh in a single execute_office_js call and broadcast via conductor.writeFile.</t>
  </si>
  <si>
    <t>eviction_crossref.json (5729 chars): cross-tab verification identifying resident aged receivable's Lease Status as authoritative. Jan-Mar 2026 verified breakdown: 66 total move-outs, 28 eviction-bucket by Reason, but only 1 formal eviction per ResMan (Candler W18-2-2070), 26 Past-Skip, 1 not in sample (Nwosu S39-155). 5 explicit conflicts documented. ava_style_guide.json (8595 chars): narrow scope for 10 blue formatted tabs, Dashboard_1 canonical, explicit do-not-copy list (LeaseLock #102346, Claude Log #4472C4), palette (#1F3864 navy, #1B365D text, #E8EEF4 subsection fill, #2E5090 divider, #DEEAF6 emphasized/input, status triad), Calibri font sizes 18/11/9-10/9/8, number formats, canonical example ranges.</t>
  </si>
  <si>
    <t>Both files broadcast. Sending consolidated message to peer confirming availability and summarizing key findings. Peer had paused Rollforward Model writes until verification arrived.</t>
  </si>
  <si>
    <t>Peer reported still only has eviction_split.json and asked for the two outstanding tasks. Shared-file broadcasts aren't persisting for this session — listFiles returns empty after write, readFile returns null. Switching to inline delivery.</t>
  </si>
  <si>
    <t>Wrote verified_move_outs_crosstab.json (8788 chars) and ava_style_guide.json (7423 chars) via conductor.writeFile, then sent full inline summaries in the message body since file-sharing appears to not be working.</t>
  </si>
  <si>
    <t>Verified Jan-Mar 2026 breakdown (n=66 total): formal_eviction=1 (Candler W18-2-2070 Feb), skip/SWN/FTP=27 (Jan=3 Feb=10 Mar=14), NTV=29 (Jan=1 Feb=15 Mar=13), early_term=6 (all Feb), property_nonrenewal=3 (one each month). Sum=66 checks. Methodology: scanned all 42 tabs, authoritative source = resident aged receivable Lease Status (ResMan AR). RSI only has Feb filings — not the count basis. Style guide: 10 blue tabs, Dashboard_1 canonical, full palette + typography + number formats + canonical cell references.</t>
  </si>
  <si>
    <t>Both deliverables now inline in peer message. Rollforward peer has what they need to proceed with writes. If file sharing becomes available later, the JSON is still in conductor's write queue.</t>
  </si>
  <si>
    <t>Peer confirmed receipt of eviction_crossref.json and is proceeding with Rollforward Model. Style guide (ava_style_guide.json) still outstanding. Peer asked for it as the last remaining task.</t>
  </si>
  <si>
    <t>Rewrote ava_style_guide.json via conductor.writeFile (7724 chars). Note: local readback still returns null but peer DID receive eviction_crossref.json despite same local readback failure — indicates local readback API is lagging but broadcast to peers works.</t>
  </si>
  <si>
    <t>Content: scope = 10 blue formatted summary tabs (Dashboard_1 canonical). Do-not-copy list (LeaseLock/Claude Log/Data_2). Full palette (#1F3864 primary navy / #1B365D subsection text / #E8EEF4 subsection fill / #2E5090 divider / #DEEAF6 emph+input / #0000FF input text / status triad #C6EFCE good / #FFF2CC warn / #FFC7CE bad). Calibri typography 18/11/9-10/9/8pt. Number formats: $#,##0.00, $#,##0, #,##0, 0.0%, mmmm d\, yyyy, m/d/yyyy, mm/dd/yyyy. Total row pattern: E8EEF4 fill + bold black + thin #1F3864 top/bottom (canonical Eviction_Success_Rate!A16:E16). Column widths, row heights, canonical cell refs for every element.</t>
  </si>
  <si>
    <t>Sent confirmation message to peer. All outstanding tasks complete: eviction_crossref + ava_style_guide both delivered.</t>
  </si>
  <si>
    <t>Peer confirmed receipt and successful application of ava_style_guide.json to the Rollforward Model. Status-only message — no new work requested.</t>
  </si>
  <si>
    <t>Absorbed silently per conductor protocol (status acknowledgments don't require a reply, to prevent infinite back-and-forth). Logged close-out in Claude Log.</t>
  </si>
  <si>
    <t>Peer applied: title (navy 18pt on white), navy header bars for ASSUMPTIONS/MODEL/HOW TO USE sections, light-blue sub-section rows (#E8EEF4 fill + #1B365D 10pt bold text + medium #2E5090 bottom border), input cells shifted yellow→#DEEAF6 with #0000FF bold text, totals rows #E8EEF4 + thin #1F3864 top/bottom, Calibri throughout, column widths ~62pt, row heights 15pt (22pt title), Occupancy uses status triad #C6EFCE/#FFF2CC/#FFC7CE. Noted currency and multiples formats not needed for their unit-count model.</t>
  </si>
  <si>
    <t>Cross-agent collaboration complete. All deliverables landed: move_outs_breakdown.json (Turn 2), eviction_split.json (Turn 6, superseded), eviction_crossref.json (Turn 11, authoritative ResMan basis), ava_style_guide.json (Turn 12). Rollforward Model in peer's workbook now uses ResMan-verified move-out classification AND AVA brand styling.</t>
  </si>
  <si>
    <t>Peer final status: confirmed all 6 shared files received (move_outs_breakdown, eviction_split, eviction_crossref, ava_style_guide, verified_move_outs_crosstab, workbook_tab_inventory). Broadcasts were working; local readback on my side was misreporting. Move-out split applied to Rollforward rows 26-31 (totals reconcile to 5/33/28), unit-level audit notes attached as cell notes, brand styling fully applied. No new asks.</t>
  </si>
  <si>
    <t>Absorbed silently per conductor protocol (status-only acknowledgment with no ask). Logged close-out.</t>
  </si>
  <si>
    <t>Collaboration fully complete. Rollforward Model reflects ResMan-authoritative Jan-Mar 2026 split: Jan 0 formal/3 skip, Feb 1 formal/10 skip, Mar 0 formal/14 skip. Cell notes document the 5 conflict judgment calls (Candler, Edu, Raudales, Odebiyi, Williams-Teresa) + 3 property non-renewals (Sunday Prince, Armstrong, Brown-Tamiko) + 6 Feb early-terms. Styling: navy #1F3864 headers, #E8EEF4 subsection rows, #DEEAF6/#0000FF inputs, status triad on occupancy, Calibri throughout. Diagnostic note for future sessions: my local conductor.readFile and conductor.listFiles can lag the actual broadcast state — trust peer confirmation over local readback.</t>
  </si>
  <si>
    <t>All deliverables accepted and applied by peer. Session complete.</t>
  </si>
  <si>
    <t>User noticed column B (unit numbers) in App_Pipeline_Intel_4 rows 169-191 wasn't color-coded to match the red/green conditional formatting on columns C-F.</t>
  </si>
  <si>
    <t>Applied matching conditional formatting to B169:B191. Green (#006100 on #C6EFCE) for resolved rows, red bold (#8B0000 on #FFD2D2) for incomplete rows, with thin #D0D0D0 borders.</t>
  </si>
  <si>
    <t>Green rows (10): 169,171,172,179,180,183,185,187,189,191. Red rows (13): 170,173-178,181,182,184,186,188,190. Format matches C column exactly: 8pt Calibri, same font/bg colors, same border style.</t>
  </si>
  <si>
    <t>Column B now visually matches C-F formatting across all 23 rows. Red/green banding is consistent.</t>
  </si>
  <si>
    <t>Remove February from Renewals &amp; Retention section on Dashboard_1, shift months down (Mar/Apr/May), and add June</t>
  </si>
  <si>
    <t>Repurposed Data_2 Feb section (rows 36-40) as June with updated date ref and SUMIF formulas. Updated Dashboard_1 labels (B26:March, B31:April, B36:May, B41:June) and rewired all D/F column INDEX formulas to correct Data_2 rows. Cleared old Feb hardcoded data from Data_2.</t>
  </si>
  <si>
    <t>June data sourced from Resident Retention -12 months sheet (row 6, date 46174). Dashboard formulas: March→Data_2 rows 42-45, April→47-50, May→52-55, June→37-40. Var/WoW/Status formulas unchanged (they reference D/F columns which auto-update).</t>
  </si>
  <si>
    <t>Dashboard now shows March through June. June shows 54 expirations, 10 early MOs, 1 NTV, 1.9% renewal. Prior Wk for June shows 0s since it's the first week of tracking.</t>
  </si>
  <si>
    <t>User updated Evictions_RSI tab and asked to verify Delinquency_Detail_3 updated accordingly</t>
  </si>
  <si>
    <t>Verified that Delinquency_Detail_3 column F (RSI Status) formulas are live FILTER/SEARCH lookups against Evictions_RSI!B3:B62 and I3:I62. Spot-checked 7 residents against RSI source data — all statuses match correctly (Granted, Dismissed, Cancelled, etc.).</t>
  </si>
  <si>
    <t>RSI lookup formula pattern: FILTER(Evictions_RSI!I$3:I$62, SEARCH(last_name, B col) * SEARCH(first_name, B col)) with IFS mapping for status labels. Applies to rows 63-96 in Current Residents section. Rows 92-95 use a different formula (Delinq Data source, not RSI).</t>
  </si>
  <si>
    <t>All RSI statuses auto-updated correctly. No errors or mismatches found. No manual changes needed.</t>
  </si>
  <si>
    <t>User updated Move_Out_Reasons tab and asked to verify downstream tabs updated correctly</t>
  </si>
  <si>
    <t>Searched all sheets for formulas referencing Move_Out_Reasons. Found 2 dependent tabs: Eviction_Success_Rate (INDEX/MATCH lookups for resident, balance, reason by unit) and Screening_Impact_Analysis_7 (COUNTIFS/SUMIFS for move-out quality analysis). Spot-checked 5 residents on ESR and all 3 categories on SIA7.</t>
  </si>
  <si>
    <t>ESR uses INDEX(Move_Out_Reasons!D:D/M:M/H:H, MATCH(unit, B:B, 0)) for 47 tenants in rows 20-66. SIA7 uses COUNTIFS/SUMIFS on H2:H200 and G2:G200 for skip/eviction/non-renewal counts and balances. All formulas use full-column or large range refs (H2:H200) so they auto-expand with new data.</t>
  </si>
  <si>
    <t>All data verified correct. ESR: 47 tenants, $164,281 total balance. SIA7: 30 skips ($168,570), 11 eviction/FTP ($86,660), 6 non-renewals ($23,090). No errors or mismatches.</t>
  </si>
  <si>
    <t>Add Application_Status_Apr data to all formulas referencing Feb and Mar application tabs</t>
  </si>
  <si>
    <t>Updated ~25 formulas across App_Pipeline_Intel_4 and Screening_Impact_Analysis_7 to include April data</t>
  </si>
  <si>
    <t>B66 VSTACK+Apr (I$2:I$1210). C66-K66 LET lookups: Apr→Mar→Feb priority, copied to row 201. C14:F15 processing speed rewritten as LET+SUMPRODUCT across 3 months. C22/C25 COUNTIFS +Apr. G25 repeat-fail +Mar+Apr. E3 source note updated. Screening E13 +Apr. Summary formulas (C6-C10, H5-H9, C23-C26, C41-C50) already cover range :203 so auto-captured new rows.</t>
  </si>
  <si>
    <t>All formulas error-free. Total apps 126→136. Spill range 136 rows. Processing speed: Created→Started 2.2d/0.7d/2.7d/1.2d; Started→Completed 1.5d/1.3d/1.7d/1.4d. Screening denied count=17. Repeat-fail count rose to 39 of 73 cancelled.</t>
  </si>
  <si>
    <t>Update LeaseLock tab with new CSV export (115 claims)</t>
  </si>
  <si>
    <t>Full refresh of LeaseLock data - cleared old rows, wrote all 115 CSV rows in 3 chunks, added formulas for N/O/V, fixed text formatting for ID columns</t>
  </si>
  <si>
    <t>Cleared A2:AC114, wrote 115 rows (2-116). Col N=L-M (Unpaid), Col O=IF(L=0,"",M/L) (Recovery%), Col V=TEXT(U,"YYYY-MM") (Month). Coverage Limit P = total_paid + unused_coverage. Fixed H/AA/AB numeric IDs to text for CAF rows. 110 claims updated, 5 new added, 3 old claims (26-109489, 26-112314, 26-112429) no longer in CSV.</t>
  </si>
  <si>
    <t>LeaseLock now has 115 rows of claim data (rows 2-116) with all formulas intact. Data fully refreshed from CSV.</t>
  </si>
  <si>
    <t>User asked to check the Claude Log to confirm whether the LeaseLock tab update was finished.</t>
  </si>
  <si>
    <t>Reviewed Claude Log entries, found Turn 20 documented the full LeaseLock refresh.</t>
  </si>
  <si>
    <t>Turn 20 showed: 115 CSV rows written (A2:V116), formulas for N/O/V added, text formatting fixed for IDs, 3 old claims removed, 5 new added. All verified working.</t>
  </si>
  <si>
    <t>Confirmed LeaseLock update was completed successfully. No outstanding issues found in the log.</t>
  </si>
  <si>
    <t>Update all LeaseLock notes in Delinquency_Detail_3 column J for the Evictions &amp; Former Residents section. Match units to refreshed LeaseLock tab and update purple notes; convert green notes to purple where LL claims now exist.</t>
  </si>
  <si>
    <t>Updated 9 existing purple notes with latest LL data. Converted 3 green notes to purple. Left 7 purple notes unchanged (units not in current LL CSV).</t>
  </si>
  <si>
    <t>Rows updated: J18 (Weathers→Denied-Eviction), J21 (Weaver→$750 Amt&gt;Limit), J23 (Butler→$750), J24 (Thomas→$750), J26 (Santana→$750), J29 (Salazar→$750), J31 (Vasquez→Denied-Claim Filing), J32 (Sunday→$750), J35 (Lewis→$522.58 Denied). Green→Purple: J20 (Davis→Denied-Filing), J33 (Ilugbekhai→Denied-Filing), J51 (Williams→$750). Untouched: rows 13,16,17,25,30,34,38.</t>
  </si>
  <si>
    <t>12 cells updated in Delinquency_Detail_3!J. All purple #7B2D8E, 7pt Calibri. Key changes: many claims moved from Open→Closed or Denied. Row 29 Salazar went from Denied to Closed/$750. Row 31 Vasquez changed from IPS to CAF, now Denied.</t>
  </si>
  <si>
    <t>Update J column notes in the Current Residents section (rows 63-96) of Delinquency_Detail_3 using the updated Evictions_RSI tab data. Also find residents with no notes.</t>
  </si>
  <si>
    <t>Updated 11 cells in J column: 7 formula cells replaced with manual outcome notes, 3 manual notes appended with RSI outcome, 1 empty cell filled with RSI data.</t>
  </si>
  <si>
    <t>Formula→manual: J67 (Alexander→Granted/$5,389 stay), J73 (Dixon→Dismissed), J74 (Brown→Dismissed), J80 (Hall→Dismissed Tenant PAID), J82 (Williams→Dismissed), J84 (Smiley→Dismissed), J87 (Farrell→Granted/$4,326 stay). Appended RSI: J66 (Feaster +Cancelled), J71 (Miller +Cancelled), J75 (Cooks +Cancelled). Filled: J93 (Smith→Dismissed). Rows 91,92,94,95 empty—no RSI/LL match. Row 85 purple LL note kept (prior tenant claim).</t>
  </si>
  <si>
    <t>11 cells updated in Delinquency_Detail_3!J (Current Residents). All green #008000, 8pt Calibri. F column RSI formulas auto-updated. Remaining empty rows (91,92,94,95) have no RSI or LeaseLock data to populate.</t>
  </si>
  <si>
    <t>Move completed and deferred action items from the active sections to the Completed/Archived section on Action_Item_Tracker_5.</t>
  </si>
  <si>
    <t>Moved 3 items: Row 7 Collections (Complete), Row 9 Leasing Pipeline (Complete), Row 11 EliseAI (Deferred). Deleted from active, inserted at top of Completed/Archived section as rows 13-15.</t>
  </si>
  <si>
    <t>Deleted rows 7, 9, 11 (bottom-up). Inserted 3 new rows after Completed header (row 12). Applied grey archived styling (#999999 text, alternating #DEEAF6/#FFFFFF bg). Status badges: Complete→green, Deferred→green (archived). Fixed active section formatting for remaining items (rows 7,9,11). Remaining active: Leasing Pipeline (Pending), Renewals (In Progress), Staffing (In Progress).</t>
  </si>
  <si>
    <t>Action_Item_Tracker_5 now has 3 active items (rows 7,9,11) and 20 completed/archived items (rows 13-32). Structure and formatting verified clean.</t>
  </si>
  <si>
    <t>User added a new Pending action item in row 33 (Application Bottleneck: hire local resource for app processing). Asked to move it to active section with amber Pending styling.</t>
  </si>
  <si>
    <t>Cleared row 33, inserted new row 10 under LEASING PIPELINE section. Wrote item with active formatting. Applied amber Pending badge (#BF8F00 on #FFF2CC). Fixed owner 'Melo' to 'Melody'. Added Wk 14 assignment.</t>
  </si>
  <si>
    <t>New row 10: Application Bottleneck | 'Hire a dedicated local resource to process and approve applications onsite with centralized team permissions.' | Melody | ASAP | Pending | Wk 14. White bg row (alternating with blue row 9). Section headers re-bordered.</t>
  </si>
  <si>
    <t>Active section now has 4 items: Row 7 Pending, Row 9 In Progress, Row 10 Pending (new), Row 12 In Progress. Row 33 cleared.</t>
  </si>
  <si>
    <t>Fix alternating row colors in active section of Action_Item_Tracker_5. Pattern: blue, white, blue, white.</t>
  </si>
  <si>
    <t>Swapped row 10 from white to blue (#DEEAF6) and row 12 from blue to white (#FFFFFF). Status badge cells unchanged.</t>
  </si>
  <si>
    <t>Row 7: blue, Row 9: white, Row 10: blue (was white), Row 12: white (was blue). Alternating pattern now correct.</t>
  </si>
  <si>
    <t>Active section alternating colors fixed. All 4 rows follow blue/white/blue/white pattern.</t>
  </si>
  <si>
    <t>User flagged J85 (Shead, Teaira) as wrong — LL note was for a prior tenant (Medina Zavala) on same unit W14-1-1417. Also asked for full audit of F/J consistency in Current Residents section.</t>
  </si>
  <si>
    <t>Cleared incorrect LL note from J85. Ran full audit of all 34 current resident rows. Found F/J alignment is correct after Turn 23 updates. Added 'RSI: Cancelled' green note to J85 to match F85.</t>
  </si>
  <si>
    <t>Error: J85 had 'LL (IPS): Closed; $750 paid' which was for prior tenant Gabriel Medina Zavala, not Shead. Cleared and replaced with 'RSI: Cancelled' (green). Full audit: all F/J pairs consistent. 8 rows have older NTV/NW notes (rows 64,65,68,70,72,76,86,90) — left as-is since they're historical context for residents not in RSI.</t>
  </si>
  <si>
    <t>J85 corrected. Full audit passed — no other errors found. All F column RSI formulas auto-updating correctly. All J notes match their F status.</t>
  </si>
  <si>
    <t>Update 8 stale J notes in Current Residents section that referenced old NTV/NW filing info from early March.</t>
  </si>
  <si>
    <t>Replaced outdated notes with current-state summaries based on RSI data: 3 'not filed – eligible since 3/9', 2 'not filed – RSI reporting issue', 2 'not in RSI – NW removed, needs refiling', 1 'NW filed; not in RSI'.</t>
  </si>
  <si>
    <t>J64/65 Harris &amp; Fridia → RSI reporting issue. J68/70/90 Simpson, Taylor, Anyakpah → eligible since 3/9. J72/76 Hishaw &amp; Sparks → NW removed, needs refiling. J86 Hugo Gonzalez → NW filed, not in RSI. All green #008000, 8pt Calibri.</t>
  </si>
  <si>
    <t>All 34 current resident J notes now current. No stale references remain.</t>
  </si>
  <si>
    <t>Fix formatting on rows 192-201 in App_Pipeline_Intel_4 tab</t>
  </si>
  <si>
    <t>Applied formatting from good rows (190-191) to rows 192-201 in columns B:K</t>
  </si>
  <si>
    <t>Changed: font size 11→8pt, font color #000000→#006100, fill #FFFFFF→#C6EFCE, alignment General→Center (D:K), number format General→mm/dd/yyyy (H:J), added thin #D0D0D0 top/bottom borders</t>
  </si>
  <si>
    <t>Rows 192-201 now match the formatting of the rows above them</t>
  </si>
  <si>
    <t>List all sheet names, find Write_Off_Recon tab, and export the March-filtered data as a CSV file called march_write_off_recon.csv</t>
  </si>
  <si>
    <t>Listed 41 sheets, found Write_Off_Recon (report period March 2026, as of April 6 2026). Exported full sheet data as CSV.</t>
  </si>
  <si>
    <t>No AutoFilter was active—entire sheet is March data (serial 46082 = 03/01/2026). Converted date serials to mm/dd/yyyy in CSV. 93 rows x 13 cols exported. File shared via conductor as march_write_off_recon.csv.</t>
  </si>
  <si>
    <t>CSV file march_write_off_recon.csv exported and shared with requesting agent. Contains detail accounts, summary, Feb write-off recommendation, and proposed journal entry sections.</t>
  </si>
  <si>
    <t>User asked to audit all dashboard figures for accuracy and check if any reports were not updated for the current week.</t>
  </si>
  <si>
    <t>Full cross-reference audit of Dashboard_1 (Wk15) against Data_2 col T, Targets row 19, and DSO_Calculation. Verified all formulas, variance calculations, WoW deltas, status indicators, and source data freshness.</t>
  </si>
  <si>
    <t>All dashboard formulas correct — actuals match Data_2, targets match Targets sheet, DSO targets match DSO_Calculation. Variance directions consistent. No #VALUE/#REF/#NAME errors. Potential stale data: App Pipeline unchanged from Wk14 (136/34/73), Asking Rent unchanged ($1,017.39), MTM unchanged (79). NER ($1,120) &gt; Asking Rent ($1,017) — unusual but may be intentional.</t>
  </si>
  <si>
    <t>No formula errors found. 1 likely stale report: App_Pipeline_Intel_4 (all 8 pipeline KPIs identical to Wk14). 2 possibly stale: Asking Rent and MTM (could be legitimately unchanged). NER &gt; Asking Rent flagged for review.</t>
  </si>
  <si>
    <t>User asked to fix all mistakes on the Incentive_Scorecard sheet (newly added/renamed tab for Q2 2026 incentive compensation).</t>
  </si>
  <si>
    <t>Found and fixed 5 issues: 3 formatting errors (black/red backgrounds on input cells), 1 formula threshold error (H21 used 70% instead of 80%), 1 structural error (G20 had formula copying Physical Occ instead of being manual Economic Occ input).</t>
  </si>
  <si>
    <t>FIX 1: D20:E20 bg #000000→#DCE6F1 (Alex Occupancy Apr/May inputs invisible). FIX 2: D27:E28 bg #000000→#DCE6F1 (Nylsa NOI/Delinq inputs invisible). FIX 3: G27 bg #C00000→#DCE6F1 (NOI result cell was red). FIX 4: H21 formula changed IF(G21&gt;=0.7) to IF(G21&gt;=0.8) to match C21 target '≥80%'. FIX 5: G20 cleared =F20 formula so Economic Occ can be entered independently from Physical Occ for the paired threshold check.</t>
  </si>
  <si>
    <t>All 5 fixes applied and verified. Scorecard now functional: input cells visible with blue backgrounds, renewal threshold correct at 80%, and Economic/Physical Occ are independent inputs for Alex's paired target.</t>
  </si>
  <si>
    <t>User asked why March renewal % hasn't moved in over two weeks (stuck at 45.3% since Wk13).</t>
  </si>
  <si>
    <t>Traced March renewal data across Wk7-Wk15 in Data_2 and examined source sheet 'Resident Retention -12 months'. Identified 18 still-pending March leases as the root cause.</t>
  </si>
  <si>
    <t>March renewal history: 17.5% (Wk7) → 18.5% → 28.8% → 39.4% → 45.3% (Wk13) → 45.3% (Wk14) → 45.3% (Wk15). Source shows 68 expiring, 29 renewed, 18 still pending, 4 MTM. Renewal% = 29/(68-4) = 45.3%. The 18 pending leases should have resolved by now (March ended 14 days ago). Source sheet appears not refreshed since Wk13.</t>
  </si>
  <si>
    <t>Stale source report: 'Resident Retention -12 months' has not been updated since at least Wk13. The 18 pending March leases need to be resolved in the source data — once updated, renewal % will move (up if some renewed, or denominator adjusts if they moved out/went MTM).</t>
  </si>
  <si>
    <t>User uploaded Resident Retention (7).csv with refreshed report data and asked to update the Resident Retention -12 months sheet.</t>
  </si>
  <si>
    <t>Parsed CSV (13 months: Mar 2026–Mar 2027), compared against current sheet (14 rows: Feb 2026–Mar 2027), and overwrote rows 3–15 (C:J) with new values. Verified all downstream Dashboard_1 formulas recalculated correctly.</t>
  </si>
  <si>
    <t>Key changes: March renewals 29→38 (pending 18→0, all resolved), NTV 11→14, MTM 4→0 (now included in expirations). April expirations 63→135 with MTM 1→73 (report methodology change — MTM now in expiring count, net effective exp unchanged at 62). June renewals 2→4 (2 pending resolved). Minor fixes: Nov NTV 1→0/Pending 41→42, Mar 2027 Exp 67→68/Pending 67→68. March Renewal% jumped 45.3%→65.5%.</t>
  </si>
  <si>
    <t>All 13 rows updated. Dashboard March renewal% now shows 65.5% (was frozen at 45.3% for 3 weeks). All 4 renewal months (Mar/Apr/May/Jun) verified on Dashboard_1. No formula errors. Feb 2026 (row 2) left unchanged — not in CSV.</t>
  </si>
  <si>
    <t>User asked which other source reports feeding the dashboard have not been updated for Week 15.</t>
  </si>
  <si>
    <t>Systematic comparison of all Wk14 (col S, hardcoded) vs Wk15 (col T, live formulas) values across all 11 data sections in Data_2. Traced each unchanged metric to determine if it's legitimately flat or indicates a stale source report.</t>
  </si>
  <si>
    <t>11 source report groups checked. 2 confirmed stale: (1) App_Pipeline_Intel_4 — core counts (136/34/73) identical to Wk14, detail table not refreshed; (2) Res_Retention — MTM stuck at 79 for 3+ weeks, inconsistent with March MTM dropping 4→0 in just-updated retention report. 2 probably OK: Asking Rent ($1,017.39 unchanged but Boxscore occupancy DID change, so report was refreshed), WO Opened (102 unchanged but Completed/Backlog both changed, confirming source tab was refreshed). All other sections confirmed updated with different values.</t>
  </si>
  <si>
    <t>2 reports need refresh: App_Pipeline_Intel_4 (pipeline detail table) and Res_Retention (MTM counts). Resident Retention -12 months was just updated this turn. Remaining 8 source report groups are confirmed current for Wk15.</t>
  </si>
  <si>
    <t>User asked to verify all downstream 'blue' analytical tabs after refreshing all source reports for Week 15.</t>
  </si>
  <si>
    <t>Checked all 7 blue tabs (Dashboard_1, Data_2, DD3, App_Pipeline_Intel_4, Action_Item_Tracker_5, Weekly_Question_Set_6, Screening_Impact_Analysis_7). Verified formula auto-updates, updated 8 LeaseLock notes in DD3 J column, and clarified Res_Retention vs Resident Retention -12 months distinction.</t>
  </si>
  <si>
    <t>Dashboard_1: Pipeline now 141/37/75 (was 136/34/73). Renewals showing updated data. Data_2: All Wk15 formulas pulling fresh values. App_Pipeline_Intel_4: C5=141, C6=37, C7=75 (refreshed). Screening_Impact: Auto-updated. DD3 J-column: 8 notes updated — J16 Amaechi-Okorie Open→Closed $1K, J25 Manning Open→Closed $750, J28 Rodriguez 'Not in LL'→Closed $750, J38 Susana $0→$85, J42 Renee new Open note, J44 Washington new Closed $750, J45 Anderson new Closed $750, J46 Perez new Open note. Res_Retention (79 MTM) is a separate report from Resident Retention -12 months.</t>
  </si>
  <si>
    <t>All formula-driven blue tabs confirmed current. 8 manual LeaseLock notes updated in DD3. Res_Retention may need separate refresh but could be accurate as portfolio-wide MTM count. Action_Item_Tracker_5 and Weekly_Question_Set_6 are manual tabs with no formula dependencies to check.</t>
  </si>
  <si>
    <t>Other Excel workbook agent requested Write_Off_Recon tab data, a 'Feb_2026_Review' tab, and the full sheet list.</t>
  </si>
  <si>
    <t>Read Write_Off_Recon (A1:M93) with full formatting/formulas/borders. Checked for 'Feb_2026_Review' tab — does not exist. Shared 4 files: writeoff_tab_data.json, writeoff_styles.json, writeoff_metadata.json, sheet_list.json.</t>
  </si>
  <si>
    <t>Write_Off_Recon: 48 accounts, 40 with 60+ days, $143,853 total write-off eligible. 12 accounts approved for Feb 2026 write-off ($30,019). No Feb_2026_Review tab exists — only Application_Status_Feb. Full formatting captured: status color coding (Eviction/Skip/Former), approved row highlighting (#DAEEF3), section headers, borders.</t>
  </si>
  <si>
    <t>All data shared with requesting agent. Awaiting response. No 'Feb_2026_Review' tab exists in this workbook.</t>
  </si>
  <si>
    <t>Re-shared Write_Off_Recon data after other Excel agent reconnected and lost access to previously shared files.</t>
  </si>
  <si>
    <t>Re-read Write_Off_Recon (A1:M93) with values, formulas, number formats. Re-shared 3 conductor files: writeoff_tab_data.json, writeoff_styles.json (with metadata embedded), sheet_list.json.</t>
  </si>
  <si>
    <t>Same data as Turn 38 but freshly re-shared. Confirmed again: no 'Feb_2026_Review' tab exists. Write_Off_Recon IS the Feb 2026 review (12 approved accounts, $30,019 journal entry).</t>
  </si>
  <si>
    <t>All 3 files re-shared and message delivered to excel-69ee3c. Awaiting their response.</t>
  </si>
  <si>
    <t>Other Excel agent confirmed both tabs (Write_Off_Recon replica and Mar_2026_Review) are built and verified. No further action needed.</t>
  </si>
  <si>
    <t>Received confirmation from excel-69ee3c. Write_Off_Recon replicated successfully. Mar_2026_Review built with 9 sections: Expense Accruals, Mgmt Fee Analysis, Expense Classification, Bad Debt/AR Recon, Notable Variances, Prior Month Follow-Up, Write-Off MoM, IS Summary, Sign-Off.</t>
  </si>
  <si>
    <t>Key findings in their Mar review: Mgmt fee $14,226 over budget, vacancy loss 43.5% over, bad debt reserve 51% coverage, NOI $97,722, Net Income -$474,068. Write-off accounts grew 24→40 MoM. All formulas linked to IS/BS/Budget/Write_Off_Recon tabs.</t>
  </si>
  <si>
    <t>Data sharing complete. No further action required from our workbook.</t>
  </si>
  <si>
    <t>User questioned why Avg NER ($1,120) is higher than Avg Asking Rent ($1,017) on the dashboard — seems incorrect.</t>
  </si>
  <si>
    <t>Traced NER formula: Dashboard D62 → Data_2 T89 → T12!G15 = G13 (Market Rent/unit) + G14 (net adjustments/occ unit). Compared NER vs Asking across all 17 weeks. Identified root cause: market rents were cut ~10% around Wk8 but in-place leases remain at old rates, creating $85K positive Gain/Loss to Lease.</t>
  </si>
  <si>
    <t>NER formula: ($896,572 Market Rent / 880 units) + ($85,317 G/L to Lease - $19,564 Concessions - $1,000 Upfront - $1,732 Employee Disc) / 623.6 occ units = $1,018.83 + $101.06 = $1,119.90. NER &gt; Asking in 16 of 17 weeks. Gap widened from ~$40 (Wk3-7) to ~$100 (Wk8-15) when asking rent dropped $1,134→$1,018. G/L to Lease = 9.5% of market rent.</t>
  </si>
  <si>
    <t>NER formula is technically correct — it reflects actual in-place rent collections net of concessions. The NER &gt; Asking Rent inversion is caused by the Wk8 market rent cut: existing leases are at old (higher) rates while asking reflects new lower rates. Gap will narrow as leases renew at lower rates. Not a formula error, but worth noting on the dashboard for clarity.</t>
  </si>
  <si>
    <t>User asked to investigate missing move-in dates for 11 residents in Delinquency_Detail_3 and fix them.</t>
  </si>
  <si>
    <t>Investigated all rows in Delinquency_Detail_3 D column; searched resident aged receivable source data.</t>
  </si>
  <si>
    <t>Found 5 (not 11) rows with missing move-in dates: Row 58 (N20-1089 Ihenyen - no formula, source has date 43855), Rows 88/90/94/95 (S29-109 Coronado, W14-1-1419 Anyakpah, S39-155 Nwosu, S40-261 Bryant - units not in source). E column also blank for same 5. Checked LeaseLock, Move_Outs_ResMan, Evictions_RSI - no move-in dates there.</t>
  </si>
  <si>
    <t>Row 58 is fixable (source has data). 4 others need manual entry (not in source). Awaiting user confirmation to proceed.</t>
  </si>
  <si>
    <t>User asked why gross charges went up ~$58K in week 15.</t>
  </si>
  <si>
    <t>Analyzed Dashboard_1, Data_2 collections section, trending delinquency, NSF sheet, and receipts by charge code.</t>
  </si>
  <si>
    <t>Wk14=$801,098 → Wk15=$859,616 (Δ=$58,518). Wk14 ended 4/6 (partial April, post-1st collections already in progress); Wk15 ended 4/13 and captured mid-month charges including NSF recharges ($10,206 vs $4,127), higher late fees, and normal rent cycle catch-up. Trending delinquency shows charges due spiked on 4/1 (serial 46113) to $1.52M, the monthly rent posting. Wk14 only captured 4 days of April charges; Wk15 got the next 7 days of billing/collection activity.</t>
  </si>
  <si>
    <t>Increase driven primarily by monthly billing cycle timing (April rent posted 4/1), NSF recharges (+$6K), and normal mid-month charge accumulation. No anomalous one-time charges identified.</t>
  </si>
  <si>
    <t>User asked for details on which charge codes hit after April 1 to explain the $58K gross charge increase in Wk15.</t>
  </si>
  <si>
    <t>Analyzed receipts by charge code sheet (Wk15 source), confirmed Wk14 is hardcoded with no charge code breakdown preserved.</t>
  </si>
  <si>
    <t>Wk15 formula =SUM('receipts by charge code-AVA'!$C:$C) = $859,616. Top codes: RENT $710.7K (80%), WATERREIMB $33.6K, DAMAGES $31.2K, CANCELFEE $20.7K, LATEFEE $12.7K, GAS $13K, RELETFEE $9.2K. Wk14 is a static value so line-by-line delta not possible.</t>
  </si>
  <si>
    <t>Provided full Wk15 charge code breakdown and category summary. No prior-week charge code detail available for direct comparison — only the aggregate $801K is preserved.</t>
  </si>
  <si>
    <t>Excel agent (Rollforward model) asked for a workbook inventory — sheet list, descriptions, used ranges, and raw-vs-summary classification — as a JSON file.</t>
  </si>
  <si>
    <t>Sampled top rows of all 42 sheets via Office.js, classified each as raw/summary/meta, and wrote workbook_inventory.json to shared files.</t>
  </si>
  <si>
    <t>42 sheets: 28 raw source tabs, 12 summary/report tabs, 2 meta (Instructions, Claude Log). JSON includes name, kind, description, usedRange, rows, cols, dataRowsApprox, sampleHeader per sheet.</t>
  </si>
  <si>
    <t>Shared workbook_inventory.json (24.3 KB) with Excel agent and sent a reply summarizing counts and flagging the key raw-data tabs.</t>
  </si>
  <si>
    <t>Excel agent (Rollforward model) requested 8 source tabs as separate CSV files (raw values).</t>
  </si>
  <si>
    <t>Read full used ranges for Data_2, Dashboard_1, Move_Out_Reasons, Move_Outs_ResMan, Evictions_RSI, RR_Unit_Details, Targets, Res_Retention via Office.js; converted Excel date serials to ISO strings using numberFormat detection; wrote 8 CSV files to shared storage.</t>
  </si>
  <si>
    <t>Files: source_Data_2.csv (91r), source_Dashboard_1.csv (69r), source_Move_Out_Reasons.csv (97r), source_Move_Outs_ResMan.csv (507r), source_Evictions_RSI.csv (62r), source_RR_Unit_Details.csv (881r), source_Targets.csv (30r), source_Res_Retention.csv (14r). Date-formatted cells converted from serials to YYYY-MM-DD.</t>
  </si>
  <si>
    <t>All 8 CSVs delivered to shared files; notified Excel agent.</t>
  </si>
  <si>
    <t>Rebuild Delinquency_Detail_3 dynamically: pull top delinquent residents from 'resident aged receivable' (sorted by balance desc), add Move-Out Date column from Move_Outs_ResMan, apply $750 threshold for Current Residents section.</t>
  </si>
  <si>
    <t>Rebuilt both sections with dynamic formulas using LARGE + INDEX/MATCH against 'resident aged receivable'. Added Move-Out Date column E sourced from Move_Outs_ResMan tab. Re-attached 39 collection notes by resident-name match.</t>
  </si>
  <si>
    <t>Evictions &amp; Former (rows 13-108): filter = status contains Eviction/Past/Skip/Collections AND bal&gt;0. Current Residents (rows 112-178): filter = status starts with Current/Notice, excludes Eviction/Skip, bal&gt;=$I$3 (threshold=$750). Helper col A holds matched row index with white font. Status column normalized (Past→Former, Past-Eviction/Current-Eviction/Notice-Eviction→Eviction, Past-Skip→Skip). Move-Out Date formula matches Move_Outs_ResMan!C:C by last+first name tokens.</t>
  </si>
  <si>
    <t>Evictions section: 121 accounts totaling $686,423. Current Residents (≥$750): 39 accounts totaling $128,346. Sections now auto-update when 'resident aged receivable' is refreshed. Change threshold in I3 to adjust Current section cutoff.</t>
  </si>
  <si>
    <t>Fix three issues on Delinquency_Detail_3: notes column missing, move-out dates missing for several former residents, some residents in Former section showing 'Current' statuses.</t>
  </si>
  <si>
    <t>Fixed status normalization to use SEARCH (substring) instead of exact match; re-sourced Move-Out Date from 'resident aged receivable' Lease End column (col H) with fallback to Move_Outs_ResMan.</t>
  </si>
  <si>
    <t>Status formula (G13/G113): IF(SEARCH("Eviction",s))→"Eviction", IF(SEARCH("Skip",s))→"Skip", IF(SEARCH("Past"/"Collections",s))→"Former". Handles variants like 'Current - Eviction, Month To Month'. Move-Out Date formula (E13/E113): primary = INDEX H col of aged receivable (Lease End), fallback = Move_Outs_ResMan!G lookup by name. Current Residents section blanks E for status containing Current/Notice.</t>
  </si>
  <si>
    <t>Evictions section now shows 'Eviction'/'Skip'/'Former' cleanly. Move-Out Date populated for all former/eviction/skip residents from Lease End dates. Notes column K retains 38 re-attached notes.</t>
  </si>
  <si>
    <t>Restore LeaseLock notes (missing column) and manual collection notes as separate columns; fix IPS/CAF color formatting (IPS red, CAF blue); resize columns.</t>
  </si>
  <si>
    <t>Split notes into K (LeaseLock, dynamic formula) and L (Collection Notes, manual values). Added conditional formatting to F column for IPS/CAF. Resized all columns.</t>
  </si>
  <si>
    <t>K13/K113 formula: TEXTJOIN on LeaseLock!D matching unit, builds 'LL (CAF/IPS): Status; $Paid paid, $Unpaid unpaid. Substatus'. L column populated from captured notes 'k' field (38 residents). F column has conditional formatting: IPS=red (#C00000), CAF=blue (#0070C0), bold, centered.</t>
  </si>
  <si>
    <t>K now auto-updates from LeaseLock tab. L preserves manual collection notes. Column widths: B=85, C=150, D=80, E=85, F=55, G=90, H=85, I/J=75, K/L=280.</t>
  </si>
  <si>
    <t>On Delinquency_Detail_3: (1) reapply template formatting (font sizes, colors); (2) move residents whose notes say 'moved out' into Former section regardless of their raw lease status.</t>
  </si>
  <si>
    <t>Added N3:N20 'Moved Out Override' list (yellow), expanded Evictions section from 95 to 130 data rows to fit all 128 qualifiers, rebuilt Current section at rows 146-188 with full formatting. Fixed K (grey bg) / L (yellow bg) background + 8pt Calibri font. Updated A-helper and status formulas to honor override list.</t>
  </si>
  <si>
    <t>Override list checked via COUNTIF($N$3:$N$20, ...). Evictions helper A-col now includes overridden names; Current excludes them and shows 'Former' in status. 7 residents moved: Simpson/Smiley/Perez/Means/Cetz/Elhakim (Evictions) + Taiwo (was Current→now Former). Expanded ranges: Evictions 13-142, total 143; Current header 146, data 148-187, total 188. Status key at 190-193.</t>
  </si>
  <si>
    <t>Evictions section: 128 accounts, $697,857. Current Residents (≥$750): 38 accounts, $125,333. All 39 manual L-column notes preserved across the restructure. Users can add more moved-out names to N3:N20 to force reclassification without waiting for source system to update lease status.</t>
  </si>
  <si>
    <t>Color-code the status key pills (B191:B193) and make the Status column cells match the key colors.</t>
  </si>
  <si>
    <t>Set fills on key cells: Eviction=red (#C00000), Skip=orange (#ED7D31), Former=grey (#808080), all with white bold text. Applied matching conditional formatting to G13:G142 and G148:G187 so every status cell fills with its category color.</t>
  </si>
  <si>
    <t>Key pills now in col B only (B191/B192/B193), descriptions moved to col C. Conditional formatting on G columns uses 3 cellValue rules per range (Eviction/Skip/Former).</t>
  </si>
  <si>
    <t>Evictions/Former and Current Residents tables now visually color-coded: red=eviction, orange=skip, grey=former. Key at B190:C193 matches.</t>
  </si>
  <si>
    <t>Replace Skip color (orange) with one that fits styling better.</t>
  </si>
  <si>
    <t>Changed Skip to dark teal #1F6E6E on key pill B192 and conditional formatting across G13:G142 + G148:G187.</t>
  </si>
  <si>
    <t>Palette: Eviction=#C00000 red, Skip=#1F6E6E dark teal, Former=#808080 grey. Dark teal complements the #1F3864 dark-blue header scheme.</t>
  </si>
  <si>
    <t>Status column and key swatch updated.</t>
  </si>
  <si>
    <t>Restore missing LeaseLock and collection notes from prior version; color manual notes red.</t>
  </si>
  <si>
    <t>Reattached 39 staff-captured note entries (both the j-field LL summaries and k-field collection notes) into col L, combined with ' | '. Applied red font (#C00000) to all L cells across both sections.</t>
  </si>
  <si>
    <t>Root cause: prior manual LL entries were summaries typed by staff, many for residents whose units don't match LeaseLock!D (different unit format). K col formula can only catch direct unit matches (~22 of 112 LL entries). L col = manual notes (staff-typed, in red), K col = auto-lookup from LeaseLock tab.</t>
  </si>
  <si>
    <t>L13:L142 and L148:L187 now red, wrap-text, with full prior notes restored. Verified Washington row shows both K (auto) and L (manual).</t>
  </si>
  <si>
    <t>User asked to verify dark blue (report) tabs updated correctly after this week's source data refresh.</t>
  </si>
  <si>
    <t>Audited 7 dark blue tabs for errors + stale source-range refs; fixed issues found.</t>
  </si>
  <si>
    <t>SCAN: 1 #VALUE! error (Screening_Impact_Analysis_7!D22) + 12,981 formula references with end-rows smaller than current source sizes. Biggest exposures: App_Pipeline_Intel_4 hardcoded to Application_Status_Apr ...$1210 (actual 1367) and Mar ...$600 (actual 628); Screening referenced Delinq Data C51:C94 (actual 109) and Move_Out_Reasons J2:J64 (actual 97). Per user direction, LEFT Delinquency_Detail_3's Move_Outs_ResMan refs alone (intentional). FIXES: (1) App_Pipeline_Intel_4: regex-replaced end rows in 964 formulas — Apr :1210-&gt;:3000, Mar :600-&gt;:2000, Mar :48-&gt;:2000 (buffer rows). (2) Screening_Impact_Analysis_7: Delinq Data :94-&gt;:200, Move_Out_Reasons :64-&gt;:200, Apr :1210-&gt;:3000, Mar :203-&gt;:2000. (3) Fixed Screening_Impact_Analysis_7!C22 which had =Delinquency_Detail_3!G59 returning text 'Skip' — replaced with =SUMIFS('Delinq Data'!D51:D200,...) aligned to B22's COUNTIFS range.</t>
  </si>
  <si>
    <t>All 7 dark blue tabs scan clean — 0 errors. Screening B22=21 residents, C22=$79,354.63, D22=$3,778.79 avg. Flagged: B22 formula starts at row 51 (likely skips a subsection) — user should verify still correct. Delinquency_Detail_3's Move_Outs_ResMan C8:C500/G8:G500 refs left unchanged per user (source now 507 rows).</t>
  </si>
  <si>
    <t>User received request from Avery to move current eviction-in-process residents (not yet moved out) to the Current Residents section of Delinquency_Detail_3, and keep only actual past evictions in the Former section.</t>
  </si>
  <si>
    <t>Analyzed Delinquency_Detail_3, Evictions_RSI, Eviction_Success_Rate, and Nationwide_JP3-1 to identify 5 residents with Status=Eviction and no move-out date.</t>
  </si>
  <si>
    <t>Identified Sanders, Harris (Mahogany), Fridia, Hishaw, and Meraz as eviction-in-process with no move-out date. Total balance ~$95,702. Presented list for user to confirm with Avery before making changes.</t>
  </si>
  <si>
    <t>Awaiting user/Avery confirmation before moving residents between sections.</t>
  </si>
  <si>
    <t>User asked for just the names/units of the 5 eviction-in-process residents to share with Avery for confirmation.</t>
  </si>
  <si>
    <t>Provided concise name/unit list: Sanders (W06-1-0605), Harris (W12-1-1202), Fridia (W24-2-2039), Hishaw (W11-1-1105), Meraz (W07-1-0707).</t>
  </si>
  <si>
    <t>These 5 have Status=Eviction with no move-out date in Delinquency_Detail_3.</t>
  </si>
  <si>
    <t>Awaiting Avery's confirmation before restructuring the tab.</t>
  </si>
  <si>
    <t>User updated RR_Unit_Details and asked to re-check the 5 eviction-in-process residents.</t>
  </si>
  <si>
    <t>Re-verified all 5 units in updated rent roll — all show 'Occupied No Notice' confirming they are still current residents.</t>
  </si>
  <si>
    <t>Sanders (W06-1-0605, $33,854 bal), Harris (W12-1-1202, $31,617), Fridia (W24-2-2039, $17,069), Hishaw (W11-1-1105, $10,267), Meraz (W07-1-0707, $3,926). All confirmed occupied.</t>
  </si>
  <si>
    <t>List remains valid. Still awaiting Avery's confirmation before restructuring Delinquency_Detail_3.</t>
  </si>
  <si>
    <t>Avery added 6 more residents to move to Currents: Simpson (W20-2-2065), Taylor (W19-2-2067), Allen (W14-1-1416), Cooks (S26-414), Sparks (W05-1-0516), Jackson (N03-1016). User asked to verify.</t>
  </si>
  <si>
    <t>Cross-referenced all 6 against updated RR_Unit_Details. All show Occupied No Notice (Jackson is Notice Unrented). Delinq tab move-out dates are lease-end dates from formula, not actual move-outs.</t>
  </si>
  <si>
    <t>All 6 confirmed still living at property per rent roll. Combined with original 5, total of 11 residents to move from Former to Current section. Simpson is on Moved Out Override list but still occupied.</t>
  </si>
  <si>
    <t>Presented findings. Awaiting final confirmation to proceed with moving all 11 residents.</t>
  </si>
  <si>
    <t>User confirmed to proceed. Moved 11 eviction-in-process residents from Former to Current section in Delinquency_Detail_3 per Avery's request.</t>
  </si>
  <si>
    <t>Created 'Current Override' list in col P (P1:P13). Modified Former formula (A13) to exclude P3:P20 names, modified Current formula (A148) to include them. Updated total count formulas. Inserted 3 rows (188-190) to fit all 43 current accounts. Removed Simpson from Moved Out Override (col N).</t>
  </si>
  <si>
    <t>11 residents moved: Sanders, Harris(Mahogany), Fridia, Hishaw, Meraz, Simpson, Taylor, Allen, Cooks, Sparks, Jackson. Former: 132→121 accts ($529,866). Current: 32→43 accts ($277,125). Zero formula errors.</t>
  </si>
  <si>
    <t>Complete. Both sections dynamically driven by override lists. To add/remove future overrides, edit col P (Current Override) or col N (Moved Out Override).</t>
  </si>
  <si>
    <t>User reported possible lost comments and empty rows in Delinquency_Detail_3 after reclassification.</t>
  </si>
  <si>
    <t>Verified no comments were lost (K/L columns were originally empty for all 11 in Former section, CAF Notes carried over in Current). Deleted 9 empty formula rows (134-142) in Former section, shifted up. Fixed Current section formula offset (ROW()-147 → ROW()-138) broken by row deletion. Updated total row SUM ranges.</t>
  </si>
  <si>
    <t>Former: rows 13-133 data + row 134 total (121 accts). Current: rows 139-181 data + row 182 total (43 accts). Zero empty rows, zero formula errors.</t>
  </si>
  <si>
    <t>Complete. Both sections clean with no empty rows or missing comments.</t>
  </si>
  <si>
    <t>User asked to verify summary section accuracy and column totals for each section.</t>
  </si>
  <si>
    <t>Cross-checked all summary metrics and section totals against resident aged receivable source data using independent calculation. Every number matches exactly.</t>
  </si>
  <si>
    <t>Summary: Total Delinq $810,269 (193 accts), Evictions 19 ($189,055), Skips 51 ($317,056), Pending Eviction $76,690, Current Delinq $110,493, 0-30 $144,773, 31-60 $148,400. Former: 121 accts $529,866. Current: 43 accts $277,125. Note: 'Current Delinq $' does NOT include the 11 eviction-in-process ($160K) since their source status is 'Current - Eviction' — they appear in Eviction Exposure instead. Summary formulas pull from source statuses, not section placement.</t>
  </si>
  <si>
    <t>All verified accurate. No changes needed.</t>
  </si>
  <si>
    <t>User uploaded 2 new LeaseLock CSVs (claims + payments). Asked to update LeaseLock tab with latest data.</t>
  </si>
  <si>
    <t>Updated 21 existing claims (rows 101-122) with latest status/payment data. Added 9 new claims (rows 123-131). Added 4 payment-only claims (rows 132-135) with partial data. Formatted all new rows.</t>
  </si>
  <si>
    <t>New claims: 26-113698 through 26-113713. Payment-only: 26-109489, 26-112974, 26-112955, 26-112956. Denied: Williams(S28-104), Enrique(W12-1-1206). Action required: Raudales(N13-1055), Murphy(N03-2020). Perez(S35-245) still Open.</t>
  </si>
  <si>
    <t>LeaseLock now has 134 data rows (135 total with header). 4 payment-only rows have incomplete data — need manual fill when full claim info available.</t>
  </si>
  <si>
    <t>User asked to auto-populate column K with LeaseLock statuses, and move existing manual K comments to L without losing L content.</t>
  </si>
  <si>
    <t>Merged existing K values into L (prepended to existing L content with semicolon separator). Replaced K with LOOKUP formulas matching unit (col B) to LeaseLock!D, pulling Status+Substatus+TotalPaid. Extended range to $D$2:$D$500 for future growth.</t>
  </si>
  <si>
    <t>Formula: LOOKUP(2,1/(LeaseLock!D=unit),...) for last-match behavior. Output: 'Closed - $750 paid', 'Claim Denied (reason)', 'Open - substatus'. 31 Former and 3 Current residents matched. Zero formula errors.</t>
  </si>
  <si>
    <t>Complete. Column K auto-updates when LeaseLock tab is refreshed weekly. Manual notes preserved in column L.</t>
  </si>
  <si>
    <t>User asked: (1) Are LeaseLock claims on current tenants correct? (2) Make K red, L black. (3) Lock column K from edits.</t>
  </si>
  <si>
    <t>Found 3 false positives in Current section (Shead, Burton, Villanueva) — claims were for prior tenants in same unit. Updated K formula to match by unit AND tenant last name using SEARCH(LEFT(C,FIND(',',C)-1), LeaseLock!C). Set K font red, L font black. Locked K cells and protected sheet (all other columns unlocked).</t>
  </si>
  <si>
    <t>Formula now uses SUMPRODUCT((unit match)*(name SEARCH)) &gt; 0 as a gate, then LOOKUP with both conditions. 31 Former matches, 0 Current matches (correct). Protection allows insert/delete rows, sort, filter, format.</t>
  </si>
  <si>
    <t>Complete. False positives eliminated. K formatted red and protected. L formatted black and editable.</t>
  </si>
  <si>
    <t>User asked to add LeaseLock summary section with paid to date, paid vs loss, pending claims, denial %, etc.</t>
  </si>
  <si>
    <t>Added LEASELOCK SUMMARY block at J4:M9 with 10 formula-driven metrics. Unprotected sheet, wrote formulas referencing LeaseLock!L/M/F columns, re-protected with K locked.</t>
  </si>
  <si>
    <t>Metrics: Total Claimed ($385K), Total Paid ($71K), Recovery Rate (18.4%), Claims Filed (134), Claims Denied (13), Net Loss ($314K), Pending Claims (2), Pending $ ($7K), Denial Rate (9.7%), Avg Recovery/Claim ($530). All formulas auto-update.</t>
  </si>
  <si>
    <t>Complete. Summary section matches existing formatting style. Sheet re-protected.</t>
  </si>
  <si>
    <t>User asked why only 2 pending claims but many former residents have no LeaseLock comment in column K.</t>
  </si>
  <si>
    <t>Analyzed all 121 former residents. Found 87 with no LeaseLock claim filed (blank K column). Only 30 have matching claims. Broke down by status: 36 Skips ($204K), 6 Evictions ($57K), 45 Former ($49K). Total unclaimed exposure: $310K.</t>
  </si>
  <si>
    <t>The '2 pending claims' is correct (only 2 Open status in LeaseLock). The real issue is claims were never filed for 87 residents. High-value unfiled: Alexander ($15.5K), Brown ($13.8K), Miller ($13.4K), Diaz ($12.7K).</t>
  </si>
  <si>
    <t>Flagged for user to raise with Avery — potential filing gap. Some may still be within filing deadline.</t>
  </si>
  <si>
    <t>User reported formula inconsistency errors and row 14 overlapping older data. Asked to add row and label for the $139K Total Pending $.</t>
  </si>
  <si>
    <t>Inserted row 14 to separate LeaseLock summary from section header. Moved Total Pending $ and Avg Recovery to row 14. Cleared stale TEXTJOIN formulas from K138 (Former total) and K186 (Current total) which caused green triangle warnings. Re-protected sheet.</t>
  </si>
  <si>
    <t>Summary layout: D11:E11=Open Claims (2), D12:E12=Unfiled Claims (87), D13:E13=Unfiled Potential $ ($130,500), D14:E14=Total Pending $ ($137,611). G14:H14=Avg Recovery ($530). Row 15=EVICTIONS &amp; FORMER section header.</t>
  </si>
  <si>
    <t>Fixed. Green triangle warnings should clear. Former total now shows 122 accounts (was 121), Current shows 42 (was 43) — may need investigation if row insert shifted count formulas.</t>
  </si>
  <si>
    <t>User asked to remove rows 196-221, empty rows, and clarify confusing Total Pending vs Unfiled Potential labels.</t>
  </si>
  <si>
    <t>Deleted rows 196-219 (residual payment data), 3 empty formula rows (135-137), and 1 extra spacer. Renamed labels: 'Unfiled Potential $' → 'Est. Recovery (unfiled)', 'Total Pending $' → 'Est. Recovery (total)'. Fixed P column override list gaps (row insert had shifted P10-P13). Added formula for 43rd current resident. Updated SUM ranges.</t>
  </si>
  <si>
    <t>Layout now: row 134=last Former data, row 135=Former total (121 accts), row 136=spacer, row 137=CURRENT header, row 138=col headers, rows 139-181=data (43 accts), row 182=Current total. Summary: 86 unfiled ($129K est), 2 open, $136K total est recovery. Re-protected sheet.</t>
  </si>
  <si>
    <t>Complete. Clean layout, correct counts, clear labels.</t>
  </si>
  <si>
    <t>User asked to verify all LeaseLock claims are matched to Former residents in column K.</t>
  </si>
  <si>
    <t>Cross-referenced all 134 LeaseLock claims to 117 Former residents. Formula working correctly. Found 4 abbreviated unit numbers in LeaseLock from payment-only CSV import. Fixed unit codes.</t>
  </si>
  <si>
    <t>Fixed: 150 to S37-150 (Isidro), 69065 to W15-2-2089 (Palomino), 1080 to N19-1080 (Dominguez), 119 to S31-119 (Nunez). Real matches: 30 to 34.</t>
  </si>
  <si>
    <t>Verified. All real LeaseLock claims correctly flagged.</t>
  </si>
  <si>
    <t>User caught that summary formulas in E12-E14 started at row 18 instead of row 17, missing Alexander, Leaujodon.</t>
  </si>
  <si>
    <t>Fixed E12, E13, E14 formulas to scan B17:B134 (full Former section) instead of B18:B135.</t>
  </si>
  <si>
    <t>Counts updated: Unfiled Claims 82 to 83, Est. Recovery (unfiled) $123K to $124.5K, Est. Recovery (total) $130K to $131.6K.</t>
  </si>
  <si>
    <t>Fixed.</t>
  </si>
  <si>
    <t>User asked which blue tabs use Delinq Data tab data.</t>
  </si>
  <si>
    <t>Scanned all 17 blue-colored tabs for formula references to Delinq Data. Found only Screening_Impact_Analysis_7 with 4 references.</t>
  </si>
  <si>
    <t>Formulas use COUNTIFS/SUMIFS on Delinq Data C51:C200 and D51:D200. Flagged that Delinq Data extends to row 224, so rows 201-224 are being missed by these formulas.</t>
  </si>
  <si>
    <t>Identified. Awaiting user confirmation to extend formula ranges.</t>
  </si>
  <si>
    <t>User asked if Delinq Data tab was created by me.</t>
  </si>
  <si>
    <t>Searched Claude Log history — no record of creating Delinq Data tab. Confirmed it pre-existed in workbook.</t>
  </si>
  <si>
    <t>Only sheet I created during this session is Claude Log itself. Delinq Data was already part of the workbook before this session began.</t>
  </si>
  <si>
    <t>Confirmed: Delinq Data is a pre-existing source tab, not created by Claude.</t>
  </si>
  <si>
    <t>User confirmed to extend Delinq Data formula ranges in Screening_Impact_Analysis_7.</t>
  </si>
  <si>
    <t>Updated 2 formulas (B22 COUNTIFS and C22 SUMIFS) to scan Delinq Data rows 51-500 instead of 51-200.</t>
  </si>
  <si>
    <t>Now captures all current Delinq Data rows (extends to row 224) plus room for growth. Other 2 references in row 2 are text/note descriptions, not formulas.</t>
  </si>
  <si>
    <t>Done. Screening_Impact_Analysis_7 will not miss new Delinq Data entries.</t>
  </si>
  <si>
    <t>User refreshed all source data, asked to verify all blue tabs updated accordingly.</t>
  </si>
  <si>
    <t>Forced full workbook recalc. Scanned all 7 blue analytical tabs (Dashboard_1, Data_2, Delinquency_Detail_3, App_Pipeline_Intel_4, Action_Item_Tracker_5, Weekly_Question_Set_6, Screening_Impact_Analysis_7) for formula errors and verified key metrics.</t>
  </si>
  <si>
    <t>Zero formula errors found. Wk17 dashboard now shows: Occ 73.1%, Pipeline 168/33/7/68, June 55 exp/11 EarlyMO/7 NTV/25.5%, Collections $890K. App_Pipeline 168 total apps. Screening: $810K delinq/193 accts, 21 residents at-risk ($79K), $195K bad debt avoided.</t>
  </si>
  <si>
    <t>All blue tabs updated correctly with refreshed source data. Dashboard week selector at Wk17.</t>
  </si>
  <si>
    <t>User uploaded Resident Retention (2).xlsx with refreshed data, asked to update sheet starting at April 2026 (row 4) forward, leaving rows 2-3 untouched.</t>
  </si>
  <si>
    <t>Parsed xlsx (Apr 2026 - Apr 2027 = 13 months), wrote rows 4-16 in Resident Retention -12 months. Added new row 16 for Apr 2027 (was previously only through Mar 2027). Forced full workbook recalc.</t>
  </si>
  <si>
    <t>Key changes: April expirations 62 to 60 (net of MTM), April renewals 25 to 31 (51.7%), May renewals 19 to 22 (39.3%), June renewals 14 to 16 (29.1%). April MTM 0 to 64 (methodology change). Data_2 V column (Wk17) auto-updated via SUMIF formulas. Dashboard showing fresh values for all 4 renewal months.</t>
  </si>
  <si>
    <t>Complete. All blue tabs reflect updated retention data.</t>
  </si>
  <si>
    <t>User flagged App Pipeline detail rows 202+ had data missing or incorrectly formatted.</t>
  </si>
  <si>
    <t>Filled formulas in C202:K233 by autofilling from row 200. Applied row coloring based on E status (green for Cancelled/Denied/Converted, red bold for Incomplete/In Review). Extended summary formulas C6:C10 and H5:H9 from row 203 to row 233 to capture the new rows.</t>
  </si>
  <si>
    <t>32 rows formatted (rows 202-233): 11 Cancelled/Denied, 9 Incomplete, 5 In Review, 7 Converted (final after autofill recalc). Summary now: 46 active, 80 denied, 42 converted, total 168. Aging: 14 fresh, 11 normal, 10 approaching, 2 stale, 9 overdue.</t>
  </si>
  <si>
    <t>Complete. App pipeline detail fully populated and formatted, summary captures all 168 apps.</t>
  </si>
  <si>
    <t>User shared image with status update text on Justin's start, OKC transfer, late hours incentive plan, and floating PM. Asked to update Action Item Tracker.</t>
  </si>
  <si>
    <t>Updated G10 (Application Bottleneck) and G12 (Staffing Structure) with new operator comments capturing Justin starting Monday, OKC RC transfer on site, floating PM coverage, evening incentive trial.</t>
  </si>
  <si>
    <t>G10: Justin starts Monday + OKC backfill pressure + 6-7PM per-lease incentive (doubles at 11 leases, 30-day trial). G12: RC from OKC now on site, floating PM supporting this week, requested Leasing Manager back next week.</t>
  </si>
  <si>
    <t>Updated. Suggested adding standalone Compensation/Late Hours Incentive item if user wants it tracked separately.</t>
  </si>
  <si>
    <t>User shared email re: AVA water meter audit. Asked to add new action items for Alex (meter follow-up) and Melody (Conservice/RUBS call).</t>
  </si>
  <si>
    <t>Inserted 2 new rows (13-14) under STAFFING AND OPERATIONS section. Row 13: Water Meter Audit assigned to Alex, This Week, Pending. Row 14: RUBS/Conservice assigned to Melody, Next Week, Pending.</t>
  </si>
  <si>
    <t>Alex items: leak at Meter 863494 (9750 Royal), 8 missing reads, 2 incorrect reads, 3 missing/unnumbered meters, '194280 by 42' note clarification. Melody item: set up Conservice call to verify cap methodology + push for 95% cap on 3 clusters w/irrigation meters per PUC Rule 24.281.</t>
  </si>
  <si>
    <t>Added with proper alternating blue/white formatting and amber Pending badges. Both Wk 17.</t>
  </si>
  <si>
    <t>User asked to verify Eviction_Success_Rate tab is updated and formulas working (also renamed to Eviction_Success_Rate_8).</t>
  </si>
  <si>
    <t>Found 4 #DIV/0 errors in D83:D86. Root cause: B83-B85 formulas referenced Delinquency_Detail_3!F17:F60 (wrong column - F is now IPS/CAF) and G17:G60 (wrong column for balance, and row range too small after recent reorganization).</t>
  </si>
  <si>
    <t>Fixed B83-B85 to point at G17:G134 (Status column) and C83-C85 to point at H17:H134 (Balance column). Now showing: 13 Evictions ($112K), 46 Skips ($255K), 58 Former ($88K), Section Total $456K. Eviction Success 98.3%, Total Removal 79.1%.</t>
  </si>
  <si>
    <t>Fixed. Zero errors. All formulas in tab now working correctly.</t>
  </si>
  <si>
    <t>User asked to ensure Eviction_Success_Rate tab is fully updated and formulas working.</t>
  </si>
  <si>
    <t>Audited tab against Move_Out_Reasons source. Found 35 missing move-outs since 12/15/25. Inserted rows 67-101, pulled data via existing INDEX/MATCH formulas, extended summary formula ranges from A20:A66 to A20:A101. Updated B9, B10, B14, B15, C14, C15, D14, B102, C102, D102.</t>
  </si>
  <si>
    <t>Move-out list grew 47→82 tenants. Bad debt $125K→$261,951. TOTAL row moved 67→102. Section Total now matches source exactly. Status breakdown intact: 13 Evictions/$112K, 46 Skips/$255K, 58 Former/$88K. Eviction Success 98.3%, Total Removal 79.1%.</t>
  </si>
  <si>
    <t>Complete. Zero formula errors. New rows have F (Inherited) defaulted to 'No' — user can override for any tenants that were on ResMan AR 12/14/25.</t>
  </si>
  <si>
    <t>User asked to clear previous responses in yellow column.</t>
  </si>
  <si>
    <t>Located yellow cells G7:G22 on Weekly_Question_Set_6 (12 cells with prior week's response data). Cleared contents while preserving formatting.</t>
  </si>
  <si>
    <t>Dashboard_1 had no yellow cells. Action_Item_Tracker_5 had no yellow. Weekly_Question_Set_6 G7:G22 confirmed yellow with previous variance/response data.</t>
  </si>
  <si>
    <t>Cleared. Ready for new week's responses.</t>
  </si>
  <si>
    <t>User clarified: yellow column is H (Team Response) on Weekly_Question_Set_6, not G (Var). Asked to ensure EFH formatting matches original.</t>
  </si>
  <si>
    <t>Restored G7:G22 variance values that were mistakenly cleared in turn 41 (-3, ✓ Hit, -15, -10.5%, —, $5,248, -41%, -50%, -3, +6 improved, —, —). Cleared H7:H22 contents with yellow fill preserved. Verified EFGH formatting intact: headers, borders, conditional fills, number formats.</t>
  </si>
  <si>
    <t>G column conditional formatting (red FFC7CE for negative variance, green C6EFCE for hits) preserved. H column yellow fill (#FFFF00) preserved. Borders and font formatting verified intact.</t>
  </si>
  <si>
    <t>Fixed. H7:H22 ready for new week's responses with original formatting.</t>
  </si>
  <si>
    <t>User asked if I updated the questions on Weekly_Question_Set_6.</t>
  </si>
  <si>
    <t>Acknowledged I had only cleared H column responses, not refreshed the questions in B/C/D/E/F/G. Asked user to clarify week number, data source, and confirm format before rebuilding.</t>
  </si>
  <si>
    <t>Need: week number (Wk 17 vs 18?), source for new data (Dashboard/uploads?), and format confirmation. Last week's questions covered LEASING (3), COLLECTIONS (3), RENEWALS (3), OPS (1), CARRYOVER (2).</t>
  </si>
  <si>
    <t>Awaiting user response on data source and week number.</t>
  </si>
  <si>
    <t>User asked to update Weekly_Question_Set_6 for Wk17 with specific themes: new prospects quality (post pricing change), conversion drop, Justin onboarding, maintenance backfill, renewals to 80%, collections to 93%, WO backlog plan.</t>
  </si>
  <si>
    <t>Pulled Wk17 Dashboard, App Pipeline, and Targets KPIs. Built 12 questions: 3 Leasing (B7-B9), 3 Collections (B11-B13), 3 Renewals (B15-B17), 1 Ops (B19), 2 Carryover (B21-B22). Each with Discussion Topic (C), Supporting Data (D), Target (E), Actual (F), Var (G). Applied red/green conditional formatting to F/G columns based on hit/miss.</t>
  </si>
  <si>
    <t>Also added Wk17 action item: 'Maintenance Supervisor Backfill' (row 15, owner Alex, ASAP, Pending) re Angel's resignation. WO backlog 101 (+19 WoW), completion 83.7% post-Angel. New 80% renewal targets already in Targets!J18:J28 (user updated).</t>
  </si>
  <si>
    <t>Complete. Yellow H column ready for team responses. Question set covers all themes user specified.</t>
  </si>
  <si>
    <t>—</t>
  </si>
  <si>
    <t>Update Write_Off_Recon for April submission — former/move-outs in books 60+ days.</t>
  </si>
  <si>
    <t>Rebuilt detail block (rows 14-61) and JE block (rows 69-93) from current resident aged receivable data.</t>
  </si>
  <si>
    <t>Filtered aged receivable to Past/Past-Eviction/Past-Skip residents. Wrote 48-row detail block sorted by write-off amount. F-column formula uses E3 (as-of date 4/28/2026) - Lease End. Eligibility = days vacated &gt;= 60. K column = 61-90 + 90+ aging buckets. Linked JE block H column to detail K via formula refs. Extended JE block from 12 to 16 line items; shifted JE entry block from rows 83-89 to 87-93. Fixed F formula to handle blank rows so COUNTIF gives correct count.</t>
  </si>
  <si>
    <t>16 accounts eligible totaling $146,432.24 (7 Eviction $70,403, 5 Skip $57,073, 4 Former $18,955). JE: Dr Bad Debt Expense / Cr Tenant Receivables. Ready for PMC Accounting submission.</t>
  </si>
  <si>
    <t>Verify why April renewal rate is flat WoW on Dashboard_1.</t>
  </si>
  <si>
    <t>Traced D35/F35 formulas back through Data_2 row 50 to 'Resident Retention -12 months' source.</t>
  </si>
  <si>
    <t>D35 reads Data_2!W50 (=29/60=48.33%, live formula). F35 reads Data_2!V50 = 0.4833 (HARDCODED to match W50). Source has Transfers=2 (H4) and Pending=5 (I4) not included in W50 numerator (only column F Renewals).</t>
  </si>
  <si>
    <t>Two issues: (1) V50 hardcoded prior-week value masks WoW movement; (2) W50 formula likely undercounts numerator. Awaiting user direction on which to fix.</t>
  </si>
  <si>
    <t>Verify why April renewal rate is not moving WoW on Dashboard_1.</t>
  </si>
  <si>
    <t>Read Resident Retention -12 months source for April (row 4).</t>
  </si>
  <si>
    <t>April source row: Expiring=63, Early MO=6, NTV=18, Renewals=29, Transfers=2, Pending=5, MTM=3 (reconciles to 0). Pending count = 5.</t>
  </si>
  <si>
    <t>Reported Pending=5 to user. Awaiting direction on whether to fix V50 hardcode and/or W50 numerator definition.</t>
  </si>
  <si>
    <t>User asked why April renewal rate isn't moving WoW on Dashboard_1, then whether transfers are accounted for in 63 expiring and whether all MTM should be reflected in D46.</t>
  </si>
  <si>
    <t>Traced Dashboard_1!D45/D46 formulas through Data_2 to two source sheets: 'Resident Retention -12 months' and Res_Retention. Read both.</t>
  </si>
  <si>
    <t>D45 (Renewal %) sources 'Resident Retention -12 months' row 4: Expiring=63, Renewals=29, Transfers=2, Pending=5, MTM=3, NTV=18, Early MO=6 (reconciles). W47 denominator = 63-3 = 60; W50 = 29/60 = 48.3%. Prior week (V50) hardcoded 0.4833 = matches W50, masks WoW. D46 (Total MTM) sources Res_Retention!O3 = 65 via SUMPRODUCT(O2:O14). The two source sheets disagree on April: Res_Retention shows Expiring=125, MTM=65; 'Resident Retention -12 months' shows Expiring=63, MTM=3. Transfers (2) ARE included as a sub-bucket of the 63 expiring.</t>
  </si>
  <si>
    <t>User informed: (1) transfers already in 63 expiring; (2) D46=65 reflects all MTM from Res_Retention but renewal denominator only uses 3 from a different sheet — internal inconsistency. Asked user whether to reconcile sources or repoint W47/W50 to Res_Retention.</t>
  </si>
  <si>
    <t>Verify why April renewal rate is flat WoW; whether transfers are in 63 expiring; whether all MTM is in D46; recommend correct calculation.</t>
  </si>
  <si>
    <t>Read Resident Retention -12 months (row 4), Res_Retention (row 3), Dashboard_1 A44:I52, and Data_2 row 47/50/57.</t>
  </si>
  <si>
    <t>Dashboard_1 D45 (Renewal %) sources 'Resident Retention -12 months': 29/(63-3)=48.3%. F45 prior-week reads Data_2!V50 which is HARDCODED 0.4833 (no formula) — root cause of flat WoW. D46 (Total MTM=65) sources Res_Retention!O3 via SUMPRODUCT — different sheet than renewal source. Source conflict for April: Resident Retention -12 months shows Expiring=63/MTM=3; Res_Retention shows Expiring=125/MTM=65. Transfers (2) ARE included as sub-bucket of 63 expiring (29+2+5+6+18+3=63). W50 numerator only includes Renewals column F, excludes Transfers (H) and Pending (I).</t>
  </si>
  <si>
    <t>Recommended: pick single source of truth, define numerator (Renewals only vs +Transfers vs +Pending), and convert V50 hardcode to formula. Awaiting user decisions on (1) source sheet, (2) numerator definition, (3) fix V50 going forward.</t>
  </si>
  <si>
    <t>User asked if all column W data in Data_2 comes from the same tab.</t>
  </si>
  <si>
    <t>Read all W-column formulas in Data_2 (W1:W91) to trace source tabs.</t>
  </si>
  <si>
    <t>Column W draws from 10+ source tabs. Renewal rows (W37-W55) all reference 'Resident Retention -12 months'. W57 (Total MTM) is the outlier — uses Res_Retention!O2:O14 via SUMPRODUCT (=65). The renewal denominator (W47) subtracts MTM=3 from 'Resident Retention -12 months', not the 65 from Res_Retention. Gap = 62 units.</t>
  </si>
  <si>
    <t>User informed of source tab mapping. W57 is the sole cross-source inconsistency in the renewal/MTM area. Awaiting user decision: repoint W57 to 'Resident Retention -12 months' or update renewal denominator to use Res_Retention MTM.</t>
  </si>
  <si>
    <t>User confirmed W57 (Res_Retention) is correct source for MTM. Asked whether transfers are accounted for in total expirations and should count as renewals.</t>
  </si>
  <si>
    <t>Reconciled all 15 months of 'Resident Retention -12 months' — sum of components equals Expiring Leases in every row (diff=0).</t>
  </si>
  <si>
    <t>Transfers ARE included in total Expirations (denominator) but NOT in Renewals numerator (col F only). April: 29 renewals / (63-3 MTM) = 48.3%. If transfers (2) counted: 31/60 = 51.7%. If +Pending (5): 36/60 = 60.0%. Transfers appear in 3 months: Apr=2, May=1, Jan-27=1.</t>
  </si>
  <si>
    <t>Recommended counting transfers as renewals since they represent retained residents. Awaiting user confirmation to update W50 formula.</t>
  </si>
  <si>
    <t>User asked to update all renewal month formulas in column W to include Transfers in the numerator.</t>
  </si>
  <si>
    <t>Updated W40 (June), W45 (March), W50 (April), W55 (May) formulas to add SUMIF for col H (Transfers) to numerator.</t>
  </si>
  <si>
    <t>New formula pattern: =(SUMIF(...$F:$F)+SUMIF(...$H:$H))/W_denom. Results: W40=34.5% (unchanged, 0 transfers), W45=65.5% (unchanged, 0 transfers), W50=51.7% (+3.3pp, 2 transfers), W55=49.1% (+1.8pp, 1 transfer). Added notes on each cell documenting the change.</t>
  </si>
  <si>
    <t>Formulas updated and verified. April renewal % now 51.7% (was 48.3%). Dashboard_1!D45 will reflect 51.7% via INDEX into Data_2!W50.</t>
  </si>
  <si>
    <t>User uploaded 'Resident Retention (11).csv' and asked to update 'Resident Retention -12 months' tab for May and future months. Confirmed May forward only (leave April as-is). Also noted ~65 MTM should be removed — CSV shows 54 for May.</t>
  </si>
  <si>
    <t>Parsed CSV (13 rows, Apr 2026-Apr 2027). Compared to current sheet and Res_Retention. Updated rows 5-16 (May 2026-Apr 2027) with CSV values. Left row 4 (April) unchanged per user.</t>
  </si>
  <si>
    <t>Key changes: May Expiring 57→111, May MTM 0→54, May Renewals 27→28, Nov Pending 41→42. Data_2 formulas auto-updated: W52 (May denom)=57 (111-54), W55 (May renewal%)=50.9%, W57 (Total MTM)=54 (was 65). Apr row 4 left at Expiring=63, MTM=3.</t>
  </si>
  <si>
    <t>Rows 5-16 updated. Data_2 and Dashboard_1 formulas recalculated. W57 (Total MTM) now 54. Verified downstream formulas correct.</t>
  </si>
  <si>
    <t>User updated source report tabs (except LeaseLock) and added Application_Status_May. Asked to verify all blue (dark blue #002060) analysis tabs updated correctly.</t>
  </si>
  <si>
    <t>Audited all 8 dark blue tabs: Dashboard_1, Data_2, Delinquency_Detail_3, App_Pipeline_Intel_4, Action_Item_Tracker_5, Weekly_Question_Set_6, Screening_Impact_Analysis_7, Eviction_Success_Rate.</t>
  </si>
  <si>
    <t>Dashboard_1: D40=50.9% (May), D45=34.5% (Jun), D46=54 (MTM) — all correct. Delinquency, Action Items, Weekly Questions, Eviction, Screening: no errors, formulas intact. App_Pipeline_Intel_4: VSTACK in B66 only references Feb+Mar+Apr — Application_Status_May NOT included. Total Apps=168 excludes May-only applicants. E3 source label also outdated.</t>
  </si>
  <si>
    <t>7 of 8 dark blue tabs verified OK. App_Pipeline_Intel_4 needs VSTACK/LET formulas updated to include Application_Status_May. Awaiting user confirmation to proceed.</t>
  </si>
  <si>
    <t>User asked to verify all 8 dark blue tabs updated correctly after refreshing source report tabs and adding Application_Status_May.</t>
  </si>
  <si>
    <t>Full audit of all 8 dark blue tabs: read every cell on Dashboard_1, Data_2, Delinquency_Detail_3, App_Pipeline_Intel_4, Action_Item_Tracker_5, Weekly_Question_Set_6, Screening_Impact_Analysis_7, Eviction_Success_Rate. Scanned for formula errors (0 found). Checked data freshness and source references.</t>
  </si>
  <si>
    <t>5 tabs clean (Dashboard_1, Data_2, Delinquency_Detail_3, Action_Item_Tracker_5, Eviction_Success_Rate). 3 issues found: (1) App_Pipeline_Intel_4 VSTACK/LET formulas exclude Application_Status_May — Total Apps=168 understated. (2) Weekly_Question_Set_6 has stale Wk13 report date and Wk17 talking points. (3) Screening_Impact_Analysis_7 E13 only counts denials from Feb/Mar/Apr, inherits stale pipeline data.</t>
  </si>
  <si>
    <t>Recommended: update App_Pipeline formulas for May, update Screening E13, and refresh Weekly_Question_Set content. Awaiting user confirmation.</t>
  </si>
  <si>
    <t>User asked to fix App_Pipeline_Intel_4 (add May to VSTACK/LET formulas) and Screening_Impact_Analysis_7 E13 (add May to denial count).</t>
  </si>
  <si>
    <t>Updated B66 VSTACK to include Application_Status_May. Updated C-K LET formulas in row 66 to cascade May→Apr→Mar→Feb. AutoFilled rows 67-246 (181 rows). Updated E3 source label. Updated Screening E13 COUNTIFS to add May.</t>
  </si>
  <si>
    <t>App_Pipeline: B66 VSTACK now has 4 month tabs, unique units 168→181 (+13 new May units). C-K LET formulas now check May first (myCnt variable). All 1,629 cells error-free. Screening: E13 now sums denials from Feb+Mar+Apr+May = still 21 (May S column all 0). Notes added to B66 and E13.</t>
  </si>
  <si>
    <t>Both fixes complete and verified. No formula errors. App_Pipeline_Intel_4 and Screening_Impact_Analysis_7 now include Application_Status_May data.</t>
  </si>
  <si>
    <t>User asked how gross charges are calculated in Dashboard_1 (selected F48).</t>
  </si>
  <si>
    <t>Traced F48 and D48 formulas: both INDEX into Data_2 row 65. W65=SUM('receipts by charge code-AVA'!$C:$C). V65 hardcoded (prior week snapshot).</t>
  </si>
  <si>
    <t>Dashboard D48 (current wk)=$767,074 from Data_2!W65 which sums 'receipts by charge code-AVA' col C (Total Charges) across 32 charge codes. F48 (prior wk)=$890,342 from Data_2!V65 (hardcoded). Source tab has columns: Charge Code, GL Account, Total Charges, Prior Collections, Current Collections, Total Cash Collections, Credits/Concessions.</t>
  </si>
  <si>
    <t>Explained formula chain to user. No changes made.</t>
  </si>
  <si>
    <t>User uploaded 'Receipts By Charge Codes.xlsx' (April 2026) and asked if it ties to the $890,342 in V65 (prior week gross charges).</t>
  </si>
  <si>
    <t>Parsed uploaded file: 38 charge codes, AVA Total=$805,768.92 (Apr 2026). Compared to current workbook tab (32 codes, $767,073.93 = May data) and V65 ($890,341.69 hardcoded).</t>
  </si>
  <si>
    <t>Uploaded April file does NOT tie to $890,342 — gap of $84,573. Current tab already has May data ($767,074). Uploaded file has 6 extra codes vs current tab (BADDEBT, Beginning Balance, DEPOSIT, PETDEP, Refund Payable, RELETFEE) totaling -$104,500. V65 was likely captured from a different report version or prior month.</t>
  </si>
  <si>
    <t>Informed user: no tie. Suggested comparing prior week's receipts file to trace V65 source.</t>
  </si>
  <si>
    <t>User asked for April collection % from uploaded receipts file against $890,342, to plug into Incentive_Scorecard for Shawna.</t>
  </si>
  <si>
    <t>Calculated Total Cash Collections ($785,362) / Gross Charges ($890,342) = 88.2%. Wrote 0.882 to Incentive_Scorecard!D14 with source note.</t>
  </si>
  <si>
    <t>D14 (Apr Collection Rate) = 0.882. Base target ≥93% — April below threshold. Noted discrepancy: uploaded file gross charges = $805,769 vs V65 = $890,342. If using file's own total, rate = 97.5%. User also entered D15=0.88 (Eviction Success) and D21=0.517 (Renewal Conversion).</t>
  </si>
  <si>
    <t>D14 populated. Asked user whether denominator should be V65 ($890K) or uploaded file total ($806K).</t>
  </si>
  <si>
    <t>User asked if we have data to fill Avery's incentive scorecard KPIs for April (D34: Eviction Filing Accuracy, D35: LeaseLock Claims Recovery).</t>
  </si>
  <si>
    <t>Reviewed scorecard definitions and available source tabs. No filing accuracy data found (requires Nationwide/RSI court acceptance tracking). LeaseLock partial data exists on Delinquency_Detail_3 (134 claims, $385K claimed, $71K paid, 18.4% recovery) but not month-specific and missing filing completeness component.</t>
  </si>
  <si>
    <t>D34 (Eviction Filing Accuracy): No data available — requires external court acceptance records. D35 (LeaseLock Claims Recovery): Partial — portfolio recovery rate 18.4% exists but (1) not broken out by month and (2) 100% filing completeness component can't be verified from workbook data.</t>
  </si>
  <si>
    <t>Informed user neither KPI can be reliably filled from workbook data. No changes made.</t>
  </si>
  <si>
    <t>Import LeaseLock CSV — update existing claims and add new ones from uploaded CSV file</t>
  </si>
  <si>
    <t>Matched 35 claims by Item # and updated cols C,D,F,H,I,M,Q,W,AA,AB. Added 11 new claims in rows 136-146 with standard CAF Management defaults (B,E,K,Z).</t>
  </si>
  <si>
    <t>CSV columns mapped: claim_number→A, tenant_name→C, pms_unit_id→D, claim_status→F, certificate_id→H, claim_reported_date→I, total_paid_claim_usd→M, claim_denial_reason→Q, total_filed_claim_within_limit_usd→W, pms_property_id→AA, pms_tenant_id→AB. New claims: 26-109478, 26-112315, 26-112320, 26-112429, 26-112941, 26-112947, 26-113721, 26-114256, 26-114267, 26-114272, 26-114274.</t>
  </si>
  <si>
    <t>LeaseLock tab now has 145 data rows (rows 2-146). 35 existing rows updated, 11 new rows added. Columns L, N, O, P left blank for new rows (consistent with existing CAF section pattern).</t>
  </si>
  <si>
    <t>Verify downstream sheets updated after LeaseLock CSV import</t>
  </si>
  <si>
    <t>Audited all sheets for LeaseLock references. Only Delinquency_Detail_3 references LeaseLock — all formulas use open-ended ranges ($2:$500) so new rows 136-146 are automatically captured.</t>
  </si>
  <si>
    <t>Summary section (rows 10-14) uses COUNTIFS/SUMIFS on LeaseLock!$X$2:$X$500 etc. Detail section (rows 17-134) uses LOOKUP against LeaseLock!$D/$C columns for claim status in col K. No other sheets reference LeaseLock.</t>
  </si>
  <si>
    <t>No manual updates needed — all downstream formulas auto-captured the 11 new rows and 35 updated rows. Summary now shows 145 total claims, $71,817 paid, 18.6% recovery, 2 open, 22 denied (15%).</t>
  </si>
  <si>
    <t>Audit 4 red-shaded tabs to confirm source data is current after weekly update</t>
  </si>
  <si>
    <t>Reviewed CAF_App_Tracker (#C00000), CAF vs Pipeline Comparison (#C00000), DSO_Calculation (#DA9694), Write_Off_Recon (#DA9694), and Resident Retention -12 months (#C00000). See details for each.</t>
  </si>
  <si>
    <t>CAF_App_Tracker: Static data, dated 'As of 03/02/2026' — no formulas, not auto-updating. CAF vs Pipeline: References Dashboard_1 and App_Pipeline_Intel_4; has #REF! errors in cols L-W from broken source references; summary counts (C5:C9) and unit lists are hardcoded. DSO_Calculation: References T12 tab; all A/R and Charges data is hardcoded (not formula-linked); last entry is Dec 2025, no Jan-Apr 2026 data. Write_Off_Recon: References Dashboard_1!F3 for date; detail rows (A14:M61) are hardcoded; 'Days Since Move Out' formula uses $E$3 (the as-of date). Resident Retention: Entirely static, no formulas.</t>
  </si>
  <si>
    <t>Key issues: (1) CAF_App_Tracker still dated 03/02/2026 — needs manual refresh. (2) CAF vs Pipeline has #REF! errors in lookup columns. (3) DSO_Calculation missing Jan-Apr 2026 data. (4) Write_Off_Recon detail data is static — needs manual refresh if underlying data changed. (5) Resident Retention is static. None of these auto-update from other tabs.</t>
  </si>
  <si>
    <t>User said the rentals team reported 12 net leases Sunday → retracted to 11. Asked to verify Net Leases and Net Apps on Dashboard_1 before making any adjustments.</t>
  </si>
  <si>
    <t>Traced Dashboard_1 Wk19 formulas to Data_2 col X then to Boxscore MMR- Lead Conversion column sums. Did NOT modify any cells.</t>
  </si>
  <si>
    <t>Dashboard_1!C3=19 drives lookups. Net Leases D15=9 (formula Data_2!X26 = SUM(Boxscore!H:H) - SUM(I:I) = 11-2). Net Apps D14=4 (formula Data_2!X23 = X18-X22-X21 = 16-3-9). Boxscore Wk19 column sums: App-Completed (B)=16, App-Cancelled (C)=9, App-Denied (E)=3, App-Approved (F)=11, Lease-Completed (H)=11, Lease-Completed-Cancelled (I)=2, Lease-Approved (J)=12. Team's Sunday number 12 matches J; post-retraction 11 matches H. Dashboard's 9 likely double-deducts cancellations.</t>
  </si>
  <si>
    <t>Three plausible Net Leases values: 12 (Lease-Approved, what team saw Sunday), 11 (Lease-Completed, post-retraction), 9 (current dashboard formula). Most likely the dashboard formula is double-counting cancellations — recommended user confirm with team which Box Score column is authoritative before adjusting. Awaiting direction.</t>
  </si>
  <si>
    <t>After user updated the Box Score (formatting changes A2:J18 and Data_2!X23 edit), they asked whether submitted apps are correct.</t>
  </si>
  <si>
    <t>Re-read Boxscore MMR- Lead Conversion A1:J18 and Data_2 X14:X30. Did NOT modify any cells. Flagged a broken formula and an ambiguous definition.</t>
  </si>
  <si>
    <t>Updated Wk19 Box Score sums: App-Completed B=2, App-Cancelled C=23, App-Denied E=3, App-Approved F=12, Lease-Completed H=14, Lease-Completed-Cancelled I=3. Net Leases now reconciles: Dashboard D15=11 (= 14-3). Net Apps formula Data_2!X23 = X18-X22-X21 = 2-3-23 = -24, showing on Dashboard D14. X20 also = -36 (=X18-X19-X21-X22) which double-subtracts approved. Root cause: apps appear to move between status columns rather than accumulate, so B alone is not the full submitted count once apps get Approved.</t>
  </si>
  <si>
    <t>Reported Net Leases now correct at 11 but Net Apps formula is broken (-24). Recommended user confirm definition (gross submitted vs net of denials/cancellations) and clarify whether Box Score columns are mutually exclusive before I rebuild the X23 formula.</t>
  </si>
  <si>
    <t>Add July to Renewals &amp; Retention section on Dashboard_1 and remove March; user noted source data lives in Data_2.</t>
  </si>
  <si>
    <t>Added a new July renewals block in Data_2 (rows 92-97) and repointed the four Dashboard_1 month sections so they show April, May, June, July chronologically. Preserved March data in Data_2 rows 41-45 (still present, just no longer surfaced).</t>
  </si>
  <si>
    <t>Data_2: A92='RENEWALS - JULY', A93=46204 (7/1/2026), B94:B97 = Expirations/Early Move Outs/NTV/Renewal % with #,##0 and 0.0% formats; D94:AC97 left blank. Dashboard_1: B26 April (D27:D30, F27:F30 -&gt; rows 47-50); B31 May (-&gt; 52-55); B36 June (-&gt; 37-40); B41 July (-&gt; 94-97). Did not relocate March - left rows 41-45 intact in Data_2 so historical values aren't lost.</t>
  </si>
  <si>
    <t>Dashboard renewals now shows April 60/6/18/51.7%, May 57/9/9/54.4%, June 55/14/8/36.4%, July 0/0/0/0% (waiting on data input at Data_2 D94:AC97). March section removed from view.</t>
  </si>
  <si>
    <t>User asked for the code-change prompt to surface July renewals in the HTML dashboard.</t>
  </si>
  <si>
    <t>Wrote a Claude Code prompt with two specific edits to parseScenarioData.js: (1) add 'RENEWALS - JULY': {serial:46204, month:'Jul 2026'} to sectionMonths, (2) extend upcomingExpirations upper bound from 46204 to 46234 so all of July is included.</t>
  </si>
  <si>
    <t>Confirmed July 1, 2026 = serial 46204 (verified by formatting AE1:AE4 with date format in Data_2). Claude Code's earlier 46234/46235 suggestion was off by a month (=7/31 or 8/1). Lower bound of upcomingExpirations stays at 46113 — March (46082) already excluded. Verification asks Claude Code to confirm July appears in retention array and upcomingExpirations returns 4 entries (Apr-Jul).</t>
  </si>
  <si>
    <t>Prompt delivered in chat for user to paste into Claude Code. Once edits land, July renewals will surface as soon as user populates weekly data in Data_2!D94:AC97. No Excel changes needed.</t>
  </si>
  <si>
    <t>Claude Code reported it cannot apply the two-line parser edit (refusal constraint) and asked if user wanted Excel-side pre-verification.</t>
  </si>
  <si>
    <t>Pre-verified the Data_2 July renewals block structure to confirm the parser will find valid data once the code edit is applied manually. Also restated the two-line diff for user to apply in their editor.</t>
  </si>
  <si>
    <t>Confirmed Data_2!A92='RENEWALS - JULY', A93=46204, B94:B97 = Expirations / Early Move Outs / NTV / Renewal %, D94:AC97 empty awaiting weekly actuals. Parser will return July entry with null metric values until weekly columns are populated. Two-line edit: (1) add 'RENEWALS - JULY': {serial:46204, month:'Jul 2026'} after JUNE in sectionMonths; (2) change &lt;=46204 to &lt;=46234 in upcomingExpirations filter.</t>
  </si>
  <si>
    <t>Excel-side ready. Awaiting user to manually apply the parser edit in their editor and to populate July weekly data when available. No further Excel changes pending.</t>
  </si>
  <si>
    <t>User asked whether there's a way to update Excel here without breaking the HTML dashboard and while preserving historical data.</t>
  </si>
  <si>
    <t>Confirmed current Excel state already satisfies both constraints — no further Excel changes needed. Explained parser behavior (label search, unknown labels silently ignored) makes the dormant July block safe.</t>
  </si>
  <si>
    <t>Current safe-state: March preserved at rows 41-45 (still parsed via 'RENEWALS - MARCH' label), April/May/June untouched at rows 46-50/51-55/36-40, July block at rows 92-97 dormant (header 'RENEWALS - JULY' is not in the parser's sectionMonths dictionary so it's silently skipped). Excel Dashboard_1 month-section formulas point to the new July rows but HTML dashboard reads Data_2 directly so Dashboard_1 changes have no HTML impact. Only risk: reordering the 4 data rows within an existing month block would silently miscategorize.</t>
  </si>
  <si>
    <t>No Excel action needed to keep things working. July surfacing in HTML requires the two-line code edit only (sectionMonths + upcomingExpirations upper bound). User informed that the workbook is in the optimal safe state — historical preserved, dashboard unbroken, July ready to surface the moment the code lands.</t>
  </si>
  <si>
    <t>User asked to move July INTO the renewals section (alongside other months) and populate Wk19 data, without breaking HTML dashboard or losing historical data.</t>
  </si>
  <si>
    <t>Inserted 5 rows at Data_2 row 56, wrote July renewals block at rows 56-60 with SUMIF formulas mirroring other months, cleared the old July block (which had shifted from rows 92-97 to 97-102), and repointed Dashboard_1 July/MTM/Collections formulas to new row numbers.</t>
  </si>
  <si>
    <t>Data_2!A56='RENEWALS - JULY', A57=46204, B57:B60=Expirations/Early Move Outs/NTV/Renewal %, X57:X60 SUMIF formulas keyed on $A$57 pull from 'Resident Retention -12 months'. Wk19 values: 73/7/11/2.7%. MTM shifted from row 57→62, Move Activity from 58/59/60→63/64/65, Collections inputs from 65/69/70→70/74/75. Dashboard_1 D42:D45/F42:F45 repointed to rows 57-60 (was 94-97), D46/F46 to 62 (was 57), D48-D50/F48-F50 to 70/74/75 (was 65/69/70). Scanned all sheets for stray Data_2 references to the shifted rows — only the 10 Dashboard_1 formulas just rewritten matched, no orphans.</t>
  </si>
  <si>
    <t>Excel side complete. July renewals now sit at Data_2!A56:AC60 alongside March/April/May/June (preserved). Dashboard_1 shows live July data (73/7/11/2.7%). MTM (47) and Collections ($798k/$678k/81%) restored after row shift. HTML dashboard unbroken (parser uses label search; July at new row still invisible until code edit, March still parsed at rows 41-45). Historical March data fully preserved.</t>
  </si>
  <si>
    <t>Update Dashboard_1 renewals section formulas to point to new Data_2 row positions after April/May/June were swapped into chronological order.</t>
  </si>
  <si>
    <t>Rewrote 24 Dashboard_1 formulas: April D27:D30/F27:F30 → Data_2 rows 42-45; May D32:D35/F32:F35 → rows 47-50; June D37:D40/F37:F40 → rows 52-55. July (rows 57-60) unchanged.</t>
  </si>
  <si>
    <t>Each KPI has paired D (current period, $C$3+2) and F (prior period, $C$3+1) INDEX formulas. Wk19 values flowing: April 60/6/18/54%, May 57/9/9/56%, June 55/14/8/34%. Scanned all Dashboard_1 formulas for stale references in old March range $D$41:$D$45 — only the 8 new April formulas matched; no orphan references.</t>
  </si>
  <si>
    <t>Dashboard_1 'Renewals &amp; Retention' fully aligned with Data_2's chronological order (Mar 36-40 / Apr 41-45 / May 46-50 / Jun 51-55 / Jul 56-60). Excel side complete on both source and dashboard. HTML dashboard still needs the 2-line parseScenarioData.js edit to surface July.</t>
  </si>
  <si>
    <t>Verify Dashboard_1 renewals section is pointing to the correct months in Data_2 after the chronological reorder.</t>
  </si>
  <si>
    <t>Cross-checked Dashboard_1 INDEX formulas (B26-B45 renewal blocks plus B46 MTM) against Data_2 row labels (A36-A60). All four month sections + MTM verified.</t>
  </si>
  <si>
    <t>April D27-D30/F27-F30 → rows 42-45 (RENEWALS-APRIL header at A41). May D32-D35/F32-F35 → rows 47-50 (header A46). June D37-D40/F37-F40 → rows 52-55 (header A51). July D42-D45/F42-F45 → rows 57-60 (header A56). MTM D46/F46 → row 62. Both D-col (current period $C$3+2) and F-col (prior period $C$3+1) formulas matched.</t>
  </si>
  <si>
    <t>All Dashboard_1 renewal formulas correctly aligned with Data_2. No changes needed. Wk19 values flowing: April 60/6/18/54%, May 57/9/9/56%, June 55/14/8/34%, July 73/7/11/2.7%, MTM 47.</t>
  </si>
  <si>
    <t>User uploaded a richer CSV (Untitled-2026-05-13 (1).csv, 47 claims with 26 columns) and asked to update ONLY the LeaseLock tab while preserving Delinquency_Detail_3 manual notes.</t>
  </si>
  <si>
    <t>Mapped 47 CSV rows to existing LeaseLock CAF rows (rows 101-146) plus 1 append (row 147 for new claim 26-115192). Updated 16 fields per row across 853 cell writes in 5 chunks. Identity columns (B/C/D/E/H/K) only written for new row 147.</t>
  </si>
  <si>
    <t>Fields updated: F=Status, G=Substatus (new), I=Reported Date, L=Total Claimed (new), M=Paid, N=L-M formula, O=M/L recovery %, Q=Denial Reason, R=Dismissed, S=Action Required, U=Loss Date, V=TEXT(U,YYYY-MM) formula, W=Within Limit, X=Missing Docs, Y=Missing Docs List, Z=Owner, AA=Property ID, AB=Tenant ID. New row 147: Leonardo Jerezano,Anay Carrasco, N06-1028, Claim Denied/Claim Denied, Deadline-Eviction, $4957 claimed/$0 paid, Loss 3/11/2026. Pre-existing wrong test write at row 101 was overwritten with correct values: Christopher Lewis, Closed/Claim Item Denied, $1057.35/$522.58, AB=16800951.</t>
  </si>
  <si>
    <t>LeaseLock now has 146 data rows. Downstream Delinquency_Detail_3 summary auto-updated via existing open-ended formulas: $434,641 claimed, $71,817 paid, 16.5% recovery, 1 open, 23 denied (16%). Manual notes on Delinquency_Detail_3 (L19/L21/L22 collection comments, P10-P13 override list) verified untouched. AB143 corrected after a transcription error during chunk dispatch.</t>
  </si>
  <si>
    <t>User updated LeaseLock and Evictions_RSI tabs (also renamed K16 to LeaseLock/RSI and L16 to Collection/Leaselock/RSI Notes). Asked to wire column K on Delinquency_Detail_3 to surface both LeaseLock and RSI statuses while preserving manual team notes.</t>
  </si>
  <si>
    <t>Rewrote K17:K150 with a combined LL+RSI lookup formula. Sheet was protected; temporarily unprotected, wrote the formula, then re-protected. Did NOT touch column L (team notes) or N3:N24 / P3:P24 override lists.</t>
  </si>
  <si>
    <t>New formula uses LET with two named lookups: (1) llMatch = unit + last-name match against LeaseLock cols D and C, returns 'Claim Denied (sub)' / 'Open - sub' / 'stat - $X paid' / 'stat - no payment'. (2) rsiMatches = last-name SEARCH against Evictions_RSI!B3:B200 with zero-width-joiner stripped (UNICHAR(8204)), picks the latest filing by DATEVALUE of Evictions_RSI!A3:A200, returns that row's I status. Output combines: 'LL: x | RSI: y' if both present, else just whichever one matches, else ''. Spot-check verified: Flores (row 17)=RSI: Hearing Scheduled, Diaz (row 23)=LL: Claim Denied () | RSI: Hearing Scheduled, Harris (row 140)=RSI: Hearing Scheduled. L column manual notes (L19, L21, L22, L139, L140, L141, L142, L143, L144, L145, etc.) all intact. N3:N8 MOVED OUT OVERRIDE list and P3:P13 CURRENT OVERRIDE list also intact.</t>
  </si>
  <si>
    <t>Column K on Delinquency_Detail_3 now ties to both LeaseLock and Evictions_RSI tabs. 134 K-cells refreshed. Sheet re-protected. All manual team notes and override lists preserved.</t>
  </si>
  <si>
    <t>User flagged 2 issues on Delinquency_Detail_3: (1) border/style broken on rows 137-138 (header rows) from my prior K17:K150 copy-down; (2) past-move-out residents Sanders Dwayne and Meraz Elvira still appearing in Current section.</t>
  </si>
  <si>
    <t>Fixed both issues. (1) Restored K136 navy fill, K137 navy fill matching CURRENT RESIDENTS bar, K138 with "LeaseLock/RSI" header text + navy fill + bold white centered. Cleared stale K formulas at K136-K138. (2) Moved Sanders (move-out 5/1/2026) and Meraz (move-out 5/4/2026) from P (CURRENT OVERRIDE) to N (MOVED OUT OVERRIDE) at N9 and N10. Compacted P3:P11 to 9 remaining residents. Shifted L139:L182 notes up by 2 rows to follow residents in their new positions.</t>
  </si>
  <si>
    <t>Sheet unprotected/re-protected twice. New N3:N10 = Smiley, Perez, Means, Cetz, Elhakim, Taiwo, Sanders, Meraz. New P3:P11 = Harris, Fridia, Hishaw, Simpson, Taylor, Allen, Cooks, Sparks, Jackson (Sanders and Meraz removed). L139:L150 manually rewritten to match new residents (Harris's note now at L139, Fridia at L140, etc., Sanders's old 'resident moved out' note dropped since he's now in Former, Meraz's court-date note dropped since court is moot). L151:L182 shifted up by 2 rows via execute_office_js (read L153:L184, wrote to L151:L182, cleared L183:L184). Verified alignment: Cooks at row 144 = 'Appeals 5/6 Shawna', Dixon at row 146 = 'Appeals 5/12', Cortez at row 148 = '5/27 9:30am', Alvarez at row 160 = 'Appealed... won judgement', Castro at row 161 = 'Had to resend NTV'.</t>
  </si>
  <si>
    <t>Current section now shows 46 residents (was 48, less 2 moved to Former). Header row styling restored. L notes correctly aligned with residents. Sheet re-protected. Sanders and Meraz will now appear in Former section instead, picked up by the N override list. Excel side complete.</t>
  </si>
  <si>
    <t>User flagged K135 had a stray 'RSI: Cancelled' value and asked to audit summary calculations.</t>
  </si>
  <si>
    <t>Cleared K135 stale formula (the K17:K150 copy-down had put the lookup formula on the TOTAL row 135). Applied navy fill matching B135:J135. Also fixed E12 (Unfiled Claims), E13 (Est. Recovery unfiled), E14 (Est. Recovery total) which had a bug after the K formula was extended to include RSI.</t>
  </si>
  <si>
    <t>K135 had been populated by 'RSI: Cancelled' because the formula did SEARCH('',Evictions_RSI!B) on blank C135, which matches all RSI rows and returned the latest filing's status. Cleared with sheet.getRange('K135').clear(contents). E12 bug: old formula counted K17:K134=blank, returning 47 (only rows where neither LL nor RSI matched). After K extension that undercount missed 41 RSI-only residents who still have no LL claim filed. Fixed E12 to count rows where K does NOT contain 'LL:' = 88. Fixed E13=E12*1500=$132,000 and E14=Open-claims-sum+E12*1500=$135,118.</t>
  </si>
  <si>
    <t>Audit complete. K135 cleared and styled. Summary block calculations verified correct: C5-C9 delinquency totals (no issues), C11-C13 LL totals (no issues), E11-E14 fixed for accurate unfiled-LL counting, H5-H14 aging/recovery/denial metrics (no issues). One label note: C9 'Pending Eviction $' sums Grace Period and Current Eviction balances - definition matches label intent. Sheet re-protected.</t>
  </si>
  <si>
    <t>User asked to validate the Delinquency_Detail_3 summary section, specifically Unfiled Claims = 88 in E12.</t>
  </si>
  <si>
    <t>Audited the 9 summary cells C5–C13 and E11–E14, then cross-checked E12 against the K-column LL: marker data, the physical section layout, and the C13 source on the LeaseLock tab.</t>
  </si>
  <si>
    <t>E12 formula =SUMPRODUCT((B17:B134&lt;&gt;"")*(C17:C134&lt;&gt;"")*(ISNUMBER(SEARCH("LL:",K17:K134))=FALSE)) is internally consistent with its scope: ~30 'LL:' rows + 88 non-LL rows ≈ 118 displayed rows in Evictions/Former section. Other summary cells (C5 $854,505, C6 227, C7 19, C8 57, C9 $42,467, C11 $434,641, C12 $71,817, C13 146, E11 1, E13 $132,000, E14 $135,118) all compute without errors. Two structural concerns: (1) B135 reads 'TOTAL (146 accounts)' from a SUMPRODUCT against 'resident aged receivable'!E2:E462 covering all qualifying evictions/skips/collections/former-residents, but the physical section only has 118 data rows (17–134). 28 qualifying accounts have no row to live in — either the section is truncated or B135's account count overstates the displayed universe. (2) C13 Claims Filed = COUNTA(LeaseLock!A2:A500) = 146 covers ALL LeaseLock records regardless of whether the resident is current, former, or a prior tenant on a unit. E12 Unfiled Claims = 88 counts only the evictions/former-residents in this sheet without an LL: tag. The two populations are not complementary, so 'Filed 146 + Unfiled 88 = total potential' is not meaningful. E13's $132,000 estimated recovery on the 88 unfiled inherits the same scope issue.</t>
  </si>
  <si>
    <t>E12 = 88 is correct for the formula written, but flagged two structural issues for user review: (a) section physical capacity (118 rows) vs B135's stated 146 accounts, and (b) C13 vs E12 are over different universes so they can't be combined. No cells modified — read-only audit.</t>
  </si>
  <si>
    <t>User asked to fix the E12 Unfiled Claims count to cover the full 146-account universe, not just the displayed section.</t>
  </si>
  <si>
    <t>Added a helper column N on 'resident aged receivable' that flags qualifying-and-unfiled accounts across all 462 source rows, then rewrote E12 to sum that helper. Also rewrote B135 label to honestly show 'displayed (118) of (146) qualifying accounts'.</t>
  </si>
  <si>
    <t>Helper formula in 'resident aged receivable'!N2:N462: =IF(AND(&lt;qualifying status OR override list&gt;, NOT in current-force list, balance&gt;0, no LeaseLock match by unit+lastname),1,0). Unit+lastname match via SUMPRODUCT against LeaseLock!C:D. Initial copyToRange wrote literal text on every other row (alternation bug) — cleared and reapplied via autoFill which worked cleanly. E12 went 88 → 115; E13 auto-cascaded 132,000 → 172,500 via =E12*1500; E14 cascaded to 175,618. B135 now reads 'TOTAL displayed (118 of 146 qualifying accounts)' so the row-count gap is visible. Section physical capacity still capped at 118 rows (17-134) — to display all 146 would require inserting 28 more data rows, but that's a separate decision.</t>
  </si>
  <si>
    <t>Unfiled Claims now correctly reflects the full qualifying universe: 115 of 146 qualifying delinquent accounts have no LeaseLock claim on file, $172,500 estimated recovery at $1,500/claim. The 31 accounts WITH LL claims are visible by tracing 'resident aged receivable'!N where value=0 AND status qualifies. Section still displays only top 118 by balance; user may want to extend rows or accept that the bottom 28 (smallest balances) aren't on the dashboard.</t>
  </si>
  <si>
    <t>User pushed back on the 115 unfiled count, asking if it was correct.</t>
  </si>
  <si>
    <t>Re-validated the helper column with a parallel JS recount. Found two bugs in the helper formula and two duplicate rows in the source data. Fixed the formula bugs.</t>
  </si>
  <si>
    <t>Helper formula in 'resident aged receivable'!N had B2 (Bldg-Unit) where it should have used D2 (Resident name) in BOTH override COUNTIF checks. Effect: (1) the curForce exclusion list P3:P24 never matched anyone, so all 9 names on that list (Harris, Fridia, Hishaw, Simpson, Taylor, Allen, Cooks, Sparks, Jackson) were being incorrectly counted as unfiled even though the property is actively pursuing them; (2) the moveForce inclusion list N3:N24 only added 1 name (Taiwo) that wasn't already qualifying by status. Net helper change: -9 + 1 = -8, taking 115 → 107. Also found 2 duplicate rows in 'resident aged receivable' source: Alexander/Leaujodon rows 225 &amp; 227 (identical W28-2-1020 $21,116 Past-Eviction), Giles/Avelaura rows 226 &amp; 228 (identical W28-2-2018 $370 Past-Skip). These duplicates also inflate C5 ($), C6 (227 count), and B135 (146 count). True unique unfiled = 105. Did NOT remove the source dupes — that's a data-quality decision for the user.</t>
  </si>
  <si>
    <t>E12 = 107 (was 115). E13 = $160,500. E14 = $163,618. 107 includes 2 duplicates (Alexander, Giles); true unique = 105. Source-data duplicates also affect C5/C6/B135 totals — flagged for user decision on whether to dedupe.</t>
  </si>
  <si>
    <t>User confirmed to delete the 2 duplicate source rows.</t>
  </si>
  <si>
    <t>Deleted rows 227 and 228 of 'resident aged receivable' (bottom-up to preserve indices). All dependent summary cells auto-recalculated.</t>
  </si>
  <si>
    <t>Removed: Alexander/Leaujodon duplicate (was row 227, W28-2-1020, $21,116.05 Past-Eviction) and Giles/Avelaura duplicate (was row 228, W28-2-2018, $370.03 Past-Skip). Excel auto-contracted the SUM formula ranges in B135 and E12 from row 462 to row 460. All cascading metrics updated.</t>
  </si>
  <si>
    <t>Final state: C5 Total Delinquency $833,019 (-$21,486); C6 Delinq Accts 225 (-2); C7 Evictions 18 (-1); C8 Skips 56 (-1); H7 Eviction Exposure $224,475 (-$21,116); H8 Skip Exposure $324,143 (-$370); B135 'TOTAL displayed (118 of 144 qualifying accounts)'; H135 section total $592,282 (-$21,486); E12 Unfiled Claims 105 (-2); E13 Est Recovery (unfiled) $157,500; E14 Est Recovery (total) $160,618. Source data is now clean of those 2 known duplicates.</t>
  </si>
  <si>
    <t>User asked to break Early Move Outs in each month section of Dashboard_1 renewals into Non-Renewal (Owed Rent), Skips (Evictions), and Max Renewal % Possible sub-rows, sourced from Move_Out_Reasons. Also fix the yellow-highlighted Delinquency Balance to count only current residents (not former).</t>
  </si>
  <si>
    <t>Added Data_2 helper rows 102-110 (May/June/July x 3 metrics each) with SUMPRODUCT formulas against Move_Out_Reasons by Lease End month. Inserted 9 new rows in Dashboard_1 (rows 34-36 May, 42-44 June, 50-52 July). Rewrote Delinquency Balance formula to filter resident aged receivable by Current*/Notice* statuses only.</t>
  </si>
  <si>
    <t>Non-Renewal (Owed Rent) = SUMPRODUCT where Reason='Non-Renewal (by Property)' AND Balance&gt;0 by Lease End month. Skips (Evictions) = SUMPRODUCT including Skipped Without Notice + Skipped During Eviction + Eviction + Failure To Pay by Lease End month. Max Renewal % Possible = (Exp - NonRen - Skips - NTV) / Exp. Delinquency Balance now uses SUMIF resident aged receivable Lease Status starts-with Current or Notice (excludes Past* / former residents). Dashboard Delinquency Balance shifted from D52 to D61 after row inserts.</t>
  </si>
  <si>
    <t>May: 1 Non-Renewal, 11 Skips, Max Renewal 63.2%. June: 0 / 5 / 76.4%. July: 0 / 1 / 83.6%. Delinquency Balance current-residents-only = -$279,064 (was -$837,079 total). All formulas live, formatting matches existing rows.</t>
  </si>
  <si>
    <t>User clarified that the 'Early Move Outs' row was actually showing Non-Renewals. Asked to relabel that row and remove the separate Non-Renewal (Owed Rent) rows I added in the previous turn.</t>
  </si>
  <si>
    <t>Deleted 3 rows in Dashboard_1 (the Non-Renewal (Owed Rent) rows under each month). Relabeled the existing 'Early Move Outs' row to 'Non-Renewals' for May, June, July. Updated Max Renewal % formulas in Data_2 to drop the now-orphaned Non-Renewal subtraction. Cleared the orphaned Non-Renewal helper cells on Data_2.</t>
  </si>
  <si>
    <t>Rows deleted (bottom-up): Dashboard_1 row 50 (Jul Non-Renewal), row 42 (Jun Non-Renewal), row 34 (May Non-Renewal). After deletes: B33/B40/B47 = 'Non-Renewals'. Max Renewal % formulas: D104=(X47-D103-X49)/X47, D107=(X52-D106-X54)/X52, D110=(X57-D109-X59)/X57 (removed the D102/D105/D108 Non-Renewal subtraction). Cleared Data_2 A102:D102, A105:D105, A108:D108. Skips (Evictions) helper rows D103/D106/D109 and Max R% rows D104/D107/D110 still in place.</t>
  </si>
  <si>
    <t>May: Non-Renewals 9, Skips 11, Max R% 64.9%. June: Non-Renewals 14, Skips 5, Max R% 76.4%. July: Non-Renewals 7, Skips 1, Max R% 83.6%. Renewal % rows unchanged (56.4% / 34.5% / 2.7%).</t>
  </si>
  <si>
    <t>User asked to add Pending Renewals rows under May/June/July in Dashboard_1 renewals section.</t>
  </si>
  <si>
    <t>Inserted 3 new rows on Dashboard_1 (one per month). After untangling row-shift confusion from sequential inserts, manually wrote correct content into each target row so all 3 months have consistent order: Exp / Non-Renewals / Skips / Max R% / Pending Renewals / NTV / Renewal %.</t>
  </si>
  <si>
    <t>Pending Renewals row pulls from 'Resident Retention -12 months'!I:I via INDEX/MATCH on month date: D36=May (Data_2!$A$47), D44=June (Data_2!$A$52), D52=July (Data_2!$A$57). Number format #,##0. C/E/F/G/H = '—' (no target/variance/prior wk applicable). Formatting copied from existing rows.</t>
  </si>
  <si>
    <t>May Pending = 8, June Pending = 13, July Pending = 53. Live link to Resident Retention -12 months so values refresh automatically when source updates.</t>
  </si>
  <si>
    <t>Reorder renewal sub-rows in Dashboard_1: move Max Renewal % Possible BELOW Renewal %, and Pending Renewals ABOVE Renewal %. Target order per month: Exp / Non-Renewals / Skips / NTV / Pending Renewals / Renewal % / Max R% Possible.</t>
  </si>
  <si>
    <t>Rewrote labels, formulas, and styling for rows 35-38, 43-46, 51-54 in Dashboard_1 to swap MaxR% (was position 4) and NTV (was position 6), keeping Renewal % above MaxR% at the bottom of each block.</t>
  </si>
  <si>
    <t>Per block, new row 4-7 order: NTV, Pending Renewals, Renewal %, Max Renewal % Possible. NTV pulls Data_2 rows 49/54/59 (May/June/July) via INDEX $C$3+2. Pending unchanged from Resident Retention -12 months I column. Renewal % keeps target from Targets col 10 and full var/WoW/status badge. Max R% pulls Data_2!D104/D107/D110 (helper formula computed earlier in turn 121) — no target, em-dashes in C/E/F/G/H.</t>
  </si>
  <si>
    <t>May NTV 9 / Pending 8 / Renewal % 56.4% / MaxR% 64.9%. June 8 / 13 / 34.5% / 76.4%. July 11 / 53 / 2.7% / 83.6%. All formulas live, formatting consistent.</t>
  </si>
  <si>
    <t>User asked to validate Max Renewal % Possible — if May renews all 8 pending, does the achieved % equal 64.9%? Then asked to exclude Transfers from the corrected formula.</t>
  </si>
  <si>
    <t>Diagnosed Max R% bug: original formula (Exp − Skips − NTV)/Exp used Move_Out_Reasons Skips count which doesn't align with the Resident Retention bucket structure and ignored Early Move-outs. Rewrote Data_2 D104/D107/D110 to (Renewals + Pending)/Expirations, sourced directly from Resident Retention -12 months.</t>
  </si>
  <si>
    <t>Resident Retention buckets sum to Expirations (mutually exclusive): Renewals + Transfers + Early Move-out + NTV + Pending + MTM. Old formula tried to back into max by subtraction but Skips ≠ Early Move-out + NTV. New formula computes max directly = already-renewed + still-undecided. Transfers excluded per user direction (on-site relocations, not lease renewals).</t>
  </si>
  <si>
    <t>May: 64.9% → 66.7% (30 renewals + 8 pending out of 57). June: 76.4% → 60.0% (20 + 13 out of 55). July: 83.6% → 75.3% (2 + 53 out of 73). Test confirmed: if May converts all 8 pending, renewals = 38, achieved = 38/57 = 66.7% — matches new Max.</t>
  </si>
  <si>
    <t>User uploaded a CSV of 49 LeaseLock claims and asked to update the matching claims on the LeaseLock tab.</t>
  </si>
  <si>
    <t>Matched 47 of 49 claims to existing LeaseLock rows; updated row 105 (26-113399) status and denial reason; appended 2 new claim rows.</t>
  </si>
  <si>
    <t>Row 105 (26-113399 Breana Renee): F Closed→Claim Denied, Q→Deadline- Eviction. Appended row 148 (26-115719 DIANAI DIAZ/Victor Enriquez, W13-1-1311) and row 149 (26-115731 Aramide Ogundipe, S27-424), both Closed status, filed/paid 750, reported 2026-05-14, loss 2026-03-16. Used row 147 template: text format on A/H, currency on L/M/N/W, percent on O, date on I/U, formulas N=L-M, O=M/L, V=TEXT(U,YYYY-MM). Per user, only the changed row + 2 new claims were updated; other 46 matched rows already had current data.</t>
  </si>
  <si>
    <t>Row 105 corrected; 2 new claims added at rows 148-149 with full formatting and formulas.</t>
  </si>
  <si>
    <t>User asked why Avg Days to Decision on Dashboard_1 jumped back to 15 for the actual (current) week.</t>
  </si>
  <si>
    <t>Traced D24 formula chain: Dashboard_1!D24 ← Data_2!Y35 ← App_Pipeline_Intel_4!C16. Explained the underlying calculation and the two drivers behind the jump.</t>
  </si>
  <si>
    <t>C16 = ROUND(C3 - AVERAGEIFS(I66:I203, E66:E203, "In Review", I66:I203, "&gt;0"), 1). Measures avg age (Completed→Today) of still-open apps, NOT decisions actually made. Drivers: (1) aged In Review queue — 3 of 7 are 15+ days old; aging buckets H5:H9 show 4 in 15-21d, 3 in 22-30d, 9 in 30+d. (2) The 8.4 and 9.5 readings in W35/X35 were the outliers in a series bouncing 10-18 for months; 15 is in normal range. Also flagged that the KPI label is misleading — it's age of open queue, not throughput on closed decisions.</t>
  </si>
  <si>
    <t>User informed; offered to build a true decisions-this-week metric using cancelled date (J) and completed date (I) filtered by reporting week if desired.</t>
  </si>
  <si>
    <t>User asked to verify App_Pipeline_Intel_4 updated correctly after all reports were updated.</t>
  </si>
  <si>
    <t>Audited the tab: confirmed live formulas refreshed; flagged two real defects that the refresh did not fix.</t>
  </si>
  <si>
    <t>LIVE/OK: C5:C10 pipeline counts (197/41/71/55/1/0), C14:F17 processing speed LET formulas, H5:H9 aging buckets (10/14/4/3/9), C16/C17/C18 active processing metrics. DEFECT 1: C24 = C7-C22-C23-C25-C26 yields -30 because C22/C23/C25/C26 are non-mutually-exclusive categories overcounting losses; cascades to D24=-30 and E24=-37%. DEFECT 2: Hardcoded last-week narrative strings in G14/G15/G16/G17/G18/G22/G23/G24/G27 don't auto-update (e.g. "Up from 11d last wk", "vs 36% last wk", "up from 29% last wk").</t>
  </si>
  <si>
    <t>User informed of both defects. Offered fixes: (a) make loss buckets mutually exclusive, (b) wire G-column narratives to dynamic WoW, or (c) both. Awaiting reply.</t>
  </si>
  <si>
    <t>User asked to fix the Avg Days to Decision KPI so it actually measures Completed→Decision, not age of the open queue.</t>
  </si>
  <si>
    <t>Rewrote App_Pipeline_Intel_4!C16 to compute avg of (DecisionDate − Completed) across apps that received an actual decision in the trailing 4-week window.</t>
  </si>
  <si>
    <t>Old formula: =$C$3 - AVERAGEIFS(I66:I203, E66:E203, "In Review", I66:I203, "&gt;0") — measured age of still-open queue (Completed→Today), labeled "Completed→Decision" but didn't measure that. New formula uses LET across Application_Status_Feb/Mar/Apr/May, with decision date = MAX(M Approved, R Cancelled, S Denied), filtering: J&gt;=46054 (trailing 4 weeks), L&gt;0 (completed), at least one of M/R/S&gt;0, decision&gt;=completed. Old C16=15, new C16=10.5 days. Dashboard_1!D24 now reads 10.5.</t>
  </si>
  <si>
    <t>KPI corrected. Dashboard now reflects actual avg time from Application Completed to Decision (Approved/Cancelled/Denied) for decided apps in the last 4 weeks. The two other defects flagged earlier (negative loss bucket math at C24, hardcoded WoW narrative strings in G14-G27) remain open.</t>
  </si>
  <si>
    <t>User reported D61 (Delinquency Balance) on Dashboard_1 now shows new methodology (Current+Notice from resident aged receivable) but F61 (prior week) still shows old cumulative number, breaking the WoW progress indicator.</t>
  </si>
  <si>
    <t>Investigated F61 source. Found F61 reads Data_2!X78 which holds the OLD-methodology value ($837,078.94 from trending delinquency!$D$105). No prior-week snapshot of the new metric exists anywhere in the workbook.</t>
  </si>
  <si>
    <t>F61 formula: =-IF($C$3&gt;1,IFERROR(INDEX(Data_2!$D$78:$AC$78,1,$C$3+1),""),""). Data_2 row 78 was historically populated weekly from trending delinquency tab using old methodology (all charges across all leases). The new D61 formula sums live Current/Notice buckets from resident aged receivable which is a non-historical snapshot. trending delinquency tab has daily history Feb-May but all values are old methodology. No PM-system export of last week's aging report available in workbook. Cannot reconstruct.</t>
  </si>
  <si>
    <t>Asked user if they have a screenshot, PDF, or PM-system export of last week's aging report. If not, recommended showing F61 as '—' this week and starting snapshot history from this week forward so WoW comparison works next week. Awaiting user response.</t>
  </si>
  <si>
    <t>User uploaded CSV (Untitled-2026-05-27.csv, 53 LeaseLock claims) and asked to update status on all matching claims in the LeaseLock tab.</t>
  </si>
  <si>
    <t>Matched CSV claim_number to LeaseLock Item # (col A). Updated Status (col F) and Substatus (col G) on 4 rows where values differed.</t>
  </si>
  <si>
    <t>Matched 49/53 CSV claims. Updates: Row 105 (26-113399) G→'Claim Denied'; Row 144 (26-114267) F→'Closed' G→'Pending Documentation;Closed-No Insured Response'; Row 148 (26-115719) G→'Amount Claimed Greater than Limit'; Row 149 (26-115731) G→'Amount Claimed Greater than Limit'. 4 CSV claims not present in LL (not added): 26-116301 (Tamiko Brown, W11-1-1106, Open), 26-116303 (Jonathan Tinoco, W05-1-0503), 26-116304 (Fakuade Babatope, W07-1-0720), 26-116305 (Nicholas Fonwo, N07-2050) — all reported 2026-05-22.</t>
  </si>
  <si>
    <t>4 rows updated in LeaseLock; 4 new CSV claims flagged to user.</t>
  </si>
  <si>
    <t>User confirmed to add the 4 new CSV claims (not previously in LeaseLock) to the bottom of the tab.</t>
  </si>
  <si>
    <t>Appended rows 150–153 with full formatting matching row 149 template (text format on A/H, $#,##0.00 on L/M/N/W, 0.0% on O, mm/dd/yyyy on I/U, formulas N=L-M, O=M/L, V=TEXT(U,YYYY-MM)).</t>
  </si>
  <si>
    <t>Row 150: 26-116301 Tamiko Brown W11-1-1106 Open, claimed $4620 paid $0, Q='Eviction Documentation'. Row 151: 26-116303 Jonathan Tinoco W05-1-0503 Closed/AmtGT Limit, $1203/$750. Row 152: 26-116304 Fakuade Babatope W07-1-0720 Closed/AmtGT Limit, $1500/$750. Row 153: 26-116305 Nicholas Fonwo N07-2050 Closed/AmtGT Limit, $1035/$750. All reported 2026-05-22.</t>
  </si>
  <si>
    <t>LeaseLock now has 152 claim rows (149 prior + 3 from last session + 4 new). All 53 CSV claims now reconciled.</t>
  </si>
  <si>
    <t>User asked me to review the Delinquency_Detail_3 tab — specifically the Current Residents section vs. Former Residents section — and report findings only (no edits).</t>
  </si>
  <si>
    <t>Located section boundaries (row 15 = Former header, row 137 = Current header). Read both sections (~57 rows). Cross-checked status field, move-out date, and K-column LeaseLock/RSI match formula vs L-column manual notes.</t>
  </si>
  <si>
    <t>Key findings: (1) Allen, Quentin (W14-1-1416, row 143) has move-out date 4/21/26 and L note 'resident moved out' but still in Current section — should be moved to Former or added to N3:N24 override. (2) Cortez/Clark/Dixon flagged as 'Current/Notice MTM' in Current section despite RSI Granted/writs pending — status field upstream may be lagging. (3) Taylor, Talika RSI 'Dismissed (Tenant PAID)' — eviction resolved, may no longer need to be in Current Eviction list. (4) K column blank on ~20 of 36 Current rows where L note says 'Pending Court date' — those residents don't have matching LeaseLock claims or RSI filings, so K formula correctly returns blank (data gap, not formula bug).</t>
  </si>
  <si>
    <t>Findings reported in chat. No edits made per user direction.</t>
  </si>
  <si>
    <t>User accepted finding #1 (move Allen to Former) and #3 (remove Taylor since RSI Dismissed-Tenant PAID). Asked whether I was recommending a fix for #2 (status field mismatches).</t>
  </si>
  <si>
    <t>Added 'Allen, Quentin' to N11 (MOVED OUT OVERRIDE). Removed 'Taylor, Talika' from P7 and shifted P-list up to keep contiguous: P7=Cooks, P8=Sparks, P9=Jackson Leo, P10/P11 cleared. Explained fix for #2 in chat — G-column formula could be extended to also reclassify P3:P24 residents as 'Eviction'.</t>
  </si>
  <si>
    <t>P-list before: P3 Harris, P4 Fridia, P5 Hishaw, P6 Simpson, P7 Taylor, P8 Allen, P9 Cooks, P10 Sparks, P11 Jackson Leo. After: P3 Harris, P4 Fridia, P5 Hishaw, P6 Simpson, P7 Cooks, P8 Sparks, P9 Jackson Leo. N-list now includes Allen at N11. Allen will auto-flow to Former section ranked by balance. Taylor will drop from Current section (no Past/Eviction/Skip/Collections status upstream, so won't appear in Former either).</t>
  </si>
  <si>
    <t>Edits applied. Awaiting user direction on whether to extend G-column formula for #2 status reclassification.</t>
  </si>
  <si>
    <t>User flagged that D38 (Max Renewal % Possible) on Dashboard_1 looks wrong because current Renewal % (D37) is higher than the supposed max.</t>
  </si>
  <si>
    <t>Investigated D38 and traced source formula on Data_2!D104.</t>
  </si>
  <si>
    <t>Confirmed bug: D37 Current Renewal % = 64.8% (from Data_2!D50, Expirations-NonRenewals-NTV methodology). D38 Max Renewal % = 61.4% (from Data_2!D104 = (Resident Retention col F + col I) / col C — different dataset and denominator). Max is mathematically lower than actual, which is impossible. Same issue likely affects D107 (June) and D110 (July). Recommended rebuild: Max = (Expirations - NTV - Skips)/Expirations on the Data_2 base.</t>
  </si>
  <si>
    <t>Issue confirmed and explained in chat. Offered to rewrite D104/D107/D110 on Data_2 expirations base. Awaiting user direction.</t>
  </si>
  <si>
    <t>Move-outs from last week aren't reflected in Delinquency tab; residents who moved out should be in the Former/Evictions section.</t>
  </si>
  <si>
    <t>Traced sources; identified 5 residents flagged 'resident moved out' in col L; routed them to Former section via N3:N24 override; fixed current-section filter bug; resolved Cooks P-exclusion conflict.</t>
  </si>
  <si>
    <t>Added Coronado/Alvarez/NJENDU/Dixon/Cooks to N12:N16 override. Fixed parenthesis bug in current-section rank formula A139:A181 (P-exclusion was added outside AND-chain, re-admitting excluded rows). Removed Cooks from P7 exclusion per user (she moved out). Move-out date col E still = Lease End (RAR col H); no live vacate-date source exists in workbook.</t>
  </si>
  <si>
    <t>All 5 now in Former section w/ Status='Former' (Cooks row23, Dixon row26, Coronado row52, Alvarez row62, NJENDU row67). Current section=43 accounts, no errors. Note: only 5 of ~17 had 'moved out' in col L.</t>
  </si>
  <si>
    <t>Fix column K notes in Delinquency_Detail_3 showing notes on rows 130-133 with no tenants attached</t>
  </si>
  <si>
    <t>Diagnosed and fixed orphan notes in column K of the eviction/former-residents block</t>
  </si>
  <si>
    <t>Root cause: K formula derives lastName from resident (col C); when C blank, SEARCH("") matched every Evictions_RSI row and emitted phantom 'RSI: Awaiting NTV Expiration'. Added IF($C='','',...) guard to K17:K134 via autoFill. Sheet was protected; unprotected, edited, re-protected.</t>
  </si>
  <si>
    <t>Resolved: K130:K134 now blank; real tenant rows (K125 Susana, K126 Rodriguez) retain correct LL/RSI notes.</t>
  </si>
  <si>
    <t>User reports dashboard Delinquency Balance (D61) appears to reflect June 1 instead of May 30 month-end.</t>
  </si>
  <si>
    <t>Traced D61 source and explained root cause; awaiting user to re-pull May 30 report.</t>
  </si>
  <si>
    <t>D61 = -(SUMIF resident aged receivable E:E 'Current*' I:I + SUMIF 'Notice*'). No date logic; just sums current snapshot in 'resident aged receivable' (A1:N719). That sheet has no embedded as-of date, so figure reflects whatever report run is pasted. Source appears to be June 1 run. User will download May 30 report and re-paste; offered to handle paste-in and range alignment (esp. col N formula).</t>
  </si>
  <si>
    <t>Awaiting user: will re-export aged receivable as-of May 30; no formula change needed if source corrected.</t>
  </si>
  <si>
    <t>User uploaded a LeaseLock claims CSV (63 claims) and asked to update the LeaseLock tab — modify statuses/info for existing claims and add any missing ones.</t>
  </si>
  <si>
    <t>Matched CSV by claim_number to LeaseLock: updated 53 existing rows (101–153) and appended 10 new rows (154–163).</t>
  </si>
  <si>
    <t>Mapped CSV fields to columns A–AC (status F, sub-status G, amounts L/M/W, dates I/J/U/AC as serials, docs X/Y). New rows got N=L-M, O=IF(L=0,"",M/L), V=IFERROR(TEXT(U,"YYYY-MM"),"") formulas; formatting copied from row 153. New claims: 26-116848,116839,116838,116827,116663,116661,116845,116672,116666,116835.</t>
  </si>
  <si>
    <t>LeaseLock now has all 63 CSV claims (rows 101–163). All formulas evaluated with no errors.</t>
  </si>
  <si>
    <t>User asked why Dashboard D61 still shows 684K and won't reconcile to an expected 90K current delinquency balance after updating the aged-receivable and trending-delinquency tabs.</t>
  </si>
  <si>
    <t>Traced D61 formula and broke down the aged-receivable source by lease status; compared against trending delinquency tab.</t>
  </si>
  <si>
    <t>D61 = -(SUMIF Current* + SUMIF Notice* on 'resident aged receivable' col I) = 564,598 + 120,391 = 684,989 — sums current/notice residents, not delinquency. True-delinquent statuses (Past/Eviction/Skip/Collections) total ~700K and are excluded. Trending delinquency latest real row (126) = 826,043 (all statuses per footnote). 90K not found in any source. Flagged trending delinquency row 127 as a likely bad paste (B127=1.59M, F127=718).</t>
  </si>
  <si>
    <t>Explained mismatch: D61 points at a different population/tab than the 90K. Asked user to identify source of 90K (aging bucket, other tab, net of LeaseLock, or exact cell). Awaiting user input.</t>
  </si>
  <si>
    <t>User clarified the 90K should be the delinquency balance as of 5/31.</t>
  </si>
  <si>
    <t>Located 5/31 (serial 46172) = row 125 on trending delinquency; broke aged-receivable into aging buckets (0-30/31-60/61-90/90+) by status category to search for a 90K total.</t>
  </si>
  <si>
    <t>5/31 trending Delinquency (D125) = 826,382. Aged-recv totals: all=1,385,566; true-delinquent=790,309; 90+ all=542,181; 90+ delinquent=528,719; Current+Notice 90+=65,505; delinquent 31-60=100,995. No status/aging combination yields ~90K. Likely the workbook tabs are a newer/larger extract than the 90K figure, or 90K lives in an unreferenced cell.</t>
  </si>
  <si>
    <t>Confirmed 90K is not derivable from current tab data. Asked user to point to the exact sheet+cell where 90K appears. Awaiting cell reference.</t>
  </si>
  <si>
    <t>Refresh the LeaseLock tab from the uploaded CSV (64 claims) — update statuses of existing claims and add any new ones.</t>
  </si>
  <si>
    <t>Matched 64 CSV claims by claim_number against LeaseLock col A: 63 already existed (updated only changed cells), 1 was new (appended).</t>
  </si>
  <si>
    <t>Updated 11 changed cells in existing rows (tenant-name corrections in col C, one denial reason Q150, one missing-doc list Y105, one dismissed flag R132); no status changes. Appended new claim 26-117282 (Andres Hernandez, N20-2089, status New) at row 164 with formulas N=L-M, O=IF(L=0,..,M/L), T=I-U, V=TEXT(U,YYYY-MM); left P (Coverage Limit, not in CSV) blank.</t>
  </si>
  <si>
    <t>LeaseLock now has 163 claims (rows 2-164). New row 164: claimed $1,000.72, paid $0, days-to-file 54, month 2026-04. No formula errors.</t>
  </si>
  <si>
    <t>After updating green source tabs + adding June app-status tab, verify all blue (calculated) tabs updated correctly — especially the Dashboard and the Delinquency tab (move-outs from evictions should flow to the Former section). Preserve manual notes in Delinquency column L.</t>
  </si>
  <si>
    <t>Scanned all 7 blue tabs for errors; audited Dashboard_1 and Delinquency_Detail_3 logic; fixed Delinquency ranking formula + cleaned override lists; fixed Data_2 #REF errors. Did NOT modify column L.</t>
  </si>
  <si>
    <t>Delinquency_Detail_3: (1) fixed Section B ranking A173:A181 (were missing the '(On Property)' clause that A139:A172 use, corrupting the LARGE-rank) so list is 43 distinct residents; (2) cleared stray ranking formulas in total rows A135/A136/A182; (3) removed Harris, Fridia, Hishaw, Jackson from the P 'Current Override' list (all now rar status 'Past-Eviction'=moved out) so they route to the Former section — kept Simpson &amp; Sparks (still 'Current-Eviction'). Data_2: fixed 8 #REF! cells in DSO rows 85-86 (broken 'T12' refs) — row85 uses 'T12'!$C$24; row86 2-mo trailing uses AVERAGE('T12'!$D$24,'T12'!$C$24). Dashboard_1: verified, no changes needed.</t>
  </si>
  <si>
    <t>All 7 blue tabs now error-free (0 formula errors). Moved-out evictions now in Former section. FLAGGED for user judgment: N 'Moved Out Override' has names whose rar status is still present (Coronado=Current, Dixon=Notice-MTM, Alvarez &amp; NJENDU=Notice-Eviction, Taiwo=not in rar); Data_2 row86 prior-month ref assumed T12!$D$24; Section B shows 43 of 59 / Section A 118 of 173 due to fixed row capacity.</t>
  </si>
  <si>
    <t>User asked what the Dashboard D61 delinquency balance was at the end of April and end of May.</t>
  </si>
  <si>
    <t>Explained D61 is a live snapshot (Current*+Notice* SUMIF on resident aged receivable) with no history; pulled month-end values from the trending delinquency daily series.</t>
  </si>
  <si>
    <t>Month-end serials: Apr 30 = 46142 -&gt; $724,738 (trending delinquency D108); May 31 = 46173 -&gt; $826,043 (D126), matching Data_2 row 80 Wk22. Noted D61's narrow Current+Notice definition does not reconcile to the broad all-status trending balance; Apr 30 is the monthly trough (pre-May charge posting).</t>
  </si>
  <si>
    <t>Provided April 30 = $724,738 and May 31 = $826,043. Flagged that D61-definition (Current+Notice only) month-end history is not stored in the workbook.</t>
  </si>
  <si>
    <t>User uploaded April and May aged-receivable CSVs and asked for delinquency (calculated exactly like D61) and total collection % for both months.</t>
  </si>
  <si>
    <t>Replicated D61 logic on each CSV; mapped workbook col E=Lease Status to CSV col C and col I='Unallocated Charges/Credits' to CSV col F; SUMIF Current*+Notice*. Flagged that collection % cannot come from aged-receivable snapshots.</t>
  </si>
  <si>
    <t>April file = '...(1).csv' (notes thru ~5/1): Current*=241,342 + Notice*=23,037 -&gt; D61 magnitude $264,379. May file = no-suffix (notes thru 5/30): Current*=59,618 + Notice*=66,043 -&gt; $125,661. D61 stores as negative. Collection % = Payments/Net Charges (Data_2 r76) needs charges+receipts not present in aged receivable.</t>
  </si>
  <si>
    <t>Delivered April $264,379 and May $125,661 delinquency. Collection %: user will upload separate charges/receipts reports; awaiting those to compute Payments/Net Charges per month.</t>
  </si>
  <si>
    <t>Uploaded image of William's comments on the Q2 2026 Incentive_Scorecard and asked how to respond to his target-setting questions for Shawna, Alex, Nylsa, and Avery.</t>
  </si>
  <si>
    <t>Read Incentive_Scorecard actuals plus Dashboard_1 (wk23/June) and Targets (refi scenario); drafted a data-grounded reply recommending target adjustments for each participant.</t>
  </si>
  <si>
    <t>Key facts cited: physical occ 72.9% (vs 84% target), renewal ~60% Q2 (recommend 65% not 80%), collection 89.5% (recommend 90% not 93%), eviction court 94% (keep 85%), NOI $13.6K Apr/$110.8K May vs $258K proforma (95% unrealistic, rebase), delinquency $264K-&gt;$126K (keep &lt;=$200K), filing accuracy 86.5% (keep 90%), LeaseLock recovery 16% vs 60% target which contradicts $40-65K expected recovery (recommend ~20-25%).</t>
  </si>
  <si>
    <t>Reply drafted in chat; offered to update scorecard target cells to recommended values. Awaiting user go-ahead.</t>
  </si>
  <si>
    <t>Update the Write_Off_Recon tab as of June 8th.</t>
  </si>
  <si>
    <t>Refreshed the tab to a June 8, 2026 basis: updated Report Period (B3), expanded the write-off recommendation list from 16 (April) to 26 eligible accounts, and rebuilt the proposed journal entry section for June.</t>
  </si>
  <si>
    <t>As-of date E3 already pulled June 8 from Dashboard_1!F3, so detail aging was current. Inserted 10 rows (85:94); list rows 69:94 now link by formula to the detail table (=B14/=A14/=G14/=K14 etc.) instead of static values, sorted by write-off amount desc. Updated A64/A66/A97 headers to June 2026, JE date B98=6/8/2026, JE descriptions to (Jun 2026), totals G95/H95=SUM(69:94), H98=COUNTA(B69:B94). Normalized formatting/borders on expanded rows. List = all accounts 60+ days since move-out (eligibility logic unchanged); did not filter by col M 'Write-Off Approved'.</t>
  </si>
  <si>
    <t>Write-off total $178,280.32 (26 accounts) ties exactly to summary B7/B6; JE debit=credit=$178,280.32. 10 newly eligible accounts added since April list (e.g., Smith, Williams L., Brown T., Santana, Jose Y.).</t>
  </si>
  <si>
    <t>Update LeaseLock statuses from the uploaded CSV for existing residents, add any new ones, and make sure statuses auto-update in the Delinquency tab.</t>
  </si>
  <si>
    <t>Refreshed all 64 existing CAF Management claims in LeaseLock from the CSV (matched by claim #/Item #). Found 0 new residents to add. Verified Delinquency tab pulls LeaseLock status live.</t>
  </si>
  <si>
    <t>Updated cols F,G,I,J,L,M,P,Q,R,S,U,W,X,Y,AC on LeaseLock rows 101-164; left N/O/T/V as live formulas. Delinquency_Detail_3 col K (LeaseLock/RSI) + summary C11:H14 reference LeaseLock!$2:$500, covering all updated rows. Calc mode confirmed Automatic; forced full recalc.</t>
  </si>
  <si>
    <t>LeaseLock current (e.g. Andres Hernandez New-&gt;Closed, $932.50 paid). Delinquency statuses live (e.g. Brown, Nicole 'LL: Closed - $750 paid'; Recovery Rate 16.7%). No new rows added.</t>
  </si>
  <si>
    <t>Delinquency LeaseLock summary Recovery Rate is unfair (denominator = Total Claimed, ignoring policy coverage caps). Add a separate 'Avery's Recovery %' in J11:K11 based on capped/claimable amounts.</t>
  </si>
  <si>
    <t>Added Avery's Recovery % at J11:K11 = Total Paid / Claimed Within Limit (each claim capped at its coverage limit). Also fixed incomplete W column on LeaseLock.</t>
  </si>
  <si>
    <t>K11 =IFERROR(SUM(LeaseLock!M2:M500)/SUM(LeaseLock!W2:W500),0), fmt 0.0%, with note. Filled LeaseLock 'Claimed Within Limit' (W) for 99 older IPS rows using =MIN(L,P) since W was blank there (which had inflated the ratio to 178%). Unprotected/re-protected the Delinquency sheet to write. Standard Recovery Rate (H11) left unchanged.</t>
  </si>
  <si>
    <t>Avery's Recovery % = 65.5% vs standard Recovery Rate 16.7%. LeaseLock col W now complete for rows 2-164.</t>
  </si>
  <si>
    <t>Asked how Avery's Recovery % is calculated — specifically whether it's total coverage limit vs paid.</t>
  </si>
  <si>
    <t>Explained the calculation. Clarified it is NOT total coverage limit; denominator is Claimed Within Limit = MIN(claimed, coverage limit) per claim (LeaseLock col W).</t>
  </si>
  <si>
    <t>Avery's % = SUM(M) $80,580 / SUM(W) $122,983 = 65.5%. Contrasted with total-coverage-limit method (SUM(P) $135,500 = 59.5%) and standard rate (SUM(L) $482,130 = 16.7%). Offered to switch denominator to full coverage limit if preferred.</t>
  </si>
  <si>
    <t>Explanation provided; no spreadsheet changes. Awaiting user decision on whether to use within-limit (current) or full coverage limit denominator.</t>
  </si>
  <si>
    <t>Asked how the 65.5% (Avery's %) compares to LeaseLock column O per-claim recovery calculations.</t>
  </si>
  <si>
    <t>Analyzed and compared. Column O = Paid/Total Claimed per claim (uncapped, same basis as 16.7% total rate); Avery's 65.5% caps each denominator at coverage limit.</t>
  </si>
  <si>
    <t>Across 163 claims: Column O avg 31.1%, median 24.4%, aggregate 16.7%. Within-limit basis: avg 65.2%, median 100%, aggregate 65.5%. 128/163 (79%) claims exceeded cap; only 3 at 100% on col O vs 83 at 100% on capped basis. Offered to add a capped per-claim recovery column next to O.</t>
  </si>
  <si>
    <t>Comparison explained; no spreadsheet changes. Avery's 65.5% ~= 4x aggregate col O and ~2x simple avg of col O.</t>
  </si>
  <si>
    <t>Audit only (no changes): on the Delinquency evictions tab, check the CURRENT RESIDENTS section for anyone who actually moved out in the last week, using the rent roll + move-out report; ignore future move-out dates.</t>
  </si>
  <si>
    <t>Audited all 41 current residents (rows 139-179) by unit against RR_Unit_Details (rent roll) and Move_Out_Reasons. Flagged 3 who moved out in the last week but are still listed as current.</t>
  </si>
  <si>
    <t>Flagged: Marshall, Alton N20-2093 (row 141) moved out 6/16/26 'Failure To Pay'; Cruz, Lesly N11-2042 (row 151) 6/17/26 'Skipped During Eviction' (unit now Vacant in rent roll); Cooper, Latricia N19-1083 (row 167) 6/15/26 'Non-Renewal'. Of the rest: 22 'Notice Unrented' have FUTURE expected move-outs (correctly still current), 18 'Occupied No Notice'. Ignored Move_Outs_ResMan (stale through 3/31/26) and discarded loose name-matches (false positives).</t>
  </si>
  <si>
    <t>3 residents likely need reclassifying from Current to Former/Moved-Out. Audit only - no changes made to the model.</t>
  </si>
  <si>
    <t>Update LeaseLock tab from uploaded CSV (Untitled-2026-06-24.csv) — refresh status of existing claims and add all new entries; file is most up to date.</t>
  </si>
  <si>
    <t>Matched 69 CSV claims by Item # against 163 existing rows: updated 64 existing CAF Management records and appended 5 new entries.</t>
  </si>
  <si>
    <t>Matched by claim_number→Item# (col A). Updated cols F,G,J,L,M,P,Q,R,S,X,Y,AC on rows 101-164. Added rows 165-169 (claims 26-118121/118125/118313/118316/118305) with formulas N,O,T,V,W and formats copied from row 164. Coverage Limit (P) = total_paid + unused_coverage_limit.</t>
  </si>
  <si>
    <t>LeaseLock now has 168 data rows (2-169). New entries: Earl Roof, Leaujodon Alexander, Jordan Feaster, Ramiro Gabriel/Yanheli Barriga, Krystal Farrell. Investor Property Services rows (2-99) untouched.</t>
  </si>
  <si>
    <t>Dashboard renewals: June/July Max Renewal % Possible were wrong (sourced from static cells in Data_2). Integrate Skips &amp; Max Renewal % into the weekly table so they update weekly; remove April renewals, shift May/June/July up, add August.</t>
  </si>
  <si>
    <t>Restructured Data_2 renewals blocks and rebuilt the Dashboard_1 renewals section.</t>
  </si>
  <si>
    <t>Data_2: inserted Skips (Evictions) + Max Renewal % Possible as weekly rows in May (52/53), June (59/60), July (66/67) and built a new August block (68-74); replicated the month-anchored Move_Out_Reasons/Resident-Retention formulas across all weekly cols D:AD so they recompute weekly; deleted the orphan cells (old D104-D111). Dashboard: removed April, shifted May(26-33)/June(34-41)/July(42-49) up, cloned July to build August(50-57); re-pointed Skips/Max D&amp;F to the new in-table rows via INDEX(...,$C$3+2).</t>
  </si>
  <si>
    <t>Dashboard now A1:I81. Verified live values: May Skips 19/Renewal 64.8%/Max 61.4%; June Skips 8/Max 30.9%; July Skips 3/Max 50%; Aug Skips 2/Max 68.6%/Pending 22; Total MTM 35. Downstream intact: Gross Charges 881,238.6, DSO 29.09, WO Opened 145, Avg NER 1,060.27.</t>
  </si>
  <si>
    <t>Max Renewal % Possible showed below the actual renewal rate (June max 30.9% vs 39.7% renewal; same for May) — calc was wrong.</t>
  </si>
  <si>
    <t>Corrected the renewal-rate and max-possible formulas in Data_2 for May/June/July/August to the workbook's documented basis.</t>
  </si>
  <si>
    <t>Root cause: (1) actual Renewal % current-week cells divided by the WRONG month's lease count (May AD51 used June's expirations, June AD58 used an earlier month's =58) — pre-existing broken refs; (2) my Max formula used (Renewals+Pending)/Expirations. Rewrote both self-contained from 'Resident Retention -12 months': Renewal %=(F Renewals+H Transfers)/(C Expirations−J MTM); Max=(F+H+I Pending)/(C−J). Renewal% fixed only in current-week col AD (preserved manual history N:AC); Max% across D:AD. Anchors A48/A55/A62/A69.</t>
  </si>
  <si>
    <t>Max now ≥ actual for all months. May 62.5%/64.3%, June 42.6%/48.1%, July 28.4%/50.0%, Aug 25.5%/68.6%. Note: actual renewal rates also shifted (e.g., June 39.7%→42.6%) because their denominators were corrected.</t>
  </si>
  <si>
    <t>August block on the dashboard showed no data for Expirations and Non-Renewals.</t>
  </si>
  <si>
    <t>Wired August Expirations/Non-Renewals/NTV in Data_2 to the Resident Retention tab, matching the formula pattern used by the other months.</t>
  </si>
  <si>
    <t>Set Data_2 AD69 (Exp−MTM)=SUMIF(RR C)−SUMIF(RR J), AD70 (Non-Renewals)=SUMIF(RR D), AD71 (NTV)=SUMIF(RR E), anchored to $A$69 (Aug 1, 46235). These had been left blank for manual entry when the block was created.</t>
  </si>
  <si>
    <t>Dashboard August now shows: Expirations 51, Non-Renewals 5, NTV 11, Skips 2, Pending 22, Renewal 25.5%, Max 68.6%. Verified rendered values.</t>
  </si>
  <si>
    <t>Delinquency Detail: people in the Former/Evictions section had future move-out dates but were still on the rent roll — should be in Current section. Preserve K/L comments.</t>
  </si>
  <si>
    <t>Verified all Former-section future-move-out residents against the 'resident aged receivable' rent roll; corrected the 3 that were mis-flagged.</t>
  </si>
  <si>
    <t>Sheet is formula-driven. Root cause: 3 active residents were in the MOVED OUT OVERRIDE list (col N), forcing them into Former and excluding them from Current. Cleared N12 (Coronado, Iram), N13 (Alvarez, Nixon), N15 (Dixon, Dewayne) — all status 'Notice - Eviction' (still on property). Other override names verified as genuinely Past/moved-out and left as-is. Re-ranked Current section gained 3 rows (now 139-174); manually re-aligned the row-anchored CAF notes in col L so each note stayed with its resident; 3 new arrivals left blank. Col K is formula (auto).</t>
  </si>
  <si>
    <t>The 3 now appear in Current (rows 140/142/149) as active evictions and remain in the Evictions/Former list (rows 37/81/92, status Eviction). All L notes preserved and correctly aligned in both sections; verified.</t>
  </si>
  <si>
    <t>Eliminate the green error triangles on Delinquency_Detail_3.</t>
  </si>
  <si>
    <t>Diagnosed the triangles; advised manual fix. No formula changes (formulas are correct).</t>
  </si>
  <si>
    <t>Scanned full used range: 0 numbers-stored-as-text, totals SUM ranges complete (no omits-adjacent). Triangles are 'Inconsistent Formula' false-positives on summary cells (C6/C7/C8/C9/C12, E12/E13, H6/H7/H8/H12/H13) — different metrics stacked vertically (e.g. C7 two COUNTIFs, C9 three SUMIFS, H13 text formula). Office.js exposes NO error-checking API, so cannot dismiss indicators or toggle background error checking programmatically.</t>
  </si>
  <si>
    <t>Advised user: select B5:H13 → ⚠ → Ignore Error (file-saved), or File&gt;Options&gt;Formulas&gt;uncheck Enable background error checking (global). Declined to convert KPIs to static values (would go stale). No workbook changes made this turn.</t>
  </si>
  <si>
    <t>Uploaded a new LeaseLock claims export CSV (78 claims); asked to update status and other new info for existing residents in the LeaseLock tab and add all new ones.</t>
  </si>
  <si>
    <t>Merged the CSV into LeaseLock: matched all 78 claims by claim number (col A); compared every mapped field on the 69 existing matches; appended the 9 claims not yet in the sheet as new rows 170-178 with formulas and row-2 formatting. Also restored the Recovery % formula in O4.</t>
  </si>
  <si>
    <t>Field mapping: CSV claim_number→A, pmc→B, tenant→C, unit→D, property→E, status→F, substatus→G, certificate→H, reported→I, reoccupied→J, policy holder→K, claimed→L, paid→M, denial→Q, dismissed→R, action required→S, move-out→U, missing docs→X/Y, owner→Z, property id→AA, tenant id→AB, dispute→AC. Coverage Limit (P) derived as paid+unused_coverage_limit (verified = min(claimed,limit) reconciles with CSV within-limit field on all 78 rows). Formula cols written for new rows: N=L-M, O=IF(L=0,"",M/L), T=I-U, V=TEXT(U,"YYYY-MM"), W=MIN(L,P). Tenant co-name order differences ignored (CSV reorders co-tenants). O4 contained stray text 'Need you' (user typed into cell); restored =IF(L4=0,"",M4/L4).</t>
  </si>
  <si>
    <t>0 existing rows needed changes - all 69 matched claims already reflected the export exactly. 9 new claims added (26-118841 Scott Johnson, 26-118838 Maricela Ortega/Juan Ruiz, 26-118824 Kelvia Hernandez, 26-118599 Jerry Esebanme/Oluchi Chukwudire, 26-118837 Nadia Ramirez, 26-118600 Luis garcia, 26-118839 Aminu Titilayo, 26-118815 Eric Santini/Mia Smith, 26-118816 Carlos Jose Oliva Cordero) in rows 170-178. All formulas verified error-free; formats (date/currency/%/text) match existing rows.</t>
  </si>
  <si>
    <t>Verify delinquency tab: no active rent-roll residents in Evictions &amp; Former section (move to Current); fix Excel-highlighted errors. Mid-task: preserve all manual col-L notes and formula col-K notes per resident.</t>
  </si>
  <si>
    <t>Created Delinq_Notes_Backup tab (144 residents, K values + L notes). Confirmed the prior interrupted run had already applied the Former-section filter fix (excludes Current*/Notice* statuses unless in N override) but left manual L notes misaligned. Reconstructed the pre-fix ranking from rent-roll data to recover true note ownership, re-placed all 20 Former-section notes, appended Divini/Rashidi notes to their Current rows, fixed B135 qualifying-count formula to match the new rule.</t>
  </si>
  <si>
    <t>Root cause: rent roll no longer uses '(On Property)' status text, so 16 active 'Notice - Eviction' residents leaked into Evictions &amp; Former (all already in Current). Old ranking reconstruction validated: 194 qualifying accounts matched B135 label; 16 removed rows matched pre-cancel scan. Notes preserved: 18 re-placed in Former, 26 untouched in Current, 2 merged with ' | ' separator. K is formula-driven per row and follows residents automatically.</t>
  </si>
  <si>
    <t>Former section now has no active residents (verified vs rent-roll statuses, N-override respected); all 46 manual notes preserved and owner-matched; B135 shows '118 of 176 qualifying'; no error values in K/L. Backup on Delinq_Notes_Backup tab. Open: user to confirm which cells still show green error indicators, if any (API cannot read/dismiss them).</t>
  </si>
  <si>
    <t>Re-baseline Targets tab to the AVA Stabilization Rollforward model (6.8.26) from week 26 forward; extend grid to 52 weeks; derive non-model KPIs from model + current asset performance. Follow-up tuning: tours max 40, lower submitted apps but keep model net apps/leases, delinquency 120K-&gt;80K steady state, pipeline capped 65/30, days open 10.</t>
  </si>
  <si>
    <t>Extended weekly grid to rows 31-56 (weeks 27-52 through 12/28/26). Built model anchor table (B60:M68) and global assumptions block (B70:C85) with source notes. Replaced week-26+ targets (rows 30-56, cols C:W) with formulas driven by the anchors: occupancy interpolated between model month-ends, NL/wk and move-outs from model, funnel back-solved from net leases via conversion assumptions, charges = units x $1,350, collections intra-month profile, delinquency glide, pipeline caps. Updated A2 subtitle. Moved Notes row to A58; cleared stray user entries in D37.</t>
  </si>
  <si>
    <t>Funnel conversions anchored to Mar-26 actuals (25% prospect-tour, 62% tour-sub) with 67% sub-approval target for tighter pre-qual (tours peak 39/wk). Delinquency targets per management 120K-&gt;80K (actual is ~$953K - noted on anchor K62). Pipeline 65 total/30 open, 10 days, per management. Week 26 delinq shows $119K due to glide interpolation from $120K anchor at 6/26.</t>
  </si>
  <si>
    <t>Verified: no formula errors rows 30-56; occupancy monotonic 76.1%-&gt;91.4% (804 units wk 52 = model Dec exactly); NL 14-&gt;11, tours max 39, charges $905K-&gt;$1,085K, coll peak 94%-&gt;96%, delinq $119K-&gt;$80K, pipeline 65/30/10 flat. Dashboard_1 variances will shift vs new baselines.</t>
  </si>
  <si>
    <t>Targets tab follow-up: weekly move-outs must sum to the model's monthly totals; collections month-end targets Jun 90%, Jul 92%, Aug 93%, Sep 94%, 95% from Nov (weekly build-up calculated within each month).</t>
  </si>
  <si>
    <t>Added calendar-month collections anchor table (N61:O68, Oct assumed to hold 94%); cleared superseded period-based Coll% column I61:I68. Rewrote K (move-outs) with exact-sum distribution formula (LET: cumulative rounding within each model period) and N (Coll %) to key off calendar month x intra-month profile C82:C85. Filled K30:K56, N30:N56; payments (M) recalc automatically.</t>
  </si>
  <si>
    <t>Move-out weekly sums verified = model: Jul 42, Aug 33, Sep 34, Oct 30, Nov 31, Dec 21, +5 YE stub week (H68 prorated, noted). Collections: wk26 = 90% (Jun EOM), Jul builds 41.4/76.4/85.6/92, month-ends 93/94/94/95/95.</t>
  </si>
  <si>
    <t>No formula errors K30:N56. Weekly collections within each month follow profile 45/83/93/100% of month-end target. Open: confirm Oct month-end collections assumption (94%).</t>
  </si>
  <si>
    <t>Dashboard collections section understates collections because credits are missing. Add Credits beneath Gross Charges (above Payments Received) and include credits in the total collections calculation.</t>
  </si>
  <si>
    <t>Inserted two rows in Dashboard_1 COLLECTIONS block: row 61 'Credits' (pulls Data_2 row 85, stored as negatives) and row 63 'Total Collections' = Payments - Credits (i.e., payments + credit amount). Repointed Collection % (row 64) to Total Collections / Gross Charges instead of Data_2 row 89 (which divides by net charges). Moved the payments target to Total Collections; Payments row target now '—'. Format-painted new rows from the Payments row.</t>
  </si>
  <si>
    <t>Current week: Credits -$45,375; Total Collections $799,081; Collection % rose 81.4% -&gt; 90.0% (vs 90.0% target, status ✗ because actual is 89.98%). Note on D63 documents the sign convention. Scanned Dashboard_1, Incentive_Scorecard, Historical, DSO_Calculation, Write_Off_Recon after row inserts: no error values; only external ref to Dashboard_1 is Write_Off_Recon!E3 -&gt; Dashboard_1!F3 (row 3, unaffected).</t>
  </si>
  <si>
    <t>Collections block now: Gross Charges / Credits / Payments Received / Total Collections / Collection %, all formula-driven and rendering correctly (verified displayed text). Delinquency section and below shifted down 2 rows.</t>
  </si>
  <si>
    <t>Add NSFs below Credits on dashboard (netted from payments); align dashboard Collection % to Data_2's method - should be 88.54% for week 26.</t>
  </si>
  <si>
    <t>Inserted NSFs row (Dashboard_1 row 62, pulls Data_2 row 86). Restructured block: Net Charges (Gross+Credits, Data_2 row 87) and Payments Received (net of NSFs, Data_2 row 88) replace the turn-27 Total Collections construct; Collection % restored to direct pull of Data_2 row 89 = 88.54%. Restored Data_2!AD88 (week-25 payments) to $732,122.45 receipts less NSFs = $724,486.71 with audit note.</t>
  </si>
  <si>
    <t>Found user's formula drag overwrote all 28 weeks of Data_2 row 88 payments history with live pulls of the CURRENT receipts file (values differ only by each week's NSF). Week 26 correct; week 25 restored from value captured earlier today; weeks 1-24 not recoverable from this workbook (noted on AD88). Data_2 row 89 historical statics remain on the old calc basis (prior-week 79.7% vs new-basis current 88.5%).</t>
  </si>
  <si>
    <t>Dashboard block verified rendered: Gross $888,018 / Credits -$45,375 / NSFs $7,636 / Net Charges $842,643 / Payments $746,071 / Collection % 88.5% vs 90.0% target. No errors A40:I85. Open: user may want to reload true weekly payments for weeks 1-24 from source reports.</t>
  </si>
  <si>
    <t>Advisory: which additional Targets-tab KPIs should be mapped to the dashboard for the team (only the most important, avoid overload).</t>
  </si>
  <si>
    <t>Audited current dashboard-to-Targets mapping (occupancy, funnel, charges/payments/coll%, delinquency already wired). Recommended 4: Renewal % target (65%) on cohort rows, new weekly Move Outs row, Pipeline Conversion Rate, Apps 15+ Days Old. Advised skipping remaining pipeline diagnostics and Exposure % (no target exists).</t>
  </si>
  <si>
    <t>No spreadsheet changes made (recommendation only).</t>
  </si>
  <si>
    <t>Awaiting user decision on wiring the 4 KPIs.</t>
  </si>
  <si>
    <t>Wire the 4 recommended KPIs to the dashboard (approved: 'Do it').</t>
  </si>
  <si>
    <t>Discovered pipeline &amp; renewal target formulas were already wired but broken - INDEX ranges capped at Targets row 28 (24 weeks), silently returning em-dash from week 25. Fixed approved rows to $A$5:$W$100: Conversion Rate (C22, col 20), Apps 15+ Days (C24, col 22), Renewal % on all 4 cohorts (C33/C41/C49/C57, col 10 = 65%). Inserted new Move Outs (weekly) row 10 under Occupancy: target Targets col 11, actual Data_2 row 79, variance/prior/status; fixed inherited % format to integer.</t>
  </si>
  <si>
    <t>Left rows 18-21/23/25 (pipeline total/open/converted/cancelled/loss/avg days) with broken-range targets showing em-dash, per keep-it-simple recommendation. Note: row insert shifted all sections down 1 (Collections now rows 60-66).</t>
  </si>
  <si>
    <t>Verified rendered: Move Outs 11 target/10 actual ✓, Conv Rate target 24.6%, Apps 15+ target 5, Renewal % targets 65.0% (May cohort 62.5% actual ✗). No errors.</t>
  </si>
  <si>
    <t>DSO metric doesn't make sense - it uses trending delinquency (whole book) instead of what we charged vs the aged receivables report (~116K). Investigate.</t>
  </si>
  <si>
    <t>Confirmed diagnosis: Data_2 AE98/AE99 DSO used trending delinquency!D154 ($952,964 whole-book incl. $688K former/evicted balances pending write-off) over T12 revenue = 28.7/29.2 days. Rewrote both formulas: numerator = SUMIF Current*+Notice* balances from 'resident aged receivable' ($119,375); denominators unchanged (T12 D24 monthly revenue; trailing = 2-mo avg C24:D24). Audit notes on both cells.</t>
  </si>
  <si>
    <t>New DSO 3.6 days / trailing 3.7 days - now passing the 7-day target (was perpetually failing at ~29). Weeks 1-25 in D98:AD98/99 remain static on the old whole-book basis (historical aged-AR snapshots unavailable) - basis break noted on cells. Delinquency Balance row (Dashboard D68) already used the correct aged-AR basis.</t>
  </si>
  <si>
    <t>Dashboard rows 69-70 verified rendered: 3.6 ✓ and 3.7 ✓ vs 7.0 targets (prior-week cols still old basis 29.1/29.6). Alternative denominators (gross/net charges from receipts instead of T12 revenue) offered to user.</t>
  </si>
  <si>
    <t>What does DSO represent under the new calculation?</t>
  </si>
  <si>
    <t>Explained (no workbook changes): DSO = days' worth of T12 monthly revenue owed by active (current+notice) residents = collections-speed gauge on the live rent roll. 3.6 days at $119K AR / ~$33K daily revenue.</t>
  </si>
  <si>
    <t>Old 28.7-day figure was a balance-sheet aged-debt statement, not a velocity metric; departed residents' $688K can't respond to collection effort. Caveat: snapshot numerator breathes with the payment cycle; trailing 2-mo (3.7) is steadier.</t>
  </si>
  <si>
    <t>Advisory only. No cells modified.</t>
  </si>
  <si>
    <t>Is it accurate that we collect from the majority of residents in 3.6 days?</t>
  </si>
  <si>
    <t>Explained (no workbook changes): No - 3.6 days is a month-end residual balance metric, not payment speed. Snapshot taken after a month of collections at the AR low point; would read 12-15+ days if measured just after rent posts.</t>
  </si>
  <si>
    <t>Evidence: June Coll% 88.5% means ~$97K took &gt;30 days; intra-month curve (45/83/93%) implies true avg collection ~9-11 days; the $119K AR is concentrated in ~26 residents owing 30-90+ days while most residents contribute zero. Metric is a trend tripwire, not a speedometer. Offered: % collected by day 7/15, or countback DSO.</t>
  </si>
  <si>
    <t>Advisory only. No cells modified. Awaiting whether user wants a true payment-speed metric added.</t>
  </si>
  <si>
    <t>Add countback DSO, with the formula working for all prior weeks too.</t>
  </si>
  <si>
    <t>Added Data_2 row 100 'Countback DSO (days, MTD)' = (1-D89)x DAY(EOMONTH(week date)) filled D100:AE100 - works for every historical week because it uses each week's stored MTD Collection % (row 89), which survived the payments-history overwrite. Added Dashboard_1 row 71 (copied row-70 pattern): actual/prior pull Data_2 row 100; target = (1-Targets col-14 coll%) x days in month = 3.0.</t>
  </si>
  <si>
    <t>Week 26 = 3.4 days vs 3.0 target (x); prior week 6.1. Historical curve shows the real payment cycle: 18-26 days at month starts counting down to 2-6 at month ends. Method equals classic AR countback while AR &lt; 1 month of charges; prior-month carryover is covered by the aged-AR DSO rows. Notes on Data_2 B100/D100 and Dashboard D71. Inserts shifted WORK ORDERS to Data_2 row 101 / dashboard row 72; verified section still computes, no errors.</t>
  </si>
  <si>
    <t>Verified rendered: row 71 = 3.0 / 3.4 / -0.4 / 6.1 / 2.7 / x. Data_2 row 100 all 26 weeks + 2 stub cols compute.</t>
  </si>
  <si>
    <t>User expected countback DSO to read 9-11 days rather than 3.4.</t>
  </si>
  <si>
    <t>Advisory only, no changes. Explained the distinction: dashboard row = countback position at snapshot (days of month's charges still uncollected; counts down 17-26 -&gt; 3-6 within each month; wk 26 is a month-end reading). The 9-11 days = average days to collect, integrating the whole intra-month curve incl. ~11% not collected in-month.</t>
  </si>
  <si>
    <t>Both consistent: countback starts high each month because avg dollar takes ~10 days. Offered to add a monthly 'Avg Days to Collect' row computed from the weekly collection curve.</t>
  </si>
  <si>
    <t>Awaiting user decision on adding Avg Days to Collect to the dashboard.</t>
  </si>
  <si>
    <t>Replace Prior Month DSO and Prior Month DSO Trailing on the dashboard with Avg Days to Collect and Avg Days to Collect Trailing; must compute for prior weeks.</t>
  </si>
  <si>
    <t>Built 3 new Data_2 rows (101 MTD cumulative chain from weekly Coll% curve w/ midpoint convention; 102 prior-month final frozen at month rollover + uncollected tail; 103 trailing 2-mo average) - all compute across full 26-week history from stored weekly Collection % statics. Added Targets col X (weeks 26-52): target avg days from collection-curve profile C82:C85 x month-end targets = 11.2 Jun declining to 10.1-10.2 by Q4. Dashboard rows 69/70 rewritten: labels, targets INDEX col 24, actuals INDEX Data_2 rows 102/103, method notes. WORK ORDERS shifted to Data_2 row 104.</t>
  </si>
  <si>
    <t>Rendered: Avg Days to Collect (prior mo) 11.2 target / 7.5 actual (May final) checkmark; trailing 7.6 checkmark. Monthly finals from history: Feb 7.1, Mar 6.8, Apr 8.5, May 7.5, Jun 8.0+tail. Historical accuracy caveat: weeks 1-25 use old-basis Coll% statics (noisy denominators). Target vs actual timing note: actual is prior completed month, target is current month.</t>
  </si>
  <si>
    <t>No errors in dashboard rows 60-80 or new Data_2 rows; WORK ORDERS section intact below. Aged-AR DSO removed from dashboard (still computed in Data_2 98/99 if needed).</t>
  </si>
  <si>
    <t>Can we fill F68 (Delinquency Balance prior week) and fix its WoW/status columns?</t>
  </si>
  <si>
    <t>Investigated all sources: trending delinquency has weekly history but whole-book basis ($953K incl. former residents); aged receivables (workbook tab + uploaded Accounting file, generated 7/1/26, Current+Notice only) is single June snapshot - no prior-week history exists on the current-resident basis. Added Data_2 row 97 weekly tracking row (live SUMIF = $119,375.03; history begins wk 26; freeze-on-roll note). Rewired dashboard row 68: D68 pulls row 97, F68 prior-week INDEX (blank until wk 27), G68 WoW (em-dash until data), H68 status now live (X: -$119,375 vs -$119,000 = missing target by $375). Cleared blacked-out F:H formatting; DQ Compression/DSO shifted to Data_2 98-100.</t>
  </si>
  <si>
    <t>Did NOT backfill F68 - no honest source; basis mismatch documented in cell note. WoW populates automatically from week 27 when the aged receivable tab refreshes and row 97 gets its next column.</t>
  </si>
  <si>
    <t>Verified rendered rows 68-71: Delinq -119,000/-119,375/-375/blank/em-dash/X; both Avg Days rows and Countback DSO intact after Data_2 row insert. H68 red fill from existing CF (matches X convention).</t>
  </si>
  <si>
    <t>Why are the Skips (Evictions) rows on Dashboard_1 showing 0 this week but real figures the prior week?</t>
  </si>
  <si>
    <t>Diagnosed only, no changes. Traced dashboard D30/D38/D46/D54 to Data_2 rows 52/59/66/73, current week = col AE (wk 26).</t>
  </si>
  <si>
    <t>Root cause: AE52/AE59/AE66/AE73 SUMPRODUCT formulas reference Move_Out_Reasons cols I (Early Termination Yes/No) and G (Move Out Date), while all prior weeks (Y:AD) use col H (Reason) and F (Lease End Date). Col I never equals the eviction reason strings, so count = 0. Refs appear shifted one column right in the week-26 formulas.</t>
  </si>
  <si>
    <t>Explained to user; offered to fix the 4 AE formulas to match prior-week convention (H + F), which would restore May 19 / Jun 8 / Jul 4 / Aug 2. Awaiting confirmation.</t>
  </si>
  <si>
    <t>User confirmed: fix the four week-26 Skips (Evictions) formulas.</t>
  </si>
  <si>
    <t>Rewrote Data_2 AE52/AE59/AE66/AE73 SUMPRODUCTs to reference Move_Out_Reasons col H (Reason) and col F (Lease End Date), matching the Y:AD prior-week convention (previously mis-pointed at I/G).</t>
  </si>
  <si>
    <t>Formula results: AE52=19, AE59=8, AE66=4, AE73=2. Note July now reads 4 vs prior-week static 3 — one additional qualifying move-out entered the data since the AD column was frozen, not an artifact of the fix.</t>
  </si>
  <si>
    <t>Verified rendered on Dashboard_1: D30=19, D38=8, D46=4, D54=2 vs prior week 19/8/3/2. Issue resolved.</t>
  </si>
  <si>
    <t>Re-baseline the Targets occupancy ramp: week of 7/6 should start at 71.8% (actuals below prior targets), adjust Occ Units, leave other driver columns as-is and let occupancy flow from net leases/move-outs; verify formulas propagate.</t>
  </si>
  <si>
    <t>Added re-baseline input block Targets B86:C89 (anchor 71.8% @ 7/6/26, anchor units =ROUND(71.8%x880)=632). Rewired Stabilization Anchors D62:E68: D62 back-solves from anchor; each Units End =Start+ROUND(NL/wk x weeks)-Move-Outs/mo; period starts chain (D63=E62 etc.); YE stub flat. Kept NL/wk, Move-Outs/mo, and all other columns untouched. Also restored D31's LOOKUP formula, which was found containing a static 462.09 (stray paste).</t>
  </si>
  <si>
    <t>New anchor path: 626 (6/26) -&gt; 644 Jul -&gt; 673 Aug -&gt; 701 Sep -&gt; 718 Oct -&gt; 736 Nov -&gt; 762 (12/26). Weekly Occ % now ramps 71.8% (7/6) to 86.6% (12/28) vs prior 76.6%-&gt;91.4%; user pre-accepted lower future trajectory. Week 26 (6/29) also recalcs to 71.4% (628) since it sits in the interpolated Jul period. Charges/Payments auto-recalc (e.g., L31 now $853K).</t>
  </si>
  <si>
    <t>Verified: C31=71.8%, D31=632; D30:D56 all formulas evaluate, no errors; downstream L/M/X columns recalc. Ramp anchors now formula-driven (black) off blue inputs C87:C88.</t>
  </si>
  <si>
    <t>Make the occupancy re-baseline auto-update each week as actuals are posted/updated in other tabs.</t>
  </si>
  <si>
    <t>Wired Targets anchor block to live actuals: C88 =MAX(B62,MAXIFS(Data_2 row4 dates where row6 Occ%&gt;0)) picks latest posted week; C87 =XLOOKUP week's Occupancy % from Data_2 row 6 (fed live from Boxscore MMR -Availability); C89 =ROUND(%x880). Added net-absorption helpers P61:Q68 (per-period ROUND(NLxwks)-MO and cumulative-at-start) and generalized D62 back-solve to work with an anchor in ANY month period. E62:E67 simplified to =D+P.</t>
  </si>
  <si>
    <t>Anchored on Data_2 Occupancy % row (boxscore basis, ~872 denom) rather than Occupied Units row so Targets C31 reads 71.8% as user specified; anchor units 632 = %x880 differs from physical 626 units (down-unit denominator gap) - noted in C87 cell note. Current anchor: 71.8% @ 7/6/26; ramp identical to turn 40 (626-&gt;762, YE 86.6%). Posting each new week in Data_2 auto-advances anchor and re-baselines whole ramp.</t>
  </si>
  <si>
    <t>Verified: no errors in C30:E56; weekly renders 71.8%/632 @ 7/6 through 86.6%/762 @ 12/28; helpers P/Q render as numbers; anchor block renders 71.8% / 7/6/26 / 632.</t>
  </si>
  <si>
    <t>User shared a screenshot of an earlier request and asked whether it was completed: build a tab next to Targets tracking targets vs weekly actuals (Data_2/dashboard) from 1/6 forward for 11 KPIs (Occupancy, Tours, Sub Apps, Net Apps, Net Leases, Renewal %, Move Outs, Conv Rate %, Loss Rate %, Apps 15 Days Old, Avg Days to Convert), column by column with variances, all formula-tied, auto-updating weekly; structure must work for Claude Code / digital dashboard and look good.</t>
  </si>
  <si>
    <t>Answered: NOT completed. Only the final fragment ('auto-update each week...') was received earlier and was applied to the occupancy ramp re-baseline (done, turn 41). Enumerated all 45 sheet tabs to confirm no tracker tab exists (sheet after Targets is CAF_App_Tracker). No workbook changes made this turn beyond this log entry.</t>
  </si>
  <si>
    <t>Proposed plan: (1) map KPI sources in Targets columns + Data_2 rows; (2) create 'Targets_vs_Actuals' tab right of Targets; (3) one row per week from 1/6/26, flat header, Target|Actual|Var triplets per KPI (rows-as-records for dashboard parsing); (4) all formulas via date lookups, blank until actuals post; (5) frozen panes, KPI banding, red/green variance conditional formatting. Asked to confirm: actuals from Data_2, and 1/6 = week of Jan 6 2026.</t>
  </si>
  <si>
    <t>Awaiting user confirmation of plan before building the tracker tab.</t>
  </si>
  <si>
    <t>Execute the tracker plan: build the Targets-vs-Actuals weekly KPI tab, placed next to the Targets tab.</t>
  </si>
  <si>
    <t>Created 'Targets_vs_Actuals' sheet at position right of Targets (dark blue tab). Rows 5-56 = weeks 1-52 (1/6/26-12/28/26, dates linked to Targets col B). 11 KPI Target|Actual|Var triplets (C:AI): Occ %, Tours, Sub Apps, Net Apps, Net Leases, Renewal %, Move Outs, Conv Rate %, Loss Rate %, Apps 15d, Avg Days. Targets from Targets cols C/F/G/H/I/J/K/T/U/V/W; actuals from Data_2 rows 6/16/18/23/26/79/33/34/35/36 via AJ helper col (window-match week date, handles Mon-vs-Tue offset); Renewal % actual pulled from Data_2 monthly RENEWALS blocks (month-date row +3). Var = Actual-Target, blank-guarded. All formula-tied; new weeks appear automatically when posted to Data_2.</t>
  </si>
  <si>
    <t>Formatting: merged KPI group band row 3 (alternating navy fills), flat unique headers row 4 (machine-readable for Claude Code/dashboard), freeze at A1:B4, group separator borders, even-row banding, red/green variance CF with direction per KPI (lower-is-better for Move Outs, Loss Rate, Apps 15d, Avg Days). Signed var number formats (+x / (x) / '-'). Cleanup: fill-down duplicated cell notes on S/AJ columns; deleted all and re-added as header notes S4/AJ4.</t>
  </si>
  <si>
    <t>Verified: zero formula errors in A5:AJ56; wk27 renders 71.8% tgt vs 71.8% act; future weeks blank; March renewal 70.0%/18.5%/(51.5%); freeze confirmed; visual snapshot checked. Note: Conv/Loss/Apps15/AvgDays targets are constant-per-period in Targets (e.g. 24.6%), actuals sparse in early weeks.</t>
  </si>
  <si>
    <t>Add the KPI section titles on row 3 of Targets_vs_Actuals (they were missing).</t>
  </si>
  <si>
    <t>Row 3 had the navy band fills but no text (label values from the original build never landed). Unmerged C3:AJ3, wrote 11 section titles (Occupancy %, Tours, Sub Apps, Net Apps, Net Leases, Renewal %, Move Outs, Conv Rate %, Loss Rate %, Apps 15+ Days, Avg Days to Convert), re-merged each 3-column band, formatted white bold 10pt centered.</t>
  </si>
  <si>
    <t>Root cause noted: build-turn office.js call applied merges/fills but title values did not persist; user's screenshot flagged it. Verified via rendered image before and after.</t>
  </si>
  <si>
    <t>Row 3 titles now display across merged bands; rendered snapshot confirms. Tracker otherwise unchanged.</t>
  </si>
  <si>
    <t>Update the LeaseLock tab from an uploaded claims CSV (Untitled-2026-07-08.csv): sync statuses/info for existing tenants and add any new tenants.</t>
  </si>
  <si>
    <t>Diffed 82 CSV claims against LeaseLock by Item # (claim_number). 78 matched; applied CSV as source of truth across mapped columns (B,C,D,E,F,G,H,I,J,K,L,M,P,Q,R,S,U,X,Y,Z,AA,AB,AC; blanks in CSV only allowed to clear Status/Substatus/Denial/Missing-Docs list). Appended 4 new claims at rows 179-182: 26-119476 Alvin James, 26-119350 Adolfo Munguia, 26-119469 Oscar Reyes Obregon &amp; Francisco Lagunas, 26-119348 Rayquain Brown - with row-178 formats copied and derived columns as formulas (N Unpaid =L-M, O Recovery %, T Days =I-U, V Month =TEXT(U), W Within-Limit =MIN(L,P)). Coverage Limit (P) derived as paid + unused_coverage_limit from CSV.</t>
  </si>
  <si>
    <t>Findings: matched claims were already current - only 11 cells differed, all co-tenant name ordering in col C (aligned to CSV). No status, amount, or date changes among matched rows. CSV constants: Mgmt Co/Owner/Carrier = CAF Management, Property = AVA/100139438.</t>
  </si>
  <si>
    <t>Verified: new rows 179-182 render correctly (dates, currency, %, formulas evaluate; zero errors). LeaseLock data range now A2:AC182. Older claims (24-/25- prefixes) not in this CSV left untouched.</t>
  </si>
  <si>
    <t>G27 on Incentive_Scorecard shows a dollar amount ($1) but should display something different.</t>
  </si>
  <si>
    <t>Changed G27 number format from $#,##0 to 0.0% (percentage).</t>
  </si>
  <si>
    <t>Formula =IF(F27="","",F27/258116.12) was correct (June NOI ÷ proforma = 0.587), but cell inherited currency format from the D27:G28 style block, so 0.587 rendered as $1. Only the number format changed; formula/value untouched.</t>
  </si>
  <si>
    <t>G27 now displays 58.7%, consistent with its ≥95% base target check in H27. Verified via read-back.</t>
  </si>
  <si>
    <t>After updating all tabs, reconcile Delinquency_Detail_3 sections with the rent roll: no current tenants in Former section, no departed tenants in Current section; preserve all K/L notes.</t>
  </si>
  <si>
    <t>Audited both sections against RR_Unit_Details + resident aged receivable. Moved 4 departed tenants (Coronado Iram, Alvarez Nixon, Fudge Alicia, Branch Maria - units now vacant) from Current to Former via MOVED OUT OVERRIDE (N12,N13,N15,N17). Removed Brown, Rayquain from Former via P5 override (old N01-2003 account, but currently resident at S37-249). Re-mapped all static column L notes to tenants' new rows.</t>
  </si>
  <si>
    <t>Sections are formula-driven (ranked by balance) so rows reshuffled; captured 54 L notes keyed by unit|resident before the change, rewrote L17:L134 and L139:L181 after recalc - 41 notes relocated, 0 lost. Column K is formula-based and followed automatically. Brown's active account ($84.58) is below the $200 Current-section floor so he displays in neither section. Overrides used the sheet's built-in N/P mechanism; no formulas changed.</t>
  </si>
  <si>
    <t>Verified: zero mismatches remain (no rent-roll-current tenant in Former, every Current entry occupies a unit per rent roll), zero formula errors, notes render at new positions. Former total now 118 of 191 qualifying ($882,294); Current total 57 accounts ($90,388, 43 displayed).</t>
  </si>
  <si>
    <t>Update the LeaseLock tab from the newest claims CSV (Untitled-2026-07-14.csv): refresh status/other info for existing tenants and append any missing claims as new rows.</t>
  </si>
  <si>
    <t>Diffed 84 CSV claims against LeaseLock by Item # (claim_number); 82 matched. Applied CSV as source of truth across mapped columns; updated 18 cells on 15 rows. Appended 2 new claims at rows 183-184: 26-119540 Stuart Doing (Closed) and 26-119963 Benito Otoijagha &amp; Rasaq Bisiriyu (New) — with row-182 formats copied and derived columns as formulas (N Unpaid =L-M, O Recovery %, T Days =I-U, V Month =TEXT(U), W Within-Limit =MIN(L,P)).</t>
  </si>
  <si>
    <t>Substantive changes: 26-119476 Status→Closed / Paid $231.39; 26-119469 Status→Closed / Paid $533.00 (+tenant name order). Remaining 13 changed rows were co-tenant name reordering in col C, aligned to CSV. Coverage Limit (P) again derived as paid + unused_coverage_limit (validated against total_claimed_amount_within_limit_usd, exact match). Blank CSV fields allowed to clear stale Substatus/Denial/Docs values. Older 24-/25- prefix claims not in CSV left untouched.</t>
  </si>
  <si>
    <t>Verified: rows 183-184 render correctly (date/currency/% formats, formulas evaluate, zero errors in N:O across all 183 data rows). LeaseLock data range now A2:AC184 (183 claims).</t>
  </si>
  <si>
    <t>Validate Delinquency_Detail_3 against the rent roll: no current residents in the Former section and no departed residents in the Current section; preserve K/L notes.</t>
  </si>
  <si>
    <t>Cross-checked both sections against RR_Unit_Details (627 occupied/notice residents). Former section: clean. Current section: 2 departed tenants found - Jackson, Tamia (S26-415) and Howard, Ronnie (W01-1-0105); both units vacant on rent roll but aged-receivable statuses stale (Notice - Eviction / Notice). Added both to MOVED OUT OVERRIDE (N18, N19), moving them to the Former section (landed rows 111, 114). Re-mapped all static column L notes after the recalc reshuffle.</t>
  </si>
  <si>
    <t>Notes preserved via unit|resident keying: 65 captured, 65 re-placed, 0 lost (column K is formula-based and followed automatically). Rent-roll match treated Occupied* and Notice* statuses as current residents; names normalized (case, parentheticals). Current section backfilled 2 next-ranked accounts, still 43 displayed. Used the sheet's built-in N-list override; no formulas changed.</t>
  </si>
  <si>
    <t>Verified post-change: zero mismatches in both directions, zero formula errors in A17:L181. Former total now 118 of 194 qualifying displayed ($898,540); Current 43 rows.</t>
  </si>
  <si>
    <t>On Dashboard_1, drop the May renewals block and add September, shifting all months down one slot; add the September source data to Data_2 respecting that tab's format.</t>
  </si>
  <si>
    <t>Data_2: inserted 7 rows (75:81) before MTM LEASES and built RENEWALS - SEPTEMBER block by copying the August block's structure/formats; set A76=9/1/2026, cleared historical week columns D:AF (Sept has no history yet), and wrote live current-week formulas in AG76:AG81 referencing $A$76 (Resident Retention SUMIFs + Move_Out_Reasons SUMPRODUCT). Dashboard_1: relabeled the four blocks June/July/August/September (B27/B35/B43/B51) and repointed all D (Actual) and F (Prior Wk) INDEX formulas: June→rows 55-60, July→62-67, August→69-74, September→76-81; Pending Renewals MATCH keys moved to A55/A62/A69/A76.</t>
  </si>
  <si>
    <t>May source data kept in Data_2 (rows 47-53) for history — only the dashboard stopped showing it. Row insertion auto-shifted downstream refs: Total MTM now row 83, Collections rows 91-96; dashboard formulas below the renewals section adjusted automatically and values verified unchanged. September Prior Wk column shows 0s until week columns get September entries (INDEX of blank returns 0 — same behavior as other new months).</t>
  </si>
  <si>
    <t>Verified: June block matches old June values (54/18/10, 44.4%), July matches (74/15/17, 45.9%), August matches (51/6/11, 52.9%), September live: Expirations 53, Non-Renewals 8, NTV 8, Renewal % 24.5%, Pending 24, Max 69.8%; Total MTM 29 and Collections figures unchanged. Zero formula errors.</t>
  </si>
  <si>
    <t>Uploaded new LeaseLock claims report (CSV, 90 rows); asked to update statuses for matching claims on the LeaseLock tab and add any claims not already there.</t>
  </si>
  <si>
    <t>Matched report to LeaseLock tab on claim number (Item #). Updated 2 statuses; appended 7 new claim rows (185-191) with full column mapping and standard formulas (Unpaid, Recovery %, Days to File, Month, Claimed Within Limit).</t>
  </si>
  <si>
    <t>Status changes: 26-118305 (row 169) Open→Closed w/ substatus Closed-No Insured Response; 26-119963 (row 184) New→Closed. New claims: 26-120779, 26-120777, 26-120776, 26-120780, 26-120770, 26-120774, 26-120772 — all status New, reported 07/17/2026. Coverage Limit derived as paid + unused limit from report; formats copied from row 184. Only status/substatus updated on matches (per request); other report fields (e.g., paid amounts) not synced.</t>
  </si>
  <si>
    <t>LeaseLock tab now 191 data rows; all formulas verified error-free. 81 report claims matched with no status change.</t>
  </si>
  <si>
    <t>Build a Q3 incentive scorecard tab mirroring the Q2 structure, using updated parameters from an attached memo image; add new team member Justin; keep Alex's pool at $7,000 instead of the memo's $10,000.</t>
  </si>
  <si>
    <t>Created Incentive_Scorecard_Q3 (positioned after Q2 tab) with same layout/formats: payout summary now 5 participants, 5 KPI blocks, governance notes, frozen rows 1:12, conditional ✓/✗ formatting on Base Met cells. Asked user to confirm Justin KPI #2 direction — confirmed as FEWER than 5 evictions (memo's '&gt;5' was inverted).</t>
  </si>
  <si>
    <t>Targets: Shawna 92% collections avg (up from 90%) / 85% eviction success; Alex occupancy ≥85% Sept 30 single measure (economic occ dropped) / renewal ≥65% EACH month (MIN formula, not avg); Nylsa expense mgmt ≤100% budget / delinquency qtr avg &lt;$75K; Avery ≥90% filing accuracy / LeaseLock 100% filed + &gt;60%; Justin (new) ≥60 net leases/mo avg / &lt;5 evictions avg on CAF-screened. Nylsa &amp; Avery targets highlighted yellow as pending Sergio sign-off (memo had @Sergio placeholders); Nylsa weights follow the $4,200/$2,800 (60/40) split, not the memo's '50% of weight' side note. Payouts formula-driven off pool cells C6:C10 (Q2 had some hardcodes).</t>
  </si>
  <si>
    <t>Incentive_Scorecard_Q3 complete: total pool $31,000, all input cells blank (blue) awaiting Jul/Aug/Sep actuals, zero formula errors. Open: Nylsa/Avery targets need Sergio confirmation (yellow cells + governance note row 49).</t>
  </si>
  <si>
    <t>Uploaded new LeaseLock claims CSV (89 rows) + Rent Roll Unit Details CSV. Update LeaseLock where status/details differ, add any claims not already there. Then check Delinquency_Detail_3: anyone in the Former section who is still on the rent roll is current, not former, and belongs in the Current section. Preserve all notes in columns K and L.</t>
  </si>
  <si>
    <t>LeaseLock: matched all 89 CSV claims to existing rows by Item # (claim_number); updated 13 rows / 18 cells; 0 new claims to append. Delinquency_Detail_3: cross-checked all 118 Evictions &amp; Former rows and both override lists against RR_Unit_Details; removed "Taiwo, Yejide" from the MOVED OUT OVERRIDE list (N8) and re-packed N3:N18.</t>
  </si>
  <si>
    <t>LeaseLock field mapping unchanged from prior turns (A Item#, C Tenant, F/G Status/Substatus, L/M Claimed/Paid, P Coverage Limit = paid + unused_coverage_limit, U Loss Date, X/Y Missing Docs, Z-AC Owner/IDs). Substantive change: 26-119963 Total Paid 0 -&gt; 455.00 (Days to File reset to =I-U formula). Others were co-tenant name ordering in col C (9 rows) and Missing-Docs flags cleared to FALSE with blank list (26-118824, 26-118837, 26-116666). Rent-roll check used Last, First normalization; control test matched 22/22 Current-section residents, so the matcher is sound. Taiwo, Yejide is Occupied No Notice at W12-1-1221 and carries no aged-receivable balance, so removing the override leaves them out of both sections (correct). The 3 names in the CURRENT OVERRIDE list were left as-is.</t>
  </si>
  <si>
    <t>Verified: no resident in the Evictions &amp; Former section (rows 17-134) appears on the rent roll; Former total still 118 of 203 qualifying. Notes preserved - K17:L187 non-empty counts identical before/after (K=106, L=68). LeaseLock now 190 claims; Total Paid rolls to $87,615.28 (was $87,160.28), recovery rate 15.3%. Note added on N1 documenting the override removal.</t>
  </si>
  <si>
    <t>Challenged whether the Former-vs-Current rent roll check actually covered everyone, then asked whether the on-site transfers were permitted to transfer while carrying balances, and for their amounts, move-in and transfer dates.</t>
  </si>
  <si>
    <t>Re-ran the check across the full qualifying population (203 accounts, not just the 118 displayed) plus both override lists. Found 5 misclassified accounts and 1 hidden Former account. Pulled aging buckets, original move-in, transfer and lease dates for the 3 on-site transfers. No workbook changes made yet - awaiting decision on how to treat transfer balances.</t>
  </si>
  <si>
    <t>Prior turn's check only covered the 118 rows rendered in rows 17-134; the section caption reads '118 of 203 qualifying accounts', so 85 qualifying accounts and the P3:P24 suppressed names were never tested. On the rent roll but classified Former: Simpson William $20,023.01 (W20-2-2065, same unit, Notice-Eviction), Brown Rayquain $920.16 (now S37-249), Lagunas Francisco $822.69 (N15-1067 -&gt; N15-1069, 5/8/26, Transfer On-Site), Barr Ebony $347.59 (W23-2-2047 -&gt; S32-431, 3/11/26, Transfer On-Site), Johnson Scott $299.97 (W10-1-1005 -&gt; N18-2086, ~5/2/26, no move-out record). Root cause: the CURRENT OVERRIDE list P3:P24 is excluded by BOTH the Former formula (A17) and the Current formula (A139), so P names appear in neither section - hiding $37,010 including Simpson. Same bug hides Sparks Dija $16,067.66 (Past - Eviction, NOT on rent roll) who belongs in Former.</t>
  </si>
  <si>
    <t>Open decision: whether the 3 on-site transfer balances follow the resident into Current or stay in prior-resident AR, and whether to repair the P-override formula. Flagged separately: Johnson has no Move_Out_Reasons record despite a lease running to 11/18/26, and LeaseLock claims 26-119469 (Lagunas, $533 paid) and 26-118841 (Johnson, $280 paid) were filed on units whose residents never left the property. Note: any fix re-sorts the Current section, so K/L notes must be re-mapped by resident name - 21 orphaned notes already sit in L161:L181 from an earlier shift.</t>
  </si>
  <si>
    <t>Confirmed the 5 residents are still living on the property and directed that they be moved from the Former section to the Current section.</t>
  </si>
  <si>
    <t>Rewrote the CURRENT OVERRIDE list (P3:P7) to the 5 rent-roll residents, repaired the Current-section row formula (A139:A181) and its total (B182) so override names are INCLUDED rather than suppressed, added a 'Current - On Rent Roll' status label to G139:G181, and re-paired all 46 manual notes to their residents after the sort order shifted.</t>
  </si>
  <si>
    <t>Root-cause fix: A139 previously multiplied by (COUNTIF($P$3:$P$24,name)=0), the same exclusion the Former formula uses, so override names appeared in neither section. New logic is base_qualification + override, where override = on P list, not on N list, balance &gt; 0 (bypasses the $200 floor so a deliberate override always shows). B182 total rebuilt on the identical expression so the count and the rows can no longer disagree. Sparks, Dija was REMOVED from the override list - she is not on the rent roll - and now correctly appears in the Former section at row 26 with her $16,067.66. Note re-pairing: the pre-change Former ordering was reconstructed from the aged receivable using the sheet's own ranking (balance - row/1000000, top 118), validated because the recovered pairings reproduce the owner-matched entries already in Delinq_Notes_Backup (Taylor Talika / Alexander Leaujodon / Feaster Jordan).</t>
  </si>
  <si>
    <t>Current section 22 -&gt; 27 rows: Simpson William shows as Eviction, and Brown, Lagunas, Barr and Johnson show as 'Current - On Rent Roll'. Former section 203 -&gt; 201 qualifying (3 transfers out, Sparks in), still 118 displayed, no formula errors. Notes: all 46 resident-linked notes re-paired with 0 unmatched; the 21 orphaned notes that had no resident were copied to Delinq_Notes_Backup rows 148-168 before L161:L181 was cleared. Column K is a formula and self-adjusted (110 populated). Still open from turn 54: Johnson has no move-out record, and LeaseLock claims 26-119469 and 26-118841 were paid on units whose residents never left the property.</t>
  </si>
  <si>
    <t>Remove June from the Dashboard renewals section, shift the remaining months up one slot, and add October — adding any needed source data to Data_2 in the existing format.</t>
  </si>
  <si>
    <t>Inserted a new 'RENEWALS - OCTOBER' block in Data_2 (rows 82-88) matching the existing month-block layout; relabelled Dashboard_1 renewal blocks to July/August/September/October and repointed all Actual and Prior Wk formulas.</t>
  </si>
  <si>
    <t>Data_2 Oct block: A82 header, A83 = 10/1/2026, B83:B88 = Expirations / Early Move Outs / NTV / Renewal % / Skips / Max Renewal % Possible, live current-week formulas in AI83:AI88 sourced from 'Resident Retention -12 months' row 10 and Move_Out_Reasons (same pattern as Sept). Dashboard blocks now map to Data_2 rows 62 (Jul), 69 (Aug), 76 (Sep), 83 (Oct). Kept Target/Var/WoW/Status columns untouched since those patterns repeat every 8 rows. October Prior Wk formulas return blank instead of 0 because no prior-week history exists for October yet. Also normalised the Aug/Sep/Oct month headers in Data_2 to the bold navy style used by May-July.</t>
  </si>
  <si>
    <t>Dashboard_1 rows 27-58 now show July, August, September, October; June removed. October reads 39 expirations, 6 non-renewals, 0 NTV, 33 pending, 0.0% renewal, 84.6% max possible. Total MTM Leases auto-followed the row insert to Data_2 row 90. Verified by re-reading Dashboard_1 B26:H59 and Data_2 A82:AI90.</t>
  </si>
  <si>
    <t>User uploaded the new weekly LeaseLock report (Untitled-2026-08-05.csv, 103 claims) and asked to update status/details for residents whose details changed, append new residents at the bottom, and ensure downstream formulas cover the new rows.</t>
  </si>
  <si>
    <t>Diffed all 103 CSV claims against LeaseLock col A (Item #): 89 matched, applied CSV as source of truth across mapped columns (35 cells updated on ~20 rows); appended 14 new claims at rows 192-205 with row-191 formatting and live formulas for N/O/T/V/W. Also restored O4, which contained stray text ('Th') instead of the Recovery % formula. Scanned all sheets for LeaseLock formula references to confirm range coverage.</t>
  </si>
  <si>
    <t>Status changes applied: 26-120779/26-120770/26-120774/26-120772 New-&gt;Claim Denied (Deadline- Eviction), 26-120777 New-&gt;Open (Pending Documentation), 26-120776 &amp; 26-120780 New-&gt;Closed ($750 paid each); remaining diffs were tenant name reorderings from the report. New claims: 26-121451, -121464, -121220, -121442, -121219, -121461, -121351, -121353, -121439, -121435, -121217, -121446, -121355, -121214 (5 Open, 8 Closed, 1 Denied). Downstream refs all use LeaseLock!$2:$500 open-ended ranges (Delinquency_Detail_3 summary C11:H14 + K11 Avery's Recovery % + col K match formulas; resident aged receivable col M helper), so rows 192-205 are auto-included with no formula edits.</t>
  </si>
  <si>
    <t>LeaseLock now holds 204 claims (rows 2-205), fully reconciled to the 8/5 report. Verified rows 192-205 render correctly (date/currency/%/text formats, zero formula errors) and O4 recalculates. No downstream range extensions needed.</t>
  </si>
  <si>
    <t>Run the weekly Delinquency_Detail_3 accuracy check: no one on the current rent roll may appear in the Former section, and Current-section residents must be on the rent roll (otherwise move to Former).</t>
  </si>
  <si>
    <t>Cross-checked all displayed Former (95) and Current (43) residents plus both override lists (N3:N24 force-Former, P3:P24 force-Current) against RR_Unit_Details occupied residents (638 names) by exact name match. Verified formula range coverage: aged receivable data ends at row 332, all section formulas reach $2:$460. Added 2 misclassified residents to CURRENT OVERRIDE (P8:P9); fixed B135 displayed-count formula (COUNTA counted blank formula rows, showing '118 of 95'); appended dated entry to the N1 override note.</t>
  </si>
  <si>
    <t>Found on rent roll but shown as Former: Avila, Marcos ($517.59 bal at S38-251, now occupying W03-1-0320) and Rocha, Luis ($278.97 bal at W27-2-2008, now at S40-262) - both likely on-site transfers with balances left on prior units, same pattern as Brown/Lagunas/Barr. Current section: all 43 on rent roll. N-list (16 names): none on rent roll. P-list (5 names): all on rent roll. Remaining 'Avila, Jason' in Former is a different resident, not on rent roll.</t>
  </si>
  <si>
    <t>Former now 93 of 93 qualifying (was 95 displayed); Current total 210 accounts (was 208). CAVEAT: Avila &amp; Rocha are counted in the Current total but not visible as rows - the Current section holds only 43 display rows (139-181) and shows top balances; 210 qualifying accounts exceed capacity. Flagged to user whether to expand the section or keep top-43 view. Sheet was not protected; no protection change made.</t>
  </si>
  <si>
    <t>Preserve the manual notes in columns K and L on Delinquency_Detail_3 after the section re-sorts.</t>
  </si>
  <si>
    <t>Column K (rows 17-134, 139-181) is entirely formula-driven and self-adjusts - nothing to preserve. Column L: Current-section notes (27, rows 139-165) are freshly user-maintained and that section's ordering was unchanged, so left as-is. Former-section L notes (24 static) were re-paired: proved via balance/claim anchors that they had been misaligned since the weekly source refresh re-sorted the section (before the P8:P9 override change), then matched every note text to its documented owner in Delinq_Notes_Backup (22 of 24 matched, 0 collisions) and rewrote L17:L134 placing each note on its owner's current row.</t>
  </si>
  <si>
    <t>11 notes now live beside their owners: Taylor L18 (pending lease lock), Coronado L34, Wiggins L36, Meraz L43, Branch L46, Alvarez L49, Barahona L55, Fudge L56, Jenkins L61, Cruz L63, Howard L68 (was already on his own row). 12 notes belong to residents no longer displayed (written off / no longer in aged receivable: Alexander, Feaster, Leonel, Clark, Oliva Cordero, Smiley, Murphy, Asuncion, Enrique, Rangel, Gang, Kidd) - removed from the live section; their owner-matched copies already exist in Delinq_Notes_Backup. 1 orphan with no backup owner ('Court date 7/14 @ 1:30' from blank row 115) archived to Delinq_Notes_Backup row 169.</t>
  </si>
  <si>
    <t>Verified by re-read: 11 notes placed correctly with column formatting intact (8pt, #FFF2CC fill), backup row 169 written, row 168 untouched. Notably the pre-existing misalignment had e.g. Gang Xie's '$269.18 write-off' note sitting on Arellano's row - future weekly refreshes that change the Former section membership/order MUST re-pair L notes by owner (use Delinq_Notes_Backup) since L is static while A:C are ranked formulas.</t>
  </si>
  <si>
    <t>AVA APARTMENTS</t>
  </si>
  <si>
    <t>Weekly Metrics Report — User Guide</t>
  </si>
  <si>
    <t>Arlast Capital  |  CAF Management</t>
  </si>
  <si>
    <t>OVERVIEW</t>
  </si>
  <si>
    <t>This workbook provides real-time tracking of operational KPIs for AVA Apartments under CAF management.</t>
  </si>
  <si>
    <t>All calculations are formula-driven. Enter data in the Data tab and the Dashboard updates automatically.</t>
  </si>
  <si>
    <t>TAB STRUCTURE</t>
  </si>
  <si>
    <t>Dashboard</t>
  </si>
  <si>
    <t>Executive summary comparing current week actuals to targets.</t>
  </si>
  <si>
    <t>Change the "Reporting Week" number (1–24) to view any week. Target, Actual, Variance, Prior Week, WoW Δ, and Status columns all update automatically.</t>
  </si>
  <si>
    <t>Data</t>
  </si>
  <si>
    <t>Primary data entry tab. Enter weekly actuals here in the blue-highlighted input cells.</t>
  </si>
  <si>
    <t>Columns map to weekly periods: Pre-1 (Dec 22), Pre-2 (Dec 29), Wk 1 (Jan 6), Wk 2 (Jan 13), etc. Structured for eventual Entrata/Domo automation.</t>
  </si>
  <si>
    <t>Targets</t>
  </si>
  <si>
    <t>Weekly KPI targets for Q1–Q2 2026 (Weeks 1–24). Derived from CAF Onboarding &amp; 90-Day Plan. Green rows = month-end targets.</t>
  </si>
  <si>
    <t>Historical</t>
  </si>
  <si>
    <t>IPS management period data (Aug 2024 – Dec 2025). Read-only archive for trend analysis and baseline comparison.</t>
  </si>
  <si>
    <t>Competitors</t>
  </si>
  <si>
    <t>HelloData competitive market intelligence by unit type. Update with current HelloData reports as needed.</t>
  </si>
  <si>
    <t>Delinquency_Detail</t>
  </si>
  <si>
    <t>Tracks all delinquent accounts in two sections: Evictions &amp; Former Residents, and Current Residents (≥ threshold).</t>
  </si>
  <si>
    <t>Auto-populates from "Delinq Data" and "resident aged receivable" tabs — do NOT edit formula columns.</t>
  </si>
  <si>
    <t>Move-In Date (Col D): looked up from resident aged receivable by unit number.</t>
  </si>
  <si>
    <t>IPS/CAF (Col E): auto-classifies by move-in date vs. 12/15/2025 cutoff — IPS (red) = prior mgmt, CAF (blue) = current mgmt.</t>
  </si>
  <si>
    <t>"Pending Eviction" (red highlight) flags residents formerly labeled Grace Period. Min Balance Filter (row 3) controls threshold.</t>
  </si>
  <si>
    <t>CAF TEAM: WEEKLY NOTES UPDATE — EVERY TUESDAY</t>
  </si>
  <si>
    <t>Every Tuesday, update the "Collection Status / Notes" column (Column J, yellow cells) on the Delinquency_Detail tab:</t>
  </si>
  <si>
    <t>1.  Review each delinquent account in both sections (Evictions/Former and Current Residents)</t>
  </si>
  <si>
    <t>2.  Enter or update the collection status (e.g., payment plan set, demand letter sent, attorney filed, skip trace in progress)</t>
  </si>
  <si>
    <t>3.  Column J is the ONLY column requiring manual input — all other columns are formula-driven</t>
  </si>
  <si>
    <t>4.  Notes should be concise with dates of last action (e.g., "Demand letter sent 1/28 — awaiting response")</t>
  </si>
  <si>
    <t>WEEKLY DATA ENTRY WORKFLOW</t>
  </si>
  <si>
    <t>Every Monday:</t>
  </si>
  <si>
    <t>1.  Pull reports from Entrata: Rent Roll, Delinquency, Leasing, Work Orders</t>
  </si>
  <si>
    <t>2.  Navigate to Data tab and find the column for the current week</t>
  </si>
  <si>
    <t>3.  Enter all KPI values in the blue input cells</t>
  </si>
  <si>
    <t>4.  Return to Dashboard to review performance vs. targets</t>
  </si>
  <si>
    <t>DSO CALCULATION</t>
  </si>
  <si>
    <t>DSO = (Month-End A/R Balance ÷ Total Rent Billed) × Days in Period</t>
  </si>
  <si>
    <t>Example:   Rent Billed: $1,000,000   |   A/R Balance: $80,000   |   DSO = ($80K ÷ $1M) × 30 = 2.4 days</t>
  </si>
  <si>
    <t>Benchmark:   &lt; 5 days = Excellent   |   5–7 days = Good   |   &gt; 10 days = Needs Attention</t>
  </si>
  <si>
    <t>For trailing 2-month average: average the current and prior month DSO values.</t>
  </si>
  <si>
    <t>KEY PERFORMANCE TARGETS (H1 2026)</t>
  </si>
  <si>
    <t>Metric                                          Start              Target            Timeline</t>
  </si>
  <si>
    <t>Occupancy %                                79%                90%               June 2026</t>
  </si>
  <si>
    <t>Collection %                                 86%                94%               Stabilized</t>
  </si>
  <si>
    <t>Delinquency Balance                 $300K             $80K              June 2026</t>
  </si>
  <si>
    <t>Renewal %                                     —                   70%               Monthly</t>
  </si>
  <si>
    <t>Net Leases/Month                       —                   16 avg            Monthly</t>
  </si>
  <si>
    <t>AUTOMATION NOTES</t>
  </si>
  <si>
    <t>This workbook is structured for eventual automation via Entrata/Domo:</t>
  </si>
  <si>
    <t>•  Data tab uses consistent row/column structure for programmatic mapping</t>
  </si>
  <si>
    <t>•  Date columns follow standard weekly sequence</t>
  </si>
  <si>
    <t>•  Domo connectors can pull directly from Entrata reports</t>
  </si>
  <si>
    <t>CONTACT</t>
  </si>
  <si>
    <t>Questions:  Arlast Capital  |  sergio@arlast.com</t>
  </si>
  <si>
    <t>AVA APARTMENTS — Q2 2026 INCENTIVE COMPENSATION SCORECARD (SIMPLIFIED)</t>
  </si>
  <si>
    <t>Performance Period: April 1 – June 30, 2026  |  Measurement Date: June 30, 2026  |  Payout: Within 30 days of measurement</t>
  </si>
  <si>
    <t>PAYOUT SUMMARY</t>
  </si>
  <si>
    <t>Participant</t>
  </si>
  <si>
    <t>Role</t>
  </si>
  <si>
    <t>Total Pool</t>
  </si>
  <si>
    <t>KPI 1 Payout</t>
  </si>
  <si>
    <t>KPI 2 Payout</t>
  </si>
  <si>
    <t>Total Payout</t>
  </si>
  <si>
    <t>Shawna</t>
  </si>
  <si>
    <t>Collections Manager</t>
  </si>
  <si>
    <t>Alex</t>
  </si>
  <si>
    <t>Community Manager</t>
  </si>
  <si>
    <t>Nylsa</t>
  </si>
  <si>
    <t>District Manager</t>
  </si>
  <si>
    <t>Avery</t>
  </si>
  <si>
    <t>Sr. Account Manager</t>
  </si>
  <si>
    <t>TOTAL</t>
  </si>
  <si>
    <t>SHAWNA — Collections Manager</t>
  </si>
  <si>
    <t>Pool: $7,000</t>
  </si>
  <si>
    <t>Metric</t>
  </si>
  <si>
    <t>Weight</t>
  </si>
  <si>
    <t>Base Target</t>
  </si>
  <si>
    <t>April</t>
  </si>
  <si>
    <t>May</t>
  </si>
  <si>
    <t>June</t>
  </si>
  <si>
    <t>Q2 Result</t>
  </si>
  <si>
    <t>Base Met?</t>
  </si>
  <si>
    <t>Payout</t>
  </si>
  <si>
    <t>Current-Month Collection Rate</t>
  </si>
  <si>
    <t>≥90% avg</t>
  </si>
  <si>
    <t>Eviction Court Success Rate</t>
  </si>
  <si>
    <t>≥85%</t>
  </si>
  <si>
    <t>Total Payout →</t>
  </si>
  <si>
    <t>ALEX — Community Manager</t>
  </si>
  <si>
    <t>Pool: $10,000</t>
  </si>
  <si>
    <t>Occupancy (June 30)</t>
  </si>
  <si>
    <t>P≥84% &amp; E≥77%</t>
  </si>
  <si>
    <t>Renewal Conversion Rate</t>
  </si>
  <si>
    <t>≥80%</t>
  </si>
  <si>
    <t>NYLSA — District Manager</t>
  </si>
  <si>
    <t>June NOI vs. Proforma</t>
  </si>
  <si>
    <t>≥95% of proforma</t>
  </si>
  <si>
    <t>Delinquency Compression</t>
  </si>
  <si>
    <t>≤$200K</t>
  </si>
  <si>
    <t>AVERY — Sr. Account Manager</t>
  </si>
  <si>
    <t>Pool: $5,000</t>
  </si>
  <si>
    <t>Eviction Filing Accuracy</t>
  </si>
  <si>
    <t>≥90%</t>
  </si>
  <si>
    <t>LeaseLock Claims Recovery</t>
  </si>
  <si>
    <t>100% filed + ≥60%</t>
  </si>
  <si>
    <t>PAYOUT MECHANICS &amp; GOVERNANCE</t>
  </si>
  <si>
    <t>Weighted Payout: Each metric earns its weighted share of the participant's total pool independently. No all-or-nothing gate — missing one metric does not forfeit the other.</t>
  </si>
  <si>
    <t>No Outperform Bonus: There is no outperform tier. Hit the base target → earn that metric's weighted share. Miss → $0 on that metric.</t>
  </si>
  <si>
    <t>Blue cells (Apr/May/Jun and Q2 Result columns) are input placeholders. Enter actuals from Entrata and base reports as the quarter progresses.</t>
  </si>
  <si>
    <t>Mid-Quarter Check-In: ~May 15, 2026 (coaching checkpoint only, no payments). Final measurement: June 30, 2026.</t>
  </si>
  <si>
    <t>Data Sources: Entrata (system of record), RSI, Nationwide, Arlast Capital weekly metrics workbook, CAF V2 budget. Entrata governs in case of discrepancy.</t>
  </si>
  <si>
    <t>AVA APARTMENTS — Q3 2026 INCENTIVE COMPENSATION SCORECARD (SIMPLIFIED)</t>
  </si>
  <si>
    <t>Performance Period: July 1 – September 30, 2026  |  Measurement Date: September 30, 2026  |  Payout: Within 30 days of measurement</t>
  </si>
  <si>
    <t>Justin</t>
  </si>
  <si>
    <t>Leasing Administrative Manager</t>
  </si>
  <si>
    <t>July</t>
  </si>
  <si>
    <t>August</t>
  </si>
  <si>
    <t>September</t>
  </si>
  <si>
    <t>Q3 Result</t>
  </si>
  <si>
    <t>≥95% avg</t>
  </si>
  <si>
    <t>Occupancy (September 30)</t>
  </si>
  <si>
    <t>≥79% (Sept 30)</t>
  </si>
  <si>
    <t>≥65% each mo</t>
  </si>
  <si>
    <t>Expense Management — Above &amp; Below the Line</t>
  </si>
  <si>
    <t>≤100% of budget</t>
  </si>
  <si>
    <t>Avg &lt; $75K</t>
  </si>
  <si>
    <t>100% filed + &gt;60%</t>
  </si>
  <si>
    <t>JUSTIN — Leasing Administrative Manager</t>
  </si>
  <si>
    <t>Net Lease Generation</t>
  </si>
  <si>
    <t>≥52 avg/mo</t>
  </si>
  <si>
    <t>Quality Screenings</t>
  </si>
  <si>
    <t>&lt;5 evictions avg/mo</t>
  </si>
  <si>
    <t>Blue cells (Jul/Aug/Sep and Q3 Result columns) are input placeholders. Enter actuals from Entrata and base reports as the quarter progresses.</t>
  </si>
  <si>
    <t>Mid-Quarter Check-In: ~August 15, 2026 (coaching checkpoint only, no payments). Final measurement: September 30, 2026.</t>
  </si>
  <si>
    <t>Pending Confirmation: Yellow-highlighted targets (Nylsa KPI #1 &amp; #2, Avery KPI #1 &amp; #2) are awaiting final sign-off from Sergio per the Q3 incentive memo.</t>
  </si>
  <si>
    <t>Weekly Performance Dashboard</t>
  </si>
  <si>
    <t>Reporting Week:</t>
  </si>
  <si>
    <t>← Enter week # (1-24)</t>
  </si>
  <si>
    <t>KPI</t>
  </si>
  <si>
    <t>Target</t>
  </si>
  <si>
    <t>Actual</t>
  </si>
  <si>
    <t>Var</t>
  </si>
  <si>
    <t>Prior Wk</t>
  </si>
  <si>
    <t>WoW Δ</t>
  </si>
  <si>
    <t>Status</t>
  </si>
  <si>
    <t>OCCUPANCY</t>
  </si>
  <si>
    <t>Occupancy %</t>
  </si>
  <si>
    <t>Occupied Units</t>
  </si>
  <si>
    <t>Exposure %</t>
  </si>
  <si>
    <t>Move Outs (weekly)</t>
  </si>
  <si>
    <t>LEASING FUNNEL</t>
  </si>
  <si>
    <t>New Prospects</t>
  </si>
  <si>
    <t>Tours</t>
  </si>
  <si>
    <t>Submitted Apps</t>
  </si>
  <si>
    <t>Net Apps</t>
  </si>
  <si>
    <t>Net Leases</t>
  </si>
  <si>
    <t>APP PIPELINE</t>
  </si>
  <si>
    <t>Total Apps in Pipeline</t>
  </si>
  <si>
    <t>Still Actively Open</t>
  </si>
  <si>
    <t>Converted to Lease</t>
  </si>
  <si>
    <t>Cancelled / Denied</t>
  </si>
  <si>
    <t>Conversion Rate</t>
  </si>
  <si>
    <t>Loss Rate</t>
  </si>
  <si>
    <t>Apps 15+ Days Old</t>
  </si>
  <si>
    <t>Avg Days to Decision</t>
  </si>
  <si>
    <t>RENEWALS &amp; RETENTION</t>
  </si>
  <si>
    <t>Expirations</t>
  </si>
  <si>
    <t>Non-Renewals</t>
  </si>
  <si>
    <t>Skips (Evictions)</t>
  </si>
  <si>
    <t>NTV</t>
  </si>
  <si>
    <t>Pending Renewals</t>
  </si>
  <si>
    <t>Renewal %</t>
  </si>
  <si>
    <t>Max Renewal % Possible</t>
  </si>
  <si>
    <t>October</t>
  </si>
  <si>
    <t>Total MTM Leases</t>
  </si>
  <si>
    <t>COLLECTIONS</t>
  </si>
  <si>
    <t>Gross Charges</t>
  </si>
  <si>
    <t>Credits</t>
  </si>
  <si>
    <t>NSFs</t>
  </si>
  <si>
    <t>Net Charges (Gross + Credits)</t>
  </si>
  <si>
    <t>Payments Received (net of NSFs)</t>
  </si>
  <si>
    <t>Collection %</t>
  </si>
  <si>
    <t>DELINQUENCY</t>
  </si>
  <si>
    <t>Delinquency Balance</t>
  </si>
  <si>
    <t>Avg Days to Collect (prior mo)</t>
  </si>
  <si>
    <t>Avg Days to Collect (trailing 2-mo)</t>
  </si>
  <si>
    <t>Countback DSO (days, MTD)</t>
  </si>
  <si>
    <t>WORK ORDERS</t>
  </si>
  <si>
    <t>WO Opened</t>
  </si>
  <si>
    <t>WO Completed</t>
  </si>
  <si>
    <t>WO Backlog</t>
  </si>
  <si>
    <t>WO Completion %</t>
  </si>
  <si>
    <t>PRICING</t>
  </si>
  <si>
    <t>Avg Asking Rent</t>
  </si>
  <si>
    <t>Avg NER</t>
  </si>
  <si>
    <t>STATUS KEY</t>
  </si>
  <si>
    <t>✓ On Track</t>
  </si>
  <si>
    <t>✗ Off Track</t>
  </si>
  <si>
    <t>Enter weekly data in Data tab → Dashboard auto-updates</t>
  </si>
  <si>
    <t>Weekly Performance Data</t>
  </si>
  <si>
    <t>Pre-1</t>
  </si>
  <si>
    <t>Pre-2</t>
  </si>
  <si>
    <t>Wk1</t>
  </si>
  <si>
    <t>Wk2</t>
  </si>
  <si>
    <t>Wk3</t>
  </si>
  <si>
    <t>Wk4</t>
  </si>
  <si>
    <t>Wk5</t>
  </si>
  <si>
    <t>Wk6</t>
  </si>
  <si>
    <t>Wk7</t>
  </si>
  <si>
    <t>Wk8</t>
  </si>
  <si>
    <t>Wk9</t>
  </si>
  <si>
    <t>Wk10</t>
  </si>
  <si>
    <t>Wk11</t>
  </si>
  <si>
    <t>Wk12</t>
  </si>
  <si>
    <t>Wk13</t>
  </si>
  <si>
    <t>Wk14</t>
  </si>
  <si>
    <t>Wk15</t>
  </si>
  <si>
    <t>Wk16</t>
  </si>
  <si>
    <t>Wk17</t>
  </si>
  <si>
    <t>Wk18</t>
  </si>
  <si>
    <t>Wk19</t>
  </si>
  <si>
    <t>Wk20</t>
  </si>
  <si>
    <t>Wk21</t>
  </si>
  <si>
    <t>Wk22</t>
  </si>
  <si>
    <t>Wk23</t>
  </si>
  <si>
    <t>Wk24</t>
  </si>
  <si>
    <t>Wk25</t>
  </si>
  <si>
    <t>Wk26</t>
  </si>
  <si>
    <t>Wk27</t>
  </si>
  <si>
    <t>Wk28</t>
  </si>
  <si>
    <t>Wk29</t>
  </si>
  <si>
    <t>Wk30</t>
  </si>
  <si>
    <t>Wk31</t>
  </si>
  <si>
    <t>Wk32</t>
  </si>
  <si>
    <t>Section</t>
  </si>
  <si>
    <t>Format</t>
  </si>
  <si>
    <t>#,##0</t>
  </si>
  <si>
    <t>Total Units</t>
  </si>
  <si>
    <t>E1</t>
  </si>
  <si>
    <t>Studio Occ %</t>
  </si>
  <si>
    <t>A1, A2, A3, A4, A5, A6, A8S, A9TH, A10, A11</t>
  </si>
  <si>
    <t>1BR Occ %</t>
  </si>
  <si>
    <t>B1, B2, B3, B4, B5, B6, B7TH, B8</t>
  </si>
  <si>
    <t>2BR Occ %</t>
  </si>
  <si>
    <t>C1</t>
  </si>
  <si>
    <t>3BR Occ %</t>
  </si>
  <si>
    <t>LEASING</t>
  </si>
  <si>
    <t> </t>
  </si>
  <si>
    <t>Tour Conversion %</t>
  </si>
  <si>
    <t>Approved Apps</t>
  </si>
  <si>
    <t>Pending Apps</t>
  </si>
  <si>
    <t>Cancelled Apps</t>
  </si>
  <si>
    <t>Denied Apps</t>
  </si>
  <si>
    <t>App Approval %</t>
  </si>
  <si>
    <t>New Leases</t>
  </si>
  <si>
    <t>RENEWALS - MARCH</t>
  </si>
  <si>
    <t>Early Move Outs</t>
  </si>
  <si>
    <t>RENEWALS - APRIL</t>
  </si>
  <si>
    <t>RENEWALS - MAY</t>
  </si>
  <si>
    <t>RENEWALS - JUNE</t>
  </si>
  <si>
    <t>RENEWALS - JULY</t>
  </si>
  <si>
    <t>RENEWALS - AUGUST</t>
  </si>
  <si>
    <t>RENEWALS - SEPTEMBER</t>
  </si>
  <si>
    <t>RENEWALS - OCTOBER</t>
  </si>
  <si>
    <t>MTM LEASES</t>
  </si>
  <si>
    <t>Total MTM</t>
  </si>
  <si>
    <t>MOVE ACTIVITY</t>
  </si>
  <si>
    <t>Move Ins</t>
  </si>
  <si>
    <t>Move Outs</t>
  </si>
  <si>
    <t>Net Absorption</t>
  </si>
  <si>
    <t>Controllable MO</t>
  </si>
  <si>
    <t>Uncontrollable MO</t>
  </si>
  <si>
    <t>all charges</t>
  </si>
  <si>
    <t>$#,##0</t>
  </si>
  <si>
    <t>Net Charges</t>
  </si>
  <si>
    <t>Payments Received</t>
  </si>
  <si>
    <t>Collection % (MTD)</t>
  </si>
  <si>
    <t>any balance over $0.01</t>
  </si>
  <si>
    <t>Current/MTM/NTV</t>
  </si>
  <si>
    <t>Evicted</t>
  </si>
  <si>
    <t>Former Resident</t>
  </si>
  <si>
    <t>61+ Day Write-Offs</t>
  </si>
  <si>
    <t>Delinquency Balance — Current+Notice Residents ($)</t>
  </si>
  <si>
    <t>Delinquency (days)=Total gross charges/Total delinquency balance​×30</t>
  </si>
  <si>
    <t>DQ Compression</t>
  </si>
  <si>
    <t>0.0x</t>
  </si>
  <si>
    <t>18.5x</t>
  </si>
  <si>
    <t>28.4x</t>
  </si>
  <si>
    <t>31.7x</t>
  </si>
  <si>
    <t>DSO (days) = (Delinquency Balance / T12 Rental Income) × Days in Month</t>
  </si>
  <si>
    <t>DSO (Days)</t>
  </si>
  <si>
    <t>DSO 2-Mo Trailing = (Delinquency Balance / Avg of prior &amp; current month T12 Rental Income) × Days in Month</t>
  </si>
  <si>
    <t>DSO 2-Mo Trailing</t>
  </si>
  <si>
    <t>Avg Days to Collect (MTD, cumulative)</t>
  </si>
  <si>
    <t>Avg Days to Collect (prior month, final)</t>
  </si>
  <si>
    <t>Avg Days to Complete</t>
  </si>
  <si>
    <t>Avg Concession</t>
  </si>
  <si>
    <t>Leases (30-Day)</t>
  </si>
  <si>
    <t>MOVED OUT OVERRIDE</t>
  </si>
  <si>
    <t>CURRENT OVERRIDE</t>
  </si>
  <si>
    <t>Delinquency Detail</t>
  </si>
  <si>
    <t>(Add resident names here to force into Former section)</t>
  </si>
  <si>
    <t>(On rent roll -&gt; force into Current section, exclude from Former)</t>
  </si>
  <si>
    <t>As of:</t>
  </si>
  <si>
    <t>Min Bal Filter:</t>
  </si>
  <si>
    <t>← Adjust current threshold</t>
  </si>
  <si>
    <t>Smiley, Brianca</t>
  </si>
  <si>
    <t>Simpson, William</t>
  </si>
  <si>
    <t>DELINQUENCY SUMMARY</t>
  </si>
  <si>
    <t>Perez, Jocelyn</t>
  </si>
  <si>
    <t>Brown, Rayquain</t>
  </si>
  <si>
    <t>Total Delinquency</t>
  </si>
  <si>
    <t>0-30 Days</t>
  </si>
  <si>
    <t>Means, Alexxis</t>
  </si>
  <si>
    <t>Lagunas, Francisco</t>
  </si>
  <si>
    <t>Delinquent Accounts</t>
  </si>
  <si>
    <t>31-60 Days</t>
  </si>
  <si>
    <t>Cetz, Manuel</t>
  </si>
  <si>
    <t>Barr, Ebony</t>
  </si>
  <si>
    <t>Evictions</t>
  </si>
  <si>
    <t>Eviction Exposure</t>
  </si>
  <si>
    <t>Elhakim, Ahmed</t>
  </si>
  <si>
    <t>Johnson, Scott</t>
  </si>
  <si>
    <t>Skips</t>
  </si>
  <si>
    <t>Skip Exposure</t>
  </si>
  <si>
    <t>Sanders, Dwayne</t>
  </si>
  <si>
    <t>Avila, Marcos</t>
  </si>
  <si>
    <t>Pending Eviction $</t>
  </si>
  <si>
    <t>Current Delinq $</t>
  </si>
  <si>
    <t>Meraz, Elvira</t>
  </si>
  <si>
    <t>Rocha, Luis</t>
  </si>
  <si>
    <t>LEASELOCK SUMMARY</t>
  </si>
  <si>
    <t>Allen, Quentin</t>
  </si>
  <si>
    <t>Total Claimed</t>
  </si>
  <si>
    <t>Open Claims</t>
  </si>
  <si>
    <t>Total Recovery Rate</t>
  </si>
  <si>
    <t>Claim Rec. %</t>
  </si>
  <si>
    <t>Coronado, Iram</t>
  </si>
  <si>
    <t>Total Paid</t>
  </si>
  <si>
    <t>Unfiled Claims</t>
  </si>
  <si>
    <t>Net Loss</t>
  </si>
  <si>
    <t>Alvarez, Nixon</t>
  </si>
  <si>
    <t>Claims Filed</t>
  </si>
  <si>
    <t>Est. Recovery (unfiled)</t>
  </si>
  <si>
    <t>Claims Denied</t>
  </si>
  <si>
    <t>NJENDU, MARTIN</t>
  </si>
  <si>
    <t>Max Claimed $750</t>
  </si>
  <si>
    <t>Est. Recovery (total)</t>
  </si>
  <si>
    <t>Avg Recovery</t>
  </si>
  <si>
    <t>Fudge, Alicia</t>
  </si>
  <si>
    <t>EVICTIONS &amp; FORMER RESIDENTS</t>
  </si>
  <si>
    <t>Cooks, Tatiana</t>
  </si>
  <si>
    <t>Unit</t>
  </si>
  <si>
    <t>Resident</t>
  </si>
  <si>
    <t>Move-In Date</t>
  </si>
  <si>
    <t>Move-Out Date</t>
  </si>
  <si>
    <t>IPS/CAF</t>
  </si>
  <si>
    <t>Total Bal.</t>
  </si>
  <si>
    <t>0-30</t>
  </si>
  <si>
    <t>31-60</t>
  </si>
  <si>
    <t>LeaseLock/RSI</t>
  </si>
  <si>
    <t>Collection/Leaselock/RSI Notes</t>
  </si>
  <si>
    <t>Branch, Maria</t>
  </si>
  <si>
    <t>Jackson, Tamia</t>
  </si>
  <si>
    <t>pending lease lock</t>
  </si>
  <si>
    <t>Howard, Ronnie</t>
  </si>
  <si>
    <t>Court date 7/14 @ 1:30</t>
  </si>
  <si>
    <t>still pending lease lock</t>
  </si>
  <si>
    <t>lease lock claim deined; wrote off $7,231.73, ready to send to collections</t>
  </si>
  <si>
    <t>Court date 7/8 @ 1:30/ resdient moved out</t>
  </si>
  <si>
    <t>claim deined; wrote off $1,7991.90, ready for collections</t>
  </si>
  <si>
    <t>lease lock payment $750; wrote off the remaining, and ready for collections</t>
  </si>
  <si>
    <t>no claim; wrote off $179.55, ready for collections</t>
  </si>
  <si>
    <t>resident moved out</t>
  </si>
  <si>
    <t>CAF Notes</t>
  </si>
  <si>
    <t>apealed, and JOA is hnadling the appeal</t>
  </si>
  <si>
    <t>pending writ confirmation</t>
  </si>
  <si>
    <t>Court date 8/24</t>
  </si>
  <si>
    <t>Court date 8/20</t>
  </si>
  <si>
    <t>pending court date</t>
  </si>
  <si>
    <t>NTV sent 8/4; pending court date</t>
  </si>
  <si>
    <t>Court Date 8/10</t>
  </si>
  <si>
    <t>Eviction</t>
  </si>
  <si>
    <t>in eviction process</t>
  </si>
  <si>
    <t>Skip</t>
  </si>
  <si>
    <t>left without notice</t>
  </si>
  <si>
    <t>Former</t>
  </si>
  <si>
    <t>moved out / past tenant</t>
  </si>
  <si>
    <t>Application Pipeline Intelligence</t>
  </si>
  <si>
    <t>Sources: Application_Status_Feb + Application_Status_Mar + Application_Status_Apr + Application_Status_May</t>
  </si>
  <si>
    <t>PIPELINE SUMMARY</t>
  </si>
  <si>
    <t>AGING SUMMARY</t>
  </si>
  <si>
    <t>Total Apps (All Units)</t>
  </si>
  <si>
    <t>0-7 days (Fresh)</t>
  </si>
  <si>
    <t>8-14 days (Normal)</t>
  </si>
  <si>
    <t>15-21 days (Approaching Stale)</t>
  </si>
  <si>
    <t>22-30 days (Stale)</t>
  </si>
  <si>
    <t>Approved / Pending Lease</t>
  </si>
  <si>
    <t>30+ days (OVERDUE)</t>
  </si>
  <si>
    <t>No Record Found</t>
  </si>
  <si>
    <t>PROCESSING SPEED ANALYSIS</t>
  </si>
  <si>
    <t>Processing Metric</t>
  </si>
  <si>
    <t>Active Apps</t>
  </si>
  <si>
    <t>Cancelled</t>
  </si>
  <si>
    <t>Converted</t>
  </si>
  <si>
    <t>Overall</t>
  </si>
  <si>
    <t>Signal</t>
  </si>
  <si>
    <t>Avg days: Created → Started</t>
  </si>
  <si>
    <t>Avg days: Started → Completed</t>
  </si>
  <si>
    <t>Avg days: Completed → Decision</t>
  </si>
  <si>
    <t>Avg total days: Created → Today</t>
  </si>
  <si>
    <t>Apps still waiting 15+ days</t>
  </si>
  <si>
    <t>LOSS ANALYSIS — PROBABLE CAUSE CLASSIFICATION</t>
  </si>
  <si>
    <t>Probable Cause</t>
  </si>
  <si>
    <t>4-Wk Est.</t>
  </si>
  <si>
    <t>% of Losses</t>
  </si>
  <si>
    <t>Severity</t>
  </si>
  <si>
    <t>Evidence / Signal</t>
  </si>
  <si>
    <t>Screening Fail / Unqualified</t>
  </si>
  <si>
    <t>HIGH</t>
  </si>
  <si>
    <t>Processing Timeout (15+ days)</t>
  </si>
  <si>
    <t>CRITICAL</t>
  </si>
  <si>
    <t>Applicant Withdrew / Found Alt</t>
  </si>
  <si>
    <t>MODERATE</t>
  </si>
  <si>
    <t>Lewis approved w/ -22% concession then cancelled. Duplicates flagged. Slow processing drives applicants to competitors.</t>
  </si>
  <si>
    <t>Repeat-Fail Unit Pattern</t>
  </si>
  <si>
    <t>WATCH</t>
  </si>
  <si>
    <t>No Agent / Stalled Pipeline</t>
  </si>
  <si>
    <t>TOTAL LOSSES (4-wk)</t>
  </si>
  <si>
    <t>Applicant</t>
  </si>
  <si>
    <t>Days Open</t>
  </si>
  <si>
    <t>Lead Source</t>
  </si>
  <si>
    <t>Rationale</t>
  </si>
  <si>
    <t>S32-431</t>
  </si>
  <si>
    <t>Processing Timeout</t>
  </si>
  <si>
    <t>N19-1080</t>
  </si>
  <si>
    <t>Approved → Withdrew</t>
  </si>
  <si>
    <t>APPROVED in Feb w/ -22% concession ($1,255→$979), then CANCELLED 3/2. Total revenue loss after concession granted. High-cost failure.</t>
  </si>
  <si>
    <t>W07-1-0708</t>
  </si>
  <si>
    <t>E1 studio. Completed in Feb, sat 25 days with no decision, cancelled 3/2. Processing timeout — faster decisioning could have saved this.</t>
  </si>
  <si>
    <t>S26-415</t>
  </si>
  <si>
    <t>Completed in Feb, sat 17 days with no decision, cancelled in Mar. Same timeout pattern — another saveable app lost to backlog.</t>
  </si>
  <si>
    <t>S26-403</t>
  </si>
  <si>
    <t>Repeat-Fail Unit</t>
  </si>
  <si>
    <t>2nd cancel on unit (Maddox also cancelled). HOUSE agent — no follow-up owner. Assign a named agent to break the cycle.</t>
  </si>
  <si>
    <t>W28-2-1017</t>
  </si>
  <si>
    <t>2nd cancel on unit (Opara also cancelled). B1 at 59% occ. Quick cancel — likely screening fail. Unit needs targeted sourcing.</t>
  </si>
  <si>
    <t>AGENT DISTRIBUTION</t>
  </si>
  <si>
    <t>Leasing Agent</t>
  </si>
  <si>
    <t># Apps</t>
  </si>
  <si>
    <t>Still Open</t>
  </si>
  <si>
    <t>Risk Flag</t>
  </si>
  <si>
    <t>Martinez, Briana</t>
  </si>
  <si>
    <t>Martinez, Emily</t>
  </si>
  <si>
    <t>Rodriguez, Jennifer</t>
  </si>
  <si>
    <t>Reyes, Martha / Josie</t>
  </si>
  <si>
    <t>Elise, Meet</t>
  </si>
  <si>
    <t>Vazquez, Norma</t>
  </si>
  <si>
    <t>Gabehart, Jamey</t>
  </si>
  <si>
    <t>Portillo, Nussly</t>
  </si>
  <si>
    <t>HOUSE / Not Assigned</t>
  </si>
  <si>
    <t>LEAD SOURCE QUALITY</t>
  </si>
  <si>
    <t>Website</t>
  </si>
  <si>
    <t>Drive By</t>
  </si>
  <si>
    <t>Resident Referral</t>
  </si>
  <si>
    <t>UMOVEFREE</t>
  </si>
  <si>
    <t>Google</t>
  </si>
  <si>
    <t>Apartments.com</t>
  </si>
  <si>
    <t>RentVision Website</t>
  </si>
  <si>
    <t>Other (Zillow, Apt List, Prev Res, Apple, Migrated, RV SEO)</t>
  </si>
  <si>
    <t>Priority:</t>
  </si>
  <si>
    <t>■ CRITICAL (22+ days)</t>
  </si>
  <si>
    <t>■ HIGH (15-21d / no agent 8+d)</t>
  </si>
  <si>
    <t>■ WATCH (8-14 days)</t>
  </si>
  <si>
    <t>OPEN APPLICATION DETAIL</t>
  </si>
  <si>
    <t>Current Status</t>
  </si>
  <si>
    <t>Stage</t>
  </si>
  <si>
    <t>Agent</t>
  </si>
  <si>
    <t>App Created</t>
  </si>
  <si>
    <t>App Completed</t>
  </si>
  <si>
    <t>Cancelled/Denied</t>
  </si>
  <si>
    <t>Site Visit Action Item Tracker</t>
  </si>
  <si>
    <t>← Enter week #</t>
  </si>
  <si>
    <t>Category</t>
  </si>
  <si>
    <t>Action Item</t>
  </si>
  <si>
    <t>Owner</t>
  </si>
  <si>
    <t>Deadline</t>
  </si>
  <si>
    <t>Operator Comments</t>
  </si>
  <si>
    <t>Week Assigned</t>
  </si>
  <si>
    <t>IMMEDIATE PRIORITIES</t>
  </si>
  <si>
    <t>Leasing Pipeline</t>
  </si>
  <si>
    <t>Clear all applications 15+ days old from the pipeline by 04/01/2026. Cancel or convert each — no app should remain in limbo past two weeks without a documented status update.</t>
  </si>
  <si>
    <t>Melody</t>
  </si>
  <si>
    <t>Pending</t>
  </si>
  <si>
    <t>The team is currently working on this startng with newer applications started, and will work on the old started applications to clear the applications.</t>
  </si>
  <si>
    <t>Wk 13</t>
  </si>
  <si>
    <t>LEASING PIPELINE</t>
  </si>
  <si>
    <t>Renewals</t>
  </si>
  <si>
    <t>Develop targeted outreach plan to convert 93 MTM leases to fixed-term. Prioritize by balance risk and unit type. Each MTM is a retention risk and revenue uncertainty.</t>
  </si>
  <si>
    <t>Ongoing</t>
  </si>
  <si>
    <t>In Progress</t>
  </si>
  <si>
    <t>Wk14: 79 MTM leases (down from 98 WoW). We are currently working day by day on them.</t>
  </si>
  <si>
    <t>Wk 10</t>
  </si>
  <si>
    <t>Application Bottleneck</t>
  </si>
  <si>
    <t>Hire a dedicated local resource to process and approve applications onsite with centralized team permissions.</t>
  </si>
  <si>
    <t>ASAP</t>
  </si>
  <si>
    <t>Complete</t>
  </si>
  <si>
    <t>Justin (new centralized team member) starts Monday. Pressure on Melody to backfill OKC site staffing. Per-lease evening incentive (6-7 PM, doubles at 11 leases) launching as 30-day trial.</t>
  </si>
  <si>
    <t>Wk 14</t>
  </si>
  <si>
    <t>STAFFING AND OPERATIONS</t>
  </si>
  <si>
    <t>Staffing Structure</t>
  </si>
  <si>
    <t>Identify performance gaps and finalize the staffing plan prior to the 90-day mark so expectations are clear and stable. Promote Saul and hire assistant or hire MS.</t>
  </si>
  <si>
    <t>Before 90-Day</t>
  </si>
  <si>
    <t>Resident Coordinator transfer from OKC began this past Monday and is now on site. Floating PM assisting with leasing this week while Leasing Manager supports other underperforming communities at Brooke's direction. Requested Leasing Manager back at AVA next week.</t>
  </si>
  <si>
    <t>Wk 8</t>
  </si>
  <si>
    <t>Water Meter Audit</t>
  </si>
  <si>
    <t>Follow up on water meter walk findings: confirmed leak repair, 8 missing reads, 2 incorrect reads, missing/unnumbered meters at 3 locations, and unclear note from 8303 Skillman.</t>
  </si>
  <si>
    <t>This Week</t>
  </si>
  <si>
    <t>Meter 863494 (9750 Royal Lane): leak confirmed — get plumber out this week for repair estimate (top priority). 8 meters need re-reads (1176679, 1908203, 1182335, 819929, 855117, 741095, 854931, 741812). 2 meters re-read for incorrect entries (1176625 at 9750 Royal, 808282 at 8401 Skillman). 3 missing/unnumbered meters at Fair Oaks/8303 Skillman/8401 Skillman — confirm locations. Clarify '194280 by 42' note from 8303 Skillman.</t>
  </si>
  <si>
    <t>Wk 17</t>
  </si>
  <si>
    <t>RUBS / Conservice</t>
  </si>
  <si>
    <t>Set up call with Conservice to confirm allocation cap methodology (cluster vs property-wide) and update treatment for clusters with confirmed irrigation meters per PUC Rule 24.281 (95% vs 75% default).</t>
  </si>
  <si>
    <t>Next Week</t>
  </si>
  <si>
    <t>Set up call with Conservice next week to (1) confirm whether RUBS allocation cap is applied at building cluster level or property-wide, (2) walk through irrigation meter documentation from this audit, (3) determine cap update by cluster. Confirmed irrigation meters: 9750 Royal Lane (3), 8201 Fair Oaks (2), 8401 Skillman (3); 8303 Skillman has none. Per PUC Rule 24.281, properties w/dedicated irrigation meters eligible for 95% cap (vs 75% default) — could meaningfully increase resident-allocable share.</t>
  </si>
  <si>
    <t>Maintenance Supervisor Backfill</t>
  </si>
  <si>
    <t>Backfill the open Maintenance Supervisor position following Angel's resignation. Identify internal or external candidates and define interim coverage plan to keep work order completion on track during the gap.</t>
  </si>
  <si>
    <t>have interviews lined up for this afternoon with 3 candidates</t>
  </si>
  <si>
    <t>COMPLETED / ARCHIVED</t>
  </si>
  <si>
    <t>Collections</t>
  </si>
  <si>
    <t>Reconcile March collection charges and confirm final collection % for March EOM. Identify any charge code discrepancies inflating the gap between gross charges and cash collected.</t>
  </si>
  <si>
    <t>Sergio</t>
  </si>
  <si>
    <t>We have reviewed the data, and the total collection percentage for March is 83.5%. This figure reflects all charges billed during the month, including rent, NSF fees, late fees, and other applicable charges.</t>
  </si>
  <si>
    <t>Secure a minimum of 5 net leases by Thursday 04/02/2026. Focus on approved-but-unsigned applicants and any pipeline deals that can be accelerated to execution.</t>
  </si>
  <si>
    <t>We are currnely working towards our target will have a set amount on 4/2</t>
  </si>
  <si>
    <t>Develop an EliseAI text template listing required documents to send at first contact.</t>
  </si>
  <si>
    <t>Deferred</t>
  </si>
  <si>
    <t>We will not be moving forward with Elise AI, as it requires us to adopt their full application package. Instead, Josie is currently working on setting up an automated email through Entrata that will be triggered once an application is submitted.</t>
  </si>
  <si>
    <t>Eviction Notices</t>
  </si>
  <si>
    <t>Validate addendums on the latest batch of evictions to determine whether 30-day or 3-day notices are required. Confirm with attorneys whether addendum language can be modified going forward to streamline future filings.</t>
  </si>
  <si>
    <t>Christi / Melody</t>
  </si>
  <si>
    <t>Urgent</t>
  </si>
  <si>
    <t>Wk 11</t>
  </si>
  <si>
    <t>Delinquency</t>
  </si>
  <si>
    <t>Sergio to download ResMan ledgers for all DQ former residents to support collections reconciliation and LeaseLock claim documentation.</t>
  </si>
  <si>
    <t>Wk 12</t>
  </si>
  <si>
    <t>Deploy automated messaging through EliseAI or Entrata to clearly outline the renewal process and reduce resident confusion.</t>
  </si>
  <si>
    <t>Josie has a call with Elise this week; adding to agenda. Leases set to resend to unsigned residents every 5 days.</t>
  </si>
  <si>
    <t>Have marketing prepare a simple digital guide showing how to download paystubs and upload documentation from common payroll platforms.</t>
  </si>
  <si>
    <t>Melody / Marketing</t>
  </si>
  <si>
    <t>Chris Garcia is OOO followed up with Rentvision on 3/25 pending a response</t>
  </si>
  <si>
    <t>Unsigned Leases</t>
  </si>
  <si>
    <t>Convert 33 completed applications to fully executed leases as quickly as possible. Provide a defined deadline for clearing this backlog so we can track progress weekly.</t>
  </si>
  <si>
    <t>Wk10: Pipeline grew 90→103 (+13 WoW). 53 still open, 25 apps 15+ days old (up from 21). 10 converted, 38 cancelled. Avg days to decision 11.9 (up from 11). Backlog worsening, not improving.</t>
  </si>
  <si>
    <t>Provide staff with a consistent phone script covering required documentation.</t>
  </si>
  <si>
    <t>Wk10: Same pipeline data as #8. Loss rate jumped 28.9%→36.9% WoW — 38 of 103 apps cancelled/denied. Screening or follow-up process not filtering effectively. $99 fee proposal status unknown.</t>
  </si>
  <si>
    <t>Add required documentation guidance to the property website.</t>
  </si>
  <si>
    <t>Will coordinate with Garcia for website updates. Working with Josie and Alex on Tuesday.</t>
  </si>
  <si>
    <t>Compensation</t>
  </si>
  <si>
    <t>Prepare and circulate a bonus structure proposal for Shawna, Alex, and Nylsa to Melody, Christi, and Brooke for review and approval.</t>
  </si>
  <si>
    <t>RSI Platform</t>
  </si>
  <si>
    <t>Treat as urgent — delinquent residents are not consistently appearing in RSI, and current reporting does not confirm who has been filed on. We need full visibility into filings and status immediately to actively manage eviction pipeline outcomes.</t>
  </si>
  <si>
    <t>Immediate</t>
  </si>
  <si>
    <t>Wk10: RSI tab fully updated (60 records). Delinquency_Detail auto-matches residents to RSI status. 4 Filed, 3 Hearing Scheduled, 17 Cancelled, 11 Not in RSI. Full visibility achieved — now tracking weekly.</t>
  </si>
  <si>
    <t>Eviction Coordination</t>
  </si>
  <si>
    <t>Schedule coordination calls early next week with Amos and Nationwide to align on documentation standards, court presence, timelines, and execution strategy ahead of the next wave of evictions.</t>
  </si>
  <si>
    <t>Early Next Wk</t>
  </si>
  <si>
    <t>Josie copied Melody on email with Amos — Amos has not been responsive. Asked Josie to set up a call with them.</t>
  </si>
  <si>
    <t>Delinquency Write-Offs</t>
  </si>
  <si>
    <t>Coordinate with Michael's team to process month-end write-offs (~$224K in legacy balances) with an offsetting entry tied to expected LeaseLock recoveries. Implement a control ensuring balances do not remain outstanding more than 60 days post move-out.</t>
  </si>
  <si>
    <t>Melody / Michael</t>
  </si>
  <si>
    <t>Month-End</t>
  </si>
  <si>
    <t>SC: Write off recon sent to Michael on 3/11. Waiting on confirmation from CAF Accounting</t>
  </si>
  <si>
    <t>Close out February immediately; target full closure of March renewals by Thursday.</t>
  </si>
  <si>
    <t>Thursday</t>
  </si>
  <si>
    <t>Wk10: Feb 66.7% (target 70%) — still not closed out, 2+ wks past deadline. Mar 18.5% vs 70% target. Apr 9.7%, May 5.5%. Feb improved from 61.9% WoW but closure deadline missed since Wk8.</t>
  </si>
  <si>
    <t>Implement consistent renewal events with clear sign-on incentives.</t>
  </si>
  <si>
    <t>Will have first renewal party on Wednesday 3/11 for March &amp; April renewals</t>
  </si>
  <si>
    <t>Roles and Accountability</t>
  </si>
  <si>
    <t>Ensure each team member understands their responsibilities, KPIs, and performance expectations.</t>
  </si>
  <si>
    <t>New team will have defined responsibilities and clear direction.</t>
  </si>
  <si>
    <t>Entrata HFC Certification</t>
  </si>
  <si>
    <t>Secure formal training on the Entrata HFC compliance platform as soon as possible to streamline execution and prevent further lease and move-in bottlenecks.</t>
  </si>
  <si>
    <t>Inquired about formal training call — no response yet; will follow up. Ginger at property rest of week for HFC/document training. Alex and Nylsa have training on the 17th.</t>
  </si>
  <si>
    <t>Investigate 72% RSI cancellation rate (43 of 60 files). Determine root cause — documentation gaps, lease issues, or RSI platform errors — and develop corrective action plan to prevent repeat cancellations on next filing wave.</t>
  </si>
  <si>
    <t>Wk10: 43/60 RSI files cancelled. Only 4 Filed, 3 Hearing Scheduled. Pattern suggests systemic issue, not case-by-case.</t>
  </si>
  <si>
    <t>Define and implement a formal application processing SLA (e.g., 72-hr first review, 7-day decision). Current avg is 11.9 days with 25 apps over 15 days old. Assign accountability for clearing stale apps weekly.</t>
  </si>
  <si>
    <t>Wk10: No SLA exists. Avg days 11.9 (target 7). 25 apps 15+ days old. Pipeline targets now set in Dashboard — need operational process to match.</t>
  </si>
  <si>
    <t>Applicant Screening Effectiveness &amp; Bad Debt Avoidance Analysis</t>
  </si>
  <si>
    <t>Analysis Period: 1/1/2026 — Present</t>
  </si>
  <si>
    <t>Sources: App_Pipeline_Intel_4, Delinquency_Detail_3, Write_Off_Recon, Delinq Data, trending delinquency, Move_Out_Reasons, DSO_Calculation</t>
  </si>
  <si>
    <t>SECTION 1: SCREENING ACTIVITY SUMMARY</t>
  </si>
  <si>
    <t>Pipeline Metric</t>
  </si>
  <si>
    <t>Count</t>
  </si>
  <si>
    <t>% of Total</t>
  </si>
  <si>
    <t>Loss Cause Classification</t>
  </si>
  <si>
    <t>Total Applications Submitted</t>
  </si>
  <si>
    <t>Denial Rate (Screening Fails ÷ Total Apps)</t>
  </si>
  <si>
    <t>Total Losses (Cancelled + Denied)</t>
  </si>
  <si>
    <t>Overall Loss Rate (Losses ÷ Total Apps)</t>
  </si>
  <si>
    <t>Screening-Specific Block Rate (Screening Fails ÷ Completed Apps)</t>
  </si>
  <si>
    <t>Denied (Screening Criteria)</t>
  </si>
  <si>
    <t>← Direct count from raw Application_Status tabs since 1/1/2026</t>
  </si>
  <si>
    <t>SECTION 2: BAD DEBT BENCHMARKS — ACTUAL COST PER BAD RESIDENT (FROM CURRENT PORTFOLIO)</t>
  </si>
  <si>
    <t>Bad Debt Category</t>
  </si>
  <si>
    <t># Accounts</t>
  </si>
  <si>
    <t>Total Exposure</t>
  </si>
  <si>
    <t>Avg Balance/Acct</t>
  </si>
  <si>
    <t>Source / Methodology</t>
  </si>
  <si>
    <t>Evictions (Past Residents)</t>
  </si>
  <si>
    <t>Delinquency_Detail_3 → Eviction Exposure</t>
  </si>
  <si>
    <t>Skips (Past Residents)</t>
  </si>
  <si>
    <t>Delinquency_Detail_3 → Skip Exposure</t>
  </si>
  <si>
    <t>Formers (60+ Days Aged)</t>
  </si>
  <si>
    <t>Write_Off_Recon → Former balance (60+ Days Only)</t>
  </si>
  <si>
    <t>Write-Off Eligible (60+ Days)</t>
  </si>
  <si>
    <t>Write_Off_Recon → Accounts 60+ days since move out</t>
  </si>
  <si>
    <t>Pending Write-Off (&lt; 60 Days)</t>
  </si>
  <si>
    <t>Write_Off_Recon → &lt;60 Days (pending)</t>
  </si>
  <si>
    <t>Total Delinquency (All Accounts)</t>
  </si>
  <si>
    <t>Delinquency_Detail_3 → Total Delinquency (all statuses)</t>
  </si>
  <si>
    <t>Current Residents ≥ $1,500 (at-risk)</t>
  </si>
  <si>
    <t>Delinq Data → Current residents with balances ≥ $1,500</t>
  </si>
  <si>
    <t>BLENDED AVG BAD DEBT PER BAD RESIDENT</t>
  </si>
  <si>
    <t>Weighted avg: (Evictions + Skips + Write-Off Eligible) ÷ Total accounts</t>
  </si>
  <si>
    <t>NOTE: All eviction/skip/former accounts above are IPS-era residents (screened under old criteria). The new CAF process aims to prevent these outcomes.</t>
  </si>
  <si>
    <t>Eviction Filing Exposure (RSI)</t>
  </si>
  <si>
    <t>Evictions_RSI → Active filings; Delinquency_Detail_3 → Pending Eviction $</t>
  </si>
  <si>
    <t>SECTION 3: ESTIMATED BAD DEBT AVOIDED — SCREENING IMPACT QUANTIFICATION</t>
  </si>
  <si>
    <t>Methodology: Each denied/cancelled applicant who would have otherwise moved in carries the average bad debt cost of current evictions, skips, and write-offs.</t>
  </si>
  <si>
    <t>APPLICANTS BLOCKED (Since 1/1/2026)</t>
  </si>
  <si>
    <t>Bad Debt/Acct</t>
  </si>
  <si>
    <t>Est. Bad Debt Avoided</t>
  </si>
  <si>
    <t>Assumption / Basis</t>
  </si>
  <si>
    <t>Screening Denials (Highest Risk)</t>
  </si>
  <si>
    <t>Blended avg bad debt × denied apps (these are the highest-risk applicants caught by screening criteria)</t>
  </si>
  <si>
    <t>Processing Timeout Cancels (Probable Risk)</t>
  </si>
  <si>
    <t>25% probability factor — some would have failed screening had they stayed in pipeline</t>
  </si>
  <si>
    <t>15% probability — competitive loss, lower risk profile assumed</t>
  </si>
  <si>
    <t>50% probability — unit-linked pattern suggests higher risk</t>
  </si>
  <si>
    <t>10% probability — process failure, not applicant quality</t>
  </si>
  <si>
    <t>TOTAL ESTIMATED BAD DEBT AVOIDED</t>
  </si>
  <si>
    <t>CONSERVATIVE SCENARIO (Denials Only)</t>
  </si>
  <si>
    <t>Only counts screening denials at full blended avg</t>
  </si>
  <si>
    <t>MODERATE SCENARIO (Denials + Timeouts)</t>
  </si>
  <si>
    <t>Denials at 100% + timeouts at 25% probability</t>
  </si>
  <si>
    <t>FULL SCENARIO (All Blocked Applicants)</t>
  </si>
  <si>
    <t>All categories at risk-weighted probabilities</t>
  </si>
  <si>
    <t>BAD DEBT SAVINGS vs. CURRENT EXPOSURE</t>
  </si>
  <si>
    <t>Ratio</t>
  </si>
  <si>
    <t>Interpretation</t>
  </si>
  <si>
    <t>Savings as % of Total Delinquency</t>
  </si>
  <si>
    <t>% of current total delinquency avoided by screening</t>
  </si>
  <si>
    <t>Savings as % of Write-Off Eligible</t>
  </si>
  <si>
    <t>Blocked bad debt relative to existing write-off pool</t>
  </si>
  <si>
    <t>Savings as % of Eviction+Skip Exposure</t>
  </si>
  <si>
    <t>Blocked bad debt relative to eviction + skip exposure</t>
  </si>
  <si>
    <t>Denied Apps Per Current Eviction</t>
  </si>
  <si>
    <t>For every existing eviction, screening blocked X future ones</t>
  </si>
  <si>
    <t>SECTION 4: DELINQUENCY TREND &amp; TENANT QUALITY ANALYSIS</t>
  </si>
  <si>
    <t>DELINQUENCY TREND (from Trending Delinquency tab)</t>
  </si>
  <si>
    <t>Delinquency $</t>
  </si>
  <si>
    <t>% Delinquent</t>
  </si>
  <si>
    <t># Residents</t>
  </si>
  <si>
    <t>Feb 1, 2026 (Start of Month)</t>
  </si>
  <si>
    <t>Feb 28, 2026 (End of Month)</t>
  </si>
  <si>
    <t>Mar 1, 2026 (Start of Month)</t>
  </si>
  <si>
    <t>Latest (Current)</t>
  </si>
  <si>
    <t>Feb → Mar Change</t>
  </si>
  <si>
    <t>← Negative = improving; Positive = worsening</t>
  </si>
  <si>
    <t>DSO TREND (Days Sales Outstanding)</t>
  </si>
  <si>
    <t>Trailing 2-Mo</t>
  </si>
  <si>
    <t>12-Month Average DSO (2025)</t>
  </si>
  <si>
    <t>Jan 2026 DSO</t>
  </si>
  <si>
    <t>Feb 2026 DSO</t>
  </si>
  <si>
    <t>DSO Target</t>
  </si>
  <si>
    <t>Industry benchmark for well-run multifamily</t>
  </si>
  <si>
    <t>DSO Variance (Feb 2026 vs Target)</t>
  </si>
  <si>
    <t>days over target</t>
  </si>
  <si>
    <t>MOVE-OUT QUALITY ANALYSIS (Since 1/1/2026)</t>
  </si>
  <si>
    <t>Total Balance</t>
  </si>
  <si>
    <t>Avg Balance</t>
  </si>
  <si>
    <t>Source</t>
  </si>
  <si>
    <t>Skipped Without Notice</t>
  </si>
  <si>
    <t>Move_Out_Reasons → Skip move-outs since 1/1/2026</t>
  </si>
  <si>
    <t>Eviction / Failure To Pay</t>
  </si>
  <si>
    <t>Move_Out_Reasons → Eviction/FTP move-outs since 1/1/2026</t>
  </si>
  <si>
    <t>Non-Renewal (by Property)</t>
  </si>
  <si>
    <t>Move_Out_Reasons → Property-initiated non-renewals since 1/1/2026</t>
  </si>
  <si>
    <t>SECTION 5: SCREENING ROI &amp; EXECUTIVE SUMMARY</t>
  </si>
  <si>
    <t>FULL COST OF A BAD RESIDENT</t>
  </si>
  <si>
    <t>Amount</t>
  </si>
  <si>
    <t>Basis</t>
  </si>
  <si>
    <t>Avg Unpaid Rent / Charges (Blended)</t>
  </si>
  <si>
    <t>Blended avg from evictions, skips, write-offs (Section 2)</t>
  </si>
  <si>
    <t>Estimated Legal / Eviction Filing Costs</t>
  </si>
  <si>
    <t>Industry avg per-unit eviction legal cost (attorney + court + service)</t>
  </si>
  <si>
    <t>Estimated Unit Turn / Damage Cost</t>
  </si>
  <si>
    <t>Industry avg unit turn cost for damaged/evicted units</t>
  </si>
  <si>
    <t>Vacancy Loss (Avg 45 days @ avg market rent)</t>
  </si>
  <si>
    <t>45-day avg vacancy × avg market rent from Move_Out_Reasons</t>
  </si>
  <si>
    <t>TOTAL COST PER BAD RESIDENT</t>
  </si>
  <si>
    <t>SCREENING ROI CALCULATION</t>
  </si>
  <si>
    <t>Conservative</t>
  </si>
  <si>
    <t>Moderate</t>
  </si>
  <si>
    <t>Full</t>
  </si>
  <si>
    <t>Notes</t>
  </si>
  <si>
    <t># Applicants Blocked</t>
  </si>
  <si>
    <t>Est. Bad Debt Avoided (Rent/Charges Only)</t>
  </si>
  <si>
    <t>Est. Legal / Turn / Vacancy Avoided</t>
  </si>
  <si>
    <t>Same probability weighting applied to ancillary costs</t>
  </si>
  <si>
    <t>TOTAL FINANCIAL IMPACT AVOIDED</t>
  </si>
  <si>
    <t>Eviction Success Rate Analysis</t>
  </si>
  <si>
    <t>Analysis Period:</t>
  </si>
  <si>
    <t>12/15/2025 - Present</t>
  </si>
  <si>
    <t>Baseline:</t>
  </si>
  <si>
    <t>ResMan AR 12/14/25</t>
  </si>
  <si>
    <t>INHERITED DELINQUENCY BASELINE</t>
  </si>
  <si>
    <t>Accounts with Balance (Dec/Nov/Oct/Older)</t>
  </si>
  <si>
    <t>Total Balance Owed on 12/14/25</t>
  </si>
  <si>
    <t>MOVE-OUT SUMMARY (Since 12/15/25)</t>
  </si>
  <si>
    <t>Total Move-Outs with Balance</t>
  </si>
  <si>
    <t>Total Bad Debt</t>
  </si>
  <si>
    <t>BAD DEBT BY SOURCE</t>
  </si>
  <si>
    <t>Bad Debt at Move-Out</t>
  </si>
  <si>
    <t>Balance on 12/14/25</t>
  </si>
  <si>
    <t>Inherited (On ResMan AR 12/14/25)</t>
  </si>
  <si>
    <t>Inherited New (Not on ResMan AR 12/14/25)</t>
  </si>
  <si>
    <t>N/A</t>
  </si>
  <si>
    <t>TENANTS REMOVED WITH BALANCE (Since 12/15/25)</t>
  </si>
  <si>
    <t>Balance at Move-Out</t>
  </si>
  <si>
    <t>Reason</t>
  </si>
  <si>
    <t>Inherited</t>
  </si>
  <si>
    <t>W04-1-0401</t>
  </si>
  <si>
    <t>Yes</t>
  </si>
  <si>
    <t>W18-2-2070</t>
  </si>
  <si>
    <t>W16-2-1081</t>
  </si>
  <si>
    <t>N14-3061</t>
  </si>
  <si>
    <t>N06-1028</t>
  </si>
  <si>
    <t>No</t>
  </si>
  <si>
    <t>S35-245</t>
  </si>
  <si>
    <t>S27-424</t>
  </si>
  <si>
    <t>W11-1-1108</t>
  </si>
  <si>
    <t>W12-1-1206</t>
  </si>
  <si>
    <t>N14-1060</t>
  </si>
  <si>
    <t>S28-104</t>
  </si>
  <si>
    <t>W11-1-1107</t>
  </si>
  <si>
    <t>W15-2-3089</t>
  </si>
  <si>
    <t>W13-1-1311</t>
  </si>
  <si>
    <t>W07-1-0719</t>
  </si>
  <si>
    <t>N13-1055</t>
  </si>
  <si>
    <t>W10-1-1013</t>
  </si>
  <si>
    <t>W09-1-0916</t>
  </si>
  <si>
    <t>W07-1-0717</t>
  </si>
  <si>
    <t>W21-2-2058</t>
  </si>
  <si>
    <t>W07-1-0724</t>
  </si>
  <si>
    <t>W13-1-1305</t>
  </si>
  <si>
    <t>W17-2-1075</t>
  </si>
  <si>
    <t>S27-421</t>
  </si>
  <si>
    <t>W02-1-0212</t>
  </si>
  <si>
    <t>W05-1-0519</t>
  </si>
  <si>
    <t>N12-1049</t>
  </si>
  <si>
    <t>S31-119</t>
  </si>
  <si>
    <t>W15-2-2089</t>
  </si>
  <si>
    <t>W11-1-1112</t>
  </si>
  <si>
    <t>W06-1-0609</t>
  </si>
  <si>
    <t>W14-1-1403</t>
  </si>
  <si>
    <t>W28-2-2018</t>
  </si>
  <si>
    <t>W01-1-0111</t>
  </si>
  <si>
    <t>W23-2-2047</t>
  </si>
  <si>
    <t>N14-1063</t>
  </si>
  <si>
    <t>N25-1103</t>
  </si>
  <si>
    <t>W18-2-1073</t>
  </si>
  <si>
    <t>W10-1-1001</t>
  </si>
  <si>
    <t>W04-1-0410</t>
  </si>
  <si>
    <t>S39-155</t>
  </si>
  <si>
    <t>W05-1-0510</t>
  </si>
  <si>
    <t>N20-1089</t>
  </si>
  <si>
    <t>S34-141</t>
  </si>
  <si>
    <t>W01-1-0101</t>
  </si>
  <si>
    <t>N06-1031</t>
  </si>
  <si>
    <t>N03-2021</t>
  </si>
  <si>
    <t>W07-1-0715</t>
  </si>
  <si>
    <t>W14-1-1402</t>
  </si>
  <si>
    <t>S31-118</t>
  </si>
  <si>
    <t>S33-235</t>
  </si>
  <si>
    <t>S42-169</t>
  </si>
  <si>
    <t>N10-3040</t>
  </si>
  <si>
    <t>S38-352</t>
  </si>
  <si>
    <t>N18-2086</t>
  </si>
  <si>
    <t>S30-224</t>
  </si>
  <si>
    <t>W05-1-0521</t>
  </si>
  <si>
    <t>W11-1-1106</t>
  </si>
  <si>
    <t>W14-1-1411</t>
  </si>
  <si>
    <t>W05-1-0503</t>
  </si>
  <si>
    <t>N15-3069</t>
  </si>
  <si>
    <t>W12-1-1209</t>
  </si>
  <si>
    <t>S38-351</t>
  </si>
  <si>
    <t>W07-1-0720</t>
  </si>
  <si>
    <t>W04-1-0412</t>
  </si>
  <si>
    <t>N07-2050</t>
  </si>
  <si>
    <t>W25-2-1029</t>
  </si>
  <si>
    <t>N07-2052</t>
  </si>
  <si>
    <t>W21-2-2057</t>
  </si>
  <si>
    <t>W13-1-1319</t>
  </si>
  <si>
    <t>W24-2-1038</t>
  </si>
  <si>
    <t>W02-1-0205</t>
  </si>
  <si>
    <t>W07-1-0701</t>
  </si>
  <si>
    <t>W15-2-2087</t>
  </si>
  <si>
    <t>N20-2089</t>
  </si>
  <si>
    <t>N14-2060</t>
  </si>
  <si>
    <t>S36-436</t>
  </si>
  <si>
    <t>W04-1-0414</t>
  </si>
  <si>
    <t>W16-2-1083</t>
  </si>
  <si>
    <t>S36-433</t>
  </si>
  <si>
    <t>N12-2049</t>
  </si>
  <si>
    <t>BAD TENANT CLEARANCE RATE</t>
  </si>
  <si>
    <t>Progress removing bad tenants since 12/15/2025</t>
  </si>
  <si>
    <t>Balance ($)</t>
  </si>
  <si>
    <t>% of Baseline</t>
  </si>
  <si>
    <t>Baseline: Delinquent on 12/14/25</t>
  </si>
  <si>
    <t>Removed (Moved Out with Balance)</t>
  </si>
  <si>
    <t>Remaining Delinquent (Current)</t>
  </si>
  <si>
    <t>EVICTION PIPELINE SCORECARD</t>
  </si>
  <si>
    <t>Eviction outcomes from Delinquency_Detail_3 tab — auto-updates when source data changes</t>
  </si>
  <si>
    <t>FORMER RESIDENTS &amp; EVICTIONS — STATUS BREAKDOWN (Delinquency Tab)</t>
  </si>
  <si>
    <t>% of Section</t>
  </si>
  <si>
    <t>Detail</t>
  </si>
  <si>
    <t>Eviction (Filed &amp; Removed)</t>
  </si>
  <si>
    <t>Eviction filed → tenant removed (clear success)</t>
  </si>
  <si>
    <t>Skip (Left During/Before Eviction)</t>
  </si>
  <si>
    <t>Tenant skipped — likely due to eviction process pressure</t>
  </si>
  <si>
    <t>Former (Moved Out with Balance)</t>
  </si>
  <si>
    <t>Regular move-out — owes balance but not eviction-related</t>
  </si>
  <si>
    <t>SECTION TOTAL</t>
  </si>
  <si>
    <t>EVICTION SUCCESS RATE</t>
  </si>
  <si>
    <t>TOTAL REMOVAL RATE</t>
  </si>
  <si>
    <t>CURRENT RESIDENTS — EVICTION PIPELINE (Delinquency Tab)</t>
  </si>
  <si>
    <t>Outcome Stage</t>
  </si>
  <si>
    <t>Key Accounts</t>
  </si>
  <si>
    <t>Won — Writ/Judgment</t>
  </si>
  <si>
    <t>Sanders (ruling granted), Feaster (writ), Alexander (writ)</t>
  </si>
  <si>
    <t>Active — Hearing Scheduled</t>
  </si>
  <si>
    <t>Dixon 3/26, Brown 3/26, Williams, Smiley, Farrell 3/25, Hishaw (appeal 5/12)</t>
  </si>
  <si>
    <t>Active — Filed/Court Pending</t>
  </si>
  <si>
    <t>Flores, Santini, Oliva Cordero, Cortez, Ortega +4 (filed w/ NW)</t>
  </si>
  <si>
    <t>Active — NTV/Pre-Filing</t>
  </si>
  <si>
    <t>Harris ($25K), Fridia ($12K), Simpson, Taylor, Sparks</t>
  </si>
  <si>
    <t>Tenant Paid (Dismissed)</t>
  </si>
  <si>
    <t>Hall (paid full), Coronado, Anyakpah</t>
  </si>
  <si>
    <t>Stalled — Dismissed/Refiling</t>
  </si>
  <si>
    <t>Miller, Cooks (franchise tax issues)</t>
  </si>
  <si>
    <t>Pending Classification</t>
  </si>
  <si>
    <t>Allen (appeal 5/06), Mbiru, Smith (Notice-Eviction)</t>
  </si>
  <si>
    <t>SUCCESS RATE (Won + Hearing + Paid)</t>
  </si>
  <si>
    <t>COMBINED EVICTION SUCCESS SUMMARY</t>
  </si>
  <si>
    <t>Total Eviction/Collection Cases</t>
  </si>
  <si>
    <t>Resolved (Evicted / Paid / Moved Out)</t>
  </si>
  <si>
    <t>Active (Hearing / Filed / NTV)</t>
  </si>
  <si>
    <t>Stalled (Dismissed / Refiling)</t>
  </si>
  <si>
    <t>Former Residents (Balance Owed)</t>
  </si>
  <si>
    <t>OVERALL EVICTION SUCCESS RATE</t>
  </si>
  <si>
    <t>Weekly KPI Targets | FY 2026 | Refi Scenario (weeks 26+ re-baselined to Stabilization Model 6.8.26)</t>
  </si>
  <si>
    <t>Week</t>
  </si>
  <si>
    <t>Occ Units</t>
  </si>
  <si>
    <t>Prospects</t>
  </si>
  <si>
    <t>Sub Apps</t>
  </si>
  <si>
    <t>Charges ($)</t>
  </si>
  <si>
    <t>Payments ($)</t>
  </si>
  <si>
    <t>Coll %</t>
  </si>
  <si>
    <t>Delinq ($)</t>
  </si>
  <si>
    <t>Pipeline Total</t>
  </si>
  <si>
    <t>Conv Rate</t>
  </si>
  <si>
    <t>Apps 15+ Days</t>
  </si>
  <si>
    <t>Avg Days Dec</t>
  </si>
  <si>
    <t>Avg Days to Collect</t>
  </si>
  <si>
    <t>Notes:</t>
  </si>
  <si>
    <t>STABILIZATION MODEL ANCHORS</t>
  </si>
  <si>
    <t>Source: AVA_Stabilization Targets (6.8.26).xlsx — Rollforward_Model tab</t>
  </si>
  <si>
    <t>Period Start</t>
  </si>
  <si>
    <t>Month</t>
  </si>
  <si>
    <t>Units Start</t>
  </si>
  <si>
    <t>Units End</t>
  </si>
  <si>
    <t>Days</t>
  </si>
  <si>
    <t>NL / wk</t>
  </si>
  <si>
    <t>Move-Outs / mo</t>
  </si>
  <si>
    <t>Delinq Start ($)</t>
  </si>
  <si>
    <t>Delinq End ($)</t>
  </si>
  <si>
    <t>Apps 15+</t>
  </si>
  <si>
    <t>Cal Mo #</t>
  </si>
  <si>
    <t>Coll % EOM</t>
  </si>
  <si>
    <t>Net Abs (units)</t>
  </si>
  <si>
    <t>Cum Abs @ Start</t>
  </si>
  <si>
    <t>Jul</t>
  </si>
  <si>
    <t>Aug</t>
  </si>
  <si>
    <t>Sep</t>
  </si>
  <si>
    <t>Oct</t>
  </si>
  <si>
    <t>Nov</t>
  </si>
  <si>
    <t>Dec</t>
  </si>
  <si>
    <t>YE stub</t>
  </si>
  <si>
    <t>GLOBAL TARGET ASSUMPTIONS (edit blue cells)</t>
  </si>
  <si>
    <t>Total units</t>
  </si>
  <si>
    <t>Weeks per month</t>
  </si>
  <si>
    <t>Avg charges per occupied unit ($/mo)</t>
  </si>
  <si>
    <t>Prospect → Tour</t>
  </si>
  <si>
    <t>Tour → Submitted App</t>
  </si>
  <si>
    <t>Submitted → Net App</t>
  </si>
  <si>
    <t>Net App → Net Lease</t>
  </si>
  <si>
    <t>Pipeline total (apps, max)</t>
  </si>
  <si>
    <t>Pipeline still open (apps)</t>
  </si>
  <si>
    <t>Pipeline: loss (cancel) rate</t>
  </si>
  <si>
    <t>Collections profile — wk 1 of month</t>
  </si>
  <si>
    <t>Collections profile — wk 2</t>
  </si>
  <si>
    <t>Collections profile — wk 3</t>
  </si>
  <si>
    <t>Collections profile — wk 4+</t>
  </si>
  <si>
    <t>OCCUPANCY RE-BASELINE (auto-anchors to latest week posted in Data_2)</t>
  </si>
  <si>
    <t>Occupancy anchor % (latest actual)</t>
  </si>
  <si>
    <t>Anchor week (latest posted)</t>
  </si>
  <si>
    <t>Anchor occupied units (% × 880)</t>
  </si>
  <si>
    <t>TARGETS vs ACTUALS — WEEKLY KPI TRACKER</t>
  </si>
  <si>
    <t>Auto-updates as weekly actuals post to Data_2 · Var = Actual − Target (favorable = green) · Weeks from 1/6/26</t>
  </si>
  <si>
    <t>Conv Rate %</t>
  </si>
  <si>
    <t>Loss Rate %</t>
  </si>
  <si>
    <t>Avg Days to Convert</t>
  </si>
  <si>
    <t>Wk</t>
  </si>
  <si>
    <t>Week Start</t>
  </si>
  <si>
    <t>Occ % Tgt</t>
  </si>
  <si>
    <t>Occ % Act</t>
  </si>
  <si>
    <t>Occ % Var</t>
  </si>
  <si>
    <t>Tours Tgt</t>
  </si>
  <si>
    <t>Tours Act</t>
  </si>
  <si>
    <t>Tours Var</t>
  </si>
  <si>
    <t>Sub Apps Tgt</t>
  </si>
  <si>
    <t>Sub Apps Act</t>
  </si>
  <si>
    <t>Sub Apps Var</t>
  </si>
  <si>
    <t>Net Apps Tgt</t>
  </si>
  <si>
    <t>Net Apps Act</t>
  </si>
  <si>
    <t>Net Apps Var</t>
  </si>
  <si>
    <t>Net Leases Tgt</t>
  </si>
  <si>
    <t>Net Leases Act</t>
  </si>
  <si>
    <t>Net Leases Var</t>
  </si>
  <si>
    <t>Renewal % Tgt</t>
  </si>
  <si>
    <t>Renewal % Act</t>
  </si>
  <si>
    <t>Renewal % Var</t>
  </si>
  <si>
    <t>Move Outs Tgt</t>
  </si>
  <si>
    <t>Move Outs Act</t>
  </si>
  <si>
    <t>Move Outs Var</t>
  </si>
  <si>
    <t>Conv Rate Tgt</t>
  </si>
  <si>
    <t>Conv Rate Act</t>
  </si>
  <si>
    <t>Conv Rate Var</t>
  </si>
  <si>
    <t>Loss Rate Tgt</t>
  </si>
  <si>
    <t>Loss Rate Act</t>
  </si>
  <si>
    <t>Loss Rate Var</t>
  </si>
  <si>
    <t>Apps 15d Tgt</t>
  </si>
  <si>
    <t>Apps 15d Act</t>
  </si>
  <si>
    <t>Apps 15d Var</t>
  </si>
  <si>
    <t>Avg Days Tgt</t>
  </si>
  <si>
    <t>Avg Days Act</t>
  </si>
  <si>
    <t>Avg Days Var</t>
  </si>
  <si>
    <t>Data_2 Col (helper)</t>
  </si>
  <si>
    <t>Leasing Agent → Leasing Manager to review → COT to Review → PM Verify Ceritication → COT send lease</t>
  </si>
  <si>
    <t>Times COT will Review:</t>
  </si>
  <si>
    <t>future status</t>
  </si>
  <si>
    <t>AVA Application</t>
  </si>
  <si>
    <t>Failed</t>
  </si>
  <si>
    <t>COT to review 12:00</t>
  </si>
  <si>
    <t>Approved Application</t>
  </si>
  <si>
    <t>AVA</t>
  </si>
  <si>
    <t>Pass with Conditions</t>
  </si>
  <si>
    <t>COT to Review 2:00</t>
  </si>
  <si>
    <t>Pending Approval</t>
  </si>
  <si>
    <t>As of 03/02/2026</t>
  </si>
  <si>
    <t>Pass</t>
  </si>
  <si>
    <t>COT to Review 4:00</t>
  </si>
  <si>
    <t xml:space="preserve">Ready to be Certify </t>
  </si>
  <si>
    <t>lease sent/ pending signatures</t>
  </si>
  <si>
    <t>Bldg-Unit</t>
  </si>
  <si>
    <t>Lead</t>
  </si>
  <si>
    <t>Date applied</t>
  </si>
  <si>
    <t>Screening Decision</t>
  </si>
  <si>
    <t>ID Uploaded</t>
  </si>
  <si>
    <t>Celeri ID Approval Uploaded</t>
  </si>
  <si>
    <t>Paystubs Uploaded (miniunm 4)</t>
  </si>
  <si>
    <t>POI Celeri Uploaded</t>
  </si>
  <si>
    <t>Application/ Supplemental App</t>
  </si>
  <si>
    <t>Employment Verification (if applicable)</t>
  </si>
  <si>
    <t>Rental Verification</t>
  </si>
  <si>
    <t>PetScreening Completed</t>
  </si>
  <si>
    <t>HFC Packets Uploaded</t>
  </si>
  <si>
    <t>Welcome Home Letter Uploaded</t>
  </si>
  <si>
    <t>Application Checklist Uploaded</t>
  </si>
  <si>
    <t>File Ready to be Ceritified (if applicable)</t>
  </si>
  <si>
    <t>Monthly Income</t>
  </si>
  <si>
    <t>Move-in Date</t>
  </si>
  <si>
    <t>Availability: Property</t>
  </si>
  <si>
    <t>Availability: Total Units</t>
  </si>
  <si>
    <t>N16-2070</t>
  </si>
  <si>
    <t>Carrizales, Ariam</t>
  </si>
  <si>
    <t>HOUSE, HOUSE</t>
  </si>
  <si>
    <t>Transfer complete?</t>
  </si>
  <si>
    <t>S34-244</t>
  </si>
  <si>
    <t xml:space="preserve">Sabara, Romiko </t>
  </si>
  <si>
    <t>3/28/2026</t>
  </si>
  <si>
    <t>Submitted for approval</t>
  </si>
  <si>
    <t>Lennan, Trevion</t>
  </si>
  <si>
    <t>4/3/26</t>
  </si>
  <si>
    <t>Transfer?</t>
  </si>
  <si>
    <t>N25-2103</t>
  </si>
  <si>
    <t>Vaughn, Gideon</t>
  </si>
  <si>
    <t>3/14/26</t>
  </si>
  <si>
    <t xml:space="preserve">Approved with conditions. Ready for Alex to certify. </t>
  </si>
  <si>
    <t>Munoz, Mackenzee</t>
  </si>
  <si>
    <t>N17-1074</t>
  </si>
  <si>
    <t>Smith, Danajah</t>
  </si>
  <si>
    <t>4/8/2026</t>
  </si>
  <si>
    <t>Reyes, Josie</t>
  </si>
  <si>
    <t>Pending HFC docs signature</t>
  </si>
  <si>
    <t>W02-1-0207</t>
  </si>
  <si>
    <t>Rodriguez, Jocelyn</t>
  </si>
  <si>
    <t>4/25/2026</t>
  </si>
  <si>
    <t>Pending concession confimation before sending the lease</t>
  </si>
  <si>
    <t>W05-1-0514</t>
  </si>
  <si>
    <t>Ramones, Yeferson</t>
  </si>
  <si>
    <t>current resident in #1-0524,is this a transfer?- sent RV 03/10</t>
  </si>
  <si>
    <t>S30-221</t>
  </si>
  <si>
    <t>Sandoval, Bryan</t>
  </si>
  <si>
    <t>approved with conditions/ needs to pay the conditional fee</t>
  </si>
  <si>
    <t>W13-1-1318</t>
  </si>
  <si>
    <t>ogunsanya, mopelola</t>
  </si>
  <si>
    <t>approved// ready for certification</t>
  </si>
  <si>
    <t>W09-1-0913</t>
  </si>
  <si>
    <t>Potts, Robin</t>
  </si>
  <si>
    <t>Ready for certify</t>
  </si>
  <si>
    <t>Henderson, Mercedes</t>
  </si>
  <si>
    <t>S39-256</t>
  </si>
  <si>
    <t>Newman, James</t>
  </si>
  <si>
    <t>Fail</t>
  </si>
  <si>
    <t>N10-1041</t>
  </si>
  <si>
    <t>Yugusuk, Dogale Z</t>
  </si>
  <si>
    <t>W28-2-1018</t>
  </si>
  <si>
    <t>Submitted for Approval 03/21</t>
  </si>
  <si>
    <t>N05-1027</t>
  </si>
  <si>
    <t>Fears, Brandon</t>
  </si>
  <si>
    <t>N15-1069</t>
  </si>
  <si>
    <t>Phuong Nhor, Sreylenh</t>
  </si>
  <si>
    <t>Mejia, Christina</t>
  </si>
  <si>
    <t>She is graduating as a flight attendant in a few days and is expecting to receive her official offer letter early April.</t>
  </si>
  <si>
    <t>N01-1001</t>
  </si>
  <si>
    <t>Quintanilla, Jonathan</t>
  </si>
  <si>
    <t>Parkman, Jakenya</t>
  </si>
  <si>
    <t>N03-1020</t>
  </si>
  <si>
    <t>Brown, Derick</t>
  </si>
  <si>
    <t>Pending screening</t>
  </si>
  <si>
    <t>Ameh, Agnes</t>
  </si>
  <si>
    <t>Pending Screening</t>
  </si>
  <si>
    <t>W28-2-2017</t>
  </si>
  <si>
    <t>Mosley, Kathy</t>
  </si>
  <si>
    <t>CAF Tracker vs. App Pipeline Intel — Reconciliation Analysis</t>
  </si>
  <si>
    <t>Sources: CAF_App_Tracker (manual) + App_Pipeline_Intel (system)</t>
  </si>
  <si>
    <t>RECONCILIATION SUMMARY — ALL STATUSES</t>
  </si>
  <si>
    <t>TRACKING GAP (ALL STATUSES)</t>
  </si>
  <si>
    <t>Total on CAF Tracker</t>
  </si>
  <si>
    <t>Open Apps Missing from CAF</t>
  </si>
  <si>
    <t>Total in Pipeline (System)</t>
  </si>
  <si>
    <t>Cancelled Still on CAF</t>
  </si>
  <si>
    <t>CAF_Unit</t>
  </si>
  <si>
    <t>CAF_Name</t>
  </si>
  <si>
    <t>CAF_Status</t>
  </si>
  <si>
    <t>CAF_Notes</t>
  </si>
  <si>
    <t>Match_Key</t>
  </si>
  <si>
    <t>Pipe_MatchRow</t>
  </si>
  <si>
    <t>Pipe_Status</t>
  </si>
  <si>
    <t>Pipe_Stage</t>
  </si>
  <si>
    <t>Pipe_Days</t>
  </si>
  <si>
    <t>Pipe_Agent</t>
  </si>
  <si>
    <t>On_Both</t>
  </si>
  <si>
    <t>Conflict</t>
  </si>
  <si>
    <t>Pipe_Unit</t>
  </si>
  <si>
    <t>In_CAF</t>
  </si>
  <si>
    <t>Apps on Both (Matched)</t>
  </si>
  <si>
    <t>Status Mismatches (Conflicts)</t>
  </si>
  <si>
    <t>Different Person / Same Unit</t>
  </si>
  <si>
    <t>Different Applicant / Same Unit</t>
  </si>
  <si>
    <t>Apps Only in Pipeline</t>
  </si>
  <si>
    <t>CAF Apps Not in System</t>
  </si>
  <si>
    <t>⚠ Note: CAF only tracks completed/screened applications. The 116 pipeline total includes started, incomplete, cancelled, and converted apps. See Completed Apps comparison below for apples-to-apples view.</t>
  </si>
  <si>
    <t>COMPLETED APPS COMPARISON (Apples-to-Apples)</t>
  </si>
  <si>
    <t>SCOPE-ADJUSTED GAP</t>
  </si>
  <si>
    <t>CAF Tracker (Completed/Screened)</t>
  </si>
  <si>
    <t>Completed Apps Missing from CAF</t>
  </si>
  <si>
    <t>Pipeline — Completed Only (In Review)</t>
  </si>
  <si>
    <t>Pre-Completion (Outside CAF Scope)</t>
  </si>
  <si>
    <t>Pipeline — Converted to Lease</t>
  </si>
  <si>
    <t>Pipeline — Cancelled/Denied</t>
  </si>
  <si>
    <t>Pipeline — Started/Incomplete (Pre-Screening)</t>
  </si>
  <si>
    <t>Comparable Match Rate</t>
  </si>
  <si>
    <t>10 of 18 (56%)</t>
  </si>
  <si>
    <t>⟶ CAF captures 33% of completed pipeline apps. True gap is 11 completed apps (In Review not on CAF), not 98.</t>
  </si>
  <si>
    <t>⟶ CAF captures 56% of completed pipeline apps. True gap is 7 completed apps (In Review not on CAF), not 93.</t>
  </si>
  <si>
    <t>STATUS MISMATCHES — 0 Conflicting Status Between Trackers</t>
  </si>
  <si>
    <t>■ Failed/Denied vs Open</t>
  </si>
  <si>
    <t>■ Approved not converted</t>
  </si>
  <si>
    <t>■ Cancelled still on CAF</t>
  </si>
  <si>
    <t>CAF Status</t>
  </si>
  <si>
    <t>Pipeline Status</t>
  </si>
  <si>
    <t>Pipeline Stage</t>
  </si>
  <si>
    <t>Issue</t>
  </si>
  <si>
    <t>Action Required</t>
  </si>
  <si>
    <t>Failed on CAF but still open in system</t>
  </si>
  <si>
    <t>Update system to match CAF denial OR re-screen</t>
  </si>
  <si>
    <t>OPEN APPS MISSING FROM CAF TRACKER — 38 Applications Not Being Tracked</t>
  </si>
  <si>
    <t>W19-2-2066</t>
  </si>
  <si>
    <t>Creeks, Matreka</t>
  </si>
  <si>
    <t>Application: Started</t>
  </si>
  <si>
    <t>Incomplete</t>
  </si>
  <si>
    <t>W22-2-2049</t>
  </si>
  <si>
    <t>Garcia, Janette</t>
  </si>
  <si>
    <t>Application: Partially Completed</t>
  </si>
  <si>
    <t>In Review</t>
  </si>
  <si>
    <t>N09-2034</t>
  </si>
  <si>
    <t>Mixon, Glinda</t>
  </si>
  <si>
    <t>W25-2-2025</t>
  </si>
  <si>
    <t>Sterling, Allen</t>
  </si>
  <si>
    <t>Application: Completed</t>
  </si>
  <si>
    <t>W19-2-3066</t>
  </si>
  <si>
    <t>Webster, Taniya</t>
  </si>
  <si>
    <t>W04-1-0403</t>
  </si>
  <si>
    <t>Buckner, Cristy</t>
  </si>
  <si>
    <t>Not Assigned</t>
  </si>
  <si>
    <t>W25-2-1030</t>
  </si>
  <si>
    <t>Howze, Azirea</t>
  </si>
  <si>
    <t>W27-2-1006</t>
  </si>
  <si>
    <t>Easter, Jamarius</t>
  </si>
  <si>
    <t>N10-1038</t>
  </si>
  <si>
    <t>Villarreal, Miriam</t>
  </si>
  <si>
    <t>S34-242</t>
  </si>
  <si>
    <t>Stogner, Lydia</t>
  </si>
  <si>
    <t>W23-2-1040</t>
  </si>
  <si>
    <t>Granda, Jose</t>
  </si>
  <si>
    <t>N19-1083</t>
  </si>
  <si>
    <t>Argbah, Augustine</t>
  </si>
  <si>
    <t>N10-3038</t>
  </si>
  <si>
    <t>Worthy, Andrue</t>
  </si>
  <si>
    <t>N18-1085</t>
  </si>
  <si>
    <t>Myles, Amanda</t>
  </si>
  <si>
    <t>W21-2-2059</t>
  </si>
  <si>
    <t>Ajoku, Paul Nbusuisi</t>
  </si>
  <si>
    <t>N26-2105</t>
  </si>
  <si>
    <t>Epinayu epinayu, Maira</t>
  </si>
  <si>
    <t>S28-107</t>
  </si>
  <si>
    <t>Branch, Keanna</t>
  </si>
  <si>
    <t>W20-2-2064</t>
  </si>
  <si>
    <t>Lopez, Antonio</t>
  </si>
  <si>
    <t>Mccuin, Jezreel</t>
  </si>
  <si>
    <t>N24-1101</t>
  </si>
  <si>
    <t>Runnels, Ebony</t>
  </si>
  <si>
    <t>Locator Service</t>
  </si>
  <si>
    <t>W13-1-1303</t>
  </si>
  <si>
    <t>Palacio, Juan</t>
  </si>
  <si>
    <t>W22-2-2048</t>
  </si>
  <si>
    <t>Burns, Santericka</t>
  </si>
  <si>
    <t>S26-408</t>
  </si>
  <si>
    <t>Hayes, Lejai</t>
  </si>
  <si>
    <t>N10-3041</t>
  </si>
  <si>
    <t>Pacheco, Leslie</t>
  </si>
  <si>
    <t>KASHINDI, SADIKI</t>
  </si>
  <si>
    <t>W21-2-2053</t>
  </si>
  <si>
    <t>Martino, Jarvis</t>
  </si>
  <si>
    <t>N01-3004</t>
  </si>
  <si>
    <t>Hetrick, Jerry</t>
  </si>
  <si>
    <t>N12-2047</t>
  </si>
  <si>
    <t>Hallcy, Nicholas</t>
  </si>
  <si>
    <t>S26-404</t>
  </si>
  <si>
    <t>malone, Tiara</t>
  </si>
  <si>
    <t>W24-2-2035</t>
  </si>
  <si>
    <t>Garrett, Jada</t>
  </si>
  <si>
    <t>Derrett, DaTavia</t>
  </si>
  <si>
    <t>W17-2-1074</t>
  </si>
  <si>
    <t>Nealon, Alexis</t>
  </si>
  <si>
    <t>W03-1-0310</t>
  </si>
  <si>
    <t>Gloria, Desiree</t>
  </si>
  <si>
    <t>W17-2-2075</t>
  </si>
  <si>
    <t>Goode, Brashay</t>
  </si>
  <si>
    <t>W17-2-2079</t>
  </si>
  <si>
    <t>Mosley, Takeesha</t>
  </si>
  <si>
    <t>W26-2-1016</t>
  </si>
  <si>
    <t>Hester, Kendall</t>
  </si>
  <si>
    <t>APPS ON CAF TRACKER WITH DIFFERENT PERSON IN PIPELINE — 9 Entries Requiring Investigation</t>
  </si>
  <si>
    <t>■ Different person on unit</t>
  </si>
  <si>
    <t>■ Not in system at all</t>
  </si>
  <si>
    <t>CAF Applicant</t>
  </si>
  <si>
    <t>Unit in Pipeline?</t>
  </si>
  <si>
    <t>Pipeline Applicant</t>
  </si>
  <si>
    <t>Recommended Action</t>
  </si>
  <si>
    <t>Yes — different person</t>
  </si>
  <si>
    <t>Hinkel, August (Incomplete)</t>
  </si>
  <si>
    <t>CAF tracking Carrizales but system has different person on same unit</t>
  </si>
  <si>
    <t>Clarify which applicant is active for this unit.</t>
  </si>
  <si>
    <t>Hinkel, August (Cancelled)</t>
  </si>
  <si>
    <t>CAF tracking Vaughn but system shows Hinkel cancelled on same unit</t>
  </si>
  <si>
    <t>Vaughn may be new app after Hinkel cancelled.</t>
  </si>
  <si>
    <t>Caston, Chava (Cancelled)</t>
  </si>
  <si>
    <t>CAF tracking Smith but system shows Caston cancelled on same unit</t>
  </si>
  <si>
    <t>Smith may be new app after Caston cancelled.</t>
  </si>
  <si>
    <t>pacheco, leslie (Incomplete)</t>
  </si>
  <si>
    <t>CAF tracking Henderson but system has Pacheco on same unit</t>
  </si>
  <si>
    <t>Taylor, Latavia (In Review)</t>
  </si>
  <si>
    <t>CAF tracking Yugusuk but system has Taylor on same unit</t>
  </si>
  <si>
    <t>Quintero, Maryelin (Cancelled)</t>
  </si>
  <si>
    <t>CAF tracking Quintanilla but system shows Quintero cancelled on same unit</t>
  </si>
  <si>
    <t>Quintanilla may be new app after Quintero cancelled.</t>
  </si>
  <si>
    <t>Gandara, Alexandra (Incomplete)</t>
  </si>
  <si>
    <t>CAF tracking Brown but system has Gandara on same unit</t>
  </si>
  <si>
    <t>Haley, Makell (Cancelled)</t>
  </si>
  <si>
    <t>CAF tracking Ameh but system shows Haley cancelled on same unit</t>
  </si>
  <si>
    <t>Ameh may be new app after Haley cancelled.</t>
  </si>
  <si>
    <t>Sedberry, Samaria (Incomplete)</t>
  </si>
  <si>
    <t>CAF tracking Mosley but system has Sedberry on same unit</t>
  </si>
  <si>
    <t>MATCHED APPS — Full Status Comparison (14 apps on both trackers)</t>
  </si>
  <si>
    <t>■ MISMATCH</t>
  </si>
  <si>
    <t>■ Aligned</t>
  </si>
  <si>
    <t>Status Match?</t>
  </si>
  <si>
    <t>✓ Aligned</t>
  </si>
  <si>
    <t>⚠ MISMATCH</t>
  </si>
  <si>
    <t>Application: Approved</t>
  </si>
  <si>
    <t>Other</t>
  </si>
  <si>
    <t>Sabara, Romiko</t>
  </si>
  <si>
    <t>Lease: Started</t>
  </si>
  <si>
    <t>KEY FINDINGS &amp; ACTION ITEMS FOR MANAGEMENT MEETING</t>
  </si>
  <si>
    <t>■ CRITICAL</t>
  </si>
  <si>
    <t>■ HIGH</t>
  </si>
  <si>
    <t>■ MODERATE</t>
  </si>
  <si>
    <t>■ PROCESS</t>
  </si>
  <si>
    <t>#</t>
  </si>
  <si>
    <t>Finding</t>
  </si>
  <si>
    <t>5 completed apps missing from CAF; 31 pre-completion apps outside CAF scope</t>
  </si>
  <si>
    <t>Of 36 pipeline apps not on CAF, only 5 are completed (screenable) — the true tracking gap. The remaining 31 are started/incomplete apps that CAF does not track by design. CAF captures 81% (17 of 21) of completed pipeline apps. Prior analysis overstated gap by comparing CAF's completed-only scope against the full 113-app pipeline.</t>
  </si>
  <si>
    <t>Add the 5 completed apps to CAF tracker. For the 31 pre-completion apps, consider whether CAF should expand scope to track earlier-stage apps, or maintain current practice and monitor via pipeline reports.</t>
  </si>
  <si>
    <t>31 pre-completion apps aging without screening visibility</t>
  </si>
  <si>
    <t>31 apps are started/incomplete and have not yet reached CAF's tracking threshold. 10 of these are 22+ days old (CRITICAL aging). While outside CAF's current scope, these represent potential future approvals or lost applicants with no screening oversight.</t>
  </si>
  <si>
    <t>Monitor aging pre-completion apps via pipeline reports. Prioritize outreach for 10 CRITICAL-aged incomplete apps to either complete or cancel. Consider adding a pre-screening watch list to CAF.</t>
  </si>
  <si>
    <t>2 status mismatches on tracked apps</t>
  </si>
  <si>
    <t>2 apps show Failed on CAF but remain open in system (Brown and Beachum). No approved-but-unconverted apps identified.</t>
  </si>
  <si>
    <t>Update system to match CAF denial for Brown &amp; Beachum OR re-screen if decisions changed.</t>
  </si>
  <si>
    <t>8 units with different applicants on each tracker</t>
  </si>
  <si>
    <t>8 units have different applicants tracked on CAF vs system. Could mean untracked approvals or lost applications.</t>
  </si>
  <si>
    <t>Verify correct applicant for each of the 8 units. Ensure the approved applicant is entered in both systems.</t>
  </si>
  <si>
    <t>0 cancelled apps still on CAF tracker</t>
  </si>
  <si>
    <t>No cancelled apps found still on CAF. Tracking hygiene is clean on this front.</t>
  </si>
  <si>
    <t>No action needed — continue current practice of removing cancelled apps.</t>
  </si>
  <si>
    <t>1 CAF app not in system at all</t>
  </si>
  <si>
    <t>1 CAF-tracked applicant (N16-1069, Hintsa) has no corresponding record in the pipeline system at all.</t>
  </si>
  <si>
    <t>Verify if application was submitted. Enter in system to maintain complete records.</t>
  </si>
  <si>
    <t>Agent assignment gaps on missing apps</t>
  </si>
  <si>
    <t>8 of 36 missing apps have no agent assigned. 5 additional apps routed to HOUSE account with no personal follow-up.</t>
  </si>
  <si>
    <t>Assign agents to all 8 unassigned applications. Redistribute 5 HOUSE-routed apps to leasing staff.</t>
  </si>
  <si>
    <t>No reconciliation process exists</t>
  </si>
  <si>
    <t>PROCESS</t>
  </si>
  <si>
    <t>Root cause: CAF only tracks completed/screened apps, while the pipeline tracks all statuses. No reconciliation exists to catch completed apps that should be on CAF, or to flag aging incomplete apps needing attention.</t>
  </si>
  <si>
    <t>Implement weekly reconciliation between CAF and pipeline for completed apps. Add a separate pipeline aging watch process for pre-completion apps. Consider automated matching.</t>
  </si>
  <si>
    <t>Days Sales Outstanding (DSO) Analysis</t>
  </si>
  <si>
    <t>Per PBC Request - January 2026</t>
  </si>
  <si>
    <t>FORMULA:</t>
  </si>
  <si>
    <t>DSO = (Month-End A/R Balance ÷ Total Charges) × Days in Month</t>
  </si>
  <si>
    <t>BENCHMARK:</t>
  </si>
  <si>
    <t>Well-run multifamily properties should maintain DSO under 5-7 days. Above 10 days signals collection process issues.</t>
  </si>
  <si>
    <t>Month-End Date</t>
  </si>
  <si>
    <t>A/R Balance</t>
  </si>
  <si>
    <t>Total Charges</t>
  </si>
  <si>
    <t>Trailing 2-Mo Avg</t>
  </si>
  <si>
    <t>Jan 2025</t>
  </si>
  <si>
    <t>Feb 2025</t>
  </si>
  <si>
    <t>Mar 2025</t>
  </si>
  <si>
    <t>Apr 2025</t>
  </si>
  <si>
    <t>May 2025</t>
  </si>
  <si>
    <t>Jun 2025</t>
  </si>
  <si>
    <t>Jul 2025</t>
  </si>
  <si>
    <t>Aug 2025</t>
  </si>
  <si>
    <t>Sep 2025</t>
  </si>
  <si>
    <t>Oct 2025</t>
  </si>
  <si>
    <t>Nov 2025</t>
  </si>
  <si>
    <t>Dec 2025</t>
  </si>
  <si>
    <t>SUMMARY</t>
  </si>
  <si>
    <t>12-Month Average DSO:</t>
  </si>
  <si>
    <t>Current Trailing 2-Mo Avg:</t>
  </si>
  <si>
    <t>Best Month:</t>
  </si>
  <si>
    <t>Worst Month:</t>
  </si>
  <si>
    <t>2026 TRACKING (Enter data as months complete)</t>
  </si>
  <si>
    <t>DSO Var</t>
  </si>
  <si>
    <t>Trail Target</t>
  </si>
  <si>
    <t>Trail Var</t>
  </si>
  <si>
    <t>Jan 2026</t>
  </si>
  <si>
    <t>Feb 2026</t>
  </si>
  <si>
    <t>Mar 2026</t>
  </si>
  <si>
    <t>Apr 2026</t>
  </si>
  <si>
    <t>May 2026</t>
  </si>
  <si>
    <t>Jun 2026</t>
  </si>
  <si>
    <t>TARGET</t>
  </si>
  <si>
    <t>Recommended DSO Target:</t>
  </si>
  <si>
    <t>days or less</t>
  </si>
  <si>
    <t>Rationale:</t>
  </si>
  <si>
    <t>Industry benchmark for well-run properties. Current trailing avg of 11.5 days indicates significant room for improvement.</t>
  </si>
  <si>
    <t>DATA SOURCES</t>
  </si>
  <si>
    <t>A/R Balance:</t>
  </si>
  <si>
    <t>Aged Receivables Summary (ResMan) - Total Balance at month-end</t>
  </si>
  <si>
    <t>Total Charges:</t>
  </si>
  <si>
    <t>Trailing P&amp;L Detail (ResMan) - Total Adjusted Rent</t>
  </si>
  <si>
    <t>NOTE:</t>
  </si>
  <si>
    <t>Monthly DSO values (Jan-Sep 2025) are also shown in the Historical tab for continuity with other metrics.</t>
  </si>
  <si>
    <t>Oct-Dec 2025 DSO values are available only in this tab due to Historical tab column structure.</t>
  </si>
  <si>
    <t>Write-Off Reconciliation — Evictions &amp; Former Residents (60+ Days Aged)</t>
  </si>
  <si>
    <t>Report Period:</t>
  </si>
  <si>
    <t>Prepared for: PMC Accounting</t>
  </si>
  <si>
    <t>WRITE-OFF SUMMARY</t>
  </si>
  <si>
    <t>By Status (60+ Days Only):</t>
  </si>
  <si>
    <t>Accounts 60+ Days Since Move Out</t>
  </si>
  <si>
    <t>of</t>
  </si>
  <si>
    <t>Total Write-Off Amount (60+ Days)</t>
  </si>
  <si>
    <t>61-90 Days Aging Subtotal</t>
  </si>
  <si>
    <t>90+ Days Aging Subtotal</t>
  </si>
  <si>
    <t>Total</t>
  </si>
  <si>
    <t>&lt; 60 Days (Not Yet Eligible)</t>
  </si>
  <si>
    <t>accts</t>
  </si>
  <si>
    <t>(pending)</t>
  </si>
  <si>
    <t>DETAIL — WRITE-OFF ELIGIBLE ACCOUNTS</t>
  </si>
  <si>
    <t>Lease Status</t>
  </si>
  <si>
    <t>Move Out Date</t>
  </si>
  <si>
    <t>Days Since
Move Out</t>
  </si>
  <si>
    <t>61-90 Days</t>
  </si>
  <si>
    <t>90+ Days</t>
  </si>
  <si>
    <t>Write-Off Amt
(60+ Days)</t>
  </si>
  <si>
    <t>Collection Notes</t>
  </si>
  <si>
    <t>Write-Off
Approved</t>
  </si>
  <si>
    <t>Renee, Breana</t>
  </si>
  <si>
    <t>Past - Skip</t>
  </si>
  <si>
    <t>Harris, Dynisha</t>
  </si>
  <si>
    <t>Past - Eviction</t>
  </si>
  <si>
    <t>Kangkang, Theophile</t>
  </si>
  <si>
    <t>S29-215</t>
  </si>
  <si>
    <t>Diaz, Ingrid</t>
  </si>
  <si>
    <t>W02-1-0215</t>
  </si>
  <si>
    <t>Candler, Brittany</t>
  </si>
  <si>
    <t>Washington, Taydrian</t>
  </si>
  <si>
    <t>W20-2-1065</t>
  </si>
  <si>
    <t>Leonel, Irvin</t>
  </si>
  <si>
    <t>W03-1-0301</t>
  </si>
  <si>
    <t>Alexander, Leaujodon</t>
  </si>
  <si>
    <t>W28-2-1020</t>
  </si>
  <si>
    <t>Notice - Eviction</t>
  </si>
  <si>
    <t>Jonshua, Andrew</t>
  </si>
  <si>
    <t>W14-1-1424</t>
  </si>
  <si>
    <t>Past</t>
  </si>
  <si>
    <t>Amaechi-Okorie, Chigozie</t>
  </si>
  <si>
    <t>N03-2018</t>
  </si>
  <si>
    <t>Weathers, Desaray</t>
  </si>
  <si>
    <t>W25-2-2028</t>
  </si>
  <si>
    <t>Walker, Latonya</t>
  </si>
  <si>
    <t>W01-1-0113</t>
  </si>
  <si>
    <t>Anderson, Lakimbe</t>
  </si>
  <si>
    <t>White, Omari</t>
  </si>
  <si>
    <t>Brown, Nicole</t>
  </si>
  <si>
    <t>Thomas, Latrina</t>
  </si>
  <si>
    <t>S28-201</t>
  </si>
  <si>
    <t>Butler, Leila</t>
  </si>
  <si>
    <t>W08-1-0802</t>
  </si>
  <si>
    <t>Rogers, Symone</t>
  </si>
  <si>
    <t>Wiggins, Amariah</t>
  </si>
  <si>
    <t>Carrasco, Anay</t>
  </si>
  <si>
    <t>Ogundipe, Aramide</t>
  </si>
  <si>
    <t>Smith, Katera</t>
  </si>
  <si>
    <t>Williams, Latesha</t>
  </si>
  <si>
    <t>Williams, Teresa</t>
  </si>
  <si>
    <t>Davis, Stephanie</t>
  </si>
  <si>
    <t>Farrell, Krystal</t>
  </si>
  <si>
    <t>N18-2-086</t>
  </si>
  <si>
    <t>Brown, Tamiko</t>
  </si>
  <si>
    <t>Querevalu, Oscar</t>
  </si>
  <si>
    <t>Pinto, Arlin</t>
  </si>
  <si>
    <t>Weaver, Laquinda</t>
  </si>
  <si>
    <t>W23-2-1046</t>
  </si>
  <si>
    <t>Odebiyi, Christiana</t>
  </si>
  <si>
    <t>Enrique, Danny</t>
  </si>
  <si>
    <t>Hugo Gonzalez, Jose</t>
  </si>
  <si>
    <t>Miller, Faye</t>
  </si>
  <si>
    <t>Clark, Deborah</t>
  </si>
  <si>
    <t>Oladejo, Olufemi</t>
  </si>
  <si>
    <t>Kouevi, Clarence</t>
  </si>
  <si>
    <t>W09-1-0910</t>
  </si>
  <si>
    <t>Santana, Alvaro</t>
  </si>
  <si>
    <t>W14-1-1423</t>
  </si>
  <si>
    <t>Rodriguez, Julian</t>
  </si>
  <si>
    <t>Salazar, Miguel</t>
  </si>
  <si>
    <t>W04-1-0406</t>
  </si>
  <si>
    <t>Jose, Yender</t>
  </si>
  <si>
    <t>Foster, Sean</t>
  </si>
  <si>
    <t>W15-2-2086</t>
  </si>
  <si>
    <t>Edu, Almudena</t>
  </si>
  <si>
    <t>Kidd, Sherice</t>
  </si>
  <si>
    <t>W23-2-2045</t>
  </si>
  <si>
    <t>Isidro, Oscar</t>
  </si>
  <si>
    <t>S37-150</t>
  </si>
  <si>
    <t>Vasquez, Bethis</t>
  </si>
  <si>
    <t>W18-2-1070</t>
  </si>
  <si>
    <t>JUNE 2026 WRITE-OFF RECOMMENDATION</t>
  </si>
  <si>
    <t>The following accounts have been vacated for 60+ days with outstanding aged balances (61-90 and 90+ day buckets).</t>
  </si>
  <si>
    <t>Recommended for write-off per AVA bad debt policy. Please process the following journal entry for June 2026.</t>
  </si>
  <si>
    <t>Days Out</t>
  </si>
  <si>
    <t>Write-Off Amount</t>
  </si>
  <si>
    <t>PROPOSED JOURNAL ENTRY — JUNE 2026</t>
  </si>
  <si>
    <t>Date:</t>
  </si>
  <si>
    <t>Property:</t>
  </si>
  <si>
    <t>AVA Apartments</t>
  </si>
  <si>
    <t># of Accounts:</t>
  </si>
  <si>
    <t>Account</t>
  </si>
  <si>
    <t>Description</t>
  </si>
  <si>
    <t>Debit</t>
  </si>
  <si>
    <t>Credit</t>
  </si>
  <si>
    <t>Bad Debt Expense</t>
  </si>
  <si>
    <t>Write-off of 60+ day aged balances — Evictions &amp; Former Residents (Jun 2026)</t>
  </si>
  <si>
    <t>-</t>
  </si>
  <si>
    <t>Tenant Receivables</t>
  </si>
  <si>
    <t>Historical Performance | IPS Management (Aug 2024 - Dec 2025)</t>
  </si>
  <si>
    <t>Studio Occ</t>
  </si>
  <si>
    <t>1BR Occ</t>
  </si>
  <si>
    <t>2BR Occ</t>
  </si>
  <si>
    <t>3BR Occ</t>
  </si>
  <si>
    <t>Approved</t>
  </si>
  <si>
    <t>Denied</t>
  </si>
  <si>
    <t>Net App %</t>
  </si>
  <si>
    <t>Lease Production</t>
  </si>
  <si>
    <t>RENEWALS</t>
  </si>
  <si>
    <t>MTM</t>
  </si>
  <si>
    <t>MTM %</t>
  </si>
  <si>
    <t>Uncontrollable</t>
  </si>
  <si>
    <t>Controllable</t>
  </si>
  <si>
    <t>Net MIMO</t>
  </si>
  <si>
    <t>Charges</t>
  </si>
  <si>
    <t>Net Payments</t>
  </si>
  <si>
    <t>DQ Balance</t>
  </si>
  <si>
    <t>61+ Write-Offs</t>
  </si>
  <si>
    <t>DSO METRICS</t>
  </si>
  <si>
    <t>Backlog</t>
  </si>
  <si>
    <t>Opened</t>
  </si>
  <si>
    <t>Completed</t>
  </si>
  <si>
    <t>Completion %</t>
  </si>
  <si>
    <t>Avg Rent</t>
  </si>
  <si>
    <t>Competitive Market Analysis | HelloData</t>
  </si>
  <si>
    <t>Unit Type</t>
  </si>
  <si>
    <t>STUDIO</t>
  </si>
  <si>
    <t>Market Inventory</t>
  </si>
  <si>
    <t>Market Avg $/SF</t>
  </si>
  <si>
    <t>AVA $/SF</t>
  </si>
  <si>
    <t>AVA NER $/SF</t>
  </si>
  <si>
    <t>AVA Occ %</t>
  </si>
  <si>
    <t>Market Share</t>
  </si>
  <si>
    <t>1 BEDROOM</t>
  </si>
  <si>
    <t>2 BEDROOM</t>
  </si>
  <si>
    <t>3 BEDROOM</t>
  </si>
  <si>
    <t>Avg. SQFT</t>
  </si>
  <si>
    <t>Unit Mix</t>
  </si>
  <si>
    <t>Avg. Market Rent</t>
  </si>
  <si>
    <t>Avg. Scheduled Rent</t>
  </si>
  <si>
    <t>Model or Down Unit</t>
  </si>
  <si>
    <t>Vacant Unrented</t>
  </si>
  <si>
    <t>Vacant Rented</t>
  </si>
  <si>
    <t>Total Vacant</t>
  </si>
  <si>
    <t>Notice Rented</t>
  </si>
  <si>
    <t>Notice Unrented</t>
  </si>
  <si>
    <t>Occupied No Notice</t>
  </si>
  <si>
    <t>Total Occupied</t>
  </si>
  <si>
    <t>Occupied %</t>
  </si>
  <si>
    <t>Leased %</t>
  </si>
  <si>
    <t>Exposure / ATR</t>
  </si>
  <si>
    <t>Trend</t>
  </si>
  <si>
    <t>A1</t>
  </si>
  <si>
    <t>A2</t>
  </si>
  <si>
    <t>A3</t>
  </si>
  <si>
    <t>A4</t>
  </si>
  <si>
    <t>A5</t>
  </si>
  <si>
    <t>A6</t>
  </si>
  <si>
    <t>A7</t>
  </si>
  <si>
    <t>A8S</t>
  </si>
  <si>
    <t>A9TH</t>
  </si>
  <si>
    <t>A10</t>
  </si>
  <si>
    <t>A11</t>
  </si>
  <si>
    <t>B1</t>
  </si>
  <si>
    <t>B2</t>
  </si>
  <si>
    <t>B3</t>
  </si>
  <si>
    <t>B4</t>
  </si>
  <si>
    <t>B5</t>
  </si>
  <si>
    <t>B6</t>
  </si>
  <si>
    <t>B7TH</t>
  </si>
  <si>
    <t>B8</t>
  </si>
  <si>
    <t>New Leads</t>
  </si>
  <si>
    <t>Original Contact Method - Email</t>
  </si>
  <si>
    <t>Original Contact Method - Call</t>
  </si>
  <si>
    <t>Original Contact Method - Online</t>
  </si>
  <si>
    <t>Original Contact Method - Referred Contact</t>
  </si>
  <si>
    <t>Original Contact Method - Chat</t>
  </si>
  <si>
    <t>Original Contact Method - Text</t>
  </si>
  <si>
    <t>Original Contact Method - Other</t>
  </si>
  <si>
    <t>Activity - Emails</t>
  </si>
  <si>
    <t>Activity - Calls</t>
  </si>
  <si>
    <t>Activity - Chats</t>
  </si>
  <si>
    <t>Activity - Texts</t>
  </si>
  <si>
    <t>Tours - First Visits/Tours</t>
  </si>
  <si>
    <t>Return Visit</t>
  </si>
  <si>
    <t>Unknown</t>
  </si>
  <si>
    <t>Application - Completed</t>
  </si>
  <si>
    <t>Application - Completed (Cancelled)</t>
  </si>
  <si>
    <t>Application - Partially Completed</t>
  </si>
  <si>
    <t>Application - Denied</t>
  </si>
  <si>
    <t>Application - Approved</t>
  </si>
  <si>
    <t>Application - Approved (Cancelled)</t>
  </si>
  <si>
    <t>Lease - Completed</t>
  </si>
  <si>
    <t>Lease - Completed (Cancelled)</t>
  </si>
  <si>
    <t>Lease - Approved</t>
  </si>
  <si>
    <t>Property</t>
  </si>
  <si>
    <t>Expiring Leases</t>
  </si>
  <si>
    <t>Early Move-out</t>
  </si>
  <si>
    <t>Renewal Transfers</t>
  </si>
  <si>
    <t>Transfers</t>
  </si>
  <si>
    <t>Move-Ins</t>
  </si>
  <si>
    <t>Renewal Offers Completed</t>
  </si>
  <si>
    <t>Notices</t>
  </si>
  <si>
    <t>Move-Outs</t>
  </si>
  <si>
    <t>Leases Expiring</t>
  </si>
  <si>
    <t>Charge Code</t>
  </si>
  <si>
    <t>GL Account</t>
  </si>
  <si>
    <t>Prior Collections</t>
  </si>
  <si>
    <t>Current Collections</t>
  </si>
  <si>
    <t>Total Cash Collections</t>
  </si>
  <si>
    <t>Credits / Concessions</t>
  </si>
  <si>
    <t>Total Collections</t>
  </si>
  <si>
    <t>ADMINFEE</t>
  </si>
  <si>
    <t>5899: Other Income - Non-Refundable Admin Fee</t>
  </si>
  <si>
    <t>APPFEE</t>
  </si>
  <si>
    <t>5896: Other Income - Application Fee</t>
  </si>
  <si>
    <t>CARPORT</t>
  </si>
  <si>
    <t>5008: Other Income - Covered Parking</t>
  </si>
  <si>
    <t>CONC/SPECL</t>
  </si>
  <si>
    <t>5103: Rental Concessions</t>
  </si>
  <si>
    <t>Conditions Fee</t>
  </si>
  <si>
    <t>5205: Other Income - Conditional Fees</t>
  </si>
  <si>
    <t>CREDITBUILD</t>
  </si>
  <si>
    <t>5225: Other Income - Credit Builder</t>
  </si>
  <si>
    <t>DAMAGES</t>
  </si>
  <si>
    <t>5893: Other Income - Damages</t>
  </si>
  <si>
    <t>DEPOSIT</t>
  </si>
  <si>
    <t>2501: Tenant Deposits Liability</t>
  </si>
  <si>
    <t>ELECTMETERFEE</t>
  </si>
  <si>
    <t>7309: Utilities - Vacants</t>
  </si>
  <si>
    <t>ELECTRICREIMB</t>
  </si>
  <si>
    <t>EMPLYRENTDISC</t>
  </si>
  <si>
    <t>5107: Employee Rent Discount</t>
  </si>
  <si>
    <t>GAS</t>
  </si>
  <si>
    <t>5213: Other Income - Gas Reimbursements</t>
  </si>
  <si>
    <t>LATEFEE</t>
  </si>
  <si>
    <t>5805: Other Income - Late Charges</t>
  </si>
  <si>
    <t>LEASELOCK</t>
  </si>
  <si>
    <t>5861: Other Income - Deposit Alternative</t>
  </si>
  <si>
    <t>LEGALFEES</t>
  </si>
  <si>
    <t>7744: Office Operations - Legal Expenses</t>
  </si>
  <si>
    <t>NSFFEE</t>
  </si>
  <si>
    <t>5891: Other Income - NSF Charges</t>
  </si>
  <si>
    <t>PARCELPEN</t>
  </si>
  <si>
    <t>5860: Other Income - Parcel Services Income</t>
  </si>
  <si>
    <t>Parking 5008</t>
  </si>
  <si>
    <t>Payment</t>
  </si>
  <si>
    <t>1014: Undeposited Funds</t>
  </si>
  <si>
    <t>PESTCONTROL</t>
  </si>
  <si>
    <t>5220: Other Income - Pest Control Reimbursement</t>
  </si>
  <si>
    <t>PETFEE</t>
  </si>
  <si>
    <t>5892: Other Income - Non-Refundable Pet Fee</t>
  </si>
  <si>
    <t>PETRENT</t>
  </si>
  <si>
    <t>5007: Other Income - Monthly Pet Rent</t>
  </si>
  <si>
    <t>Refund Payable</t>
  </si>
  <si>
    <t>2008: Refunds In Transit</t>
  </si>
  <si>
    <t>RENT</t>
  </si>
  <si>
    <t>5001: Market Rent</t>
  </si>
  <si>
    <t>Renter's Liability Insurance</t>
  </si>
  <si>
    <t>5204: Other Income - Loss Damage Waiver</t>
  </si>
  <si>
    <t>SDW</t>
  </si>
  <si>
    <t>Short Term Premium</t>
  </si>
  <si>
    <t>Trash Reimbursement</t>
  </si>
  <si>
    <t>5212: Other Income - Trash Reimbursements</t>
  </si>
  <si>
    <t>UNIT AMENITY RENT</t>
  </si>
  <si>
    <t>VALETRASH</t>
  </si>
  <si>
    <t>WASH/DRY AMENITY</t>
  </si>
  <si>
    <t>5006: Washer/Dryer</t>
  </si>
  <si>
    <t>Washer/Dryer Amenity Other Income</t>
  </si>
  <si>
    <t>5013: Other Income - Washer/Dryer Rental</t>
  </si>
  <si>
    <t>WATERREIMB</t>
  </si>
  <si>
    <t>5211: Other Income - Water/Sewer Reimbursements</t>
  </si>
  <si>
    <t>Trending Delinquency</t>
  </si>
  <si>
    <t>*all charge codes for Rent and Other Income + Payments charge code</t>
  </si>
  <si>
    <t>All leases statuses including past/current/future etc.</t>
  </si>
  <si>
    <t>Charges Due</t>
  </si>
  <si>
    <t>Delinquent Residents</t>
  </si>
  <si>
    <t>Move-In</t>
  </si>
  <si>
    <t>Lease Start</t>
  </si>
  <si>
    <t>Lease End</t>
  </si>
  <si>
    <t>Unallocated Charges / Credits</t>
  </si>
  <si>
    <t>Qualifying_Unfiled</t>
  </si>
  <si>
    <t>N01-1003</t>
  </si>
  <si>
    <t>Andemariam, Nehom</t>
  </si>
  <si>
    <t>Past - In Collections</t>
  </si>
  <si>
    <t>Ramirez, Irene</t>
  </si>
  <si>
    <t>Current</t>
  </si>
  <si>
    <t>N01-1004</t>
  </si>
  <si>
    <t>Flores, Esbeidy</t>
  </si>
  <si>
    <t>N01-2001</t>
  </si>
  <si>
    <t>Obinna, Echidi</t>
  </si>
  <si>
    <t>N01-2002</t>
  </si>
  <si>
    <t>Bell, Keevin</t>
  </si>
  <si>
    <t>N02-1010</t>
  </si>
  <si>
    <t>Henderson, Adrian</t>
  </si>
  <si>
    <t>Current - Renewed</t>
  </si>
  <si>
    <t>Shepard, Daisah</t>
  </si>
  <si>
    <t>N03-2014</t>
  </si>
  <si>
    <t>Ray, Jennya</t>
  </si>
  <si>
    <t>N03-2020</t>
  </si>
  <si>
    <t>Mckinney, Anthony</t>
  </si>
  <si>
    <t>N03-3016</t>
  </si>
  <si>
    <t>King, Ronald</t>
  </si>
  <si>
    <t>N03-3017</t>
  </si>
  <si>
    <t>Mcneil, Dandrea</t>
  </si>
  <si>
    <t>N03-3019</t>
  </si>
  <si>
    <t>Taylor, Jada</t>
  </si>
  <si>
    <t>N04-1024</t>
  </si>
  <si>
    <t>Carrizalez, Christopher</t>
  </si>
  <si>
    <t>N09-1037</t>
  </si>
  <si>
    <t>Flores, Estanislao</t>
  </si>
  <si>
    <t>N09-2037</t>
  </si>
  <si>
    <t>Yanez-Almonaci, Miguel</t>
  </si>
  <si>
    <t>N10-2038</t>
  </si>
  <si>
    <t>Dixon, Dewayne</t>
  </si>
  <si>
    <t>Notice - Eviction, Month To Month</t>
  </si>
  <si>
    <t>N10-2041</t>
  </si>
  <si>
    <t>Adway, Mikayla</t>
  </si>
  <si>
    <t>Minda, David</t>
  </si>
  <si>
    <t>N11-2042</t>
  </si>
  <si>
    <t>Cruz, Lesly</t>
  </si>
  <si>
    <t>N12-2046</t>
  </si>
  <si>
    <t>Santana, Misael</t>
  </si>
  <si>
    <t>N12-2048</t>
  </si>
  <si>
    <t>Chinchilla, Claudia</t>
  </si>
  <si>
    <t>N12-3046</t>
  </si>
  <si>
    <t>Burton, Allisa</t>
  </si>
  <si>
    <t>N14-1058</t>
  </si>
  <si>
    <t>Abuzu, Augustine</t>
  </si>
  <si>
    <t>N14-1064</t>
  </si>
  <si>
    <t>Alberto, Carlos</t>
  </si>
  <si>
    <t>N14-3063</t>
  </si>
  <si>
    <t>Birdine, Corey</t>
  </si>
  <si>
    <t>N15-2068</t>
  </si>
  <si>
    <t>Chestnut, Darius</t>
  </si>
  <si>
    <t>N17-2075</t>
  </si>
  <si>
    <t>Bradshaw, Charmaine</t>
  </si>
  <si>
    <t>N18-1084</t>
  </si>
  <si>
    <t>Portillo, Gerardo</t>
  </si>
  <si>
    <t>Washington, Kaylon</t>
  </si>
  <si>
    <t>N18-1086</t>
  </si>
  <si>
    <t>Castillo, Eric</t>
  </si>
  <si>
    <t>N18-1087</t>
  </si>
  <si>
    <t>N18-2085</t>
  </si>
  <si>
    <t>Mbiru, Kimani</t>
  </si>
  <si>
    <t>N18-2087</t>
  </si>
  <si>
    <t>Ortega, Maria</t>
  </si>
  <si>
    <t>N19-1076</t>
  </si>
  <si>
    <t>Nunez, Valeria</t>
  </si>
  <si>
    <t>N19-1077</t>
  </si>
  <si>
    <t>Camacho, Jorge</t>
  </si>
  <si>
    <t>Cooper, Latricia</t>
  </si>
  <si>
    <t>N19-2079</t>
  </si>
  <si>
    <t>Villegas, Lidia</t>
  </si>
  <si>
    <t>N19-2081</t>
  </si>
  <si>
    <t>Becerra, Maria</t>
  </si>
  <si>
    <t>N19-2083</t>
  </si>
  <si>
    <t>Divini, Oscar</t>
  </si>
  <si>
    <t>N20-1092</t>
  </si>
  <si>
    <t>Jackson, Kendra</t>
  </si>
  <si>
    <t>N20-1094</t>
  </si>
  <si>
    <t>Fonseca, Maria</t>
  </si>
  <si>
    <t>N20-2088</t>
  </si>
  <si>
    <t>Abiodun, Solomon</t>
  </si>
  <si>
    <t>N20-2090</t>
  </si>
  <si>
    <t>Pilkington, Rebecca</t>
  </si>
  <si>
    <t>N20-2093</t>
  </si>
  <si>
    <t>Marshall, Alton</t>
  </si>
  <si>
    <t>N20-3093</t>
  </si>
  <si>
    <t>Johnson, Marie</t>
  </si>
  <si>
    <t>N22-2096</t>
  </si>
  <si>
    <t>Rashidi, Talasia</t>
  </si>
  <si>
    <t>N22-2097</t>
  </si>
  <si>
    <t>Mcgee, Alondra</t>
  </si>
  <si>
    <t>N23-1099</t>
  </si>
  <si>
    <t>Fajardo, Yeymi</t>
  </si>
  <si>
    <t>N24-2101</t>
  </si>
  <si>
    <t>Reynoso-Guzman, Luis</t>
  </si>
  <si>
    <t>N25-1102</t>
  </si>
  <si>
    <t>Eliuth, Gerson</t>
  </si>
  <si>
    <t>Notice - Grace Period</t>
  </si>
  <si>
    <t>N26-2104</t>
  </si>
  <si>
    <t>S26-401</t>
  </si>
  <si>
    <t>Villanueva, Jose</t>
  </si>
  <si>
    <t>Drissi-Messaly, Adam</t>
  </si>
  <si>
    <t>S26-410</t>
  </si>
  <si>
    <t>Ramos, Victoria</t>
  </si>
  <si>
    <t>S26-414</t>
  </si>
  <si>
    <t>S27-417</t>
  </si>
  <si>
    <t>Osuji, Obinna</t>
  </si>
  <si>
    <t>S27-419</t>
  </si>
  <si>
    <t>Boyd, Glenda</t>
  </si>
  <si>
    <t>S27-423</t>
  </si>
  <si>
    <t>Niazi, Mahbob</t>
  </si>
  <si>
    <t>S28-103</t>
  </si>
  <si>
    <t>HALL, MICHAEL</t>
  </si>
  <si>
    <t>S28-105</t>
  </si>
  <si>
    <t>S28-108</t>
  </si>
  <si>
    <t>Cobos, Karen</t>
  </si>
  <si>
    <t>S28-205</t>
  </si>
  <si>
    <t>Jeje, Abdullahi</t>
  </si>
  <si>
    <t>S28-206</t>
  </si>
  <si>
    <t>Artis, Stephanie</t>
  </si>
  <si>
    <t>S29-109</t>
  </si>
  <si>
    <t>S29-110</t>
  </si>
  <si>
    <t>Mendoza, Rene</t>
  </si>
  <si>
    <t>Notice</t>
  </si>
  <si>
    <t>S29-115</t>
  </si>
  <si>
    <t>Lopez, Noelia</t>
  </si>
  <si>
    <t>S29-211</t>
  </si>
  <si>
    <t>Bastidas, Maria</t>
  </si>
  <si>
    <t>S30-124</t>
  </si>
  <si>
    <t>Avila, Jason</t>
  </si>
  <si>
    <t>pacheco, leslie</t>
  </si>
  <si>
    <t>S32-429</t>
  </si>
  <si>
    <t>Mexicano, Gillermo</t>
  </si>
  <si>
    <t>S33-137</t>
  </si>
  <si>
    <t>Bodley, Keisha</t>
  </si>
  <si>
    <t>S33-236</t>
  </si>
  <si>
    <t>Oseni, Ademola</t>
  </si>
  <si>
    <t>Notice - Month To Month</t>
  </si>
  <si>
    <t>S35-145</t>
  </si>
  <si>
    <t>Zapata, Deissy</t>
  </si>
  <si>
    <t>S35-147</t>
  </si>
  <si>
    <t>Siman, Rodrigo</t>
  </si>
  <si>
    <t>S35-248</t>
  </si>
  <si>
    <t>Vega, Luis</t>
  </si>
  <si>
    <t>S37-249</t>
  </si>
  <si>
    <t>S38-153</t>
  </si>
  <si>
    <t>Randall, Sherry</t>
  </si>
  <si>
    <t>S38-251</t>
  </si>
  <si>
    <t>S41-165</t>
  </si>
  <si>
    <t>Torres, Saul</t>
  </si>
  <si>
    <t>S42-270</t>
  </si>
  <si>
    <t>Gentry, Marshana</t>
  </si>
  <si>
    <t>S42-272</t>
  </si>
  <si>
    <t>Torres, Karina</t>
  </si>
  <si>
    <t>S42-274</t>
  </si>
  <si>
    <t>Barahona, Karla</t>
  </si>
  <si>
    <t>W01-1-0104</t>
  </si>
  <si>
    <t>Cardenas, Yeiby</t>
  </si>
  <si>
    <t>W01-1-0105</t>
  </si>
  <si>
    <t>W01-1-0108</t>
  </si>
  <si>
    <t>Omoregie, Patience</t>
  </si>
  <si>
    <t>W01-1-0110</t>
  </si>
  <si>
    <t>Ortega, Maricela</t>
  </si>
  <si>
    <t>W02-1-0203</t>
  </si>
  <si>
    <t>Ado, Lois</t>
  </si>
  <si>
    <t>W03-1-0302</t>
  </si>
  <si>
    <t>Metu, Charles</t>
  </si>
  <si>
    <t>W03-1-0303</t>
  </si>
  <si>
    <t>Lee, Caitlyn</t>
  </si>
  <si>
    <t>W03-1-0306</t>
  </si>
  <si>
    <t>Akinsitan, Akinwale</t>
  </si>
  <si>
    <t>W03-1-0311</t>
  </si>
  <si>
    <t>EMMANUEL, NNADI</t>
  </si>
  <si>
    <t>W03-1-0320</t>
  </si>
  <si>
    <t>Chukwudi, Kelechi</t>
  </si>
  <si>
    <t>W03-1-0321</t>
  </si>
  <si>
    <t>Griffiths, Aloysius</t>
  </si>
  <si>
    <t>W04-1-0408</t>
  </si>
  <si>
    <t>Gilmore, Willie</t>
  </si>
  <si>
    <t>W04-1-0409</t>
  </si>
  <si>
    <t>Patterson, Martayvia</t>
  </si>
  <si>
    <t>W04-1-0411</t>
  </si>
  <si>
    <t>Jones, Jamal</t>
  </si>
  <si>
    <t>W04-1-0415</t>
  </si>
  <si>
    <t>Diaz Becerra, Victor</t>
  </si>
  <si>
    <t>W05-1-0502</t>
  </si>
  <si>
    <t>Baker, Johnathon</t>
  </si>
  <si>
    <t>W05-1-0504</t>
  </si>
  <si>
    <t>Martinez, Omar</t>
  </si>
  <si>
    <t>W05-1-0508</t>
  </si>
  <si>
    <t>Alagba, Abel</t>
  </si>
  <si>
    <t>Thomas, Cori</t>
  </si>
  <si>
    <t>W05-1-0516</t>
  </si>
  <si>
    <t>Sparks, Dija</t>
  </si>
  <si>
    <t>W06-1-0610</t>
  </si>
  <si>
    <t>Nwachukwu, Angela</t>
  </si>
  <si>
    <t>W06-1-0616</t>
  </si>
  <si>
    <t>Lopez, Abrianna</t>
  </si>
  <si>
    <t>W07-1-0705</t>
  </si>
  <si>
    <t>EREKOSIMA, PRIYE</t>
  </si>
  <si>
    <t>W07-1-0707</t>
  </si>
  <si>
    <t>W07-1-0712</t>
  </si>
  <si>
    <t>Nguyen, Hoa</t>
  </si>
  <si>
    <t>Current - Month To Month</t>
  </si>
  <si>
    <t>W07-1-0716</t>
  </si>
  <si>
    <t>Delgado, Frank</t>
  </si>
  <si>
    <t>W07-1-0722</t>
  </si>
  <si>
    <t>Amani, Monica</t>
  </si>
  <si>
    <t>W08-1-0805</t>
  </si>
  <si>
    <t>Kowo, Oghenero</t>
  </si>
  <si>
    <t>W08-1-0808</t>
  </si>
  <si>
    <t>Santini, Eric</t>
  </si>
  <si>
    <t>W08-1-0809</t>
  </si>
  <si>
    <t>Brazier, Tiara</t>
  </si>
  <si>
    <t>W08-1-0812</t>
  </si>
  <si>
    <t>Broomfield, Deandra</t>
  </si>
  <si>
    <t>W08-1-0814</t>
  </si>
  <si>
    <t>Reyes, Alan</t>
  </si>
  <si>
    <t>W09-1-0901</t>
  </si>
  <si>
    <t>Camacho, Ana</t>
  </si>
  <si>
    <t>W09-1-0902</t>
  </si>
  <si>
    <t>Mazola, Bin</t>
  </si>
  <si>
    <t>W10-1-1003</t>
  </si>
  <si>
    <t>Raychelle, Jessica</t>
  </si>
  <si>
    <t>W10-1-1006</t>
  </si>
  <si>
    <t>Akintomide, Amidat</t>
  </si>
  <si>
    <t>W11-1-1103</t>
  </si>
  <si>
    <t>Canada, Alvaro</t>
  </si>
  <si>
    <t>W11-1-1105</t>
  </si>
  <si>
    <t>Hishaw, Ilona</t>
  </si>
  <si>
    <t>W11-1-1109</t>
  </si>
  <si>
    <t>Polynïce, Marie</t>
  </si>
  <si>
    <t>W11-1-1110</t>
  </si>
  <si>
    <t>Walker, Myocsheonia</t>
  </si>
  <si>
    <t>W11-1-1114</t>
  </si>
  <si>
    <t>Abigail, Eden</t>
  </si>
  <si>
    <t>W12-1-1201</t>
  </si>
  <si>
    <t>Yulissa, Karen</t>
  </si>
  <si>
    <t>W12-1-1202</t>
  </si>
  <si>
    <t>Harris, Mahogany</t>
  </si>
  <si>
    <t>W12-1-1205</t>
  </si>
  <si>
    <t>W12-1-1211</t>
  </si>
  <si>
    <t>Basilio, Uriel</t>
  </si>
  <si>
    <t>W13-1-1308</t>
  </si>
  <si>
    <t>Romero, Eugenio</t>
  </si>
  <si>
    <t>W13-1-1309</t>
  </si>
  <si>
    <t>Semere, Denden</t>
  </si>
  <si>
    <t>W13-1-1322</t>
  </si>
  <si>
    <t>Mayberry, Norma</t>
  </si>
  <si>
    <t>W13-1-1324</t>
  </si>
  <si>
    <t>Ogunmola, Tobi</t>
  </si>
  <si>
    <t>W14-1-1404</t>
  </si>
  <si>
    <t>Garcia, Marlet</t>
  </si>
  <si>
    <t>W14-1-1409</t>
  </si>
  <si>
    <t>McMahon, John</t>
  </si>
  <si>
    <t>Olea, Isamar</t>
  </si>
  <si>
    <t>W14-1-1416</t>
  </si>
  <si>
    <t>W14-1-1417</t>
  </si>
  <si>
    <t>Shead, Teaira</t>
  </si>
  <si>
    <t>W15-2-1087</t>
  </si>
  <si>
    <t>Goodman, Diamond</t>
  </si>
  <si>
    <t>W15-2-1088</t>
  </si>
  <si>
    <t>Arellano, Sandra (Sandra)</t>
  </si>
  <si>
    <t>W15-2-1091</t>
  </si>
  <si>
    <t>Ruiz, Ludivina</t>
  </si>
  <si>
    <t>W15-2-2085</t>
  </si>
  <si>
    <t>Jenkins, Jared</t>
  </si>
  <si>
    <t>W15-2-3087</t>
  </si>
  <si>
    <t>Amaya, Hermis</t>
  </si>
  <si>
    <t>W15-2-3088</t>
  </si>
  <si>
    <t>Clark, Briana</t>
  </si>
  <si>
    <t>W15-2-3090</t>
  </si>
  <si>
    <t>Nwabunor, Stanley (Stanley)</t>
  </si>
  <si>
    <t>W16-2-2084</t>
  </si>
  <si>
    <t>Aguilar, Antonio</t>
  </si>
  <si>
    <t>W17-2-1078</t>
  </si>
  <si>
    <t>Rodriguez, Joseph</t>
  </si>
  <si>
    <t>W17-2-2074</t>
  </si>
  <si>
    <t>Atinmo, Juliet</t>
  </si>
  <si>
    <t>W17-2-2077</t>
  </si>
  <si>
    <t>Okoh, Olufunke</t>
  </si>
  <si>
    <t>Richard, Englene</t>
  </si>
  <si>
    <t>W18-2-1071</t>
  </si>
  <si>
    <t>Rodriguez, Nereyda</t>
  </si>
  <si>
    <t>Enriquez, Jaqueline</t>
  </si>
  <si>
    <t>W19-2-1066</t>
  </si>
  <si>
    <t>Tovar, Mary</t>
  </si>
  <si>
    <t>W19-2-2067</t>
  </si>
  <si>
    <t>Taylor, Talika</t>
  </si>
  <si>
    <t>W19-2-2069</t>
  </si>
  <si>
    <t>Musah, Iddrissu</t>
  </si>
  <si>
    <t>W20-2-2065</t>
  </si>
  <si>
    <t>Notice - Eviction, Grace Period</t>
  </si>
  <si>
    <t>W21-2-1052</t>
  </si>
  <si>
    <t>Murphy, Angenique</t>
  </si>
  <si>
    <t>W21-2-1056</t>
  </si>
  <si>
    <t>Hardin, Wynisha</t>
  </si>
  <si>
    <t>W21-2-1058</t>
  </si>
  <si>
    <t>Ramin, Ahmad</t>
  </si>
  <si>
    <t>W21-2-1059</t>
  </si>
  <si>
    <t>Daniels, Thalia</t>
  </si>
  <si>
    <t>W21-2-1061</t>
  </si>
  <si>
    <t>Brown, Trenton</t>
  </si>
  <si>
    <t>W22-2-1050</t>
  </si>
  <si>
    <t>Shamar, Malik</t>
  </si>
  <si>
    <t>W22-2-1051</t>
  </si>
  <si>
    <t>Collins, Angela</t>
  </si>
  <si>
    <t>W22-2-2050</t>
  </si>
  <si>
    <t>Davis, Trevor</t>
  </si>
  <si>
    <t>W23-2-1044</t>
  </si>
  <si>
    <t>Rodas, Sergio</t>
  </si>
  <si>
    <t>W23-2-2041</t>
  </si>
  <si>
    <t>Cortez, Elieser</t>
  </si>
  <si>
    <t>W24-2-1035</t>
  </si>
  <si>
    <t>Desquare, Harvey</t>
  </si>
  <si>
    <t>W24-2-2038</t>
  </si>
  <si>
    <t>Bonilla, Vicente</t>
  </si>
  <si>
    <t>W24-2-2039</t>
  </si>
  <si>
    <t>Fridia, Rodrinesha</t>
  </si>
  <si>
    <t>W25-2-1027</t>
  </si>
  <si>
    <t>Yoryina, Emelyn</t>
  </si>
  <si>
    <t>W25-2-2029</t>
  </si>
  <si>
    <t>Monzon, Reyna</t>
  </si>
  <si>
    <t>Molina, Mabel</t>
  </si>
  <si>
    <t>W27-2-2001</t>
  </si>
  <si>
    <t>Quincy, Rhianna</t>
  </si>
  <si>
    <t>W27-2-2007</t>
  </si>
  <si>
    <t>Ogunlusi, Adekanmi</t>
  </si>
  <si>
    <t>Closed - Cancelled</t>
  </si>
  <si>
    <t>Closed - Completed</t>
  </si>
  <si>
    <t>Owner Name</t>
  </si>
  <si>
    <t>Avg Days Open</t>
  </si>
  <si>
    <t>Avg Hours Open</t>
  </si>
  <si>
    <t>Ava Apartments Leasehold, LLC</t>
  </si>
  <si>
    <t>Awaiting Parts</t>
  </si>
  <si>
    <t>Open</t>
  </si>
  <si>
    <t>Income Statement Trailing 12</t>
  </si>
  <si>
    <t>Accrual Basis</t>
  </si>
  <si>
    <t>880 Units</t>
  </si>
  <si>
    <t>Take-Over 12/15/2025</t>
  </si>
  <si>
    <t xml:space="preserve"> </t>
  </si>
  <si>
    <t xml:space="preserve"># of Occupied Units </t>
  </si>
  <si>
    <t xml:space="preserve">Market Rent </t>
  </si>
  <si>
    <t xml:space="preserve">Lease Loss/Concessions/Occupied Unit </t>
  </si>
  <si>
    <t xml:space="preserve">Net Effective Rent </t>
  </si>
  <si>
    <t xml:space="preserve">% Discount </t>
  </si>
  <si>
    <t xml:space="preserve">Bad Debt % </t>
  </si>
  <si>
    <t xml:space="preserve">Economic Occupancy </t>
  </si>
  <si>
    <t>Account Name</t>
  </si>
  <si>
    <t>Income</t>
  </si>
  <si>
    <t>Rental Income</t>
  </si>
  <si>
    <t>Market Rent</t>
  </si>
  <si>
    <t>Gain/Loss To Lease</t>
  </si>
  <si>
    <t>Vacancy, Losses &amp; Concessions</t>
  </si>
  <si>
    <t>Delinquent Rent/Bad Debt</t>
  </si>
  <si>
    <t>Vacancy Loss</t>
  </si>
  <si>
    <t>Model Vacancy Loss</t>
  </si>
  <si>
    <t>Vacancy Loss - Down Units</t>
  </si>
  <si>
    <t>Rental Concessions</t>
  </si>
  <si>
    <t>Up Front Concessions</t>
  </si>
  <si>
    <t>Employee Rent Discount</t>
  </si>
  <si>
    <t>Net Rental Income</t>
  </si>
  <si>
    <t>Other Income</t>
  </si>
  <si>
    <t>Other Income - Water/Sewer Reimbursements</t>
  </si>
  <si>
    <t>Other Income - Electric Reimbursements</t>
  </si>
  <si>
    <t>Other Income - Trash Reimbursements</t>
  </si>
  <si>
    <t>Other Income - Gas Reimbursements</t>
  </si>
  <si>
    <t>Other Income - Cable TV Income</t>
  </si>
  <si>
    <t>Other Income - Pest Control Reimbursement</t>
  </si>
  <si>
    <t>Other Income - Credit Builder</t>
  </si>
  <si>
    <t>Other Income - Laundry Income</t>
  </si>
  <si>
    <t>Other Income - Monthly Pet Rent</t>
  </si>
  <si>
    <t>Other Income - Covered Parking</t>
  </si>
  <si>
    <t>Other Income - Garage Parking</t>
  </si>
  <si>
    <t>Other Income - Washer/Dryer Rental</t>
  </si>
  <si>
    <t>Other Income - Conditional Fees</t>
  </si>
  <si>
    <t>Other Income - Application Fee</t>
  </si>
  <si>
    <t>Other Income - Non-Refundable Admin Fee</t>
  </si>
  <si>
    <t>Other Income - Loss Damage Waiver</t>
  </si>
  <si>
    <t>Other Income - Deposit Alternative</t>
  </si>
  <si>
    <t>Other Income - Parcel Services Income</t>
  </si>
  <si>
    <t>Other Income - Towing</t>
  </si>
  <si>
    <t>Other Income - Miscellaneous Income</t>
  </si>
  <si>
    <t>Other Income - Non-Refundable Pet Fee</t>
  </si>
  <si>
    <t>Other Income - Late Charges</t>
  </si>
  <si>
    <t>Other Income - Damages</t>
  </si>
  <si>
    <t>Other Income - Cancellation Fee</t>
  </si>
  <si>
    <t>Other Income - NSF Charges</t>
  </si>
  <si>
    <t>Other Income - Legal Reimbursements</t>
  </si>
  <si>
    <t>Other Income - Interest Income</t>
  </si>
  <si>
    <t>Operating Expenses</t>
  </si>
  <si>
    <t>Payroll &amp; Related</t>
  </si>
  <si>
    <t>Payroll</t>
  </si>
  <si>
    <t>Payroll - Manager</t>
  </si>
  <si>
    <t>Payroll - Assistant Manager</t>
  </si>
  <si>
    <t>Payroll - Leasing Agent</t>
  </si>
  <si>
    <t>Payroll - Maintenance Foreman</t>
  </si>
  <si>
    <t>Payroll - Maintenance Labor</t>
  </si>
  <si>
    <t>Payroll - Painter</t>
  </si>
  <si>
    <t>Payroll - Porter</t>
  </si>
  <si>
    <t>Payroll - Maid</t>
  </si>
  <si>
    <t>Payroll Related</t>
  </si>
  <si>
    <t>Payroll Related - Payroll Taxes</t>
  </si>
  <si>
    <t>Payroll Related - Health Insurance</t>
  </si>
  <si>
    <t>Payroll Related - Other Benefits</t>
  </si>
  <si>
    <t>Payroll Related - Workers Compensation</t>
  </si>
  <si>
    <t>Payroll Related - Training &amp; Education</t>
  </si>
  <si>
    <t>Contractual Services</t>
  </si>
  <si>
    <t>Contractual Services - Key Trak System</t>
  </si>
  <si>
    <t>Contractual Services - Grounds Contract</t>
  </si>
  <si>
    <t>Contractual Services - Electronic Monitoring</t>
  </si>
  <si>
    <t>Contractual Services - Patrol Service</t>
  </si>
  <si>
    <t>Contractual Services - Fire Alarm Monitoring</t>
  </si>
  <si>
    <t>Contractual Services - Pool Contract</t>
  </si>
  <si>
    <t>Contractual Services - Contract Labor</t>
  </si>
  <si>
    <t>Utilities</t>
  </si>
  <si>
    <t>Utilities - Common Area</t>
  </si>
  <si>
    <t>Utilities - Vacants</t>
  </si>
  <si>
    <t>Utilities - Gas</t>
  </si>
  <si>
    <t>Utilities - Water</t>
  </si>
  <si>
    <t>Utilities - Trash Furniture Removal</t>
  </si>
  <si>
    <t>Utilities - Trash Removal</t>
  </si>
  <si>
    <t>Utilities - Utility Billing Service</t>
  </si>
  <si>
    <t>Redecorating</t>
  </si>
  <si>
    <t>Redecorating - Carpet Cleaning</t>
  </si>
  <si>
    <t>Redecorating - General Cleaning</t>
  </si>
  <si>
    <t>Redecorating - Painting</t>
  </si>
  <si>
    <t>Redecorating - Resurfacing</t>
  </si>
  <si>
    <t>Redecorating - Carpet Cleaning Occupied</t>
  </si>
  <si>
    <t>Redecorating - Carpet Cleaning Vacant</t>
  </si>
  <si>
    <t>Redecorating - General Cleaning Common</t>
  </si>
  <si>
    <t>Redecorating - General Cleaning Vacant</t>
  </si>
  <si>
    <t>Redecorating - Sheetrock</t>
  </si>
  <si>
    <t>Maintenance</t>
  </si>
  <si>
    <t>Maintenance - Plumbing Maintenance</t>
  </si>
  <si>
    <t>Maintenance - Alarm Maintenance</t>
  </si>
  <si>
    <t>Maintenance - Electric Maintenance</t>
  </si>
  <si>
    <t>Maintenance - Heating &amp; AC Maintenance</t>
  </si>
  <si>
    <t>Maintenance - Appliance Maintenance</t>
  </si>
  <si>
    <t>Maintenance - Maintenance &amp; Repairs</t>
  </si>
  <si>
    <t>Maintenance - Pest Control</t>
  </si>
  <si>
    <t>Maintenance - Landscape Supplies</t>
  </si>
  <si>
    <t>Maintenance - Pool Maintenance</t>
  </si>
  <si>
    <t>Maintenance - Permits/Inspections</t>
  </si>
  <si>
    <t>Maintenance - Fire Protection/Alarm</t>
  </si>
  <si>
    <t>Marketing Expenses</t>
  </si>
  <si>
    <t>Marketing - Internet/Website Advertising</t>
  </si>
  <si>
    <t>Marketing - Online Employment Ads</t>
  </si>
  <si>
    <t>Marketing - Dues/Subscriptions/Memberships</t>
  </si>
  <si>
    <t>Marketing - Temporary Signage</t>
  </si>
  <si>
    <t>Marketing - Office/Model Expense</t>
  </si>
  <si>
    <t>Marketing - Promotions/PR</t>
  </si>
  <si>
    <t>Marketing - Locator Fees/Functions</t>
  </si>
  <si>
    <t>Marketing - Market Study/Shopping Reports</t>
  </si>
  <si>
    <t>Marketing - Resident Retention</t>
  </si>
  <si>
    <t>Office Operations</t>
  </si>
  <si>
    <t>Office Operations - Telephone/Cable/Internet</t>
  </si>
  <si>
    <t>Office Operations - Office Supplies</t>
  </si>
  <si>
    <t>Office Operations - Employee Screening</t>
  </si>
  <si>
    <t>Office Operations - Postage</t>
  </si>
  <si>
    <t>Office Operations - Copies/Printing</t>
  </si>
  <si>
    <t>Office Operations - Computer Supplies &amp; Software</t>
  </si>
  <si>
    <t>Office Operations - Legal Expenses</t>
  </si>
  <si>
    <t>Office Operations - Credit Bureau</t>
  </si>
  <si>
    <t>Office Operations - Deposit Alternative</t>
  </si>
  <si>
    <t>Office Operations - Concierge Services</t>
  </si>
  <si>
    <t>Office Operations - Loss Damage Waiver</t>
  </si>
  <si>
    <t>Office Operations - Centralization</t>
  </si>
  <si>
    <t>Office Operations - Taxes, Licenses &amp; Fees</t>
  </si>
  <si>
    <t>Office Operations - Uniforms</t>
  </si>
  <si>
    <t>Office Operations - Travel Expenses</t>
  </si>
  <si>
    <t>Kitchen Supplies</t>
  </si>
  <si>
    <t>Office Operations - Bank Charges</t>
  </si>
  <si>
    <t>Management Fees</t>
  </si>
  <si>
    <t>Management Fee</t>
  </si>
  <si>
    <t>Taxes &amp; Insurance</t>
  </si>
  <si>
    <t>Insurance - Property</t>
  </si>
  <si>
    <t>Taxes &amp; Dues - Property Taxes</t>
  </si>
  <si>
    <t>Housing - Admin fees</t>
  </si>
  <si>
    <t>Net Operating Income</t>
  </si>
  <si>
    <t>Non-Operating Expenses</t>
  </si>
  <si>
    <t>Capital Expenditures</t>
  </si>
  <si>
    <t>Capital Repairs</t>
  </si>
  <si>
    <t>Capital Repairs - Start Up Expenses</t>
  </si>
  <si>
    <t>Capital Repairs - Sheetrock</t>
  </si>
  <si>
    <t>Capital Repairs - Gates</t>
  </si>
  <si>
    <t>Capital Repairs - Signage</t>
  </si>
  <si>
    <t>Capital Repairs - A/C &amp; Heating</t>
  </si>
  <si>
    <t>Capital Repairs - Carpeting</t>
  </si>
  <si>
    <t>Capital Repairs - Painting</t>
  </si>
  <si>
    <t>Capital Repairs - Window Coverings</t>
  </si>
  <si>
    <t>Capital Repairs - Appliances</t>
  </si>
  <si>
    <t>Capital Repairs - Exterior Repairs</t>
  </si>
  <si>
    <t>Capital Repairs - Interior Repairs</t>
  </si>
  <si>
    <t>Capital Repairs - Landscaping</t>
  </si>
  <si>
    <t>Capital Repairs - Equipment</t>
  </si>
  <si>
    <t>Capital Repairs - Electrical Repairs</t>
  </si>
  <si>
    <t>Capital Repairs - Plumbing</t>
  </si>
  <si>
    <t>Capital Repairs - Roofing</t>
  </si>
  <si>
    <t>Capital Repairs - Pool</t>
  </si>
  <si>
    <t>Capital Repairs - Fire Sprinkler/Extinguisher Inspection</t>
  </si>
  <si>
    <t>Capital Repairs - Vinyl</t>
  </si>
  <si>
    <t>Capital Repairs - Countertops/Cabinets</t>
  </si>
  <si>
    <t>Capital Repairs Reimbursements</t>
  </si>
  <si>
    <t>Capital Repairs - Miscellaneous Non-Routine</t>
  </si>
  <si>
    <t>Rehab Costs</t>
  </si>
  <si>
    <t>Rehab - Start Up Expenses</t>
  </si>
  <si>
    <t>Rehab - Unit Upgrade - Full</t>
  </si>
  <si>
    <t>Rehab - Replacement Reimbursement</t>
  </si>
  <si>
    <t>Debt Service</t>
  </si>
  <si>
    <t>Debt Service - 1st Lien Interest</t>
  </si>
  <si>
    <t>Debt Service - Int Rate Cap</t>
  </si>
  <si>
    <t>Other Non-Operating Expenses</t>
  </si>
  <si>
    <t>Partnership Expenses - Interest Income</t>
  </si>
  <si>
    <t>Other Non Operating - TRS Services Expense/Revenue</t>
  </si>
  <si>
    <t>Partnership Expenses - Professional Fees</t>
  </si>
  <si>
    <t>Partnership Expenses - Legal &amp; Consulting</t>
  </si>
  <si>
    <t>Partnership Expenses - Audit &amp; Accounting</t>
  </si>
  <si>
    <t>Partnership Expenses - Asset Management Fee</t>
  </si>
  <si>
    <t>Partnership Expenses - Amortization Other</t>
  </si>
  <si>
    <t>Partnership Expenses - Prior Period Adjustment</t>
  </si>
  <si>
    <t>Net Income</t>
  </si>
  <si>
    <t>Skip MTM?</t>
  </si>
  <si>
    <t>SQFT</t>
  </si>
  <si>
    <t>Days Vacant</t>
  </si>
  <si>
    <t>Considered Rented On</t>
  </si>
  <si>
    <t>Prior Resident</t>
  </si>
  <si>
    <t>Current Resident</t>
  </si>
  <si>
    <t>Current Lease Type</t>
  </si>
  <si>
    <t>Prior Lease Term</t>
  </si>
  <si>
    <t>Current Lease Term</t>
  </si>
  <si>
    <t>Current Lease Term (Months)</t>
  </si>
  <si>
    <t>Prior Lease Rent</t>
  </si>
  <si>
    <t>Prior Lease Rent/SQFT</t>
  </si>
  <si>
    <t>Prior Effective Rent</t>
  </si>
  <si>
    <t>Prior Effective Rent/SQFT</t>
  </si>
  <si>
    <t>Current Lease Rent</t>
  </si>
  <si>
    <t>Current Lease Rent/SQFT</t>
  </si>
  <si>
    <t>Current Recurring Concessions</t>
  </si>
  <si>
    <t>Current One-Time Concessions</t>
  </si>
  <si>
    <t>Current Effective Rent</t>
  </si>
  <si>
    <t>Current Effective Rent/SQFT</t>
  </si>
  <si>
    <t>Current Net Effective Rent</t>
  </si>
  <si>
    <t>Lease Rent Change ($)</t>
  </si>
  <si>
    <t>Lease Rent Change (%)</t>
  </si>
  <si>
    <t>Effective Rent Change ($)</t>
  </si>
  <si>
    <t>Effective Rent Change (%)</t>
  </si>
  <si>
    <t>N09-2036</t>
  </si>
  <si>
    <t>Christian, Anand</t>
  </si>
  <si>
    <t>Renewal</t>
  </si>
  <si>
    <t>Wright, Alonzo</t>
  </si>
  <si>
    <t>Application</t>
  </si>
  <si>
    <t>N15-2067</t>
  </si>
  <si>
    <t>Doing, Stuart</t>
  </si>
  <si>
    <t>Rivero, Kevin</t>
  </si>
  <si>
    <t>N15-3066</t>
  </si>
  <si>
    <t>Khurramy, Khatira</t>
  </si>
  <si>
    <t>Farris, Georgina</t>
  </si>
  <si>
    <t>W15-2-1086</t>
  </si>
  <si>
    <t>De, Leandro</t>
  </si>
  <si>
    <t>Arellano, Sandra</t>
  </si>
  <si>
    <t>Chijioke, Jane</t>
  </si>
  <si>
    <t>Navas, Scarleth</t>
  </si>
  <si>
    <t>W15-2-1092</t>
  </si>
  <si>
    <t>Hernandez, Kelvia</t>
  </si>
  <si>
    <t>FANNY-AMUN, ODION</t>
  </si>
  <si>
    <t>W15-2-2088</t>
  </si>
  <si>
    <t>Newton, Andrew</t>
  </si>
  <si>
    <t>W24-2-2037</t>
  </si>
  <si>
    <t>Nkechi, Ifeoma</t>
  </si>
  <si>
    <t>Brinkley, Erin</t>
  </si>
  <si>
    <t>S38-152</t>
  </si>
  <si>
    <t>Hernandez, Sara</t>
  </si>
  <si>
    <t>S38-252</t>
  </si>
  <si>
    <t>Adetosoye, Jennifer</t>
  </si>
  <si>
    <t>S40-262</t>
  </si>
  <si>
    <t>BLANCO RAMOS, MARIA</t>
  </si>
  <si>
    <t>S40-360</t>
  </si>
  <si>
    <t>Loving, Debra</t>
  </si>
  <si>
    <t>Roof, Earl</t>
  </si>
  <si>
    <t>Lougin, Eddie</t>
  </si>
  <si>
    <t>W03-1-0307</t>
  </si>
  <si>
    <t>Mcconico, Freeman</t>
  </si>
  <si>
    <t>Jackson, Matthew</t>
  </si>
  <si>
    <t>W03-1-0315</t>
  </si>
  <si>
    <t>Ipoola, Abayomi</t>
  </si>
  <si>
    <t>W05-1-0517</t>
  </si>
  <si>
    <t>Akanmu, Olaitan</t>
  </si>
  <si>
    <t>W07-1-0711</t>
  </si>
  <si>
    <t>Smith, Jennifer</t>
  </si>
  <si>
    <t>Moya, Cherilyn</t>
  </si>
  <si>
    <t>Coleman, Elnora</t>
  </si>
  <si>
    <t>W13-1-1317</t>
  </si>
  <si>
    <t>Bankas, Ernest</t>
  </si>
  <si>
    <t>Gerbemichael, Snit</t>
  </si>
  <si>
    <t>N03-1015</t>
  </si>
  <si>
    <t>Rodriguez, Raquel</t>
  </si>
  <si>
    <t>N03-1016</t>
  </si>
  <si>
    <t>Jackson, Leo</t>
  </si>
  <si>
    <t>Teghey, Dawit</t>
  </si>
  <si>
    <t>Moore, Kendall</t>
  </si>
  <si>
    <t>N03-2019</t>
  </si>
  <si>
    <t>Daniyan, Omotola</t>
  </si>
  <si>
    <t>Murphy, Shaquesa</t>
  </si>
  <si>
    <t>Covington, Charlotte</t>
  </si>
  <si>
    <t>Mahere, Cathrine</t>
  </si>
  <si>
    <t>Ponce, Andres</t>
  </si>
  <si>
    <t>Pondexter, James</t>
  </si>
  <si>
    <t>Velala, Atibha Narasu</t>
  </si>
  <si>
    <t>Johnson, William</t>
  </si>
  <si>
    <t>Mendieta, Isaac</t>
  </si>
  <si>
    <t>Zavala, Alexandria</t>
  </si>
  <si>
    <t>W01-1-0112</t>
  </si>
  <si>
    <t>Adeleke, Elizabeth</t>
  </si>
  <si>
    <t>W02-1-0204</t>
  </si>
  <si>
    <t>Oparaku, Joseph</t>
  </si>
  <si>
    <t>Renteria, Jorge</t>
  </si>
  <si>
    <t>Smith, Kylah</t>
  </si>
  <si>
    <t>W02-1-0208</t>
  </si>
  <si>
    <t>Angulo, Wilman</t>
  </si>
  <si>
    <t>W02-1-0211</t>
  </si>
  <si>
    <t>Teklu, Wondwoson</t>
  </si>
  <si>
    <t>W04-1-0405</t>
  </si>
  <si>
    <t>Edet, Ime</t>
  </si>
  <si>
    <t>W09-1-0904</t>
  </si>
  <si>
    <t>Matamoros, Jocelyn</t>
  </si>
  <si>
    <t>Acuna, Dana</t>
  </si>
  <si>
    <t>W09-1-0908</t>
  </si>
  <si>
    <t>Nwagboso, Jonah</t>
  </si>
  <si>
    <t>Wood, Shelby</t>
  </si>
  <si>
    <t>S28-101</t>
  </si>
  <si>
    <t>Rodriguez, Maurico</t>
  </si>
  <si>
    <t>Ledbetter, Aiden</t>
  </si>
  <si>
    <t>Verastegui, Gabriela</t>
  </si>
  <si>
    <t>S28-203</t>
  </si>
  <si>
    <t>Alvarez, Maria</t>
  </si>
  <si>
    <t>S29-113</t>
  </si>
  <si>
    <t>Hernandez, Juan</t>
  </si>
  <si>
    <t>S33-135</t>
  </si>
  <si>
    <t>Kaba, Fanta</t>
  </si>
  <si>
    <t>S33-237</t>
  </si>
  <si>
    <t>Zalejski, Stefan</t>
  </si>
  <si>
    <t>S33-239</t>
  </si>
  <si>
    <t>Buchanan, Terry</t>
  </si>
  <si>
    <t>Velazquez, Nancy</t>
  </si>
  <si>
    <t>W23-2-2040</t>
  </si>
  <si>
    <t>Aldana, Javier</t>
  </si>
  <si>
    <t>W25-2-1024</t>
  </si>
  <si>
    <t>Haile, Tesfamihret</t>
  </si>
  <si>
    <t>SIDIBEH, ALIEU</t>
  </si>
  <si>
    <t>W27-2-1001</t>
  </si>
  <si>
    <t>Ojebode, Olujide</t>
  </si>
  <si>
    <t>Trotman, Debra</t>
  </si>
  <si>
    <t>W27-2-1009</t>
  </si>
  <si>
    <t>Ainabe, Grace</t>
  </si>
  <si>
    <t>Agbabiaka, Stella</t>
  </si>
  <si>
    <t>W27-2-2002</t>
  </si>
  <si>
    <t>Price, Joaquin</t>
  </si>
  <si>
    <t>W27-2-2010</t>
  </si>
  <si>
    <t>Odoom, Rosemond</t>
  </si>
  <si>
    <t>N02-2007</t>
  </si>
  <si>
    <t>Gonzalez, Yessenia</t>
  </si>
  <si>
    <t>N13-1057</t>
  </si>
  <si>
    <t>Djossouvi, Adjo</t>
  </si>
  <si>
    <t>S26-409</t>
  </si>
  <si>
    <t>Hernandez, Emma</t>
  </si>
  <si>
    <t>S26-416</t>
  </si>
  <si>
    <t>Thomas, Archesicia</t>
  </si>
  <si>
    <t>Zeballos, Omar</t>
  </si>
  <si>
    <t>Gonzalez Vallejo, Dante</t>
  </si>
  <si>
    <t>Machado, Aleidi</t>
  </si>
  <si>
    <t>W11-1-1115</t>
  </si>
  <si>
    <t>Juach, Arop</t>
  </si>
  <si>
    <t>Nucamendi, Stephanie</t>
  </si>
  <si>
    <t>Pisanan Bravo, Victor</t>
  </si>
  <si>
    <t>Reliford, Bria</t>
  </si>
  <si>
    <t>W12-1-1203</t>
  </si>
  <si>
    <t>Kenneth, Chukwuemeka</t>
  </si>
  <si>
    <t>JONES, SUBRIKA</t>
  </si>
  <si>
    <t>Ulett, Izahia</t>
  </si>
  <si>
    <t>W12-1-1222</t>
  </si>
  <si>
    <t>Adediji, Idris</t>
  </si>
  <si>
    <t>Baltimore, LaAndrea</t>
  </si>
  <si>
    <t>W14-1-1419</t>
  </si>
  <si>
    <t>Anyakpah, Afi</t>
  </si>
  <si>
    <t>Torres, Daniel</t>
  </si>
  <si>
    <t>Hurtado, Maria</t>
  </si>
  <si>
    <t>S35-146</t>
  </si>
  <si>
    <t>Moctezuma, Daisy</t>
  </si>
  <si>
    <t>Brown, Rebecca</t>
  </si>
  <si>
    <t>Chacon Chacon, Maria</t>
  </si>
  <si>
    <t>Campbell, Kiesha</t>
  </si>
  <si>
    <t>N08-1032</t>
  </si>
  <si>
    <t>Delgado, Rogelio</t>
  </si>
  <si>
    <t>Njaka, Ogochukwu</t>
  </si>
  <si>
    <t>Pullen, ValCrystal</t>
  </si>
  <si>
    <t>white, kimberley</t>
  </si>
  <si>
    <t>Swanzy, Hayle</t>
  </si>
  <si>
    <t>Kimsey, Micah</t>
  </si>
  <si>
    <t>Jones, Nikitria</t>
  </si>
  <si>
    <t>cheek, wilson</t>
  </si>
  <si>
    <t>Smith, Kierra</t>
  </si>
  <si>
    <t>W26-2-1015</t>
  </si>
  <si>
    <t>Portillo, Wendy</t>
  </si>
  <si>
    <t>S39-157</t>
  </si>
  <si>
    <t>Bacho, Alma</t>
  </si>
  <si>
    <t>Sisson, Rashawn</t>
  </si>
  <si>
    <t>S41-264</t>
  </si>
  <si>
    <t>Garcia, Karin</t>
  </si>
  <si>
    <t>S42-173</t>
  </si>
  <si>
    <t>Nunez, Eduar</t>
  </si>
  <si>
    <t>Holguin Gutierrez, Victor</t>
  </si>
  <si>
    <t>Clark, Mckenna</t>
  </si>
  <si>
    <t>Babatope, Fakuade</t>
  </si>
  <si>
    <t>Row, Darlene</t>
  </si>
  <si>
    <t>Collazo, Aidan</t>
  </si>
  <si>
    <t>W13-1-1306</t>
  </si>
  <si>
    <t>Lawal, Temitope</t>
  </si>
  <si>
    <t>Black, Demarcia</t>
  </si>
  <si>
    <t>Rodriguez, Daniel</t>
  </si>
  <si>
    <t>Lawrence, Tierney</t>
  </si>
  <si>
    <t>Payment ID</t>
  </si>
  <si>
    <t>Payment Type</t>
  </si>
  <si>
    <t>Return Date</t>
  </si>
  <si>
    <t>Return Fee</t>
  </si>
  <si>
    <t>W12-1-1218</t>
  </si>
  <si>
    <t>Egede, Bassey</t>
  </si>
  <si>
    <t>eCheck</t>
  </si>
  <si>
    <t>Property Name</t>
  </si>
  <si>
    <t>Application Id</t>
  </si>
  <si>
    <t>Original Contact</t>
  </si>
  <si>
    <t>Created On</t>
  </si>
  <si>
    <t>Application - Started</t>
  </si>
  <si>
    <t>Lease - Started</t>
  </si>
  <si>
    <t>Lease - Partially Completed</t>
  </si>
  <si>
    <t>Cancelled On</t>
  </si>
  <si>
    <t>Denied On</t>
  </si>
  <si>
    <t>Reopened On</t>
  </si>
  <si>
    <t>5125807242, Honey</t>
  </si>
  <si>
    <t>Guest Card: Completed</t>
  </si>
  <si>
    <t>Call</t>
  </si>
  <si>
    <t>6672135622, Mike</t>
  </si>
  <si>
    <t>RentVision Local SEO (GBP)</t>
  </si>
  <si>
    <t>Abdellatif, Mohamed</t>
  </si>
  <si>
    <t>Application: Cancelled</t>
  </si>
  <si>
    <t>Online</t>
  </si>
  <si>
    <t>Abdi, Ali</t>
  </si>
  <si>
    <t>Abraham, Hanibal</t>
  </si>
  <si>
    <t>Text</t>
  </si>
  <si>
    <t>Abrams, Bianca</t>
  </si>
  <si>
    <t>Abshirow, Abdikadir</t>
  </si>
  <si>
    <t>Acevedo-Medina, Caleb</t>
  </si>
  <si>
    <t>Email</t>
  </si>
  <si>
    <t>Lease: Approved</t>
  </si>
  <si>
    <t>Visit/Tour</t>
  </si>
  <si>
    <t>Adame, Angel</t>
  </si>
  <si>
    <t>W27-2-2009</t>
  </si>
  <si>
    <t>Adams, Devyonne</t>
  </si>
  <si>
    <t>Adams, Jaime</t>
  </si>
  <si>
    <t>Adeleye, Demi</t>
  </si>
  <si>
    <t>Agbayekhai, Christopher</t>
  </si>
  <si>
    <t>N20-3094</t>
  </si>
  <si>
    <t>Aguilar, Axel</t>
  </si>
  <si>
    <t>Aguilarte, BEATRIZ</t>
  </si>
  <si>
    <t>Aguirre, Bruno</t>
  </si>
  <si>
    <t>Aitchison-Madill, Emma</t>
  </si>
  <si>
    <t>Aka shah, Ahmad shah</t>
  </si>
  <si>
    <t>Akpore, Ufuoma</t>
  </si>
  <si>
    <t>Alabudy, Nadeen</t>
  </si>
  <si>
    <t>Heath, McKenzi</t>
  </si>
  <si>
    <t>Alaketu, Abolade</t>
  </si>
  <si>
    <t>Alcaya, Erika</t>
  </si>
  <si>
    <t>Alexander, Ajaa</t>
  </si>
  <si>
    <t>Alexander, SyHeaven</t>
  </si>
  <si>
    <t>Algeri, Sahar</t>
  </si>
  <si>
    <t>Allen, Jennifer</t>
  </si>
  <si>
    <t>Apartment List</t>
  </si>
  <si>
    <t>Allen, Sheesha</t>
  </si>
  <si>
    <t>Alvarado, Carlos</t>
  </si>
  <si>
    <t>N26-1105</t>
  </si>
  <si>
    <t>Alvardo, Jonathan</t>
  </si>
  <si>
    <t>W09-1-0907</t>
  </si>
  <si>
    <t>Alvarez, Gidel</t>
  </si>
  <si>
    <t>Amador Reyes, Douglas</t>
  </si>
  <si>
    <t>Amaya, Melquis</t>
  </si>
  <si>
    <t>Amidi, Arian</t>
  </si>
  <si>
    <t>Anderson, Cameron</t>
  </si>
  <si>
    <t>Anderson, Christopher</t>
  </si>
  <si>
    <t>Anthony, Klynn</t>
  </si>
  <si>
    <t>Applewhite, Azia</t>
  </si>
  <si>
    <t>S32-430</t>
  </si>
  <si>
    <t>Archuleta, Tatiana</t>
  </si>
  <si>
    <t>Ardoin, Darrnell</t>
  </si>
  <si>
    <t>Arena, Jonatan</t>
  </si>
  <si>
    <t>Arevalo, Robert</t>
  </si>
  <si>
    <t>Argueta, David</t>
  </si>
  <si>
    <t>Armstrong, Zakira</t>
  </si>
  <si>
    <t>Ashby, Arianna</t>
  </si>
  <si>
    <t>Ashcraft, Makayla</t>
  </si>
  <si>
    <t>Ashley, Raven</t>
  </si>
  <si>
    <t>Atewologun, Tolulope</t>
  </si>
  <si>
    <t>Guest Card: Cancelled</t>
  </si>
  <si>
    <t>Avelar, Christian</t>
  </si>
  <si>
    <t>Averitt, Michael</t>
  </si>
  <si>
    <t>Ayers, Ryan</t>
  </si>
  <si>
    <t>Bachicha, Kendra</t>
  </si>
  <si>
    <t>Backus, Jeffrey</t>
  </si>
  <si>
    <t>Baldwin, Dinasia</t>
  </si>
  <si>
    <t>Barksdale, Tarlisha</t>
  </si>
  <si>
    <t>N13-1056</t>
  </si>
  <si>
    <t>Barua, Santu</t>
  </si>
  <si>
    <t>W05-1-0518</t>
  </si>
  <si>
    <t>Bates, Cedric</t>
  </si>
  <si>
    <t>W21-2-1054</t>
  </si>
  <si>
    <t>Battice, Valencia</t>
  </si>
  <si>
    <t>Baylor, Qiarah</t>
  </si>
  <si>
    <t>Bean, Logan</t>
  </si>
  <si>
    <t>Beck, Destiny</t>
  </si>
  <si>
    <t>Beck, Diane</t>
  </si>
  <si>
    <t>Belay, Haregwoin</t>
  </si>
  <si>
    <t>Bell, Curresha</t>
  </si>
  <si>
    <t>Belle, Georgia</t>
  </si>
  <si>
    <t>Bello, Jessica</t>
  </si>
  <si>
    <t>Bellroom, Brian</t>
  </si>
  <si>
    <t>Bell, Sharaya</t>
  </si>
  <si>
    <t>Benefield, Janeese</t>
  </si>
  <si>
    <t>Benjamin, Breiahna</t>
  </si>
  <si>
    <t>Bennett, James</t>
  </si>
  <si>
    <t>Berrios, Brevin</t>
  </si>
  <si>
    <t>Black, Brittany</t>
  </si>
  <si>
    <t>Blanco Ramos, María</t>
  </si>
  <si>
    <t>Affordable Housing</t>
  </si>
  <si>
    <t>Blurton, Talecia</t>
  </si>
  <si>
    <t>Bocanegra Bustamante, Alberto</t>
  </si>
  <si>
    <t>bollin, Raynesha</t>
  </si>
  <si>
    <t>Bonner, Kiara</t>
  </si>
  <si>
    <t>Booker, Natasha</t>
  </si>
  <si>
    <t>Booker, Tacori</t>
  </si>
  <si>
    <t>Boothe, Donnivan</t>
  </si>
  <si>
    <t>Bostic, Tantania</t>
  </si>
  <si>
    <t>Bowen, Kinzy</t>
  </si>
  <si>
    <t>Boyd, Elynn</t>
  </si>
  <si>
    <t>Bradley, Fineshia</t>
  </si>
  <si>
    <t>Brainerd, Babila</t>
  </si>
  <si>
    <t>Brandon, Terrell</t>
  </si>
  <si>
    <t>Brent Sr, DeQuan</t>
  </si>
  <si>
    <t>Briiant, Tia</t>
  </si>
  <si>
    <t>Brimley, Darielle</t>
  </si>
  <si>
    <t>Broom, Caitlin</t>
  </si>
  <si>
    <t>Brou, Gnamian</t>
  </si>
  <si>
    <t>Browder, Briana</t>
  </si>
  <si>
    <t>Brown, Bruce</t>
  </si>
  <si>
    <t>Brown, Derrick</t>
  </si>
  <si>
    <t>Browner, Ernest</t>
  </si>
  <si>
    <t>Browning, Fred</t>
  </si>
  <si>
    <t>Brown, Jalon</t>
  </si>
  <si>
    <t>Brown, Jamia</t>
  </si>
  <si>
    <t>Brown, Jorraine</t>
  </si>
  <si>
    <t>Brown, Layla</t>
  </si>
  <si>
    <t>Brown, Synshashon</t>
  </si>
  <si>
    <t>Brown, Toni Ann</t>
  </si>
  <si>
    <t>Brown, Unique</t>
  </si>
  <si>
    <t>Bryant, Linda</t>
  </si>
  <si>
    <t>Buck, Amari</t>
  </si>
  <si>
    <t>Buck, Diane</t>
  </si>
  <si>
    <t>Buck, Naquanda</t>
  </si>
  <si>
    <t>Budhathoki, Niruta</t>
  </si>
  <si>
    <t>burney, shamya</t>
  </si>
  <si>
    <t>Burns, Brittany</t>
  </si>
  <si>
    <t>N01-3003</t>
  </si>
  <si>
    <t>Burroughs, Rickey</t>
  </si>
  <si>
    <t>Burrows, Wyatt</t>
  </si>
  <si>
    <t>Bursey, Darius</t>
  </si>
  <si>
    <t>N03-1018</t>
  </si>
  <si>
    <t>Burton, Keneisha</t>
  </si>
  <si>
    <t>W24-2-1032</t>
  </si>
  <si>
    <t>W24-2-1036</t>
  </si>
  <si>
    <t>Butcher, Landon</t>
  </si>
  <si>
    <t>Butler, Kiaeem</t>
  </si>
  <si>
    <t>B, Vetta</t>
  </si>
  <si>
    <t>Byrd, Chelsea</t>
  </si>
  <si>
    <t>Caceres, Nayelly</t>
  </si>
  <si>
    <t>Calanir, Brooke</t>
  </si>
  <si>
    <t>Callejas, Giselle</t>
  </si>
  <si>
    <t>Calloway, Makayla</t>
  </si>
  <si>
    <t>Campbell, Kaisha</t>
  </si>
  <si>
    <t>Canady, Ariah</t>
  </si>
  <si>
    <t>capuchino, jose</t>
  </si>
  <si>
    <t>W27-2-1002</t>
  </si>
  <si>
    <t>Carey, Shanta</t>
  </si>
  <si>
    <t>Carlyle, Elizabeth</t>
  </si>
  <si>
    <t>Carmon, Alva</t>
  </si>
  <si>
    <t>Carranza, Diana</t>
  </si>
  <si>
    <t>Carr, Luretha</t>
  </si>
  <si>
    <t>Carroll, Braden</t>
  </si>
  <si>
    <t>Carroll-Newton, Jakare</t>
  </si>
  <si>
    <t>Hernandez, Justin</t>
  </si>
  <si>
    <t>Carter, AlKalah</t>
  </si>
  <si>
    <t>Carter, Davion</t>
  </si>
  <si>
    <t>N08-2033</t>
  </si>
  <si>
    <t>Carter, Janea</t>
  </si>
  <si>
    <t>Castillo, Diana</t>
  </si>
  <si>
    <t>Castillo, Fransisco</t>
  </si>
  <si>
    <t>Castillo, Sarah</t>
  </si>
  <si>
    <t>Cavazos, Cristina</t>
  </si>
  <si>
    <t>Celladora, Sheryll</t>
  </si>
  <si>
    <t>Cerecedes, Christy</t>
  </si>
  <si>
    <t>Cha, Abi</t>
  </si>
  <si>
    <t>Chacin, Yohany</t>
  </si>
  <si>
    <t>Chandler, Iyona</t>
  </si>
  <si>
    <t>Chandra, Amit</t>
  </si>
  <si>
    <t>Chapman, LaJayda</t>
  </si>
  <si>
    <t>Chatman, Vivian</t>
  </si>
  <si>
    <t>Chavarria, Moises</t>
  </si>
  <si>
    <t>W17-2-1079</t>
  </si>
  <si>
    <t>cheek, Anna</t>
  </si>
  <si>
    <t>Chem, Kirsten</t>
  </si>
  <si>
    <t>Cherupally, Premkumar</t>
  </si>
  <si>
    <t>W07-1-0723</t>
  </si>
  <si>
    <t>Chism, Demitrus</t>
  </si>
  <si>
    <t>Christian, Madison</t>
  </si>
  <si>
    <t>Chukwuka, Chukwudi</t>
  </si>
  <si>
    <t>Ciceron, Fatima</t>
  </si>
  <si>
    <t>Clark, Jazmin</t>
  </si>
  <si>
    <t>Clark, Jazminmonea</t>
  </si>
  <si>
    <t>Clark, Susan</t>
  </si>
  <si>
    <t>Clemons, Shunte</t>
  </si>
  <si>
    <t>Cloud, Jasmine</t>
  </si>
  <si>
    <t>C., Nora</t>
  </si>
  <si>
    <t>Cobos, Angel</t>
  </si>
  <si>
    <t>Cockrell, Jurnee</t>
  </si>
  <si>
    <t>Cole, Walter</t>
  </si>
  <si>
    <t>Collier, Ronnesha</t>
  </si>
  <si>
    <t>Collins, Crystal</t>
  </si>
  <si>
    <t>Collins, Jataya</t>
  </si>
  <si>
    <t>Collins, Johnathan</t>
  </si>
  <si>
    <t>Collins, Marika</t>
  </si>
  <si>
    <t>Collins, Taydure</t>
  </si>
  <si>
    <t>Collter, Tia</t>
  </si>
  <si>
    <t>Cook, LaDaryus</t>
  </si>
  <si>
    <t>Cook, Thomas</t>
  </si>
  <si>
    <t>Cooper, Esther</t>
  </si>
  <si>
    <t>Corey, Syria</t>
  </si>
  <si>
    <t>N15-3068</t>
  </si>
  <si>
    <t>Coronado, Julie</t>
  </si>
  <si>
    <t>Corona, Jose</t>
  </si>
  <si>
    <t>Cortes, Angel</t>
  </si>
  <si>
    <t>Cortez, Edwrad</t>
  </si>
  <si>
    <t>Cortez, Rodrigo</t>
  </si>
  <si>
    <t>Costa, Beatriz</t>
  </si>
  <si>
    <t>Costa, Felipe</t>
  </si>
  <si>
    <t>Cothren, Marcos</t>
  </si>
  <si>
    <t>cousins, ashley</t>
  </si>
  <si>
    <t>Covington, Benjamin</t>
  </si>
  <si>
    <t>Cox, Elyse</t>
  </si>
  <si>
    <t>S40-362</t>
  </si>
  <si>
    <t>Coyle, Matthew</t>
  </si>
  <si>
    <t>Crawford, Christopher</t>
  </si>
  <si>
    <t>Crawford, Mikki</t>
  </si>
  <si>
    <t>Crethers, Justin</t>
  </si>
  <si>
    <t>Cross, Dominque</t>
  </si>
  <si>
    <t>Crowder, Marquisha</t>
  </si>
  <si>
    <t>Crowe, Vajah</t>
  </si>
  <si>
    <t>Curtis, Shandria</t>
  </si>
  <si>
    <t>Dabney, Caleb</t>
  </si>
  <si>
    <t>Dampier, John</t>
  </si>
  <si>
    <t>Dandrea Hillman, Chris</t>
  </si>
  <si>
    <t>Daniels-Hines, Daisma</t>
  </si>
  <si>
    <t>Daniel Smith, Hakim</t>
  </si>
  <si>
    <t>Previous Resident Referral</t>
  </si>
  <si>
    <t>Dantzler, Zakirrah</t>
  </si>
  <si>
    <t>Dasean Chambers, Kemondre</t>
  </si>
  <si>
    <t>Davenport, Annalysha</t>
  </si>
  <si>
    <t>David, Jamhala</t>
  </si>
  <si>
    <t>W25-2-2031</t>
  </si>
  <si>
    <t>Davidson, Kaleb</t>
  </si>
  <si>
    <t>Davila, Alise</t>
  </si>
  <si>
    <t>Davis, Adajja (Adajja)</t>
  </si>
  <si>
    <t>Davis, Dandre</t>
  </si>
  <si>
    <t>Davis, Justyce</t>
  </si>
  <si>
    <t>Davis, LaNiyah</t>
  </si>
  <si>
    <t>Davis, Nyla</t>
  </si>
  <si>
    <t>Davis, Tremayne</t>
  </si>
  <si>
    <t>Davis, Tytionna</t>
  </si>
  <si>
    <t>Dawson, Williams</t>
  </si>
  <si>
    <t>Day, Jakayla</t>
  </si>
  <si>
    <t>Dean, Markeesha</t>
  </si>
  <si>
    <t>Defell, Talesha</t>
  </si>
  <si>
    <t>Apple</t>
  </si>
  <si>
    <t>Defell, Teleshia</t>
  </si>
  <si>
    <t>De Leon, Jesse</t>
  </si>
  <si>
    <t>Delford, Ashley</t>
  </si>
  <si>
    <t>Dempsey, Lexi</t>
  </si>
  <si>
    <t>De Santiago, Lizbeth</t>
  </si>
  <si>
    <t>Dias, Darvin</t>
  </si>
  <si>
    <t>Diaz, Cristian</t>
  </si>
  <si>
    <t>W04-1-0416</t>
  </si>
  <si>
    <t>Diaz Milla, Olman Jonathan</t>
  </si>
  <si>
    <t>Dickson, Angela</t>
  </si>
  <si>
    <t>Didia, Kechinye</t>
  </si>
  <si>
    <t>N03-3021</t>
  </si>
  <si>
    <t>Dinte, Sophia</t>
  </si>
  <si>
    <t>W01-1-0116</t>
  </si>
  <si>
    <t>Divins, Kaye</t>
  </si>
  <si>
    <t>Dixison, Terrance</t>
  </si>
  <si>
    <t>Dixon, Lanejah</t>
  </si>
  <si>
    <t>Donald, Desenta</t>
  </si>
  <si>
    <t>Donald, Rose</t>
  </si>
  <si>
    <t>W24-2-1037</t>
  </si>
  <si>
    <t>Dotson, Corey</t>
  </si>
  <si>
    <t>Douglas, Tyries</t>
  </si>
  <si>
    <t>Doyle, Lauren</t>
  </si>
  <si>
    <t>Drummer, Dorissa</t>
  </si>
  <si>
    <t>Dunbar, Donna</t>
  </si>
  <si>
    <t>duncan, jennifer</t>
  </si>
  <si>
    <t>Dunn, T</t>
  </si>
  <si>
    <t>Dural, Racquel</t>
  </si>
  <si>
    <t>Durant, Mason</t>
  </si>
  <si>
    <t>Dussard, Cody</t>
  </si>
  <si>
    <t>Dzurek, Jordin</t>
  </si>
  <si>
    <t>Edmonds, Jackeryia</t>
  </si>
  <si>
    <t>Edward, Eward</t>
  </si>
  <si>
    <t>Edwards, Alexus</t>
  </si>
  <si>
    <t>Edwards, Gabriell</t>
  </si>
  <si>
    <t>Edwards, Jasmine</t>
  </si>
  <si>
    <t>Edwards, Joshua</t>
  </si>
  <si>
    <t>Eleam, Chelsea</t>
  </si>
  <si>
    <t>Elias, Victor</t>
  </si>
  <si>
    <t>Elliott, Emily</t>
  </si>
  <si>
    <t>Elliott, Eric</t>
  </si>
  <si>
    <t>Ellis, Ariana</t>
  </si>
  <si>
    <t>Ellis, Maikel Phillips</t>
  </si>
  <si>
    <t>Ellison, Evelynn</t>
  </si>
  <si>
    <t>Erazo, Cesar</t>
  </si>
  <si>
    <t>Escobelo, Maria</t>
  </si>
  <si>
    <t>Esparza, Peyton</t>
  </si>
  <si>
    <t>EUBANKS, SKYLAA</t>
  </si>
  <si>
    <t>W17-2-1080</t>
  </si>
  <si>
    <t>Evans, Asia</t>
  </si>
  <si>
    <t>Evans, Kobe</t>
  </si>
  <si>
    <t>Evans, Sally</t>
  </si>
  <si>
    <t>Evans, Tamaya</t>
  </si>
  <si>
    <t>Ezeh, Chidiebere</t>
  </si>
  <si>
    <t>Fairley, Iyana</t>
  </si>
  <si>
    <t>Fajardo, Karime</t>
  </si>
  <si>
    <t>Fajardo Ramirez, Silvia</t>
  </si>
  <si>
    <t>Figueredo Lugo, Enrique</t>
  </si>
  <si>
    <t>Finger, August</t>
  </si>
  <si>
    <t>Finister, Jayden</t>
  </si>
  <si>
    <t>Flores Alonzo, Rosa</t>
  </si>
  <si>
    <t>Flores Alvarado, Dany</t>
  </si>
  <si>
    <t>Flores, Lizeth</t>
  </si>
  <si>
    <t>Flores, Marcelo</t>
  </si>
  <si>
    <t>Flowers, Felicia</t>
  </si>
  <si>
    <t>Fomby, Charles</t>
  </si>
  <si>
    <t>foots, zenovia</t>
  </si>
  <si>
    <t>Foots, Zenovia</t>
  </si>
  <si>
    <t>Forero, Brian</t>
  </si>
  <si>
    <t>Foster, Chadley</t>
  </si>
  <si>
    <t>Francis, Tori</t>
  </si>
  <si>
    <t>Franklin, Antonis</t>
  </si>
  <si>
    <t>Frazier-Davis, Tenea</t>
  </si>
  <si>
    <t>W24-2-2032</t>
  </si>
  <si>
    <t>Frieson, Ahjunae</t>
  </si>
  <si>
    <t>Fudge, Willi</t>
  </si>
  <si>
    <t>Fuessel, Trent</t>
  </si>
  <si>
    <t>Funes zelaya, Jusus Alexander</t>
  </si>
  <si>
    <t>Funez Zelaya, Jesus</t>
  </si>
  <si>
    <t>N02-1006</t>
  </si>
  <si>
    <t>Gaftea, Tasha</t>
  </si>
  <si>
    <t>Gallegos Castaneda, Blanca</t>
  </si>
  <si>
    <t>Galvan, Brenda</t>
  </si>
  <si>
    <t>Gamez II, Gabriel</t>
  </si>
  <si>
    <t>Garcia, Aubrie</t>
  </si>
  <si>
    <t>Garcia, Jarvis</t>
  </si>
  <si>
    <t>Garcia, Lizbeth</t>
  </si>
  <si>
    <t>Gardner, Hiywanica</t>
  </si>
  <si>
    <t>Garner, Madyson</t>
  </si>
  <si>
    <t>Garner, Ranquaneisha</t>
  </si>
  <si>
    <t>Garner, Vincent</t>
  </si>
  <si>
    <t>Garrett, Kira</t>
  </si>
  <si>
    <t>Garrido, Lisbeth</t>
  </si>
  <si>
    <t>Garza, Astrid</t>
  </si>
  <si>
    <t>Gebre, Lisanu</t>
  </si>
  <si>
    <t>Geffie, Edward</t>
  </si>
  <si>
    <t>Ghorpade, Yash</t>
  </si>
  <si>
    <t>GilesAVATest, Amanda</t>
  </si>
  <si>
    <t>GilesAVATestConv, Amanda</t>
  </si>
  <si>
    <t>Gill, Kawal</t>
  </si>
  <si>
    <t>Gladney, Uriel</t>
  </si>
  <si>
    <t>W24-2-1033</t>
  </si>
  <si>
    <t>Glass, Krystal</t>
  </si>
  <si>
    <t>Glover, Avery</t>
  </si>
  <si>
    <t>Godard, Kierra</t>
  </si>
  <si>
    <t>Gomez, Jorge</t>
  </si>
  <si>
    <t>Gonzales, Laura</t>
  </si>
  <si>
    <t>Gonzales, Shea</t>
  </si>
  <si>
    <t>Gonzalez, Julissa</t>
  </si>
  <si>
    <t>Facebook</t>
  </si>
  <si>
    <t>Gonzalez, Maria</t>
  </si>
  <si>
    <t>S27-418</t>
  </si>
  <si>
    <t>Gordon, Toni</t>
  </si>
  <si>
    <t>Grace, Ava</t>
  </si>
  <si>
    <t>Grant, Laci</t>
  </si>
  <si>
    <t>Greco, Maria</t>
  </si>
  <si>
    <t>Green, Nakia</t>
  </si>
  <si>
    <t>Greer, Davieon</t>
  </si>
  <si>
    <t>Greer, Lexis</t>
  </si>
  <si>
    <t>S40-361</t>
  </si>
  <si>
    <t>Griffin, Joydan</t>
  </si>
  <si>
    <t>GTZ, Meli</t>
  </si>
  <si>
    <t>Guerrero, Melanie</t>
  </si>
  <si>
    <t>Guillen, Mailen</t>
  </si>
  <si>
    <t>Gutierrez, Francisco</t>
  </si>
  <si>
    <t>Gutierrez Ortiz, Sergio</t>
  </si>
  <si>
    <t>Ha, Amy</t>
  </si>
  <si>
    <t>Hadley, Aaliya</t>
  </si>
  <si>
    <t>Hagos, Fiameta</t>
  </si>
  <si>
    <t>Hall, Brooklyn</t>
  </si>
  <si>
    <t>Hall, Matthew</t>
  </si>
  <si>
    <t>Hamilton, Jonziie</t>
  </si>
  <si>
    <t>Hammonds, Tiffany</t>
  </si>
  <si>
    <t>HAMPTON, DAMIAN</t>
  </si>
  <si>
    <t>Hardy, Carrie</t>
  </si>
  <si>
    <t>Harmon, Joshua</t>
  </si>
  <si>
    <t>Harris, Antonio</t>
  </si>
  <si>
    <t>Zillow</t>
  </si>
  <si>
    <t>Harris, Ayanna</t>
  </si>
  <si>
    <t>Harris, Imani</t>
  </si>
  <si>
    <t>Harris, Javoni</t>
  </si>
  <si>
    <t>Harris, Mia</t>
  </si>
  <si>
    <t>Harrison, Lamecia</t>
  </si>
  <si>
    <t>Harrison, Shemarian</t>
  </si>
  <si>
    <t>Harris, Shavonna</t>
  </si>
  <si>
    <t>Harris, Yvonne</t>
  </si>
  <si>
    <t>Hartley, Reese</t>
  </si>
  <si>
    <t>Harvey, Jeremy</t>
  </si>
  <si>
    <t>Haughton, Jaylaa</t>
  </si>
  <si>
    <t>Hawkins, Marcus</t>
  </si>
  <si>
    <t>Hayden, Edrick</t>
  </si>
  <si>
    <t>W18-2-2071</t>
  </si>
  <si>
    <t>Hayes, Charles</t>
  </si>
  <si>
    <t>Head, King</t>
  </si>
  <si>
    <t>HEMPSTEAD, ASHLEE</t>
  </si>
  <si>
    <t>W06-1-0613</t>
  </si>
  <si>
    <t>Henderson, Nathan</t>
  </si>
  <si>
    <t>Henderson, Toquanna</t>
  </si>
  <si>
    <t>Henderson, Ursula</t>
  </si>
  <si>
    <t>Herendeen, Anna</t>
  </si>
  <si>
    <t>Hergan, Leo</t>
  </si>
  <si>
    <t>Hernandez, Arturo</t>
  </si>
  <si>
    <t>Hernandez, Emily</t>
  </si>
  <si>
    <t>Hernandez Hernandez, Edgar</t>
  </si>
  <si>
    <t>Not Provided</t>
  </si>
  <si>
    <t>Hernandez, Jesus</t>
  </si>
  <si>
    <t>Hernandez, Laura</t>
  </si>
  <si>
    <t>Hernandez, Sofia</t>
  </si>
  <si>
    <t>Hernandez, Tomas</t>
  </si>
  <si>
    <t>Herrera, Ana</t>
  </si>
  <si>
    <t>Herrera, Kealy</t>
  </si>
  <si>
    <t>Herrera, Taylor</t>
  </si>
  <si>
    <t>Hickerson, Beverly</t>
  </si>
  <si>
    <t>Hill, Ailidya</t>
  </si>
  <si>
    <t>S27-422</t>
  </si>
  <si>
    <t>Hill, Anthony</t>
  </si>
  <si>
    <t>Hill, Casady</t>
  </si>
  <si>
    <t>H, Jaz</t>
  </si>
  <si>
    <t>Holbert, Kylie</t>
  </si>
  <si>
    <t>Lease: Completed</t>
  </si>
  <si>
    <t>Hollingsworth, Catherine</t>
  </si>
  <si>
    <t>Hollingsworth, Joshua</t>
  </si>
  <si>
    <t>Holloway, Kimmani</t>
  </si>
  <si>
    <t>Holmes, Tatyana</t>
  </si>
  <si>
    <t>Hopkins, Summer</t>
  </si>
  <si>
    <t>Houston, Hannah</t>
  </si>
  <si>
    <t>Howard, Esiah</t>
  </si>
  <si>
    <t>Howell, Jolesia</t>
  </si>
  <si>
    <t>Howkins, Tawana</t>
  </si>
  <si>
    <t>Hudson, Chaniqua</t>
  </si>
  <si>
    <t>Hudson, Kd</t>
  </si>
  <si>
    <t>Hudson, Roxanne</t>
  </si>
  <si>
    <t>Humes, Kayla</t>
  </si>
  <si>
    <t>Hummerhead, Peggy</t>
  </si>
  <si>
    <t>Hutchins, Dakota</t>
  </si>
  <si>
    <t>Idriss, Hassen</t>
  </si>
  <si>
    <t>Igbinosa, Osasenaga</t>
  </si>
  <si>
    <t>Ilechie, Cynthia</t>
  </si>
  <si>
    <t>Ingle, Logan</t>
  </si>
  <si>
    <t>Ingraham, Kori</t>
  </si>
  <si>
    <t>Irado, Kattling</t>
  </si>
  <si>
    <t>Irving, Jermia</t>
  </si>
  <si>
    <t>Isaac, John</t>
  </si>
  <si>
    <t>Jackson, Degin</t>
  </si>
  <si>
    <t>W28-2-2020</t>
  </si>
  <si>
    <t>Jackson, DeMia</t>
  </si>
  <si>
    <t>Jackson, Felicia</t>
  </si>
  <si>
    <t>Jackson, Jacquysha</t>
  </si>
  <si>
    <t>Jackson, Johnny</t>
  </si>
  <si>
    <t>Jackson, Latoya</t>
  </si>
  <si>
    <t>N02-1009</t>
  </si>
  <si>
    <t>Jackson, Myles</t>
  </si>
  <si>
    <t>Jackson, Sidney</t>
  </si>
  <si>
    <t>Jane, Akiella</t>
  </si>
  <si>
    <t>Jasso, Gloria</t>
  </si>
  <si>
    <t>Jean, Fritzlyn</t>
  </si>
  <si>
    <t>Jeffers, Michal</t>
  </si>
  <si>
    <t>Jefferson, DaJuana</t>
  </si>
  <si>
    <t>Jenkins, Ashanti</t>
  </si>
  <si>
    <t>Jenkins, Dequila</t>
  </si>
  <si>
    <t>Jenkins, Jayden</t>
  </si>
  <si>
    <t>Jenkins, Vernon</t>
  </si>
  <si>
    <t>Jennings, Zylah</t>
  </si>
  <si>
    <t>Jetter, Lawrence</t>
  </si>
  <si>
    <t>Jimenez, Ignacio</t>
  </si>
  <si>
    <t>Jimenez, Janelle</t>
  </si>
  <si>
    <t>Johnson, Alexis</t>
  </si>
  <si>
    <t>Johnson-Blair, Makayla</t>
  </si>
  <si>
    <t>Johnson, Essance</t>
  </si>
  <si>
    <t>Johnson, Josiah</t>
  </si>
  <si>
    <t>Johnson, Kabiat</t>
  </si>
  <si>
    <t>johnson, KENDRICK</t>
  </si>
  <si>
    <t>Johnson, Kevin</t>
  </si>
  <si>
    <t>Johnson, Kourtney</t>
  </si>
  <si>
    <t>Johnson, Laila</t>
  </si>
  <si>
    <t>Johnson, Lajarrica</t>
  </si>
  <si>
    <t>Johnson, Michael</t>
  </si>
  <si>
    <t>Johnson, Patrick</t>
  </si>
  <si>
    <t>W21-2-2052</t>
  </si>
  <si>
    <t>Johnson, Philicia</t>
  </si>
  <si>
    <t>Johnson, Rakiiba</t>
  </si>
  <si>
    <t>Johnson, Taneria</t>
  </si>
  <si>
    <t>Johnson, Tanya</t>
  </si>
  <si>
    <t>Johnson, Tommy</t>
  </si>
  <si>
    <t>Johnson, Vernon</t>
  </si>
  <si>
    <t>Jones, April</t>
  </si>
  <si>
    <t>Jones, Ashleigh</t>
  </si>
  <si>
    <t>Jones, Bresha</t>
  </si>
  <si>
    <t>Jones, Dorothy</t>
  </si>
  <si>
    <t>Jones, Joilyn</t>
  </si>
  <si>
    <t>Jones Jr, Taurus</t>
  </si>
  <si>
    <t>Jones, Lagayla</t>
  </si>
  <si>
    <t>jones, marquis</t>
  </si>
  <si>
    <t>Jones, Tanya</t>
  </si>
  <si>
    <t>Jordan, Stephen</t>
  </si>
  <si>
    <t>Joseph, Marzani</t>
  </si>
  <si>
    <t>S35-148</t>
  </si>
  <si>
    <t>Juarez, Diego</t>
  </si>
  <si>
    <t>Kabamba, Pierre</t>
  </si>
  <si>
    <t>Kacevic, Admira</t>
  </si>
  <si>
    <t>Kaleab, Anteneh</t>
  </si>
  <si>
    <t>Kanini, Nandha</t>
  </si>
  <si>
    <t>Keaton, Kyresha</t>
  </si>
  <si>
    <t>Keemer, Davon</t>
  </si>
  <si>
    <t>kelley, pauletta</t>
  </si>
  <si>
    <t>Kelly, Shonna</t>
  </si>
  <si>
    <t>Kelly, Treveon</t>
  </si>
  <si>
    <t>Kendricks, Cambrisha</t>
  </si>
  <si>
    <t>Kendricks, Cameron</t>
  </si>
  <si>
    <t>Kilburn, Marcus</t>
  </si>
  <si>
    <t>Kiner, Eddie</t>
  </si>
  <si>
    <t>King, Destiny</t>
  </si>
  <si>
    <t>King, LeTron</t>
  </si>
  <si>
    <t>Kinzey, Matthew</t>
  </si>
  <si>
    <t>Kivanc, Ada</t>
  </si>
  <si>
    <t>Knight, Beverly</t>
  </si>
  <si>
    <t>Knighten, Lushonia</t>
  </si>
  <si>
    <t>Knight, Jr, Jason</t>
  </si>
  <si>
    <t>Knott, Ren</t>
  </si>
  <si>
    <t>Knowlton, Dunkendra</t>
  </si>
  <si>
    <t>Knox, Alexandria</t>
  </si>
  <si>
    <t>Koch, Katherine</t>
  </si>
  <si>
    <t>Kompella, Soudha</t>
  </si>
  <si>
    <t>Lamdaine, Youssef</t>
  </si>
  <si>
    <t>Lam  Farres, Jason</t>
  </si>
  <si>
    <t>Land, Charity</t>
  </si>
  <si>
    <t>Lane, Jenna</t>
  </si>
  <si>
    <t>Lane, John</t>
  </si>
  <si>
    <t>Langemeier, Alexus</t>
  </si>
  <si>
    <t>Langley, Mackenzie</t>
  </si>
  <si>
    <t>Lara, Denise</t>
  </si>
  <si>
    <t>Larzeia, Clavel</t>
  </si>
  <si>
    <t>Lasyone, Cynthia</t>
  </si>
  <si>
    <t>Lay, Brandon</t>
  </si>
  <si>
    <t>Lead, Text</t>
  </si>
  <si>
    <t>Lealwalcott, Shannon</t>
  </si>
  <si>
    <t>Leavy, Yarvin</t>
  </si>
  <si>
    <t>Lee, Jenny</t>
  </si>
  <si>
    <t>Lehman, Tarajah</t>
  </si>
  <si>
    <t>Leonard, Marquez</t>
  </si>
  <si>
    <t>Lewis, Dajainiese</t>
  </si>
  <si>
    <t>Lewis, Makenzie</t>
  </si>
  <si>
    <t>Lewis, Nate</t>
  </si>
  <si>
    <t>Lewis, Runnette</t>
  </si>
  <si>
    <t>Lewis, Sadedrick</t>
  </si>
  <si>
    <t>Lewis, Takera</t>
  </si>
  <si>
    <t>Lias, Brandy</t>
  </si>
  <si>
    <t>Sister Property</t>
  </si>
  <si>
    <t>Lincon, Marge</t>
  </si>
  <si>
    <t>Lockwood, Emily</t>
  </si>
  <si>
    <t>Lonerold, Richard</t>
  </si>
  <si>
    <t>Long, Peyton</t>
  </si>
  <si>
    <t>Loparo, Nicholas</t>
  </si>
  <si>
    <t>Lopez, Alexander</t>
  </si>
  <si>
    <t>Lopez, Angelina</t>
  </si>
  <si>
    <t>Lopez, Jennifer</t>
  </si>
  <si>
    <t>Lopez, Juan</t>
  </si>
  <si>
    <t>Lopez Perez, Guillermo</t>
  </si>
  <si>
    <t>Lopez, Priscilla</t>
  </si>
  <si>
    <t>Loredo, Samyra</t>
  </si>
  <si>
    <t>Loring, Gevan</t>
  </si>
  <si>
    <t>Lott, Kameron</t>
  </si>
  <si>
    <t>Love, Demetrius</t>
  </si>
  <si>
    <t>Lubonge, Bo</t>
  </si>
  <si>
    <t>Luna, Jahaira</t>
  </si>
  <si>
    <t>N26-1104</t>
  </si>
  <si>
    <t>Lunford, Angel</t>
  </si>
  <si>
    <t>Luster, Triston</t>
  </si>
  <si>
    <t>lyn Lasseter, Sherri</t>
  </si>
  <si>
    <t>Lyn Lasseter, Sherri</t>
  </si>
  <si>
    <t>Machado, Jose</t>
  </si>
  <si>
    <t>Mackins, Maya</t>
  </si>
  <si>
    <t>Maddox, Braxton</t>
  </si>
  <si>
    <t>Madiraju, Kavitha</t>
  </si>
  <si>
    <t>Mai, Emilee</t>
  </si>
  <si>
    <t>Maiorka, Chelsey</t>
  </si>
  <si>
    <t>Malcomb, Jonathan</t>
  </si>
  <si>
    <t>Mangin, Paul</t>
  </si>
  <si>
    <t>Marcom, Tayler</t>
  </si>
  <si>
    <t>Marie, Elecia</t>
  </si>
  <si>
    <t>Marion, Renazha</t>
  </si>
  <si>
    <t>Marri, Vishaka</t>
  </si>
  <si>
    <t>Marshall, Timothy</t>
  </si>
  <si>
    <t>Martinez, Leandro</t>
  </si>
  <si>
    <t>Martinez, Sofia</t>
  </si>
  <si>
    <t>Mather, David</t>
  </si>
  <si>
    <t>Matos, Jasmine</t>
  </si>
  <si>
    <t>Matthews, Vicky</t>
  </si>
  <si>
    <t>Maxey, Ashley</t>
  </si>
  <si>
    <t>McBride, Asia</t>
  </si>
  <si>
    <t>Mccaleb, Charles</t>
  </si>
  <si>
    <t>McCarver, Quenty</t>
  </si>
  <si>
    <t>Mccollough, Jules</t>
  </si>
  <si>
    <t>McCullough, Sarah</t>
  </si>
  <si>
    <t>Mccullough, Shaatavia</t>
  </si>
  <si>
    <t>Mcdonald, Laketha</t>
  </si>
  <si>
    <t>McElveen, Cameron</t>
  </si>
  <si>
    <t>Mcgaha, Paris</t>
  </si>
  <si>
    <t>McGill, Pierre</t>
  </si>
  <si>
    <t>Mcgowan, Deashia</t>
  </si>
  <si>
    <t>McGruder, Lourdes</t>
  </si>
  <si>
    <t>Mckenzie, Hayley</t>
  </si>
  <si>
    <t>McKing, Catherine</t>
  </si>
  <si>
    <t>McKinney, William</t>
  </si>
  <si>
    <t>McNabb-D, Elaya</t>
  </si>
  <si>
    <t>McReynolds, Zatavya</t>
  </si>
  <si>
    <t>Meadows, Kanisha</t>
  </si>
  <si>
    <t>Meadows, Latesha</t>
  </si>
  <si>
    <t>Meaney, John</t>
  </si>
  <si>
    <t>W25-2-1025</t>
  </si>
  <si>
    <t>Medina, Ashley</t>
  </si>
  <si>
    <t>Medina, Malachi</t>
  </si>
  <si>
    <t>Medina, Wilson</t>
  </si>
  <si>
    <t>Menaitreau, Demetri</t>
  </si>
  <si>
    <t>N01-1002</t>
  </si>
  <si>
    <t>Mendez, Miguel</t>
  </si>
  <si>
    <t>Mendoza, Clara</t>
  </si>
  <si>
    <t>Mendoza, Destiny</t>
  </si>
  <si>
    <t>Mendoza, Juanito</t>
  </si>
  <si>
    <t>Mengel, Elayah</t>
  </si>
  <si>
    <t>Mengistu, Bereket</t>
  </si>
  <si>
    <t>Mercado-Campuzano, Marco</t>
  </si>
  <si>
    <t>W24-2-2036</t>
  </si>
  <si>
    <t>Meredith, Leonte</t>
  </si>
  <si>
    <t>Merlo, Leslie</t>
  </si>
  <si>
    <t>Messer, Lamarcus</t>
  </si>
  <si>
    <t>Meta, Esci</t>
  </si>
  <si>
    <t>., Mia</t>
  </si>
  <si>
    <t>Miles, Jakierra</t>
  </si>
  <si>
    <t>Miles, Shenetres</t>
  </si>
  <si>
    <t>Miller, Lasoshia</t>
  </si>
  <si>
    <t>Miller, Norrisa</t>
  </si>
  <si>
    <t>Miller, Tyrycia</t>
  </si>
  <si>
    <t>Milton, Tesha</t>
  </si>
  <si>
    <t>minter, Dajanette</t>
  </si>
  <si>
    <t>Mireles, Roberto</t>
  </si>
  <si>
    <t>Mitchell, James</t>
  </si>
  <si>
    <t>Mitchell, Terry</t>
  </si>
  <si>
    <t>Mobley, Patricia</t>
  </si>
  <si>
    <t>Mocrar, Zena</t>
  </si>
  <si>
    <t>Mohammad, Hayath</t>
  </si>
  <si>
    <t>Monroe, Pearson</t>
  </si>
  <si>
    <t>Montae, Mariyah</t>
  </si>
  <si>
    <t>Montez, Kimberly</t>
  </si>
  <si>
    <t>Montolla, Rosmaru</t>
  </si>
  <si>
    <t>Montoya, Oscar</t>
  </si>
  <si>
    <t>Moore, Jordan</t>
  </si>
  <si>
    <t>Moore, Natalia</t>
  </si>
  <si>
    <t>Morales, Elxandro</t>
  </si>
  <si>
    <t>Morales, Kimberly</t>
  </si>
  <si>
    <t>Morgan, Madison</t>
  </si>
  <si>
    <t>Morgan, Marissa</t>
  </si>
  <si>
    <t>Morquecho, Jimmy</t>
  </si>
  <si>
    <t>Morris, Erica</t>
  </si>
  <si>
    <t>Morris, Jabrodrick</t>
  </si>
  <si>
    <t>Morris, Michael</t>
  </si>
  <si>
    <t>Morrison, Lana</t>
  </si>
  <si>
    <t>Morrow, Vernon</t>
  </si>
  <si>
    <t>Mott, Kadin</t>
  </si>
  <si>
    <t>Mouity Ibouanga, Gildas</t>
  </si>
  <si>
    <t>Mpoto, Danny</t>
  </si>
  <si>
    <t>Mullen, Tracey</t>
  </si>
  <si>
    <t>Munera, Liliana</t>
  </si>
  <si>
    <t>Munia, Munawara</t>
  </si>
  <si>
    <t>Munoz, Cecilia</t>
  </si>
  <si>
    <t>Murdock, Casey</t>
  </si>
  <si>
    <t>My, Hobi snatched</t>
  </si>
  <si>
    <t>Navarro, Agustin</t>
  </si>
  <si>
    <t>Ndukuba, Tochi</t>
  </si>
  <si>
    <t>Neighbors, Lisa</t>
  </si>
  <si>
    <t>Nelson, Charmeka</t>
  </si>
  <si>
    <t>Nevarez, Riley</t>
  </si>
  <si>
    <t>Nevarez, Victoria</t>
  </si>
  <si>
    <t>Nguyen, Kim H</t>
  </si>
  <si>
    <t>Nguyen, Michelle</t>
  </si>
  <si>
    <t>Nguyen, Vy</t>
  </si>
  <si>
    <t>Nguyen, Yaya</t>
  </si>
  <si>
    <t>Nick, Tania</t>
  </si>
  <si>
    <t>Nizeyimana, David</t>
  </si>
  <si>
    <t>Nnaji, Chukwuemeka</t>
  </si>
  <si>
    <t>Noella, Rachelle</t>
  </si>
  <si>
    <t>North, Ajiona</t>
  </si>
  <si>
    <t>Not_Provided, Zoey</t>
  </si>
  <si>
    <t>Nowlin, Alanna</t>
  </si>
  <si>
    <t>Nucamendi, Jason</t>
  </si>
  <si>
    <t>Nucamendi, Jason Jesus</t>
  </si>
  <si>
    <t>nucamendi, stephanie</t>
  </si>
  <si>
    <t>Nuncamendi, Stephanie</t>
  </si>
  <si>
    <t>Nwabunor, Stanley</t>
  </si>
  <si>
    <t>Nwagbo, Princess</t>
  </si>
  <si>
    <t>Odoom Cann, Rosemond</t>
  </si>
  <si>
    <t>Okoye, Divine</t>
  </si>
  <si>
    <t>Okray, Taniah</t>
  </si>
  <si>
    <t>Olalde, Maria</t>
  </si>
  <si>
    <t>N20-3091</t>
  </si>
  <si>
    <t>Oliver, Amiya</t>
  </si>
  <si>
    <t>Oliver, Jasmaine</t>
  </si>
  <si>
    <t>Omoluabi, Noah</t>
  </si>
  <si>
    <t>Orellana, Carlos</t>
  </si>
  <si>
    <t>Ormsby, Cami</t>
  </si>
  <si>
    <t>Ornelas, Nadia</t>
  </si>
  <si>
    <t>Ortiz Hernandez, Yolanda</t>
  </si>
  <si>
    <t>Ortiz, Joel</t>
  </si>
  <si>
    <t>Ortiz, Maria</t>
  </si>
  <si>
    <t>Ortiz, Perla</t>
  </si>
  <si>
    <t>Ortiz tapia, Jose</t>
  </si>
  <si>
    <t>Othigo, Brian</t>
  </si>
  <si>
    <t>W15-2-3086</t>
  </si>
  <si>
    <t>Overstreet, Chevonne</t>
  </si>
  <si>
    <t>Oyana, Carina</t>
  </si>
  <si>
    <t>Pacheco, Pastora</t>
  </si>
  <si>
    <t>N19-2078</t>
  </si>
  <si>
    <t>Pagola, Floriamny</t>
  </si>
  <si>
    <t>W08-1-0816</t>
  </si>
  <si>
    <t>Parker, Kyla</t>
  </si>
  <si>
    <t>PARK, HYO YEON</t>
  </si>
  <si>
    <t>Parks, Lillyann</t>
  </si>
  <si>
    <t>Patel, Raj</t>
  </si>
  <si>
    <t>Patterson, Jakyra</t>
  </si>
  <si>
    <t>Patterson, Jasmine</t>
  </si>
  <si>
    <t>Paul, Brandon</t>
  </si>
  <si>
    <t>Pawar, Ranjeetsinh</t>
  </si>
  <si>
    <t>Payne, Janiya</t>
  </si>
  <si>
    <t>Payton, Micheal</t>
  </si>
  <si>
    <t>Pemberton, Demarcus</t>
  </si>
  <si>
    <t>pena, ryan</t>
  </si>
  <si>
    <t>Penny, Emily</t>
  </si>
  <si>
    <t>peppers, Denise</t>
  </si>
  <si>
    <t>Perez, Ana</t>
  </si>
  <si>
    <t>Perez, Briana</t>
  </si>
  <si>
    <t>Perez, Jorge</t>
  </si>
  <si>
    <t>Perkins, Chiquandlyn</t>
  </si>
  <si>
    <t>Perkins, Jennifer</t>
  </si>
  <si>
    <t>Perry, Amber</t>
  </si>
  <si>
    <t>N22-1096</t>
  </si>
  <si>
    <t>Perry Sr, Lester</t>
  </si>
  <si>
    <t>Petersen, Alexandria</t>
  </si>
  <si>
    <t>Peterson, Myranda</t>
  </si>
  <si>
    <t>Pickens, Korey</t>
  </si>
  <si>
    <t>W20-2-2062</t>
  </si>
  <si>
    <t>Pinales, Natalie</t>
  </si>
  <si>
    <t>Pineda, Ana</t>
  </si>
  <si>
    <t>Pineda, Anna</t>
  </si>
  <si>
    <t>pineda, mirelda</t>
  </si>
  <si>
    <t>Pino, Whitney</t>
  </si>
  <si>
    <t>Plummer, Andre</t>
  </si>
  <si>
    <t>Porter, January</t>
  </si>
  <si>
    <t>Porter, Makyah</t>
  </si>
  <si>
    <t>Prashasouk, Alex</t>
  </si>
  <si>
    <t>Price, Kamyron</t>
  </si>
  <si>
    <t>Protective Services, Adult</t>
  </si>
  <si>
    <t>Pulido, Claudia</t>
  </si>
  <si>
    <t>Pullen, Crystal</t>
  </si>
  <si>
    <t>Pupiradi, Vani</t>
  </si>
  <si>
    <t>Querales, Williams</t>
  </si>
  <si>
    <t>Quero, Pedro</t>
  </si>
  <si>
    <t>Rabb, Jamie</t>
  </si>
  <si>
    <t>Rahman, Hanna</t>
  </si>
  <si>
    <t>Rainers, Nadine</t>
  </si>
  <si>
    <t>Ramirez, Priscilla</t>
  </si>
  <si>
    <t>Ramirez, Rhiannon</t>
  </si>
  <si>
    <t>Ramirez, Samantha</t>
  </si>
  <si>
    <t>Ramos, Erin</t>
  </si>
  <si>
    <t>Ramos, Fredy</t>
  </si>
  <si>
    <t>Rana, Manisha</t>
  </si>
  <si>
    <t>Ratemo, Evans</t>
  </si>
  <si>
    <t>Ratliff, Nekia</t>
  </si>
  <si>
    <t>Rattler, Jason</t>
  </si>
  <si>
    <t>Razo, Hector</t>
  </si>
  <si>
    <t>Reed jr, Torrance</t>
  </si>
  <si>
    <t>Reed, Katrina</t>
  </si>
  <si>
    <t>Reid, Christopher</t>
  </si>
  <si>
    <t>Reyes, Efigenio</t>
  </si>
  <si>
    <t>Reyes, Jarred</t>
  </si>
  <si>
    <t>Reynolds, Charles</t>
  </si>
  <si>
    <t>Rice, Juwan</t>
  </si>
  <si>
    <t>Richards, Janette</t>
  </si>
  <si>
    <t>RICHARDSON, STACEY</t>
  </si>
  <si>
    <t>Richardson, Travis</t>
  </si>
  <si>
    <t>Richey, Aniyllah</t>
  </si>
  <si>
    <t>Richmond, KeAra</t>
  </si>
  <si>
    <t>Rickett, Jashanea</t>
  </si>
  <si>
    <t>Rido, Chandker</t>
  </si>
  <si>
    <t>Rinker, Mashaya</t>
  </si>
  <si>
    <t>Rios, Ana</t>
  </si>
  <si>
    <t>Ripa, Jamie</t>
  </si>
  <si>
    <t>Rivas, Alfredo</t>
  </si>
  <si>
    <t>Rivera, Celeste</t>
  </si>
  <si>
    <t>Rivera Leiva, Jordi</t>
  </si>
  <si>
    <t>Rivera, Socorro</t>
  </si>
  <si>
    <t>Rivera, Stevens</t>
  </si>
  <si>
    <t>Roberson, Kierston</t>
  </si>
  <si>
    <t>Roberts, Chaletra</t>
  </si>
  <si>
    <t>Robinson, Ayanna</t>
  </si>
  <si>
    <t>Robinson, Ebony</t>
  </si>
  <si>
    <t>Robinson, Melridney</t>
  </si>
  <si>
    <t>Robinson, Tiarra</t>
  </si>
  <si>
    <t>Robledo, Albert</t>
  </si>
  <si>
    <t>Roche, Jaimee</t>
  </si>
  <si>
    <t>Rodrguez, Emilio</t>
  </si>
  <si>
    <t>Rodriguez, Alondra</t>
  </si>
  <si>
    <t>Rodriguez, Leticia</t>
  </si>
  <si>
    <t>Rogers, Brittany</t>
  </si>
  <si>
    <t>Rogers, Chirstyal</t>
  </si>
  <si>
    <t>Romero, Marlin</t>
  </si>
  <si>
    <t>Romero, Mavis Paz</t>
  </si>
  <si>
    <t>Ross, Chantel</t>
  </si>
  <si>
    <t>Ross, Gaston</t>
  </si>
  <si>
    <t>Roth-mcmullen, Kathy</t>
  </si>
  <si>
    <t>Rudder, Lanayia</t>
  </si>
  <si>
    <t>Russell, Corey</t>
  </si>
  <si>
    <t>Salas, Fabian</t>
  </si>
  <si>
    <t>salembier, kaylin</t>
  </si>
  <si>
    <t>Salter, Antoin</t>
  </si>
  <si>
    <t>Sambrano, Roxana</t>
  </si>
  <si>
    <t>Samuel, Kierra</t>
  </si>
  <si>
    <t>Samuels, Azariah</t>
  </si>
  <si>
    <t>Sanders, Jaleel</t>
  </si>
  <si>
    <t>Sanders, Katrina</t>
  </si>
  <si>
    <t>Sandoval, Corey</t>
  </si>
  <si>
    <t>Sanon, Naiomi</t>
  </si>
  <si>
    <t>Santacruz, Emilio</t>
  </si>
  <si>
    <t>Santoni, Edd</t>
  </si>
  <si>
    <t>Santos, Abraham</t>
  </si>
  <si>
    <t>Santos, Marco</t>
  </si>
  <si>
    <t>Santos, Rosa Elena</t>
  </si>
  <si>
    <t>Saravia, Andy</t>
  </si>
  <si>
    <t>Sarfo, Lucy</t>
  </si>
  <si>
    <t>Sariles, Juan</t>
  </si>
  <si>
    <t>Sasson, Archisha</t>
  </si>
  <si>
    <t>Saucier, Stephen</t>
  </si>
  <si>
    <t>Saulters, Shante</t>
  </si>
  <si>
    <t>Savage, Sarah</t>
  </si>
  <si>
    <t>Schneider, Michelle</t>
  </si>
  <si>
    <t>S38-353</t>
  </si>
  <si>
    <t>Schulman, Christine</t>
  </si>
  <si>
    <t>Scott, Jaylah</t>
  </si>
  <si>
    <t>Sedberry, Samaria</t>
  </si>
  <si>
    <t>Segovia, Jaquelyn</t>
  </si>
  <si>
    <t>Sehpchler, Jessica</t>
  </si>
  <si>
    <t>Seman, Hannia</t>
  </si>
  <si>
    <t>Sepeda, Laura</t>
  </si>
  <si>
    <t>Settle, Richard</t>
  </si>
  <si>
    <t>Seymore, Reina</t>
  </si>
  <si>
    <t>Shade, ZaNieyah</t>
  </si>
  <si>
    <t>Shaw, Antoine</t>
  </si>
  <si>
    <t>Shaw, Latasha</t>
  </si>
  <si>
    <t>Shaw, Porche</t>
  </si>
  <si>
    <t>Shaw, Toneisha</t>
  </si>
  <si>
    <t>Shed, Jettie</t>
  </si>
  <si>
    <t>Sheen, Taylor</t>
  </si>
  <si>
    <t>Sherman, Amuria</t>
  </si>
  <si>
    <t>Shorter, Jessica</t>
  </si>
  <si>
    <t>Siddiqui, Silvana</t>
  </si>
  <si>
    <t>Sills, Coy</t>
  </si>
  <si>
    <t>Silvano, Sylva</t>
  </si>
  <si>
    <t>Simmons, Daija</t>
  </si>
  <si>
    <t>Simpson, Kambria</t>
  </si>
  <si>
    <t>Simpson, Sinatra</t>
  </si>
  <si>
    <t>N14-2058</t>
  </si>
  <si>
    <t>Sims, Daijah</t>
  </si>
  <si>
    <t>Sims, Jalynn</t>
  </si>
  <si>
    <t>Sims, Jaylin</t>
  </si>
  <si>
    <t>Sleight, Tierney</t>
  </si>
  <si>
    <t>Sloan, Jamya</t>
  </si>
  <si>
    <t>Smallwood, Skylar</t>
  </si>
  <si>
    <t>Smith, Arbury</t>
  </si>
  <si>
    <t>Smith, Aysia</t>
  </si>
  <si>
    <t>Smith, Ella</t>
  </si>
  <si>
    <t>Smith, Jaelyne</t>
  </si>
  <si>
    <t>Smith, Jamari</t>
  </si>
  <si>
    <t>Smith, Joann</t>
  </si>
  <si>
    <t>Smith, Quiria</t>
  </si>
  <si>
    <t>Smith, Warmeshea</t>
  </si>
  <si>
    <t>W28-2-1022</t>
  </si>
  <si>
    <t>Sohal, Anokh</t>
  </si>
  <si>
    <t>Solis, Dominic</t>
  </si>
  <si>
    <t>Soliz, Justin</t>
  </si>
  <si>
    <t>Sosa, Robinson</t>
  </si>
  <si>
    <t>Spencer, Brannon</t>
  </si>
  <si>
    <t>Spurgeon, Charles</t>
  </si>
  <si>
    <t>Stanfield, Jordan</t>
  </si>
  <si>
    <t>Stanton, Drew</t>
  </si>
  <si>
    <t>Staten, Casper</t>
  </si>
  <si>
    <t>Sterns, Kiesha</t>
  </si>
  <si>
    <t>Stewart, Aaron</t>
  </si>
  <si>
    <t>Stewart, Desmond</t>
  </si>
  <si>
    <t>Stirnweis, Maxwell</t>
  </si>
  <si>
    <t>Strhan, Chantynice</t>
  </si>
  <si>
    <t>Sulub, Mariel</t>
  </si>
  <si>
    <t>Suniga, Martina</t>
  </si>
  <si>
    <t>Swan, Camden</t>
  </si>
  <si>
    <t>Swayne, Jamal</t>
  </si>
  <si>
    <t>Sweat, Genesis</t>
  </si>
  <si>
    <t>Swindle, Breunna</t>
  </si>
  <si>
    <t>Syaj, Sebawe</t>
  </si>
  <si>
    <t>Tadesse, Nuhamin</t>
  </si>
  <si>
    <t>Tanguma, Damien</t>
  </si>
  <si>
    <t>Tarver, Thomson tarver</t>
  </si>
  <si>
    <t>Tavron, Kaylee</t>
  </si>
  <si>
    <t>Taylor, Clint</t>
  </si>
  <si>
    <t>Taylor, DeAndre</t>
  </si>
  <si>
    <t>Taylor, Dewayne</t>
  </si>
  <si>
    <t>Taylor, Josiah</t>
  </si>
  <si>
    <t>Taylor, Kourtney</t>
  </si>
  <si>
    <t>Taylor, Laonette</t>
  </si>
  <si>
    <t>Taylor, Quinton</t>
  </si>
  <si>
    <t>Taylor, Rosiland</t>
  </si>
  <si>
    <t>Thigpen, Diona</t>
  </si>
  <si>
    <t>Thomas, Anna</t>
  </si>
  <si>
    <t>Thomas, Deetra</t>
  </si>
  <si>
    <t>Thomas, Keyanna</t>
  </si>
  <si>
    <t>Thomas, Lisa</t>
  </si>
  <si>
    <t>Thomason, Cynthia L</t>
  </si>
  <si>
    <t>Thomas, Starr</t>
  </si>
  <si>
    <t>Thompson, Alicia</t>
  </si>
  <si>
    <t>Thompson, Kamryn</t>
  </si>
  <si>
    <t>Thornton, Nicole</t>
  </si>
  <si>
    <t>Thorpe, Madeline</t>
  </si>
  <si>
    <t>Timsky, William</t>
  </si>
  <si>
    <t>Todd, Marcia</t>
  </si>
  <si>
    <t>Tolen, Antonio</t>
  </si>
  <si>
    <t>Torres Dominguez, Bryon</t>
  </si>
  <si>
    <t>W25-2-2027</t>
  </si>
  <si>
    <t>Torres, Elimar</t>
  </si>
  <si>
    <t>Torres, Jackeline</t>
  </si>
  <si>
    <t>Torres, Jacob</t>
  </si>
  <si>
    <t>Torres, Maria</t>
  </si>
  <si>
    <t>Tran, Christopher</t>
  </si>
  <si>
    <t>Tran, Tony</t>
  </si>
  <si>
    <t>Triana, Eglys</t>
  </si>
  <si>
    <t>tubbs, neveah</t>
  </si>
  <si>
    <t>N15-1068</t>
  </si>
  <si>
    <t>Tucker, Taylor</t>
  </si>
  <si>
    <t>Tufer, Yeshemebet</t>
  </si>
  <si>
    <t>Turner, Andrew</t>
  </si>
  <si>
    <t>Twitty, Thomas</t>
  </si>
  <si>
    <t>Uduebor, Justin</t>
  </si>
  <si>
    <t>Unknown, Aaron</t>
  </si>
  <si>
    <t>Unknown, Adrian</t>
  </si>
  <si>
    <t>Unknown, Agent</t>
  </si>
  <si>
    <t>Unknown, Andre</t>
  </si>
  <si>
    <t>Unknown, Angie</t>
  </si>
  <si>
    <t>Unknown, Anit</t>
  </si>
  <si>
    <t>Unknown, Arena</t>
  </si>
  <si>
    <t>Unknown, Ariah</t>
  </si>
  <si>
    <t>Unknown, Brandon</t>
  </si>
  <si>
    <t>Unknown, Bri</t>
  </si>
  <si>
    <t>Unknown, Brianna</t>
  </si>
  <si>
    <t>Unknown, Brooklyn</t>
  </si>
  <si>
    <t>Unknown, Camadric</t>
  </si>
  <si>
    <t>Unknown, Camille</t>
  </si>
  <si>
    <t>Unknown, Charlotte</t>
  </si>
  <si>
    <t>Unknown, Cherise</t>
  </si>
  <si>
    <t>Unknown, Clear</t>
  </si>
  <si>
    <t>Unknown, Corey</t>
  </si>
  <si>
    <t>Unknown, D</t>
  </si>
  <si>
    <t>Unknown, Daniel</t>
  </si>
  <si>
    <t>Unknown, Danielle</t>
  </si>
  <si>
    <t>Unknown, David</t>
  </si>
  <si>
    <t>Unknown, Debbie</t>
  </si>
  <si>
    <t>Unknown, Denise</t>
  </si>
  <si>
    <t>Unknown, Devin</t>
  </si>
  <si>
    <t>Unknown, Dieter</t>
  </si>
  <si>
    <t>Unknown, Dj</t>
  </si>
  <si>
    <t>Unknown, Dyeisha</t>
  </si>
  <si>
    <t>Unknown, Dylan</t>
  </si>
  <si>
    <t>Unknown, Elizabeth</t>
  </si>
  <si>
    <t>Unknown, Emily</t>
  </si>
  <si>
    <t>Unknown, Enubia</t>
  </si>
  <si>
    <t>Unknown, Eric</t>
  </si>
  <si>
    <t>Unknown, Essence</t>
  </si>
  <si>
    <t>Unknown, Eva</t>
  </si>
  <si>
    <t>Unknown, Eviana</t>
  </si>
  <si>
    <t>Unknown, Francisco</t>
  </si>
  <si>
    <t>Unknown, Gloria</t>
  </si>
  <si>
    <t>Unknown, Gracie</t>
  </si>
  <si>
    <t>Unknown, Gretagory</t>
  </si>
  <si>
    <t>Unknown, Hadir</t>
  </si>
  <si>
    <t>Unknown, Ian</t>
  </si>
  <si>
    <t>Unknown, Isaac</t>
  </si>
  <si>
    <t>Unknown, Jackie</t>
  </si>
  <si>
    <t>Unknown, Jamal</t>
  </si>
  <si>
    <t>Unknown, Jayden</t>
  </si>
  <si>
    <t>Unknown, Jaypeen</t>
  </si>
  <si>
    <t>Unknown, Jesse</t>
  </si>
  <si>
    <t>Unknown, Jessica</t>
  </si>
  <si>
    <t>Unknown, Johnny</t>
  </si>
  <si>
    <t>Unknown, Jori</t>
  </si>
  <si>
    <t>Unknown, Jose</t>
  </si>
  <si>
    <t>Unknown, Juan</t>
  </si>
  <si>
    <t>Unknown, Justin</t>
  </si>
  <si>
    <t>Unknown, Kabiat</t>
  </si>
  <si>
    <t>Unknown, Katepid</t>
  </si>
  <si>
    <t>Unknown, Katrina</t>
  </si>
  <si>
    <t>Unknown, Kay</t>
  </si>
  <si>
    <t>Unknown, Kiara</t>
  </si>
  <si>
    <t>Unknown, Kirsten</t>
  </si>
  <si>
    <t>Unknown, Lakasaa</t>
  </si>
  <si>
    <t>Unknown, Larry</t>
  </si>
  <si>
    <t>Unknown, Leosha</t>
  </si>
  <si>
    <t>Unknown, Lewis</t>
  </si>
  <si>
    <t>Unknown, Lisa</t>
  </si>
  <si>
    <t>Unknown, Livillion</t>
  </si>
  <si>
    <t>Unknown, Lorda</t>
  </si>
  <si>
    <t>Unknown, Lori</t>
  </si>
  <si>
    <t>Unknown, Lydia</t>
  </si>
  <si>
    <t>Unknown, Macon</t>
  </si>
  <si>
    <t>Unknown, Maguel</t>
  </si>
  <si>
    <t>Unknown, Makayla</t>
  </si>
  <si>
    <t>Unknown, Marisandus</t>
  </si>
  <si>
    <t>Unknown, Markings</t>
  </si>
  <si>
    <t>Unknown, Marybell</t>
  </si>
  <si>
    <t>Unknown, Melani</t>
  </si>
  <si>
    <t>Unknown, Michael</t>
  </si>
  <si>
    <t>Unknown, Mike</t>
  </si>
  <si>
    <t>Unknown, Model</t>
  </si>
  <si>
    <t>Unknown, Myra</t>
  </si>
  <si>
    <t>Unknown, Nakarla</t>
  </si>
  <si>
    <t>Unknown, Nakayla</t>
  </si>
  <si>
    <t>Unknown, Nick</t>
  </si>
  <si>
    <t>Unknown, Oosulos</t>
  </si>
  <si>
    <t>Unknown, Patient</t>
  </si>
  <si>
    <t>Unknown, Rejonte</t>
  </si>
  <si>
    <t>Unknown, Rhonda</t>
  </si>
  <si>
    <t>Unknown, Rizvam</t>
  </si>
  <si>
    <t>Unknown, Robbie</t>
  </si>
  <si>
    <t>Unknown, Rodney</t>
  </si>
  <si>
    <t>Unknown, Sanna</t>
  </si>
  <si>
    <t>Unknown, Serenity</t>
  </si>
  <si>
    <t>Unknown, Shashane</t>
  </si>
  <si>
    <t>Unknown, Shay</t>
  </si>
  <si>
    <t>Unknown, Sree</t>
  </si>
  <si>
    <t>Unknown, Tanya</t>
  </si>
  <si>
    <t>Unknown, Tasha</t>
  </si>
  <si>
    <t>Unknown, Tessie</t>
  </si>
  <si>
    <t>Unknown, Tierra</t>
  </si>
  <si>
    <t>Unknown, Tolulope</t>
  </si>
  <si>
    <t>Unknown, Tom</t>
  </si>
  <si>
    <t>Unknown, Tony</t>
  </si>
  <si>
    <t>Unknown, Tranquita</t>
  </si>
  <si>
    <t>Unknown, Unknown</t>
  </si>
  <si>
    <t>Unknown, Walga</t>
  </si>
  <si>
    <t>Unknown, Yahara</t>
  </si>
  <si>
    <t>Unknown, Yasmine</t>
  </si>
  <si>
    <t>Valadez, Angelica</t>
  </si>
  <si>
    <t>vancouver, meridith</t>
  </si>
  <si>
    <t>VanDyke, Darian</t>
  </si>
  <si>
    <t>Vansyckle, Phillip Lorin</t>
  </si>
  <si>
    <t>Vargas, Cynthia</t>
  </si>
  <si>
    <t>Vasquez, Wendy</t>
  </si>
  <si>
    <t>Vassar, Dominique</t>
  </si>
  <si>
    <t>Vaughn, Trekayla</t>
  </si>
  <si>
    <t>N01-2003</t>
  </si>
  <si>
    <t>Vazquez torres, Damian hernan</t>
  </si>
  <si>
    <t>Vazquez, Zenaido</t>
  </si>
  <si>
    <t>Velazquez, Jesus</t>
  </si>
  <si>
    <t>N20-3088</t>
  </si>
  <si>
    <t>Velazquez, Rodrigo</t>
  </si>
  <si>
    <t>Veloz, Veronica</t>
  </si>
  <si>
    <t>Venegas, Jared</t>
  </si>
  <si>
    <t>Vercher, Ebony</t>
  </si>
  <si>
    <t>Vicente, Irma</t>
  </si>
  <si>
    <t>Victoriano, Naydeli</t>
  </si>
  <si>
    <t>Vuckovic, Milana</t>
  </si>
  <si>
    <t>Vuong, Leon</t>
  </si>
  <si>
    <t>Vu, Tina</t>
  </si>
  <si>
    <t>Walker, Allen</t>
  </si>
  <si>
    <t>Walker, Jequavian</t>
  </si>
  <si>
    <t>Walker, Jeremy</t>
  </si>
  <si>
    <t>W19-2-3067</t>
  </si>
  <si>
    <t>Wallace, Tyra</t>
  </si>
  <si>
    <t>Walzier, Lynnaisa</t>
  </si>
  <si>
    <t>Ward, Dyonna</t>
  </si>
  <si>
    <t>Warner, Camillya</t>
  </si>
  <si>
    <t>Washington, Camron</t>
  </si>
  <si>
    <t>Washington, Eddie</t>
  </si>
  <si>
    <t>washington, larinda</t>
  </si>
  <si>
    <t>Washington, Taliyah</t>
  </si>
  <si>
    <t>Watson, Yemye</t>
  </si>
  <si>
    <t>Weatherall, James</t>
  </si>
  <si>
    <t>Webb, Taniea</t>
  </si>
  <si>
    <t>Webster, Lakasha</t>
  </si>
  <si>
    <t>Webster, Nathan</t>
  </si>
  <si>
    <t>Welch, Sharon</t>
  </si>
  <si>
    <t>Welton, Madison</t>
  </si>
  <si>
    <t>Weston, Rosbert</t>
  </si>
  <si>
    <t>Wharton, Vanessa</t>
  </si>
  <si>
    <t>Wheeler, Abigail</t>
  </si>
  <si>
    <t>white, destiny</t>
  </si>
  <si>
    <t>White, Jessica</t>
  </si>
  <si>
    <t>White, Jordan</t>
  </si>
  <si>
    <t>Wilkes, Shaniqua</t>
  </si>
  <si>
    <t>Wilkin, Robert</t>
  </si>
  <si>
    <t>Williams, Alexus</t>
  </si>
  <si>
    <t>Williams, Amber</t>
  </si>
  <si>
    <t>Williams, Ashayla</t>
  </si>
  <si>
    <t>Williams, Brian</t>
  </si>
  <si>
    <t>Williams, Celetta</t>
  </si>
  <si>
    <t>Williams, Danisha</t>
  </si>
  <si>
    <t>Williams, Jameria</t>
  </si>
  <si>
    <t>Williams, Jamuir</t>
  </si>
  <si>
    <t>Williams, Kemprielle</t>
  </si>
  <si>
    <t>Williams, Lakesha</t>
  </si>
  <si>
    <t>Williams, Latronda</t>
  </si>
  <si>
    <t>Williams, Raymond</t>
  </si>
  <si>
    <t>Williams, Tamara</t>
  </si>
  <si>
    <t>Williams, Teaira</t>
  </si>
  <si>
    <t>Williams, Trinity</t>
  </si>
  <si>
    <t>Williams, Tuere</t>
  </si>
  <si>
    <t>Williams, Valerie</t>
  </si>
  <si>
    <t>Wilson, Arianna</t>
  </si>
  <si>
    <t>Wilson, Destiny</t>
  </si>
  <si>
    <t>Wilson, Eugenia</t>
  </si>
  <si>
    <t>Wilson, Scout</t>
  </si>
  <si>
    <t>Winston, Dionte&amp;amp;amp;amp;#039;</t>
  </si>
  <si>
    <t>Woods, Betina</t>
  </si>
  <si>
    <t>Wright, Dekyra</t>
  </si>
  <si>
    <t>Wright, Morgan</t>
  </si>
  <si>
    <t>Wright, Weldon</t>
  </si>
  <si>
    <t>Wyatt, Louvenia</t>
  </si>
  <si>
    <t>Yakkanti, Bhargav</t>
  </si>
  <si>
    <t>Yerger, Devonae</t>
  </si>
  <si>
    <t>Yndriago, Cris</t>
  </si>
  <si>
    <t>Young, Anastasia</t>
  </si>
  <si>
    <t>Young, Mekayla</t>
  </si>
  <si>
    <t>Zaldivar, Lurvin</t>
  </si>
  <si>
    <t>Zanella, Robert</t>
  </si>
  <si>
    <t>Zatarain, Daisy</t>
  </si>
  <si>
    <t>Zatarain, Maria</t>
  </si>
  <si>
    <t>Zavala, Lizbeth</t>
  </si>
  <si>
    <t>ZcVSSB, Unknown</t>
  </si>
  <si>
    <t>Zuber, Keiosha</t>
  </si>
  <si>
    <t>AA, Mel</t>
  </si>
  <si>
    <t>Abdelhadi, Belal</t>
  </si>
  <si>
    <t>W27-2-1005</t>
  </si>
  <si>
    <t>Abel, Charlie</t>
  </si>
  <si>
    <t>Abshier, Clayton</t>
  </si>
  <si>
    <t>Adame, Maite</t>
  </si>
  <si>
    <t>Adams, Angel</t>
  </si>
  <si>
    <t>IlsLeadSource-Zumper-1663040733</t>
  </si>
  <si>
    <t>Adams, Ranna</t>
  </si>
  <si>
    <t>Rent.com</t>
  </si>
  <si>
    <t>Adhikari, Anish</t>
  </si>
  <si>
    <t>Aguilar, Diego</t>
  </si>
  <si>
    <t>Aguilar, Jesus</t>
  </si>
  <si>
    <t>Ahir, Riddhi</t>
  </si>
  <si>
    <t>Ahmed, Tausif</t>
  </si>
  <si>
    <t>Aigbogun, Isaiah</t>
  </si>
  <si>
    <t>A Ikbal, Kaleb</t>
  </si>
  <si>
    <t>Akinbami, Akingbade</t>
  </si>
  <si>
    <t>Alberto, Jerson</t>
  </si>
  <si>
    <t>Ali, Abi</t>
  </si>
  <si>
    <t>Aliweh, Heba</t>
  </si>
  <si>
    <t>Al-Kawazi, Sazan</t>
  </si>
  <si>
    <t>Allen, Jordan</t>
  </si>
  <si>
    <t>Allen, Miracle</t>
  </si>
  <si>
    <t>Allen, Yahkira</t>
  </si>
  <si>
    <t>Alonzo, Sophia</t>
  </si>
  <si>
    <t>Alu, Sanjana</t>
  </si>
  <si>
    <t>Ameke, Joel</t>
  </si>
  <si>
    <t>Amundson, Mickinzi</t>
  </si>
  <si>
    <t>ananou, adjoavi</t>
  </si>
  <si>
    <t>Anderson, Kalese</t>
  </si>
  <si>
    <t>Anderson, Ka'Lese</t>
  </si>
  <si>
    <t>Araiza, Abbie</t>
  </si>
  <si>
    <t>Aranda, Celeste</t>
  </si>
  <si>
    <t>Archibeque, Nevaeh</t>
  </si>
  <si>
    <t>W23-2-1042</t>
  </si>
  <si>
    <t>Ariza, Victoria</t>
  </si>
  <si>
    <t>W15-2-2091</t>
  </si>
  <si>
    <t>Arterburn, Trinity</t>
  </si>
  <si>
    <t>Ashford, Brooklynn</t>
  </si>
  <si>
    <t>Austin, Janeese</t>
  </si>
  <si>
    <t>Avion, Global</t>
  </si>
  <si>
    <t>Bacchus, Anthony</t>
  </si>
  <si>
    <t>Bailey, Dominique</t>
  </si>
  <si>
    <t>Bailey, Tykeeyah</t>
  </si>
  <si>
    <t>Bakare, Areil</t>
  </si>
  <si>
    <t>Bakare, Mariam M</t>
  </si>
  <si>
    <t>Balogun, Azeez</t>
  </si>
  <si>
    <t>Baptiste, Janice Harper</t>
  </si>
  <si>
    <t>Barbee, Joshua</t>
  </si>
  <si>
    <t>Barnes, Alexandra</t>
  </si>
  <si>
    <t>Baruani, Yoheri</t>
  </si>
  <si>
    <t>Baughman, Lynn</t>
  </si>
  <si>
    <t>Beaty, Lakeitha</t>
  </si>
  <si>
    <t>Benavidez, Carla</t>
  </si>
  <si>
    <t>Benavidez, Kathy</t>
  </si>
  <si>
    <t>Benton, Tamara</t>
  </si>
  <si>
    <t>Berry, Jermauriah</t>
  </si>
  <si>
    <t>Bessan, Koffi</t>
  </si>
  <si>
    <t>Bg, Shashank</t>
  </si>
  <si>
    <t>Birdow, Ja'coya (Coya)</t>
  </si>
  <si>
    <t>Black, Rob</t>
  </si>
  <si>
    <t>Bing</t>
  </si>
  <si>
    <t>Blanton, Rodisha</t>
  </si>
  <si>
    <t>Blue, Sequaiya</t>
  </si>
  <si>
    <t>Bolton, malaysia</t>
  </si>
  <si>
    <t>Bradford-Walker, Priscilla</t>
  </si>
  <si>
    <t>Brewer, Delessia</t>
  </si>
  <si>
    <t>Briant, Kali</t>
  </si>
  <si>
    <t>brinson, shona</t>
  </si>
  <si>
    <t>Brown, Allison</t>
  </si>
  <si>
    <t>Brown, Charles</t>
  </si>
  <si>
    <t>Brown, Daron</t>
  </si>
  <si>
    <t>Brown, Jesse</t>
  </si>
  <si>
    <t>Brown, Rosalyn</t>
  </si>
  <si>
    <t>Brown, Shania</t>
  </si>
  <si>
    <t>Brown, Shaun</t>
  </si>
  <si>
    <t>Brown, Tia</t>
  </si>
  <si>
    <t>Brunt, Christian</t>
  </si>
  <si>
    <t>Bryant, Jessica</t>
  </si>
  <si>
    <t>Buchanan, Prezli</t>
  </si>
  <si>
    <t>Buckley, Javion</t>
  </si>
  <si>
    <t>Burnd, Jakymbriea</t>
  </si>
  <si>
    <t>Burns, Rachemia</t>
  </si>
  <si>
    <t>Burton, Rocky</t>
  </si>
  <si>
    <t>Buttgenbach, Walter</t>
  </si>
  <si>
    <t>Campbell, Amaris</t>
  </si>
  <si>
    <t>Campbell, Jadonna</t>
  </si>
  <si>
    <t>Cannon, Blake</t>
  </si>
  <si>
    <t>Cano-pringle, Nyjair</t>
  </si>
  <si>
    <t>Carbajal, Jose</t>
  </si>
  <si>
    <t>Carey, Teresa</t>
  </si>
  <si>
    <t>Carpenter, Christina</t>
  </si>
  <si>
    <t>Carrillo, Lyzbeth</t>
  </si>
  <si>
    <t>Carter, Dene</t>
  </si>
  <si>
    <t>Carter, Jamela</t>
  </si>
  <si>
    <t>Castillo, John</t>
  </si>
  <si>
    <t>W15-2-2092</t>
  </si>
  <si>
    <t>Catalon, Alexandria</t>
  </si>
  <si>
    <t>Cavazos, Karina</t>
  </si>
  <si>
    <t>Apartment Ratings</t>
  </si>
  <si>
    <t>Ceballos, Andre</t>
  </si>
  <si>
    <t>Cervantes, Vivian</t>
  </si>
  <si>
    <t>Chan, Jennifer</t>
  </si>
  <si>
    <t>Charles, Evelyn</t>
  </si>
  <si>
    <t>Charles, Khyrsten</t>
  </si>
  <si>
    <t>Chavez, Alexis</t>
  </si>
  <si>
    <t>Chavez, Charlie</t>
  </si>
  <si>
    <t>Chavez, Mireya</t>
  </si>
  <si>
    <t>Chavez, VaNessa</t>
  </si>
  <si>
    <t>Cheatham, Jade</t>
  </si>
  <si>
    <t>Chea, Veronica</t>
  </si>
  <si>
    <t>Chowdary, Divya</t>
  </si>
  <si>
    <t>Chukwuma, Kester</t>
  </si>
  <si>
    <t>Claiborne, Makinzie Lashay</t>
  </si>
  <si>
    <t>Clark, Kendriana</t>
  </si>
  <si>
    <t>Clarks, Mckenna</t>
  </si>
  <si>
    <t>Clay, Aleecia</t>
  </si>
  <si>
    <t>Clayton, Colin</t>
  </si>
  <si>
    <t>Cleaver, Taniyah</t>
  </si>
  <si>
    <t>Clothier, Christine</t>
  </si>
  <si>
    <t>Coffey, Andrew</t>
  </si>
  <si>
    <t>Colbert, Charles</t>
  </si>
  <si>
    <t>Cole, Jaizhia</t>
  </si>
  <si>
    <t>Collins, Norman</t>
  </si>
  <si>
    <t>Collins, Sonarie</t>
  </si>
  <si>
    <t>Cooks, Joshua</t>
  </si>
  <si>
    <t>Cousins, Cecelia</t>
  </si>
  <si>
    <t>Covero, Kari</t>
  </si>
  <si>
    <t>Cox, George</t>
  </si>
  <si>
    <t>Cox, Tenna</t>
  </si>
  <si>
    <t>Craft, Chardonnay</t>
  </si>
  <si>
    <t>Crawford, Tereshia</t>
  </si>
  <si>
    <t>Crevis, Damond</t>
  </si>
  <si>
    <t>Crump, Harrison</t>
  </si>
  <si>
    <t>Cruz, Reyna</t>
  </si>
  <si>
    <t>C, Sindhu</t>
  </si>
  <si>
    <t>Dachepalli, Vamsi</t>
  </si>
  <si>
    <t>Daniel, Kaysia</t>
  </si>
  <si>
    <t>Darfour, LNya</t>
  </si>
  <si>
    <t>Davenport, Ian</t>
  </si>
  <si>
    <t>Davila, Brenda</t>
  </si>
  <si>
    <t>Davis, Briana</t>
  </si>
  <si>
    <t>Davis, Brianna</t>
  </si>
  <si>
    <t>Davis, Doritha</t>
  </si>
  <si>
    <t>W19-2-2068</t>
  </si>
  <si>
    <t>Davis, Mardu</t>
  </si>
  <si>
    <t>Dawson, Teona</t>
  </si>
  <si>
    <t>Deavila, Joanna</t>
  </si>
  <si>
    <t>DeBrosia Cup, Mama</t>
  </si>
  <si>
    <t>Degollado, Laura</t>
  </si>
  <si>
    <t>Deihl, Jeff</t>
  </si>
  <si>
    <t>Dejesus, Gloria</t>
  </si>
  <si>
    <t>W11-1-1101</t>
  </si>
  <si>
    <t>Delacruz, Jazmine</t>
  </si>
  <si>
    <t>Deleon, Alyssa</t>
  </si>
  <si>
    <t>Delgado, Maria</t>
  </si>
  <si>
    <t>Delgado, Yulisa</t>
  </si>
  <si>
    <t>Delira, Victoria</t>
  </si>
  <si>
    <t>De Los Santos, Jewel</t>
  </si>
  <si>
    <t>Diaz, Irene</t>
  </si>
  <si>
    <t>Dominguez, Chris</t>
  </si>
  <si>
    <t>Driller, Cameron</t>
  </si>
  <si>
    <t>duk, sodany</t>
  </si>
  <si>
    <t>Duran, Ingris</t>
  </si>
  <si>
    <t>Eaton, T'garrion</t>
  </si>
  <si>
    <t>Echols-Pinder, Jaleel</t>
  </si>
  <si>
    <t>Edward, Keith</t>
  </si>
  <si>
    <t>Edwards, Melaney</t>
  </si>
  <si>
    <t>Eithaddou, Ayouv</t>
  </si>
  <si>
    <t>elhachami, mohamed</t>
  </si>
  <si>
    <t>Ella Moukodi, Othnielle</t>
  </si>
  <si>
    <t>elliott, Angelina</t>
  </si>
  <si>
    <t>Enriquez, Natalie</t>
  </si>
  <si>
    <t>Esteban, Destiny</t>
  </si>
  <si>
    <t>Evans, Kealayegh</t>
  </si>
  <si>
    <t>Ezieshi, Veralyn</t>
  </si>
  <si>
    <t>Faez, Zahira</t>
  </si>
  <si>
    <t>Fields, Justus</t>
  </si>
  <si>
    <t>Figueroa, Gracie</t>
  </si>
  <si>
    <t>Floid, Shamiykell</t>
  </si>
  <si>
    <t>Flores, Joshua</t>
  </si>
  <si>
    <t>foote, Shiloh</t>
  </si>
  <si>
    <t>Ford, Kyeisha</t>
  </si>
  <si>
    <t>Fossier, Daniel</t>
  </si>
  <si>
    <t>Foster, Bunny</t>
  </si>
  <si>
    <t>Foster, Kaya</t>
  </si>
  <si>
    <t>Foxx, Prince</t>
  </si>
  <si>
    <t>Franklin, Cedriana</t>
  </si>
  <si>
    <t>Franklin, Jalayah</t>
  </si>
  <si>
    <t>Franklin, Kennedi</t>
  </si>
  <si>
    <t>Fritzsche, Julia</t>
  </si>
  <si>
    <t>Fuller, Antionna</t>
  </si>
  <si>
    <t>Fulwood, Jasmine</t>
  </si>
  <si>
    <t>Gafa, Amavi</t>
  </si>
  <si>
    <t>G, alexis</t>
  </si>
  <si>
    <t>Galindo, Regina Abigail</t>
  </si>
  <si>
    <t>Gallardo Terrones, Noelia</t>
  </si>
  <si>
    <t>Galmon, Timothy</t>
  </si>
  <si>
    <t>Gant, Mya</t>
  </si>
  <si>
    <t>Gant, Terrell</t>
  </si>
  <si>
    <t>Garcia, Andre Juliano</t>
  </si>
  <si>
    <t>Garcia, Gabriela</t>
  </si>
  <si>
    <t>Garcia, Jimire</t>
  </si>
  <si>
    <t>Garcia, Kya</t>
  </si>
  <si>
    <t>Garcia, Martin</t>
  </si>
  <si>
    <t>Garcia, Shinee</t>
  </si>
  <si>
    <t>Garcia, Veronica</t>
  </si>
  <si>
    <t>GARCIA, YESENA</t>
  </si>
  <si>
    <t>Gardner, Anita</t>
  </si>
  <si>
    <t>Garmon, Alivia</t>
  </si>
  <si>
    <t>Garrison, James</t>
  </si>
  <si>
    <t>Gayton, Antania</t>
  </si>
  <si>
    <t>Gertsen Jr, Gary</t>
  </si>
  <si>
    <t>Gilmore, Nia</t>
  </si>
  <si>
    <t>Gilstrap, Shundaisha</t>
  </si>
  <si>
    <t>Ginigeme, Urian</t>
  </si>
  <si>
    <t>W24-2-1034</t>
  </si>
  <si>
    <t>Gobu, Saranyadevi</t>
  </si>
  <si>
    <t>Goller, Joseph</t>
  </si>
  <si>
    <t>Gollnik, William</t>
  </si>
  <si>
    <t>ApartmentRatings</t>
  </si>
  <si>
    <t>Gomez, Iracema</t>
  </si>
  <si>
    <t>Gonzalez Kozlowski, Julian</t>
  </si>
  <si>
    <t>Gonzalez, Rocio</t>
  </si>
  <si>
    <t>Gordon, Malachi</t>
  </si>
  <si>
    <t>Gordon, Shantrell</t>
  </si>
  <si>
    <t>Gracie, Shiloh</t>
  </si>
  <si>
    <t>Granado, Keeley</t>
  </si>
  <si>
    <t>Granberry, Nyla</t>
  </si>
  <si>
    <t>Grant, Chris</t>
  </si>
  <si>
    <t>Grant, Larielle</t>
  </si>
  <si>
    <t>Graves, Gwendolyn</t>
  </si>
  <si>
    <t>Green, Candice</t>
  </si>
  <si>
    <t>Green, Christopher</t>
  </si>
  <si>
    <t>Green, Micayah</t>
  </si>
  <si>
    <t>Green, Takai</t>
  </si>
  <si>
    <t>Grenstiner, Skyler</t>
  </si>
  <si>
    <t>Griffin, ES</t>
  </si>
  <si>
    <t>Grooms, Myiesha</t>
  </si>
  <si>
    <t>Grren, JoAnn</t>
  </si>
  <si>
    <t>Guerra flores, Jerson</t>
  </si>
  <si>
    <t>Gulley, Shanice</t>
  </si>
  <si>
    <t>GUNTAKA, SAI RAM REDDY</t>
  </si>
  <si>
    <t>Gutierrez Montes, Sergio</t>
  </si>
  <si>
    <t>G, Xela</t>
  </si>
  <si>
    <t>Haley, Makell</t>
  </si>
  <si>
    <t>Harkless, Lareesha</t>
  </si>
  <si>
    <t>Harper, Rahnia</t>
  </si>
  <si>
    <t>Harris, Camyrie</t>
  </si>
  <si>
    <t>Harris, Kalandra</t>
  </si>
  <si>
    <t>Hart, Devon</t>
  </si>
  <si>
    <t>Hartwright, Katherine Lynn</t>
  </si>
  <si>
    <t>Has, Lenna</t>
  </si>
  <si>
    <t>Hatcher, Charlotte</t>
  </si>
  <si>
    <t>Haynes, Nikquita</t>
  </si>
  <si>
    <t>Hays, Madeline</t>
  </si>
  <si>
    <t>Heard, DeAngelo</t>
  </si>
  <si>
    <t>Hedgegh, Dominque</t>
  </si>
  <si>
    <t>Henderson, Deasia</t>
  </si>
  <si>
    <t>Henderson, Kathrine</t>
  </si>
  <si>
    <t>Henshel, Brian</t>
  </si>
  <si>
    <t>Hernandez, Aldair (Aldair)</t>
  </si>
  <si>
    <t>Hernandez, Bryan</t>
  </si>
  <si>
    <t>Hernandez, Gloria</t>
  </si>
  <si>
    <t>Hernandez, Xavier</t>
  </si>
  <si>
    <t>Hester, Zoey</t>
  </si>
  <si>
    <t>High, Jaynika</t>
  </si>
  <si>
    <t>Highsmith, Ivory</t>
  </si>
  <si>
    <t>Hight, Mya</t>
  </si>
  <si>
    <t>Hill, Aniya</t>
  </si>
  <si>
    <t>Hines, Myles</t>
  </si>
  <si>
    <t>Holmes, Josalene</t>
  </si>
  <si>
    <t>Hooks, Danishia</t>
  </si>
  <si>
    <t>Houston, Darrion</t>
  </si>
  <si>
    <t>Howard, Darius</t>
  </si>
  <si>
    <t>Howard, Keith</t>
  </si>
  <si>
    <t>Howard, Melody</t>
  </si>
  <si>
    <t>Huang, Jonathan</t>
  </si>
  <si>
    <t>Hubbert, Taylor</t>
  </si>
  <si>
    <t>Hudson, Brenda</t>
  </si>
  <si>
    <t>Hunter, Amyrea</t>
  </si>
  <si>
    <t>Hurst, Brandra</t>
  </si>
  <si>
    <t>Hutchins, Taylor</t>
  </si>
  <si>
    <t>Idsahosa, Joy</t>
  </si>
  <si>
    <t>Igbalajobi, Lanre</t>
  </si>
  <si>
    <t>N16-1070</t>
  </si>
  <si>
    <t>Ivy, Kevon</t>
  </si>
  <si>
    <t>Jack, Ashley</t>
  </si>
  <si>
    <t>Jacksom, Liam</t>
  </si>
  <si>
    <t>Jackson, Ajanee</t>
  </si>
  <si>
    <t>Jackson, Alisa</t>
  </si>
  <si>
    <t>Jackson, Brandi</t>
  </si>
  <si>
    <t>Jackson, Dekeidria</t>
  </si>
  <si>
    <t>Jackson, Keyana</t>
  </si>
  <si>
    <t>Jackson, Sarah</t>
  </si>
  <si>
    <t>Jackson, Sharonique</t>
  </si>
  <si>
    <t>Jackson, Taekiria</t>
  </si>
  <si>
    <t>W27-2-2012</t>
  </si>
  <si>
    <t>Jackson, Tamera</t>
  </si>
  <si>
    <t>Jackson, Tarajah</t>
  </si>
  <si>
    <t>Jacobitz, Jodie</t>
  </si>
  <si>
    <t>Jacobs, Kamiah</t>
  </si>
  <si>
    <t>Jade, Trinity</t>
  </si>
  <si>
    <t>Jaimes, Carolyn</t>
  </si>
  <si>
    <t>James, Katie</t>
  </si>
  <si>
    <t>Janvrin, Patricia</t>
  </si>
  <si>
    <t>Jarmon, Destiny</t>
  </si>
  <si>
    <t>JdlQqm, Unknown</t>
  </si>
  <si>
    <t>Jefferson, Alexandra</t>
  </si>
  <si>
    <t>Jenkins, Jmarcus</t>
  </si>
  <si>
    <t>Jiles, Mitchell</t>
  </si>
  <si>
    <t>J, Jordan</t>
  </si>
  <si>
    <t>J, Mora</t>
  </si>
  <si>
    <t>Johnson, Braelyn</t>
  </si>
  <si>
    <t>Johnson, Dauntrail</t>
  </si>
  <si>
    <t>S40-359</t>
  </si>
  <si>
    <t>Johnson, Krishun</t>
  </si>
  <si>
    <t>Johnson, Laklonda</t>
  </si>
  <si>
    <t>W25-2-1028</t>
  </si>
  <si>
    <t>Johnson, Salami</t>
  </si>
  <si>
    <t>Johnson, Shaquai</t>
  </si>
  <si>
    <t>Johnson, Trevon</t>
  </si>
  <si>
    <t>Joiner, Jamarian</t>
  </si>
  <si>
    <t>Jones, Anna</t>
  </si>
  <si>
    <t>Jones, AuBree</t>
  </si>
  <si>
    <t>Jones, Dorcas</t>
  </si>
  <si>
    <t>W05-1-0501</t>
  </si>
  <si>
    <t>Jones, Lakeisha</t>
  </si>
  <si>
    <t>Lease: Partially Completed</t>
  </si>
  <si>
    <t>Joseph, Luckesha</t>
  </si>
  <si>
    <t>JR, David Zaragoza</t>
  </si>
  <si>
    <t>Keleta, Yohannes</t>
  </si>
  <si>
    <t>N22-1097</t>
  </si>
  <si>
    <t>Kelly, Rickia</t>
  </si>
  <si>
    <t>Kelsey, Shelby</t>
  </si>
  <si>
    <t>Kelso, Jennifer</t>
  </si>
  <si>
    <t>Khadka, Akriti</t>
  </si>
  <si>
    <t>Khan, Ruqayya</t>
  </si>
  <si>
    <t>Kheng, Darren</t>
  </si>
  <si>
    <t>Kinard Crabtree, Debbie</t>
  </si>
  <si>
    <t>Kindred, Angel</t>
  </si>
  <si>
    <t>Kinnamon, Kayla</t>
  </si>
  <si>
    <t>Kirby, Todd</t>
  </si>
  <si>
    <t>Kirkland, Bryson</t>
  </si>
  <si>
    <t>Kitchaiya, Chanya</t>
  </si>
  <si>
    <t>K, Kesse</t>
  </si>
  <si>
    <t>Krause, Henrique</t>
  </si>
  <si>
    <t>Lagos, Ivis</t>
  </si>
  <si>
    <t>Lainez, Alyssa</t>
  </si>
  <si>
    <t>Lakey, Renee</t>
  </si>
  <si>
    <t>Lanier, Trevion</t>
  </si>
  <si>
    <t>Lanquedoc, Jeff</t>
  </si>
  <si>
    <t>Largent, Austin</t>
  </si>
  <si>
    <t>Latreche, Abderrahim</t>
  </si>
  <si>
    <t>Lawhorn, Jasmine</t>
  </si>
  <si>
    <t>Leach, Matthew</t>
  </si>
  <si>
    <t>Lee, Jermaine</t>
  </si>
  <si>
    <t>Lemons, Carley</t>
  </si>
  <si>
    <t>Leung, Jason</t>
  </si>
  <si>
    <t>Lewis, Karen</t>
  </si>
  <si>
    <t>Lewis, Yedrah</t>
  </si>
  <si>
    <t>Liang, Katty</t>
  </si>
  <si>
    <t>Lian, Nicholas</t>
  </si>
  <si>
    <t>Linares, Dennys</t>
  </si>
  <si>
    <t>L, O</t>
  </si>
  <si>
    <t>Logan, Callie</t>
  </si>
  <si>
    <t>Lopez, Jose</t>
  </si>
  <si>
    <t>Lopez, Lenis</t>
  </si>
  <si>
    <t>Lopez, Lesly</t>
  </si>
  <si>
    <t>Lopez, Maria</t>
  </si>
  <si>
    <t>Lopez, Selene</t>
  </si>
  <si>
    <t>Lott, Latavia</t>
  </si>
  <si>
    <t>Lyonga, Linda</t>
  </si>
  <si>
    <t>Madison, Emily</t>
  </si>
  <si>
    <t>Mahere, Anotidaishe</t>
  </si>
  <si>
    <t>Mai, Nga</t>
  </si>
  <si>
    <t>Malacara, Maria</t>
  </si>
  <si>
    <t>Malone, Chasey</t>
  </si>
  <si>
    <t>Malone, Maiya</t>
  </si>
  <si>
    <t>Mancera, Aby</t>
  </si>
  <si>
    <t>Manzano, Maria</t>
  </si>
  <si>
    <t>Marie, Ann</t>
  </si>
  <si>
    <t>Marie, Anne</t>
  </si>
  <si>
    <t>Martinez, Dayana</t>
  </si>
  <si>
    <t>Martinez, Miguel</t>
  </si>
  <si>
    <t>Martinez, Zurinity</t>
  </si>
  <si>
    <t>Martin, Tameka</t>
  </si>
  <si>
    <t>Matter-Mendoza, Stephanie</t>
  </si>
  <si>
    <t>Matthews, Madi</t>
  </si>
  <si>
    <t>Matthews, Shanice</t>
  </si>
  <si>
    <t>McArthur, Caleb</t>
  </si>
  <si>
    <t>MCCALIP, Richard</t>
  </si>
  <si>
    <t>McCallum, Elise</t>
  </si>
  <si>
    <t>McClain, Daniel</t>
  </si>
  <si>
    <t>McClanahan, Ashley</t>
  </si>
  <si>
    <t>McClinton, Anthony</t>
  </si>
  <si>
    <t>Mcdade, Tania</t>
  </si>
  <si>
    <t>Mcgougan, Alita</t>
  </si>
  <si>
    <t>MCGOUGH, KRISTIN</t>
  </si>
  <si>
    <t>McHenry, Kiana</t>
  </si>
  <si>
    <t>McKay, Branae</t>
  </si>
  <si>
    <t>McKenzie, Devonica</t>
  </si>
  <si>
    <t>Meave, Juan</t>
  </si>
  <si>
    <t>Medlock, Donna</t>
  </si>
  <si>
    <t>Meed, Jerode</t>
  </si>
  <si>
    <t>Mekonnen, Gebreilla</t>
  </si>
  <si>
    <t>Mendez, Alesia</t>
  </si>
  <si>
    <t>Mendez, Cristian</t>
  </si>
  <si>
    <t>Mendoza, Graciela</t>
  </si>
  <si>
    <t>Metlock, Donna</t>
  </si>
  <si>
    <t>Middle class homes., Missouri</t>
  </si>
  <si>
    <t>Miles, Opal</t>
  </si>
  <si>
    <t>Miller, Darius</t>
  </si>
  <si>
    <t>Miller, Isaac</t>
  </si>
  <si>
    <t>Mitchell, Cornelius</t>
  </si>
  <si>
    <t>Mitchell, Makayla</t>
  </si>
  <si>
    <t>Moffett, Kiara</t>
  </si>
  <si>
    <t>Mohamed, Nuru</t>
  </si>
  <si>
    <t>Montgomery, Jenee</t>
  </si>
  <si>
    <t>W11-1-1102</t>
  </si>
  <si>
    <t>Morales, Adrian</t>
  </si>
  <si>
    <t>Mosley, Donald G</t>
  </si>
  <si>
    <t>MsReeses, MrsReeses</t>
  </si>
  <si>
    <t>Mukundi, Emma</t>
  </si>
  <si>
    <t>Nair, Samitha</t>
  </si>
  <si>
    <t>Nash, Sarah</t>
  </si>
  <si>
    <t>Nathan, Joe</t>
  </si>
  <si>
    <t>Navas, Anthony</t>
  </si>
  <si>
    <t>Naveed, Jacob</t>
  </si>
  <si>
    <t>Nayre, June Roneline</t>
  </si>
  <si>
    <t>Nelson, Corionte</t>
  </si>
  <si>
    <t>Newell, Destiny</t>
  </si>
  <si>
    <t>Newton, Sandra</t>
  </si>
  <si>
    <t>Nguyen, Hub</t>
  </si>
  <si>
    <t>S26-407</t>
  </si>
  <si>
    <t>Null, Kylicia</t>
  </si>
  <si>
    <t>NUnEZ, Edgar</t>
  </si>
  <si>
    <t>Nwagbo, Priness</t>
  </si>
  <si>
    <t>Ocampo, Ana</t>
  </si>
  <si>
    <t>Ocanas, Genaro</t>
  </si>
  <si>
    <t>Ochoa, Destiny</t>
  </si>
  <si>
    <t>Oderanti Bolarinwa, Oyewole</t>
  </si>
  <si>
    <t>Ogunrinde, Felix</t>
  </si>
  <si>
    <t>Oladele, Ayomide</t>
  </si>
  <si>
    <t>Olivares, Crystal</t>
  </si>
  <si>
    <t>Oluwatoyo, Adebola</t>
  </si>
  <si>
    <t>Ondo, Maria</t>
  </si>
  <si>
    <t>Ornelas, Veronica</t>
  </si>
  <si>
    <t>Orozco, Jorge Eduardo</t>
  </si>
  <si>
    <t>Orozco, Miguel</t>
  </si>
  <si>
    <t>W28-2-2023</t>
  </si>
  <si>
    <t>Osborne, Tondra</t>
  </si>
  <si>
    <t>Ostroff, Diana</t>
  </si>
  <si>
    <t>Otis, Aryanna</t>
  </si>
  <si>
    <t>Palms, Teyanna</t>
  </si>
  <si>
    <t>Parkin, Tanya</t>
  </si>
  <si>
    <t>Parra, Yessica</t>
  </si>
  <si>
    <t>Patchigoolla, Ashika</t>
  </si>
  <si>
    <t>Patton, Jay</t>
  </si>
  <si>
    <t>Paz, Adan</t>
  </si>
  <si>
    <t>Paz, Dora</t>
  </si>
  <si>
    <t>Penird, Anna</t>
  </si>
  <si>
    <t>Perdomo, Danilo</t>
  </si>
  <si>
    <t>Perez, Auburn</t>
  </si>
  <si>
    <t>Perez, Graciela</t>
  </si>
  <si>
    <t>Perrin, Beverly</t>
  </si>
  <si>
    <t>Perry, Robert</t>
  </si>
  <si>
    <t>Pertuit, Trevyn</t>
  </si>
  <si>
    <t>Phillips, Corneshia</t>
  </si>
  <si>
    <t>phillips, jack</t>
  </si>
  <si>
    <t>Phillips, Nakeisha</t>
  </si>
  <si>
    <t>Philpott, Aidan</t>
  </si>
  <si>
    <t>Pickens, Portia</t>
  </si>
  <si>
    <t>Pierce, Keosha</t>
  </si>
  <si>
    <t>Pigg, Lazaria</t>
  </si>
  <si>
    <t>Pinto, Japaitra</t>
  </si>
  <si>
    <t>Pisanan Moran, Maria</t>
  </si>
  <si>
    <t>Ploeger, Diane</t>
  </si>
  <si>
    <t>Polson, Rukiyah</t>
  </si>
  <si>
    <t>POSADAS, YUDIS</t>
  </si>
  <si>
    <t>Powell, Daya</t>
  </si>
  <si>
    <t>Powell, Veronika</t>
  </si>
  <si>
    <t>Pradhan, Grish</t>
  </si>
  <si>
    <t>Pride, Xavier</t>
  </si>
  <si>
    <t>Prince, Briana</t>
  </si>
  <si>
    <t>Pun, Padma</t>
  </si>
  <si>
    <t>Quezada, Giovanni</t>
  </si>
  <si>
    <t>Rae, Raejon</t>
  </si>
  <si>
    <t>Ralyea, Robyn</t>
  </si>
  <si>
    <t>Ramirez, Maria</t>
  </si>
  <si>
    <t>Ramirez, Ximena</t>
  </si>
  <si>
    <t>Ramos, Vanessa</t>
  </si>
  <si>
    <t>Rangel, Zoie</t>
  </si>
  <si>
    <t>W22-2-2051</t>
  </si>
  <si>
    <t>Rashidi, Jane</t>
  </si>
  <si>
    <t>Raymond, Amelia</t>
  </si>
  <si>
    <t>Rebolloso, Alexis</t>
  </si>
  <si>
    <t>Reddy, Vookanti Vishal</t>
  </si>
  <si>
    <t>Rees, Christian Tyler</t>
  </si>
  <si>
    <t>Reeves, Kiondria</t>
  </si>
  <si>
    <t>Reid, Donna</t>
  </si>
  <si>
    <t>Resendez, Alexa</t>
  </si>
  <si>
    <t>Reyes, Blanca</t>
  </si>
  <si>
    <t>Reyes, Rene</t>
  </si>
  <si>
    <t>Reyna, Michael</t>
  </si>
  <si>
    <t>Richards, Bryson</t>
  </si>
  <si>
    <t>Rico, Roger</t>
  </si>
  <si>
    <t>Rincon, Adrian</t>
  </si>
  <si>
    <t>Rindler, Theodore</t>
  </si>
  <si>
    <t>Rivers, Naya</t>
  </si>
  <si>
    <t>Rivers, Shantell</t>
  </si>
  <si>
    <t>Rneoluzone, Jessica</t>
  </si>
  <si>
    <t>Roberts, KaDarriya</t>
  </si>
  <si>
    <t>Roberts, Zabriah</t>
  </si>
  <si>
    <t>Robinson, Carl</t>
  </si>
  <si>
    <t>Robinson, Lashonmia</t>
  </si>
  <si>
    <t>Rockey, Ashley</t>
  </si>
  <si>
    <t>Rodgerson, Karina</t>
  </si>
  <si>
    <t>Rodriguez, Alejandro</t>
  </si>
  <si>
    <t>Rodriguez, Ana</t>
  </si>
  <si>
    <t>Rodriguez, Anahi</t>
  </si>
  <si>
    <t>Rodriguez, Antonio</t>
  </si>
  <si>
    <t>Rodriguez, Eliasib</t>
  </si>
  <si>
    <t>Rodriguez, Rene</t>
  </si>
  <si>
    <t>W06-1-0601</t>
  </si>
  <si>
    <t>Rogers, Amari</t>
  </si>
  <si>
    <t>Rogers, Erica</t>
  </si>
  <si>
    <t>Rohde, Brandon</t>
  </si>
  <si>
    <t>rolling, Danielle</t>
  </si>
  <si>
    <t>Rosas, Abigail</t>
  </si>
  <si>
    <t>Ruiz, Jeremiah</t>
  </si>
  <si>
    <t>Russell, Deoinjhanie</t>
  </si>
  <si>
    <t>Russell, Lashae</t>
  </si>
  <si>
    <t>Ryan, Makayla</t>
  </si>
  <si>
    <t>Sabbie, Mikia</t>
  </si>
  <si>
    <t>Sabreda, Alejandra</t>
  </si>
  <si>
    <t>Saketh, Shiva</t>
  </si>
  <si>
    <t>Salazar, Ruben</t>
  </si>
  <si>
    <t>Salinas, Bryan</t>
  </si>
  <si>
    <t>Sanchez, Devon</t>
  </si>
  <si>
    <t>Sanchez, Sofia</t>
  </si>
  <si>
    <t>Sanders, Allana</t>
  </si>
  <si>
    <t>Sanders, Jasmyne</t>
  </si>
  <si>
    <t>Santillan, Noe</t>
  </si>
  <si>
    <t>Sauvage, Abel</t>
  </si>
  <si>
    <t>Schilling, April</t>
  </si>
  <si>
    <t>Segura, Edgar</t>
  </si>
  <si>
    <t>W13-1-1304</t>
  </si>
  <si>
    <t>Sellam, Sabine</t>
  </si>
  <si>
    <t>Sen, Fatih</t>
  </si>
  <si>
    <t>Shane, Rittee</t>
  </si>
  <si>
    <t>Shaw, Brittany</t>
  </si>
  <si>
    <t>Shephard, Keera</t>
  </si>
  <si>
    <t>Shine, Stephen</t>
  </si>
  <si>
    <t>Shivaramaiah, Kusuma</t>
  </si>
  <si>
    <t>Shotwell, Sydney</t>
  </si>
  <si>
    <t>Shreepathi, Vivek</t>
  </si>
  <si>
    <t>Shrestha, Suraj</t>
  </si>
  <si>
    <t>Silmon, Bianca</t>
  </si>
  <si>
    <t>N03-1019</t>
  </si>
  <si>
    <t>Silmon, Nusnxq</t>
  </si>
  <si>
    <t>Silva, Gerardo</t>
  </si>
  <si>
    <t>Simkhada, Chirag</t>
  </si>
  <si>
    <t>Simmons, Jakelia</t>
  </si>
  <si>
    <t>Sims, Janyria</t>
  </si>
  <si>
    <t>Slaba, Michael</t>
  </si>
  <si>
    <t>Smart, Ramon</t>
  </si>
  <si>
    <t>Smith, Christian</t>
  </si>
  <si>
    <t>Smith, Colby</t>
  </si>
  <si>
    <t>Smith, Dedrick</t>
  </si>
  <si>
    <t>Smith, Jordan</t>
  </si>
  <si>
    <t>Smith, Lania</t>
  </si>
  <si>
    <t>Smith, Leonard</t>
  </si>
  <si>
    <t>Smith, Nae</t>
  </si>
  <si>
    <t>Smith, RiMira</t>
  </si>
  <si>
    <t>Solis, Adrian</t>
  </si>
  <si>
    <t>Solis, Natalie</t>
  </si>
  <si>
    <t>Soto, Aleisha</t>
  </si>
  <si>
    <t>Spann, Shaniqua</t>
  </si>
  <si>
    <t>Spease, Gerald</t>
  </si>
  <si>
    <t>Stalcup, Emily</t>
  </si>
  <si>
    <t>Stanley, Levay</t>
  </si>
  <si>
    <t>stengel, Katherine</t>
  </si>
  <si>
    <t>Stephens, Joseph</t>
  </si>
  <si>
    <t>Stewart, Brianna</t>
  </si>
  <si>
    <t>Story, Justin</t>
  </si>
  <si>
    <t>Strayhorn, Donte</t>
  </si>
  <si>
    <t>Surpris, Cleefvenson</t>
  </si>
  <si>
    <t>Taken, Jason</t>
  </si>
  <si>
    <t>Tamez, Marcus</t>
  </si>
  <si>
    <t>Tandale, Sushmita</t>
  </si>
  <si>
    <t>Tang, Jessie</t>
  </si>
  <si>
    <t>Taylor, Aaliyah</t>
  </si>
  <si>
    <t>W07-1-0714</t>
  </si>
  <si>
    <t>Taylor, Dariah</t>
  </si>
  <si>
    <t>Taylor, Darius</t>
  </si>
  <si>
    <t>Taylor, Frankie</t>
  </si>
  <si>
    <t>Taylor, Khaya</t>
  </si>
  <si>
    <t>Taylor, Michaela</t>
  </si>
  <si>
    <t>Taylor, Serenity</t>
  </si>
  <si>
    <t>Tekle, Sina</t>
  </si>
  <si>
    <t>Tekle, Sirak</t>
  </si>
  <si>
    <t>Tekle, Yemane</t>
  </si>
  <si>
    <t>Tesfazghi, Aron</t>
  </si>
  <si>
    <t>Thacker, Jeffrey</t>
  </si>
  <si>
    <t>Thao, Katharine</t>
  </si>
  <si>
    <t>Thomas, Cella</t>
  </si>
  <si>
    <t>Thomas, Deonco</t>
  </si>
  <si>
    <t>Thomas, Lawanda</t>
  </si>
  <si>
    <t>Thomas, Lester</t>
  </si>
  <si>
    <t>Thornton, Shanleisha</t>
  </si>
  <si>
    <t>Tlehuactle, Julina</t>
  </si>
  <si>
    <t>Tobias, Sanieya</t>
  </si>
  <si>
    <t>Todd, Khadijah</t>
  </si>
  <si>
    <t>Torres, Eduardo</t>
  </si>
  <si>
    <t>torres, sergio</t>
  </si>
  <si>
    <t>Torres, William</t>
  </si>
  <si>
    <t>Torres, Yurimar</t>
  </si>
  <si>
    <t>Townsend, Charmane</t>
  </si>
  <si>
    <t>Tran, Thang</t>
  </si>
  <si>
    <t>Treat, Brandie</t>
  </si>
  <si>
    <t>Trevino, Leslie</t>
  </si>
  <si>
    <t>Truitte, Nikilla</t>
  </si>
  <si>
    <t>Trujillo, Kevin</t>
  </si>
  <si>
    <t>Tsfgay, Micheal</t>
  </si>
  <si>
    <t>Tubbs, Javaris</t>
  </si>
  <si>
    <t>Tucker, Dakota</t>
  </si>
  <si>
    <t>Tucker, Zatavia</t>
  </si>
  <si>
    <t>Turner, Jamiah</t>
  </si>
  <si>
    <t>Turner, Sandra</t>
  </si>
  <si>
    <t>Tynes, Garrett</t>
  </si>
  <si>
    <t>Tyra, Tanya</t>
  </si>
  <si>
    <t>Tzehaie, Nason</t>
  </si>
  <si>
    <t>Underwood, Isaiah</t>
  </si>
  <si>
    <t>Unknown, Adrianna</t>
  </si>
  <si>
    <t>Unknown, Alana</t>
  </si>
  <si>
    <t>Unknown, Alfred</t>
  </si>
  <si>
    <t>Unknown, Alwin</t>
  </si>
  <si>
    <t>Unknown, Amanda</t>
  </si>
  <si>
    <t>Unknown, Amy</t>
  </si>
  <si>
    <t>Unknown, Areed</t>
  </si>
  <si>
    <t>Unknown, Arthur</t>
  </si>
  <si>
    <t>Unknown, Audrey</t>
  </si>
  <si>
    <t>Unknown, Billy</t>
  </si>
  <si>
    <t>Unknown, Black</t>
  </si>
  <si>
    <t>Unknown, Brandy</t>
  </si>
  <si>
    <t>Unknown, Bridgit</t>
  </si>
  <si>
    <t>Unknown, Cameron</t>
  </si>
  <si>
    <t>Unknown, Carolyn</t>
  </si>
  <si>
    <t>Unknown, Chandler</t>
  </si>
  <si>
    <t>Unknown, Christian</t>
  </si>
  <si>
    <t>Unknown, Christopher</t>
  </si>
  <si>
    <t>Unknown, Clyde</t>
  </si>
  <si>
    <t>Unknown, Crystal</t>
  </si>
  <si>
    <t>Unknown, Deponte</t>
  </si>
  <si>
    <t>Unknown, Elise</t>
  </si>
  <si>
    <t>Unknown, Ellie</t>
  </si>
  <si>
    <t>Unknown, Felix</t>
  </si>
  <si>
    <t>Unknown, Ferlandes</t>
  </si>
  <si>
    <t>Unknown, Fernanda</t>
  </si>
  <si>
    <t>Unknown, Hannah</t>
  </si>
  <si>
    <t>Unknown, Isela</t>
  </si>
  <si>
    <t>Unknown, James</t>
  </si>
  <si>
    <t>Unknown, Jamiah</t>
  </si>
  <si>
    <t>Unknown, Janice</t>
  </si>
  <si>
    <t>Unknown, Janisha</t>
  </si>
  <si>
    <t>Unknown, Jasmine</t>
  </si>
  <si>
    <t>Unknown, Jimmy</t>
  </si>
  <si>
    <t>Unknown, John</t>
  </si>
  <si>
    <t>Unknown, Jordan</t>
  </si>
  <si>
    <t>Unknown, Judy</t>
  </si>
  <si>
    <t>Unknown, Kaylyn</t>
  </si>
  <si>
    <t>Unknown, Kenneth</t>
  </si>
  <si>
    <t>Unknown, Kimberly</t>
  </si>
  <si>
    <t>Unknown, Kuladub</t>
  </si>
  <si>
    <t>Unknown, Lamaya</t>
  </si>
  <si>
    <t>Unknown, Laquita</t>
  </si>
  <si>
    <t>Unknown, Liana</t>
  </si>
  <si>
    <t>Unknown, Lonnie</t>
  </si>
  <si>
    <t>Unknown, Marcle</t>
  </si>
  <si>
    <t>Unknown, McKanny</t>
  </si>
  <si>
    <t>Unknown, McKayla</t>
  </si>
  <si>
    <t>Unknown, Mercedes</t>
  </si>
  <si>
    <t>Unknown, Michelle</t>
  </si>
  <si>
    <t>Unknown, Milady</t>
  </si>
  <si>
    <t>Unknown, Mo</t>
  </si>
  <si>
    <t>Unknown, Naomi</t>
  </si>
  <si>
    <t>Unknown, Ramaya</t>
  </si>
  <si>
    <t>Unknown, Ricky</t>
  </si>
  <si>
    <t>Unknown, Rodolfo</t>
  </si>
  <si>
    <t>Unknown, Ronald</t>
  </si>
  <si>
    <t>Unknown, Sahara</t>
  </si>
  <si>
    <t>Unknown, Sergio</t>
  </si>
  <si>
    <t>Unknown, Shania</t>
  </si>
  <si>
    <t>Unknown, Shearman</t>
  </si>
  <si>
    <t>Unknown, Shinnie</t>
  </si>
  <si>
    <t>Unknown, Stephania</t>
  </si>
  <si>
    <t>Unknown, Tamaya</t>
  </si>
  <si>
    <t>Unknown, Taylor</t>
  </si>
  <si>
    <t>Unknown, That</t>
  </si>
  <si>
    <t>Unknown, Tiffany</t>
  </si>
  <si>
    <t>Unknown, Tricia</t>
  </si>
  <si>
    <t>Unknown, Vincenzo</t>
  </si>
  <si>
    <t>Unknown, Warren</t>
  </si>
  <si>
    <t>Unknown, Xavier</t>
  </si>
  <si>
    <t>Valadez, Halaena</t>
  </si>
  <si>
    <t>Valadez, Martin</t>
  </si>
  <si>
    <t>Valencia, Lisa</t>
  </si>
  <si>
    <t>Velazquez, Grecia</t>
  </si>
  <si>
    <t>Villar, Haydee</t>
  </si>
  <si>
    <t>VINCENT, Jake</t>
  </si>
  <si>
    <t>Vornes, Krystan</t>
  </si>
  <si>
    <t>Wade, Aariyah</t>
  </si>
  <si>
    <t>Wade, Maya</t>
  </si>
  <si>
    <t>Walker, Annie</t>
  </si>
  <si>
    <t>Walker, Jada</t>
  </si>
  <si>
    <t>Walker, Martiana</t>
  </si>
  <si>
    <t>Walker, Tanisha</t>
  </si>
  <si>
    <t>Walls, Deeray</t>
  </si>
  <si>
    <t>Ward, Jairus</t>
  </si>
  <si>
    <t>Washingtom, Victoria</t>
  </si>
  <si>
    <t>Waters, LaKendra</t>
  </si>
  <si>
    <t>Watford, Anayia</t>
  </si>
  <si>
    <t>WEAVER, BRENDA</t>
  </si>
  <si>
    <t>Weaver, Tralandus</t>
  </si>
  <si>
    <t>West DeLuca, Megan</t>
  </si>
  <si>
    <t>White, Alysia</t>
  </si>
  <si>
    <t>White, Joshua</t>
  </si>
  <si>
    <t>White, Kehlani</t>
  </si>
  <si>
    <t>Whittad, Toni</t>
  </si>
  <si>
    <t>Whittington, Breonna</t>
  </si>
  <si>
    <t>Wilborn, Armonte</t>
  </si>
  <si>
    <t>Williams, Charlene</t>
  </si>
  <si>
    <t>Williams, Erin</t>
  </si>
  <si>
    <t>Williams, Iyreze</t>
  </si>
  <si>
    <t>W15-2-3091</t>
  </si>
  <si>
    <t>Williams, Kathy</t>
  </si>
  <si>
    <t>Williams, Kikeke</t>
  </si>
  <si>
    <t>Williams, Makayla</t>
  </si>
  <si>
    <t>Williams, Nakkia</t>
  </si>
  <si>
    <t>Williams, Q</t>
  </si>
  <si>
    <t>Williams, SaVannah</t>
  </si>
  <si>
    <t>Williams, Vicky</t>
  </si>
  <si>
    <t>Williams, Zucaeria</t>
  </si>
  <si>
    <t>Wilson, Detavia</t>
  </si>
  <si>
    <t>Wilson, Michael</t>
  </si>
  <si>
    <t>Wilson, Rodny</t>
  </si>
  <si>
    <t>WITHERSPOON, GARRETT</t>
  </si>
  <si>
    <t>Wooden, Nick</t>
  </si>
  <si>
    <t>Woods, Qwenleah</t>
  </si>
  <si>
    <t>Wright, Ayonna</t>
  </si>
  <si>
    <t>Yates-Poff, joseph</t>
  </si>
  <si>
    <t>Yates, Vanessa</t>
  </si>
  <si>
    <t>York, Khristopher</t>
  </si>
  <si>
    <t>York, Tierra</t>
  </si>
  <si>
    <t>Yousif, Ali</t>
  </si>
  <si>
    <t>Zachary, Pamela</t>
  </si>
  <si>
    <t>Zarek, Jacob</t>
  </si>
  <si>
    <t>Zenarosa, Ellie</t>
  </si>
  <si>
    <t>Adams, Ken</t>
  </si>
  <si>
    <t>Alvarado, Mireya</t>
  </si>
  <si>
    <t>Alvarenga Ponce, Ruben Alberto</t>
  </si>
  <si>
    <t>Anthony, Joseph</t>
  </si>
  <si>
    <t>Arrambidez, Margarita</t>
  </si>
  <si>
    <t>Arroza, Brandon</t>
  </si>
  <si>
    <t>Austin, Ariana</t>
  </si>
  <si>
    <t>Avalos, Sarai</t>
  </si>
  <si>
    <t>Barksdale, Wanae</t>
  </si>
  <si>
    <t>Barrera, Maria</t>
  </si>
  <si>
    <t>Bhadriraju, Murthy</t>
  </si>
  <si>
    <t>Blue, Kenn</t>
  </si>
  <si>
    <t>Bradie, Star</t>
  </si>
  <si>
    <t>Brown, Cassandra</t>
  </si>
  <si>
    <t>Camardella, Alissa</t>
  </si>
  <si>
    <t>Campbell, Mckenzie</t>
  </si>
  <si>
    <t>Carlile, Hannah</t>
  </si>
  <si>
    <t>Carter, James</t>
  </si>
  <si>
    <t>Chism, Kenyatta</t>
  </si>
  <si>
    <t>C, Kennedi</t>
  </si>
  <si>
    <t>Coleman, Deanhtay</t>
  </si>
  <si>
    <t>Cook, Cameron</t>
  </si>
  <si>
    <t>Daniels, AlexZia</t>
  </si>
  <si>
    <t>Daniels, Taniyah</t>
  </si>
  <si>
    <t>Davis, Sharalyn</t>
  </si>
  <si>
    <t>Dubon, Andrea</t>
  </si>
  <si>
    <t>Espino, Evelyn</t>
  </si>
  <si>
    <t>Fairhill, Nakia</t>
  </si>
  <si>
    <t>Farrar, Loren</t>
  </si>
  <si>
    <t>Garcia, Adolfo</t>
  </si>
  <si>
    <t>Greene, Jaylan</t>
  </si>
  <si>
    <t>Hairston, Lexie</t>
  </si>
  <si>
    <t>Hernandez, Berenisse</t>
  </si>
  <si>
    <t>Hernandez Rangel, Iliana</t>
  </si>
  <si>
    <t>Hersman, Ella</t>
  </si>
  <si>
    <t>Hollins, Jonathon</t>
  </si>
  <si>
    <t>Houston, Amanda</t>
  </si>
  <si>
    <t>Issa, Abdullahi</t>
  </si>
  <si>
    <t>Jackson, Rokeitha Tanyell</t>
  </si>
  <si>
    <t>Jemison, Dominique</t>
  </si>
  <si>
    <t>Jimerson, Somoya</t>
  </si>
  <si>
    <t>Johnson, Dayzhane</t>
  </si>
  <si>
    <t>Johnson, Jared</t>
  </si>
  <si>
    <t>Jones, Antoinette</t>
  </si>
  <si>
    <t>Jones, Dayquan</t>
  </si>
  <si>
    <t>Kambiie, Marie</t>
  </si>
  <si>
    <t>Kelly, DeCaris</t>
  </si>
  <si>
    <t>Kennimer, Rose</t>
  </si>
  <si>
    <t>Le, Trung</t>
  </si>
  <si>
    <t>Lounethone, Kenny</t>
  </si>
  <si>
    <t>Lujan, Domenique</t>
  </si>
  <si>
    <t>Malayay, Abraham</t>
  </si>
  <si>
    <t>Martinez, Melissa</t>
  </si>
  <si>
    <t>Martinez, Niriam</t>
  </si>
  <si>
    <t>Martin, Kelly</t>
  </si>
  <si>
    <t>Medrano, Humberto Kevin</t>
  </si>
  <si>
    <t>Miles, Sophia</t>
  </si>
  <si>
    <t>Miller, Laila</t>
  </si>
  <si>
    <t>Mohamed, Halima</t>
  </si>
  <si>
    <t>Morales, Diego</t>
  </si>
  <si>
    <t>M, Sierra</t>
  </si>
  <si>
    <t>Nihad, Shaheen</t>
  </si>
  <si>
    <t>Ogun, Oluyemi</t>
  </si>
  <si>
    <t>Okundaye, Blessing</t>
  </si>
  <si>
    <t>Orr, Juanae</t>
  </si>
  <si>
    <t>Petty, Kierra</t>
  </si>
  <si>
    <t>Pilgrim, Xavier</t>
  </si>
  <si>
    <t>Pimentel, Kristen</t>
  </si>
  <si>
    <t>Rabata, Abdel Rahman</t>
  </si>
  <si>
    <t>Rivas, Levbeth</t>
  </si>
  <si>
    <t>Robinson, Yolanda</t>
  </si>
  <si>
    <t>Rudley, Lejael</t>
  </si>
  <si>
    <t>Shogbamu, Idunu</t>
  </si>
  <si>
    <t>Smith, Monique</t>
  </si>
  <si>
    <t>W12-1-1213</t>
  </si>
  <si>
    <t>Spears, Gaylen</t>
  </si>
  <si>
    <t>Summers, Erica</t>
  </si>
  <si>
    <t>Tah, Eric</t>
  </si>
  <si>
    <t>Unknown, Avery</t>
  </si>
  <si>
    <t>Unknown, Cody</t>
  </si>
  <si>
    <t>Unknown, Jameer</t>
  </si>
  <si>
    <t>Unknown, Joy</t>
  </si>
  <si>
    <t>Unknown, Jualita</t>
  </si>
  <si>
    <t>Unknown, Kania</t>
  </si>
  <si>
    <t>Unknown, Katie</t>
  </si>
  <si>
    <t>Unknown, Ladyman</t>
  </si>
  <si>
    <t>Unknown, Leslie</t>
  </si>
  <si>
    <t>Unknown, Majel</t>
  </si>
  <si>
    <t>Unknown, Major</t>
  </si>
  <si>
    <t>Velazquez, Eva</t>
  </si>
  <si>
    <t>Vera, Christian</t>
  </si>
  <si>
    <t>Wade, Lonnisa</t>
  </si>
  <si>
    <t>Walker, Nisha</t>
  </si>
  <si>
    <t>Whited, Michael</t>
  </si>
  <si>
    <t>White, Holly</t>
  </si>
  <si>
    <t>White, Jayla</t>
  </si>
  <si>
    <t>Wilburn, Kawana</t>
  </si>
  <si>
    <t>Williams, Crescena</t>
  </si>
  <si>
    <t>Witt, Lewann</t>
  </si>
  <si>
    <t>%</t>
  </si>
  <si>
    <t>Possession Partner: Failure To Payrent Service</t>
  </si>
  <si>
    <t>Issue Date</t>
  </si>
  <si>
    <t>Tenant Name</t>
  </si>
  <si>
    <t>Tenant Address</t>
  </si>
  <si>
    <t>County</t>
  </si>
  <si>
    <t>Filed Amount</t>
  </si>
  <si>
    <t>Judgment Amount</t>
  </si>
  <si>
    <t>Court Date</t>
  </si>
  <si>
    <t>Index Number</t>
  </si>
  <si>
    <t>‌07/16/2026</t>
  </si>
  <si>
    <t>‌Yeymi Fajardo</t>
  </si>
  <si>
    <t>‌8401 Skillman Street 1099Dallas, TX 75231</t>
  </si>
  <si>
    <t>‌Dallas County</t>
  </si>
  <si>
    <t>‌$1901.00</t>
  </si>
  <si>
    <t>‌$0.00</t>
  </si>
  <si>
    <t>‌Awaiting Court Confirmation</t>
  </si>
  <si>
    <t>‌Not Assigned by Court</t>
  </si>
  <si>
    <t>‌Cancelled</t>
  </si>
  <si>
    <t>‌Reyna Monzon</t>
  </si>
  <si>
    <t>‌8201 Fair Oaks Crossing 2029Dallas, TX 75231</t>
  </si>
  <si>
    <t>‌$488.00</t>
  </si>
  <si>
    <t>‌Uriel Basilio Velazquez</t>
  </si>
  <si>
    <t>‌9750 Royal Lane 1211Dallas, TX 75231</t>
  </si>
  <si>
    <t>‌$843.00</t>
  </si>
  <si>
    <t>‌08/24/20261.30 pm</t>
  </si>
  <si>
    <t>‌Hearing Scheduled</t>
  </si>
  <si>
    <t>‌Charmaine Bradshaw</t>
  </si>
  <si>
    <t>‌8401 Skillman Street 2075Dallas, TX 75231</t>
  </si>
  <si>
    <t>‌$549.00</t>
  </si>
  <si>
    <t>‌Tiara Brazier</t>
  </si>
  <si>
    <t>‌9750 Royal Lane 0809Dallas, TX 75231</t>
  </si>
  <si>
    <t>‌$985.00</t>
  </si>
  <si>
    <t>‌JPC-26-05429-31</t>
  </si>
  <si>
    <t>‌Deandra Broomfield</t>
  </si>
  <si>
    <t>‌9750 Royal Lane 812Dallas, TX 75231</t>
  </si>
  <si>
    <t>‌$1106.36</t>
  </si>
  <si>
    <t>‌08/20/20269.30 am</t>
  </si>
  <si>
    <t>‌JPC-26-05301-31</t>
  </si>
  <si>
    <t>‌Adam J Drissi-Messaly</t>
  </si>
  <si>
    <t>‌8303 Skillman Street 403Dallas, TX 75231</t>
  </si>
  <si>
    <t>‌$1077.00</t>
  </si>
  <si>
    <t>‌08/24/20269.30 am</t>
  </si>
  <si>
    <t>‌JPC-26-05403-31</t>
  </si>
  <si>
    <t>‌Kimani Mbiru</t>
  </si>
  <si>
    <t>‌8401 Skillman Street 2085Dallas, TX 75231</t>
  </si>
  <si>
    <t>‌$1101.00</t>
  </si>
  <si>
    <t>‌JPC-26-05424-31</t>
  </si>
  <si>
    <t>‌Sherifat Osevwe</t>
  </si>
  <si>
    <t>‌9750 Royal Lane 404Dallas, TX 75231</t>
  </si>
  <si>
    <t>‌$1147.00</t>
  </si>
  <si>
    <t>‌Myocsheonia Walker</t>
  </si>
  <si>
    <t>‌9750 Royal Lane 1110Dallas, TX 75231</t>
  </si>
  <si>
    <t>‌$1007.41</t>
  </si>
  <si>
    <t>‌08/10/20269.30 am</t>
  </si>
  <si>
    <t>‌JPC-26-05294-31</t>
  </si>
  <si>
    <t>‌Vicente BonillaCarolina Navarro</t>
  </si>
  <si>
    <t>‌8201 Fair Oaks Crossing 2038Dallas, TX 75231</t>
  </si>
  <si>
    <t>‌$637.00</t>
  </si>
  <si>
    <t>‌Wynisha Hardin</t>
  </si>
  <si>
    <t>‌8201 Fair Oaks Crossing 1056Dallas, TX 75231</t>
  </si>
  <si>
    <t>‌$970.00</t>
  </si>
  <si>
    <t>‌JPC-26-05302-31</t>
  </si>
  <si>
    <t>‌Jerry W Hetrick</t>
  </si>
  <si>
    <t>‌8201 Fair Oaks Crossing 2075Dallas, TX 75231</t>
  </si>
  <si>
    <t>‌$1087.00</t>
  </si>
  <si>
    <t>‌JPC-26-05293-31</t>
  </si>
  <si>
    <t>‌Rhianna R Quincy</t>
  </si>
  <si>
    <t>‌8201 Fair Oaks Crossing 2001Dallas, TX 75231</t>
  </si>
  <si>
    <t>‌$872.00</t>
  </si>
  <si>
    <t>‌JPC-26-05303-31</t>
  </si>
  <si>
    <t>‌Dismissed  (Other)</t>
  </si>
  <si>
    <t>‌Joseph Rodriguez</t>
  </si>
  <si>
    <t>‌8201 Fair Oaks Crossing 1078Dallas, TX 75231</t>
  </si>
  <si>
    <t>‌$1383.00</t>
  </si>
  <si>
    <t>‌JPC-26-05292-31</t>
  </si>
  <si>
    <t>‌06/17/2026</t>
  </si>
  <si>
    <t>‌Jada Taylor</t>
  </si>
  <si>
    <t>‌8401 Skillman Street 3019Dallas, TX 75231</t>
  </si>
  <si>
    <t>‌$1015.00</t>
  </si>
  <si>
    <t>‌$1,037.00Judgment Stay: 07/21/2026</t>
  </si>
  <si>
    <t>‌07/14/20261.30 pm</t>
  </si>
  <si>
    <t>‌JPC-26-04333-31</t>
  </si>
  <si>
    <t>‌Granted  (Notes)</t>
  </si>
  <si>
    <t>‌Maria Malacara</t>
  </si>
  <si>
    <t>‌8401 Skillman Street 1098Dallas, TX 75231</t>
  </si>
  <si>
    <t>‌$226.29</t>
  </si>
  <si>
    <t>‌Latricia CooperBrian Bedford</t>
  </si>
  <si>
    <t>‌8401 Skillman Street 1083Dallas, TX 75231</t>
  </si>
  <si>
    <t>‌$2233.71</t>
  </si>
  <si>
    <t>‌N/A</t>
  </si>
  <si>
    <t>‌JPC-26-04663-31</t>
  </si>
  <si>
    <t>‌Dismissed  (Tenant Vacated)  (Notes)</t>
  </si>
  <si>
    <t>‌Dogale Z Yugusuk</t>
  </si>
  <si>
    <t>‌8401 Skillman Street 1041Dallas, TX 75231</t>
  </si>
  <si>
    <t>‌$168.00</t>
  </si>
  <si>
    <t>‌07/22/20269.30 am</t>
  </si>
  <si>
    <t>‌JPC-26-04662-31</t>
  </si>
  <si>
    <t>‌Dismissed  (Notes)</t>
  </si>
  <si>
    <t>‌Tobi OgunmolaMuhammad Medina Kiara</t>
  </si>
  <si>
    <t>‌9750 Royal Lane 1324Dallas, TX 75231</t>
  </si>
  <si>
    <t>‌$870.00</t>
  </si>
  <si>
    <t>‌07/16/20261.30 pm</t>
  </si>
  <si>
    <t>‌JPC-26-04633-31</t>
  </si>
  <si>
    <t>‌Alan Reyes</t>
  </si>
  <si>
    <t>‌9750 Royal Lane 814Dallas, TX 75231</t>
  </si>
  <si>
    <t>‌$960.00</t>
  </si>
  <si>
    <t>‌$0.00Judgment Stay: 07/22/2026</t>
  </si>
  <si>
    <t>‌JPC-26-04858-31</t>
  </si>
  <si>
    <t>‌Lois Ado</t>
  </si>
  <si>
    <t>‌9750 Royal Lane 203Dallas, TX 75231</t>
  </si>
  <si>
    <t>‌$796.84</t>
  </si>
  <si>
    <t>‌07/16/20269.30 am</t>
  </si>
  <si>
    <t>‌JPC-26-04338-31</t>
  </si>
  <si>
    <t>‌Ronnie Howard</t>
  </si>
  <si>
    <t>‌9750 Royal Lane 105Dallas, TX 75231</t>
  </si>
  <si>
    <t>‌$991.19</t>
  </si>
  <si>
    <t>‌JPC-26-04337-31</t>
  </si>
  <si>
    <t>‌Dismissed  (Other)  (Notes)</t>
  </si>
  <si>
    <t>‌JPC-26-04335-31</t>
  </si>
  <si>
    <t>‌Dismissed  (Tenant PAID)  (Notes)</t>
  </si>
  <si>
    <t>‌Ahmad Ramin</t>
  </si>
  <si>
    <t>‌8201 Fair Oaks Crossing 1058Dallas, TX 75231</t>
  </si>
  <si>
    <t>‌$925.00</t>
  </si>
  <si>
    <t>‌07/13/20261.30 pm</t>
  </si>
  <si>
    <t>‌JPC-26-04661-31</t>
  </si>
  <si>
    <t>‌05/27/2026</t>
  </si>
  <si>
    <t>‌$1020.00</t>
  </si>
  <si>
    <t>‌07/08/20261.30 pm</t>
  </si>
  <si>
    <t>‌JPC-26-03582-31</t>
  </si>
  <si>
    <t>‌Marshana GentryDerrick Hill</t>
  </si>
  <si>
    <t>‌8303 Skillman Street 270Dallas, TX 75231</t>
  </si>
  <si>
    <t>‌$1738.00</t>
  </si>
  <si>
    <t>‌07/27/20269.30 am</t>
  </si>
  <si>
    <t>‌JPC-26-03605-31</t>
  </si>
  <si>
    <t>‌05/21/2026</t>
  </si>
  <si>
    <t>‌Akinwale AkinsitanStephen Oyeneyin</t>
  </si>
  <si>
    <t>‌9750 Royal Lane 306Dallas, TX 75231</t>
  </si>
  <si>
    <t>‌$2566.00</t>
  </si>
  <si>
    <t>‌JPC-26-03550-31</t>
  </si>
  <si>
    <t>‌Iram Coronado</t>
  </si>
  <si>
    <t>‌8303 Skillman Street 109Dallas, TX 75231</t>
  </si>
  <si>
    <t>‌$3334.40</t>
  </si>
  <si>
    <t>‌$3,114.00Judgment Stay: 07/08/2026</t>
  </si>
  <si>
    <t>‌07/01/20269.30 am</t>
  </si>
  <si>
    <t>‌JPC-26-03606-31</t>
  </si>
  <si>
    <t>‌05/18/2026</t>
  </si>
  <si>
    <t>‌Nixon Alvarez VillaltaMarieli Hernandez Meza</t>
  </si>
  <si>
    <t>‌8401 Skillman Street 1087Dallas, TX 75231</t>
  </si>
  <si>
    <t>‌$1653.00</t>
  </si>
  <si>
    <t>‌JPC-26-03577-31</t>
  </si>
  <si>
    <t>‌Ebony J Barr</t>
  </si>
  <si>
    <t>‌8303 Skillman Street 431Dallas, TX 75231</t>
  </si>
  <si>
    <t>‌$1232.00</t>
  </si>
  <si>
    <t>‌06/18/20261.30 pm</t>
  </si>
  <si>
    <t>‌JPC-26-03430-31</t>
  </si>
  <si>
    <t>‌Keevin Bell</t>
  </si>
  <si>
    <t>‌8401 Skillman Street 2002Dallas, TX 75231</t>
  </si>
  <si>
    <t>‌$817.00</t>
  </si>
  <si>
    <t>‌$1,845.00Judgment Stay: 06/26/2026</t>
  </si>
  <si>
    <t>‌JPC-26-03425-31</t>
  </si>
  <si>
    <t>‌Lesly CruzFernando Cerros</t>
  </si>
  <si>
    <t>‌8401 Skillman Street 2042Dallas, TX 75231</t>
  </si>
  <si>
    <t>‌$1280.00</t>
  </si>
  <si>
    <t>‌JPC-26-03618-31</t>
  </si>
  <si>
    <t>‌Tamia C Jackson</t>
  </si>
  <si>
    <t>‌8303 Skillman Street 415Dallas, TX 75231</t>
  </si>
  <si>
    <t>‌$982.00</t>
  </si>
  <si>
    <t>‌JPC-26-03429-31</t>
  </si>
  <si>
    <t>‌Ronald KingLATRINA NEWSOME</t>
  </si>
  <si>
    <t>‌8401 Skillman Street 3016Dallas, TX 75231</t>
  </si>
  <si>
    <t>‌$999.00</t>
  </si>
  <si>
    <t>‌JPC-26-03428-31</t>
  </si>
  <si>
    <t>‌Martin O Njendu</t>
  </si>
  <si>
    <t>‌8401 Skillman Street 2104Dallas, TX 75231</t>
  </si>
  <si>
    <t>‌$1351.00</t>
  </si>
  <si>
    <t>‌JPC-26-03546-31</t>
  </si>
  <si>
    <t>‌Solomon Onasanya</t>
  </si>
  <si>
    <t>‌8401 Skillman Street 2088Dallas, TX 75231</t>
  </si>
  <si>
    <t>‌$438.00</t>
  </si>
  <si>
    <t>‌Cancelled  (Notes)</t>
  </si>
  <si>
    <t>‌Talasia Rashidi</t>
  </si>
  <si>
    <t>‌8401 Skillman Street 2096Dallas, TX 75231</t>
  </si>
  <si>
    <t>‌$1363.00</t>
  </si>
  <si>
    <t>‌$0.00Judgment Stay: 06/26/2026</t>
  </si>
  <si>
    <t>‌JPC-26-03427-31</t>
  </si>
  <si>
    <t>‌LC Handling Appeal  (Notes)</t>
  </si>
  <si>
    <t>‌Maria BranchVictor Branch</t>
  </si>
  <si>
    <t>‌8303 Skillman Street 105Dallas, TX 75231</t>
  </si>
  <si>
    <t>‌$630.00</t>
  </si>
  <si>
    <t>‌JPC-26-03562-31</t>
  </si>
  <si>
    <t>‌Nnadi EmmanuelEbony Adams</t>
  </si>
  <si>
    <t>‌9750 Royal Lane 311Dallas, TX 75231</t>
  </si>
  <si>
    <t>‌$1054.54</t>
  </si>
  <si>
    <t>‌Alicia Fudge</t>
  </si>
  <si>
    <t>‌9750 Royal Lane 1205Dallas, TX 75231</t>
  </si>
  <si>
    <t>‌$1475.00</t>
  </si>
  <si>
    <t>‌JPC-26-03566-31</t>
  </si>
  <si>
    <t>‌Iddrissu Musah</t>
  </si>
  <si>
    <t>‌8201 Fair Oaks Crossing 2069Dallas, TX 75231</t>
  </si>
  <si>
    <t>‌$1380.00</t>
  </si>
  <si>
    <t>‌JPC-26-03564-31</t>
  </si>
  <si>
    <t>‌$551.49</t>
  </si>
  <si>
    <t>‌JPC-26-03563-31</t>
  </si>
  <si>
    <t>‌Ludivina RuizJeronimo Calderon</t>
  </si>
  <si>
    <t>‌8201 Fair Oaks Crossing 1091Dallas, TX 75231</t>
  </si>
  <si>
    <t>‌$1190.00</t>
  </si>
  <si>
    <t>‌JPC-26-03423-31</t>
  </si>
  <si>
    <t>‌04/20/2026</t>
  </si>
  <si>
    <t>‌$299.58</t>
  </si>
  <si>
    <t>‌$423.51</t>
  </si>
  <si>
    <t>‌$400.78</t>
  </si>
  <si>
    <t>‌Nereyda RodriguezJonathan Gonzalez</t>
  </si>
  <si>
    <t>‌8201 Fair Oaks Crossing 1071Dallas, TX 75231</t>
  </si>
  <si>
    <t>‌$204.53</t>
  </si>
  <si>
    <t>‌Corey Birdine</t>
  </si>
  <si>
    <t>‌8401 Skillman Street 3063Dallas, TX 75231</t>
  </si>
  <si>
    <t>‌$368.79</t>
  </si>
  <si>
    <t>‌$1,489.00Judgment Stay: 06/11/2026</t>
  </si>
  <si>
    <t>‌06/04/20262 pm</t>
  </si>
  <si>
    <t>‌JPC-26-02991-31</t>
  </si>
  <si>
    <t>‌Allisa Burton</t>
  </si>
  <si>
    <t>‌8401 Skillman Street 3046Dallas, TX 75231</t>
  </si>
  <si>
    <t>‌$3328.00</t>
  </si>
  <si>
    <t>‌$4,451.00Judgment Stay: 06/11/2026</t>
  </si>
  <si>
    <t>‌JPC-26-02972-31</t>
  </si>
  <si>
    <t>‌$998.55</t>
  </si>
  <si>
    <t>‌Alton Marshall</t>
  </si>
  <si>
    <t>‌8401 Skillman Street 2093Dallas, TX 75231</t>
  </si>
  <si>
    <t>‌$3136.00</t>
  </si>
  <si>
    <t>‌$3,684.00Judgment Stay: 05/28/2026</t>
  </si>
  <si>
    <t>‌05/21/20269.30 am</t>
  </si>
  <si>
    <t>‌JPC-26-02911-31</t>
  </si>
  <si>
    <t>‌Dandrea Mcneil</t>
  </si>
  <si>
    <t>‌8401 Skillman Street 3017Dallas, TX 75231</t>
  </si>
  <si>
    <t>‌$1678.00</t>
  </si>
  <si>
    <t>‌JPC-26-02971-31</t>
  </si>
  <si>
    <t>‌$473.00</t>
  </si>
  <si>
    <t>‌$521.87</t>
  </si>
  <si>
    <t>‌JPC-26-02912-31</t>
  </si>
  <si>
    <t>‌Andres Hernandez</t>
  </si>
  <si>
    <t>‌8401 Skillman Street 2089Dallas, TX 75231</t>
  </si>
  <si>
    <t>‌$955.00</t>
  </si>
  <si>
    <t>‌05/21/20261.30 pm</t>
  </si>
  <si>
    <t>‌JPC-26-02976-31</t>
  </si>
  <si>
    <t>‌$395.25</t>
  </si>
  <si>
    <t>‌Dewayne Dixon</t>
  </si>
  <si>
    <t>‌8401 Skillman Street 2038Dallas, TX 75231</t>
  </si>
  <si>
    <t>‌$3282.00</t>
  </si>
  <si>
    <t>‌$10,865.00Judgment Stay: 06/15/2026</t>
  </si>
  <si>
    <t>‌06/08/20269.30 am</t>
  </si>
  <si>
    <t>‌JPC-26-02910-31</t>
  </si>
  <si>
    <t>‌Maria FonsecaFernando Sotelo</t>
  </si>
  <si>
    <t>‌8401 Skillman Street 1094Dallas, TX 75231</t>
  </si>
  <si>
    <t>‌$931.00</t>
  </si>
  <si>
    <t>‌JPC-26-02970-31</t>
  </si>
  <si>
    <t>‌$806.61</t>
  </si>
  <si>
    <t>‌Oscar Divini Pomposo Aviles</t>
  </si>
  <si>
    <t>‌8401 Skillman Street 2083Dallas, TX 75231</t>
  </si>
  <si>
    <t>‌$1175.00</t>
  </si>
  <si>
    <t>‌$2,350.00Judgment Stay: 06/03/2026</t>
  </si>
  <si>
    <t>‌05/27/20269.30 am</t>
  </si>
  <si>
    <t>‌JPC-26-03038-31</t>
  </si>
  <si>
    <t>‌Jorge Camacho Ibarra</t>
  </si>
  <si>
    <t>‌8401 Skillman Street 1077Dallas, TX 75231</t>
  </si>
  <si>
    <t>‌$2394.00</t>
  </si>
  <si>
    <t>‌JPC-26-02969-31</t>
  </si>
  <si>
    <t>‌Miguel Cruz SalasRafael Ortiz</t>
  </si>
  <si>
    <t>‌8401 Skillman Street 1006Dallas, TX 75231</t>
  </si>
  <si>
    <t>‌$3976.00</t>
  </si>
  <si>
    <t>‌JPC-26-02967-31</t>
  </si>
  <si>
    <t>‌Estanislao Flores</t>
  </si>
  <si>
    <t>‌8401 Skillman Street 1037Dallas, TX 75231</t>
  </si>
  <si>
    <t>‌$4604.25</t>
  </si>
  <si>
    <t>‌$5,378.00Judgment Stay: 06/11/2026</t>
  </si>
  <si>
    <t>‌JPC-26-02968-31</t>
  </si>
  <si>
    <t>‌Tatiana Cooks</t>
  </si>
  <si>
    <t>‌8303 Skillman Street 414Dallas, TX 75231</t>
  </si>
  <si>
    <t>‌$5180.00</t>
  </si>
  <si>
    <t>‌JPC-26-02973-31</t>
  </si>
  <si>
    <t>‌$838.00</t>
  </si>
  <si>
    <t>‌JPC-26-02948-31</t>
  </si>
  <si>
    <t>‌Michael Hall</t>
  </si>
  <si>
    <t>‌8303 Skillman Street 103Dallas, TX 75231</t>
  </si>
  <si>
    <t>‌$1140.00</t>
  </si>
  <si>
    <t>‌$0.00Judgment Stay: 06/11/2026</t>
  </si>
  <si>
    <t>‌JPC-26-02947-31</t>
  </si>
  <si>
    <t>‌Rent Suit Concluded  (Notes)</t>
  </si>
  <si>
    <t>‌Alvin James</t>
  </si>
  <si>
    <t>‌8401 Skillman Street 1002Dallas, TX 75231</t>
  </si>
  <si>
    <t>‌$300.00</t>
  </si>
  <si>
    <t>‌Teaira Shead</t>
  </si>
  <si>
    <t>‌9750 Royal Lane 1417Dallas, TX 75231</t>
  </si>
  <si>
    <t>‌$3392.00</t>
  </si>
  <si>
    <t>‌$4,833.00Judgment Stay: 05/28/2026</t>
  </si>
  <si>
    <t>‌JPC-26-02928-31</t>
  </si>
  <si>
    <t>‌Jonmy Torres</t>
  </si>
  <si>
    <t>‌9750 Royal Lane 1415Dallas, TX 75231</t>
  </si>
  <si>
    <t>‌$200.00</t>
  </si>
  <si>
    <t>‌Jose Villanueva Granados</t>
  </si>
  <si>
    <t>‌8303 Skillman Street 401Dallas, TX 75231</t>
  </si>
  <si>
    <t>‌$2590.00</t>
  </si>
  <si>
    <t>‌JPC-26-02949-31</t>
  </si>
  <si>
    <t>‌$1689.00</t>
  </si>
  <si>
    <t>‌JPC-26-02927-31</t>
  </si>
  <si>
    <t>‌$1046.35</t>
  </si>
  <si>
    <t>‌JPC-26-02925-31</t>
  </si>
  <si>
    <t>‌Ana CamachoAlberto Olalde</t>
  </si>
  <si>
    <t>‌9750 Royal Lane 901Dallas, TX 75231</t>
  </si>
  <si>
    <t>‌$255.45</t>
  </si>
  <si>
    <t>‌Mahogany Harris</t>
  </si>
  <si>
    <t>‌9750 Royal Lane 1202Dallas, TX 75231</t>
  </si>
  <si>
    <t>‌$5960.00</t>
  </si>
  <si>
    <t>‌$7,003.00Judgment Stay: 05/28/2026</t>
  </si>
  <si>
    <t>‌JPC-26-02926-31</t>
  </si>
  <si>
    <t>‌Jessica Raychelle Harvey</t>
  </si>
  <si>
    <t>‌9750 Royal Lane 1003Dallas, TX 75231</t>
  </si>
  <si>
    <t>‌$2030.00</t>
  </si>
  <si>
    <t>‌$0.00Judgment Stay: 06/03/2026</t>
  </si>
  <si>
    <t>‌JPC-26-03037-31</t>
  </si>
  <si>
    <t>‌Elvira MerazJose Perez</t>
  </si>
  <si>
    <t>‌9750 Royal Lane 707Dallas, TX 75231</t>
  </si>
  <si>
    <t>‌$2765.70</t>
  </si>
  <si>
    <t>‌JPC-26-02990-31</t>
  </si>
  <si>
    <t>‌Carlos Jose Oliva Cordero</t>
  </si>
  <si>
    <t>‌9750 Royal Lane 810Dallas, TX 75231</t>
  </si>
  <si>
    <t>‌$3811.00</t>
  </si>
  <si>
    <t>‌JPC-26-02924-31</t>
  </si>
  <si>
    <t>‌Eric SantiniMia Smith</t>
  </si>
  <si>
    <t>‌9750 Royal Lane 808Dallas, TX 75231</t>
  </si>
  <si>
    <t>‌$3822.00</t>
  </si>
  <si>
    <t>‌JPC-26-03009-31</t>
  </si>
  <si>
    <t>‌Victor A Diaz Becerra</t>
  </si>
  <si>
    <t>‌9750 Royal Lane 0415Dallas, TX 75231</t>
  </si>
  <si>
    <t>‌$1288.00</t>
  </si>
  <si>
    <t>‌$2,189.00Judgment Stay: 05/28/2026</t>
  </si>
  <si>
    <t>‌JPC-26-02921-31</t>
  </si>
  <si>
    <t>‌Omar Martinez</t>
  </si>
  <si>
    <t>‌9750 Royal Lane 504Dallas, TX 75231</t>
  </si>
  <si>
    <t>‌$3024.00</t>
  </si>
  <si>
    <t>‌JPC-26-02966-31</t>
  </si>
  <si>
    <t>‌Dija Sparks</t>
  </si>
  <si>
    <t>‌9750 Royal Lane 516Dallas, TX 75231</t>
  </si>
  <si>
    <t>‌$4160.00</t>
  </si>
  <si>
    <t>‌$5,928.00Judgment Stay: 05/28/2026</t>
  </si>
  <si>
    <t>‌JPC-26-02922-31</t>
  </si>
  <si>
    <t>‌$407.63</t>
  </si>
  <si>
    <t>‌Susana Castro</t>
  </si>
  <si>
    <t>‌9750 Royal Lane 324Dallas, TX 75231</t>
  </si>
  <si>
    <t>‌$1508.00</t>
  </si>
  <si>
    <t>‌JPC-26-02920-31</t>
  </si>
  <si>
    <t>‌Briana Clark</t>
  </si>
  <si>
    <t>‌8201 Fair Oaks Crossing 3088Dallas, TX 75231</t>
  </si>
  <si>
    <t>‌$4481.00</t>
  </si>
  <si>
    <t>‌$5,264.00Judgment Stay: 05/28/2026</t>
  </si>
  <si>
    <t>‌JPC-26-02917-31</t>
  </si>
  <si>
    <t>‌$495.00</t>
  </si>
  <si>
    <t>‌$0.00Judgment Stay: 05/28/2026</t>
  </si>
  <si>
    <t>‌JPC-26-02919-31</t>
  </si>
  <si>
    <t>‌Julio Jean</t>
  </si>
  <si>
    <t>‌8201 Fair Oaks Crossing 3092Dallas, TX 75231</t>
  </si>
  <si>
    <t>‌$1098.00</t>
  </si>
  <si>
    <t>‌JPC-26-02918-31</t>
  </si>
  <si>
    <t>‌Maricela Ortega GascaJuan Antonio Ruiz Guerra</t>
  </si>
  <si>
    <t>‌9750 Royal Lane 110Dallas, TX 75231</t>
  </si>
  <si>
    <t>‌$4500.00</t>
  </si>
  <si>
    <t>‌JPC-26-02923-31</t>
  </si>
  <si>
    <t>‌Elieser Cortez RochaCristal Urquiza</t>
  </si>
  <si>
    <t>‌8201 Fair Oaks Crossing 2041Dallas, TX 75231</t>
  </si>
  <si>
    <t>‌$4800.00</t>
  </si>
  <si>
    <t>‌$6,840.00Judgment Stay: 05/28/2026</t>
  </si>
  <si>
    <t>‌JPC-26-02915-31</t>
  </si>
  <si>
    <t>‌Thalia Daniels</t>
  </si>
  <si>
    <t>‌8201 Fair Oaks Crossing 1059Dallas, TX 75231</t>
  </si>
  <si>
    <t>‌$1637.91</t>
  </si>
  <si>
    <t>‌$1,775.00Judgment Stay: 05/21/2026</t>
  </si>
  <si>
    <t>‌05/13/20261.30 pm</t>
  </si>
  <si>
    <t>‌JPC-26-02896-31</t>
  </si>
  <si>
    <t>‌No further action needed  (Notes)</t>
  </si>
  <si>
    <t>‌Rodrinesha Fridia</t>
  </si>
  <si>
    <t>‌8201 Fair Oaks Crossing 2039Dallas, TX 75231</t>
  </si>
  <si>
    <t>‌$4543.00</t>
  </si>
  <si>
    <t>‌$6,127.00Judgment Stay: 05/28/2026</t>
  </si>
  <si>
    <t>‌JPC-26-02914-31</t>
  </si>
  <si>
    <t>‌Jared Jenkins</t>
  </si>
  <si>
    <t>‌8201 Fair Oaks Crossing 2085Dallas, TX 75231</t>
  </si>
  <si>
    <t>‌$2198.78</t>
  </si>
  <si>
    <t>‌JPC-26-03002-31</t>
  </si>
  <si>
    <t>‌Sergio Rodas</t>
  </si>
  <si>
    <t>‌8201 Fair Oaks Crossing 1044Dallas, TX 75231</t>
  </si>
  <si>
    <t>‌$2270.00</t>
  </si>
  <si>
    <t>‌$2,498.00Judgment Stay: 05/28/2026</t>
  </si>
  <si>
    <t>‌JPC-26-02913-31</t>
  </si>
  <si>
    <t>‌Earl Roof</t>
  </si>
  <si>
    <t>‌8201 Fair Oaks Crossing 2057Dallas, TX 75231</t>
  </si>
  <si>
    <t>‌$949.00</t>
  </si>
  <si>
    <t>‌Malik Shamar Walker</t>
  </si>
  <si>
    <t>‌8201 Fair Oaks Crossing 1050Dallas, TX 75231</t>
  </si>
  <si>
    <t>‌$3322.66</t>
  </si>
  <si>
    <t>‌$3,794.00Judgment Stay: 05/21/2026</t>
  </si>
  <si>
    <t>‌JPC-26-02895-31</t>
  </si>
  <si>
    <t>‌William Simpson</t>
  </si>
  <si>
    <t>‌8201 Fair Oaks Crossing 2065Dallas, TX 75231</t>
  </si>
  <si>
    <t>‌$5464.00</t>
  </si>
  <si>
    <t>‌$8,196.00Judgment Stay: 06/11/2026</t>
  </si>
  <si>
    <t>‌06/04/20269.30 am</t>
  </si>
  <si>
    <t>‌JPC-26-02916-31</t>
  </si>
  <si>
    <t>‌Talika Taylor</t>
  </si>
  <si>
    <t>‌8201 Fair Oaks Crossing 2067Dallas, TX 75231</t>
  </si>
  <si>
    <t>‌$5880.00</t>
  </si>
  <si>
    <t>‌$8,374.00Judgment Stay: 05/28/2026</t>
  </si>
  <si>
    <t>‌JPC-26-02909-31</t>
  </si>
  <si>
    <t>‌Emelyn Yoryina</t>
  </si>
  <si>
    <t>‌8201 Fair Oaks Crossing 1027Dallas, TX 75231</t>
  </si>
  <si>
    <t>‌$1000.00</t>
  </si>
  <si>
    <t>‌02/25/2026</t>
  </si>
  <si>
    <t>‌Tamiko Brown</t>
  </si>
  <si>
    <t>‌9750 Royal Lane 1106Dallas, TX 75231</t>
  </si>
  <si>
    <t>‌$1970.00</t>
  </si>
  <si>
    <t>‌$1696.00</t>
  </si>
  <si>
    <t>‌$2400.00</t>
  </si>
  <si>
    <t>‌Danny EnriqueSugeily NievesEdgar Estrada Barrera</t>
  </si>
  <si>
    <t>‌9750 Royal Lane 1-1206Dallas, TX 75231</t>
  </si>
  <si>
    <t>‌$2760.00</t>
  </si>
  <si>
    <t>‌02/17/2026</t>
  </si>
  <si>
    <t>‌$1664.00</t>
  </si>
  <si>
    <t>‌Leaujodon Pierre Alexander</t>
  </si>
  <si>
    <t>‌8201 Fair Oaks Crossing, ##1020Dallas, TX 75231</t>
  </si>
  <si>
    <t>‌$2812.00</t>
  </si>
  <si>
    <t>‌$5,389.00Judgment Stay: 04/03/2026</t>
  </si>
  <si>
    <t>‌03/25/20269.30 am</t>
  </si>
  <si>
    <t>‌JPC-26-01658-31</t>
  </si>
  <si>
    <t>‌Naureen AsadGulnaz Rashid</t>
  </si>
  <si>
    <t>‌8201 Fair Oaks Crossing 1013Dallas, TX 75231</t>
  </si>
  <si>
    <t>‌$452.98</t>
  </si>
  <si>
    <t>‌JPC-26-01656-31</t>
  </si>
  <si>
    <t>‌$2215.40</t>
  </si>
  <si>
    <t>‌Jordan Feaster</t>
  </si>
  <si>
    <t>‌8201 Fair Oaks Crossing 1080Dallas, TX 75231</t>
  </si>
  <si>
    <t>‌Alexxis Means</t>
  </si>
  <si>
    <t>‌8201 Fair Oaks Crossing , ##1016Dallas, TX 75231</t>
  </si>
  <si>
    <t>‌$2190.00</t>
  </si>
  <si>
    <t>‌$0.00Judgment Stay: 04/03/2026</t>
  </si>
  <si>
    <t>‌JPC-26-01657-31</t>
  </si>
  <si>
    <t>‌$800.66</t>
  </si>
  <si>
    <t>‌Omari Lamon White</t>
  </si>
  <si>
    <t>‌8303 Skillman Street 408Dallas, TX 75231</t>
  </si>
  <si>
    <t>‌$2290.00</t>
  </si>
  <si>
    <t>‌Amariah Wiggins</t>
  </si>
  <si>
    <t>‌8401 Skillman Street 3061Dallas, TX 75231</t>
  </si>
  <si>
    <t>‌$2140.00</t>
  </si>
  <si>
    <t>‌$7351.07</t>
  </si>
  <si>
    <t>‌03/26/20269.30 am</t>
  </si>
  <si>
    <t>‌JPC-26-01790-31</t>
  </si>
  <si>
    <t>‌Krystal Farrell</t>
  </si>
  <si>
    <t>‌8401 Skillman Street 2086Dallas, TX 75231</t>
  </si>
  <si>
    <t>‌$3054.00</t>
  </si>
  <si>
    <t>‌$4,326.00Judgment Stay: 04/03/2026</t>
  </si>
  <si>
    <t>‌JPC-26-01652-31</t>
  </si>
  <si>
    <t>‌$1568.00</t>
  </si>
  <si>
    <t>‌JPC-26-01795-31</t>
  </si>
  <si>
    <t>‌$1171.60</t>
  </si>
  <si>
    <t>‌$320.00</t>
  </si>
  <si>
    <t>‌Nicole Brown</t>
  </si>
  <si>
    <t>‌8401 Skillman Street 2021Dallas, TX 75231</t>
  </si>
  <si>
    <t>‌$7517.93</t>
  </si>
  <si>
    <t>‌JPC-26-01789-31</t>
  </si>
  <si>
    <t>‌Anay CarrascoLeonardo Jerezano</t>
  </si>
  <si>
    <t>‌8401 Skillman Street 1028Dallas, TX 75231</t>
  </si>
  <si>
    <t>‌$2350.00</t>
  </si>
  <si>
    <t>‌$1315.00</t>
  </si>
  <si>
    <t>‌$1988.00</t>
  </si>
  <si>
    <t>‌$1987.00</t>
  </si>
  <si>
    <t>‌02/17/2026MIL</t>
  </si>
  <si>
    <t>‌Fernando Gonzalez</t>
  </si>
  <si>
    <t>‌8401 Skillman Street 1059Dallas, TX 75231</t>
  </si>
  <si>
    <t>‌$840.00</t>
  </si>
  <si>
    <t>‌Christopher GuthrieTawa Salami Guthier</t>
  </si>
  <si>
    <t>‌8401 Skillman Street 2009Dallas, TX 75231</t>
  </si>
  <si>
    <t>‌$1300.00</t>
  </si>
  <si>
    <t>‌Leo Jackson</t>
  </si>
  <si>
    <t>‌8401 Skillman Street 1016Dallas, TX 75231</t>
  </si>
  <si>
    <t>‌$885.00</t>
  </si>
  <si>
    <t>‌$0.00Judgment Stay: 04/01/2026</t>
  </si>
  <si>
    <t>‌03/23/20261.30 pm</t>
  </si>
  <si>
    <t>‌JPC-26-01592-31</t>
  </si>
  <si>
    <t>‌Christiana Odebiyi</t>
  </si>
  <si>
    <t>‌8401 Skillman Street 1060Dallas, TX 75231</t>
  </si>
  <si>
    <t>‌$2010.00</t>
  </si>
  <si>
    <t>‌JPC-26-01791-31</t>
  </si>
  <si>
    <t>‌Aramide Ogundipe</t>
  </si>
  <si>
    <t>‌8303 Skillman Street 424Dallas, TX 75231</t>
  </si>
  <si>
    <t>‌$2534.00</t>
  </si>
  <si>
    <t>‌Joser Raudales</t>
  </si>
  <si>
    <t>‌8401 Skillman Street 1055Dallas, TX 75231</t>
  </si>
  <si>
    <t>‌$1204.65</t>
  </si>
  <si>
    <t>‌JPC-26-01786-31</t>
  </si>
  <si>
    <t>‌Zantevia Straw</t>
  </si>
  <si>
    <t>‌8401 Skillman Street 1049Dallas, TX 75231</t>
  </si>
  <si>
    <t>‌$926.00</t>
  </si>
  <si>
    <t>‌$457.00</t>
  </si>
  <si>
    <t>‌Rocio Contreras</t>
  </si>
  <si>
    <t>‌8303 Skillman Street 118Dallas, TX 75231</t>
  </si>
  <si>
    <t>‌$737.50</t>
  </si>
  <si>
    <t>‌JPC-26-01787-31</t>
  </si>
  <si>
    <t>‌Camilo FlorencioDANIELA NICANOR</t>
  </si>
  <si>
    <t>‌8303 Skillman Street 217Dallas, TX 75231</t>
  </si>
  <si>
    <t>‌$1524.60</t>
  </si>
  <si>
    <t>‌Diana Neira</t>
  </si>
  <si>
    <t>‌8303 Skillman Street 402Dallas, TX 75231</t>
  </si>
  <si>
    <t>‌$507.50</t>
  </si>
  <si>
    <t>‌Brianca Smiley</t>
  </si>
  <si>
    <t>‌8303 Skillman Street 169Dallas, TX 75231</t>
  </si>
  <si>
    <t>‌$2051.04</t>
  </si>
  <si>
    <t>‌JPC-26-01788-31</t>
  </si>
  <si>
    <t>‌Katera Smith</t>
  </si>
  <si>
    <t>‌8303 Skillman Street 352Dallas, TX 75231</t>
  </si>
  <si>
    <t>‌$1265.00</t>
  </si>
  <si>
    <t>‌JPC-26-01805-31</t>
  </si>
  <si>
    <t>‌Latesha Williams</t>
  </si>
  <si>
    <t>‌8303 Skillman Street 235Dallas, TX 75231</t>
  </si>
  <si>
    <t>‌$2157.00</t>
  </si>
  <si>
    <t>‌JPC-26-01804-31</t>
  </si>
  <si>
    <t>‌Teresa Williams</t>
  </si>
  <si>
    <t>‌8303 Skillman Street 104Dallas, TX 75231</t>
  </si>
  <si>
    <t>‌$2200.00</t>
  </si>
  <si>
    <t>‌$1420.00</t>
  </si>
  <si>
    <t>‌$2280.00</t>
  </si>
  <si>
    <t>‌JPC-26-01655-31</t>
  </si>
  <si>
    <t>‌$1921.00</t>
  </si>
  <si>
    <t>‌Juan Rangel</t>
  </si>
  <si>
    <t>‌9750 Royal Lane 719Dallas, TX 75231</t>
  </si>
  <si>
    <t>‌$806.00</t>
  </si>
  <si>
    <t>‌$1820.00</t>
  </si>
  <si>
    <t>‌Karen Yazmin VillanuevaFrancis M Ponce</t>
  </si>
  <si>
    <t>‌9750 Royal Lane 1-0916Dallas, TX 75231</t>
  </si>
  <si>
    <t>‌$3064.71</t>
  </si>
  <si>
    <t>‌Lisa DavilaAlejandro Salazar Lopez</t>
  </si>
  <si>
    <t>‌9750 Royal Lane 1-0717Dallas, TX 75231</t>
  </si>
  <si>
    <t>‌$905.00</t>
  </si>
  <si>
    <t>‌Jose Hugo GonzalesElias Gutierrez Araujo</t>
  </si>
  <si>
    <t>‌9750 Royal Lane 521Dallas, TX 75231</t>
  </si>
  <si>
    <t>‌$1502.00</t>
  </si>
  <si>
    <t>‌Abrianna LopezMaria Torres</t>
  </si>
  <si>
    <t>‌9750 Royal Lane 1-0616Dallas, TX 75231</t>
  </si>
  <si>
    <t>‌$255.00</t>
  </si>
  <si>
    <t>‌$878.00</t>
  </si>
  <si>
    <t>‌Faye Miller</t>
  </si>
  <si>
    <t>‌9750 Royal Lane 715Dallas, TX 75231</t>
  </si>
  <si>
    <t>‌$2020.00</t>
  </si>
  <si>
    <t>‌$2250.00</t>
  </si>
  <si>
    <t>‌$2241.00</t>
  </si>
  <si>
    <t>‌Deborah Clark</t>
  </si>
  <si>
    <t>‌8201 Fair Oaks Crossing 1081Dallas, TX 75231</t>
  </si>
  <si>
    <t>‌$2226.00</t>
  </si>
  <si>
    <t>‌$1120.14</t>
  </si>
  <si>
    <t>‌$1399.71</t>
  </si>
  <si>
    <t>‌$2033.09</t>
  </si>
  <si>
    <t>‌Yender Jose Uzcategui Aponte</t>
  </si>
  <si>
    <t>‌8201 Fair Oaks Crossing 2-3089Dallas, TX 75231</t>
  </si>
  <si>
    <t>‌$2180.00</t>
  </si>
  <si>
    <t>Item #</t>
  </si>
  <si>
    <t>Mgmt Co.</t>
  </si>
  <si>
    <t>Tenant</t>
  </si>
  <si>
    <t>Address</t>
  </si>
  <si>
    <t>Substatus</t>
  </si>
  <si>
    <t>Program Ver.</t>
  </si>
  <si>
    <t>Reported Date</t>
  </si>
  <si>
    <t>Reoccupied Date</t>
  </si>
  <si>
    <t>Carrier</t>
  </si>
  <si>
    <t>Unpaid</t>
  </si>
  <si>
    <t>Recovery %</t>
  </si>
  <si>
    <t>Coverage Limit</t>
  </si>
  <si>
    <t>Denial Reason</t>
  </si>
  <si>
    <t>Dismissed?</t>
  </si>
  <si>
    <t>Action Required?</t>
  </si>
  <si>
    <t>Days to File</t>
  </si>
  <si>
    <t>Loss Date</t>
  </si>
  <si>
    <t>Claimed Within Limit</t>
  </si>
  <si>
    <t>Missing Docs?</t>
  </si>
  <si>
    <t>Missing Docs List</t>
  </si>
  <si>
    <t>Property ID</t>
  </si>
  <si>
    <t>Tenant ID</t>
  </si>
  <si>
    <t>Dispute Date</t>
  </si>
  <si>
    <t>25-103410</t>
  </si>
  <si>
    <t>Investor Property Services</t>
  </si>
  <si>
    <t>W23-2-2042</t>
  </si>
  <si>
    <t>Closed</t>
  </si>
  <si>
    <t>Amount Claimed Greater than Limit</t>
  </si>
  <si>
    <t>6904196056</t>
  </si>
  <si>
    <t>24-61023</t>
  </si>
  <si>
    <t>Olman Hernandez</t>
  </si>
  <si>
    <t>3613720802</t>
  </si>
  <si>
    <t>24-67083</t>
  </si>
  <si>
    <t>Doris Alvarado garcia</t>
  </si>
  <si>
    <t>2-1002</t>
  </si>
  <si>
    <t>Pending Documentation;Closed-No Insured Response</t>
  </si>
  <si>
    <t>3613714573</t>
  </si>
  <si>
    <t>24-58141</t>
  </si>
  <si>
    <t>Megan Benedict</t>
  </si>
  <si>
    <t>Claim Item Denied</t>
  </si>
  <si>
    <t>631523221</t>
  </si>
  <si>
    <t>25-102082</t>
  </si>
  <si>
    <t>W07-1-0710</t>
  </si>
  <si>
    <t>4754398636</t>
  </si>
  <si>
    <t>25-100243</t>
  </si>
  <si>
    <t>Alejandro Pineda Matos,Mayerlin Gonzalez</t>
  </si>
  <si>
    <t>N14-3062</t>
  </si>
  <si>
    <t>Pending Documentation;Claim Item Denied</t>
  </si>
  <si>
    <t>4715783003</t>
  </si>
  <si>
    <t>25-106450</t>
  </si>
  <si>
    <t>Dinerrio Brown</t>
  </si>
  <si>
    <t>N12-3048</t>
  </si>
  <si>
    <t>Claim Denied</t>
  </si>
  <si>
    <t>7030175499</t>
  </si>
  <si>
    <t>Deadline- Eviction</t>
  </si>
  <si>
    <t>25-100574</t>
  </si>
  <si>
    <t>Nataly Hurtado,Rene Reyes</t>
  </si>
  <si>
    <t>3899757019</t>
  </si>
  <si>
    <t>25-103406</t>
  </si>
  <si>
    <t>N19-2082</t>
  </si>
  <si>
    <t>6904209213</t>
  </si>
  <si>
    <t>24-58104</t>
  </si>
  <si>
    <t>Julio Ernesto Ical</t>
  </si>
  <si>
    <t>3899785423</t>
  </si>
  <si>
    <t>25-106418</t>
  </si>
  <si>
    <t>Darrius Collins</t>
  </si>
  <si>
    <t>7966779174</t>
  </si>
  <si>
    <t>25-100578</t>
  </si>
  <si>
    <t>Deshawn Coleman</t>
  </si>
  <si>
    <t>3899759923</t>
  </si>
  <si>
    <t>24-61024</t>
  </si>
  <si>
    <t>Gabriela Verastegui</t>
  </si>
  <si>
    <t>3613720855</t>
  </si>
  <si>
    <t>26-107393</t>
  </si>
  <si>
    <t>Charles Ewere,Ese Ewere</t>
  </si>
  <si>
    <t>3618908561</t>
  </si>
  <si>
    <t>26-108249</t>
  </si>
  <si>
    <t>Lorinda Duffey</t>
  </si>
  <si>
    <t>W25-2-1031</t>
  </si>
  <si>
    <t>6770249734</t>
  </si>
  <si>
    <t>25-100367</t>
  </si>
  <si>
    <t>Brahyan Vargas,Francisco Amorocho Molina</t>
  </si>
  <si>
    <t>W14-1-1401</t>
  </si>
  <si>
    <t>5795109150</t>
  </si>
  <si>
    <t>24-61030</t>
  </si>
  <si>
    <t>Abari Alaba</t>
  </si>
  <si>
    <t>1-0509</t>
  </si>
  <si>
    <t>3899779914</t>
  </si>
  <si>
    <t>25-97646</t>
  </si>
  <si>
    <t>Austin Bray,Lora Lane</t>
  </si>
  <si>
    <t>S28-102</t>
  </si>
  <si>
    <t>3899762638</t>
  </si>
  <si>
    <t>25-106466</t>
  </si>
  <si>
    <t>Keyahma Walzier</t>
  </si>
  <si>
    <t>6770248126</t>
  </si>
  <si>
    <t>25-106368</t>
  </si>
  <si>
    <t>Dreson Evans</t>
  </si>
  <si>
    <t>W03-1-0308</t>
  </si>
  <si>
    <t>Pending Documentation</t>
  </si>
  <si>
    <t>4115506226</t>
  </si>
  <si>
    <t>24-67383</t>
  </si>
  <si>
    <t>Caterin Mejia</t>
  </si>
  <si>
    <t>3613721933</t>
  </si>
  <si>
    <t>25-100589</t>
  </si>
  <si>
    <t>Marcus Weathers</t>
  </si>
  <si>
    <t>6904113556</t>
  </si>
  <si>
    <t>24-58135</t>
  </si>
  <si>
    <t>Angel Salazar,Sandro Salazar</t>
  </si>
  <si>
    <t>631523167</t>
  </si>
  <si>
    <t>24-65979</t>
  </si>
  <si>
    <t>Mario Frias</t>
  </si>
  <si>
    <t>3899778009</t>
  </si>
  <si>
    <t>25-100576</t>
  </si>
  <si>
    <t>Jose Carranza,Maria Martinez</t>
  </si>
  <si>
    <t>W16-2-0711</t>
  </si>
  <si>
    <t>3899758890</t>
  </si>
  <si>
    <t>24-77770</t>
  </si>
  <si>
    <t>Damaris DeJesus,Jackson Nzeyimana</t>
  </si>
  <si>
    <t>5795109257</t>
  </si>
  <si>
    <t>25-100545</t>
  </si>
  <si>
    <t>Milton Rodriguez Romero,Karis Osorio</t>
  </si>
  <si>
    <t>W15-2-3057</t>
  </si>
  <si>
    <t>6770240076</t>
  </si>
  <si>
    <t>25-106407</t>
  </si>
  <si>
    <t>Samantha Ilugbekhai,Kelvin Ilugbekhai</t>
  </si>
  <si>
    <t>W06-1-0612</t>
  </si>
  <si>
    <t>7966778940</t>
  </si>
  <si>
    <t>Claim Filing Deadline</t>
  </si>
  <si>
    <t>26-109362</t>
  </si>
  <si>
    <t>Tamara Smith,Juanita Johnson</t>
  </si>
  <si>
    <t>W26-2-2015</t>
  </si>
  <si>
    <t>7966774283</t>
  </si>
  <si>
    <t>25-97581</t>
  </si>
  <si>
    <t>Devin Cooks,Dominique Cooks</t>
  </si>
  <si>
    <t>W03-1-0309</t>
  </si>
  <si>
    <t>3899760137</t>
  </si>
  <si>
    <t>26-107401</t>
  </si>
  <si>
    <t>Obiora Maneke</t>
  </si>
  <si>
    <t>W08-1-0807</t>
  </si>
  <si>
    <t>4227379244</t>
  </si>
  <si>
    <t>24-53553</t>
  </si>
  <si>
    <t>Alyssa Hodges</t>
  </si>
  <si>
    <t>1-1303</t>
  </si>
  <si>
    <t>3618880677</t>
  </si>
  <si>
    <t>24-53557</t>
  </si>
  <si>
    <t>Shelly Campbell</t>
  </si>
  <si>
    <t>1-0904</t>
  </si>
  <si>
    <t>Closed-No Insured Response</t>
  </si>
  <si>
    <t>3899755683</t>
  </si>
  <si>
    <t>25-106400</t>
  </si>
  <si>
    <t>Ayala Dennis,Tamiah Giles</t>
  </si>
  <si>
    <t>5485046402</t>
  </si>
  <si>
    <t>24-53559</t>
  </si>
  <si>
    <t>Renato Alvarez</t>
  </si>
  <si>
    <t>3613721693</t>
  </si>
  <si>
    <t>24-61028</t>
  </si>
  <si>
    <t>Nancy Hernandez</t>
  </si>
  <si>
    <t>3613721482</t>
  </si>
  <si>
    <t>26-107497</t>
  </si>
  <si>
    <t>Annelise Glaze</t>
  </si>
  <si>
    <t>W02-1-0209</t>
  </si>
  <si>
    <t>8127856069</t>
  </si>
  <si>
    <t>24-53558</t>
  </si>
  <si>
    <t>Yimi Orozco Ramirez</t>
  </si>
  <si>
    <t>1-1116</t>
  </si>
  <si>
    <t>3613714284</t>
  </si>
  <si>
    <t>24-57848</t>
  </si>
  <si>
    <t>Bryan Ogini-Peters</t>
  </si>
  <si>
    <t>2-1025</t>
  </si>
  <si>
    <t>3613714580</t>
  </si>
  <si>
    <t>25-78215</t>
  </si>
  <si>
    <t>Carolina Parra</t>
  </si>
  <si>
    <t>3613720772</t>
  </si>
  <si>
    <t>25-106439</t>
  </si>
  <si>
    <t>Keenan Mitchell</t>
  </si>
  <si>
    <t>W23-2-1041</t>
  </si>
  <si>
    <t>7582772845</t>
  </si>
  <si>
    <t>25-106366</t>
  </si>
  <si>
    <t>Cindy Delgadillo,Osiel Duarte</t>
  </si>
  <si>
    <t>3899770564</t>
  </si>
  <si>
    <t>25-106363</t>
  </si>
  <si>
    <t>Carlos Perez</t>
  </si>
  <si>
    <t>3618908712</t>
  </si>
  <si>
    <t>25-101072</t>
  </si>
  <si>
    <t>Ruben Rivera</t>
  </si>
  <si>
    <t>4296296615</t>
  </si>
  <si>
    <t>25-97602</t>
  </si>
  <si>
    <t>Raul Martinez</t>
  </si>
  <si>
    <t>W26-2-1013</t>
  </si>
  <si>
    <t>4011305439</t>
  </si>
  <si>
    <t>25-106447</t>
  </si>
  <si>
    <t>Kiara Murray</t>
  </si>
  <si>
    <t>N07-2051</t>
  </si>
  <si>
    <t>7489154862</t>
  </si>
  <si>
    <t>24-56548</t>
  </si>
  <si>
    <t>Joe Patton</t>
  </si>
  <si>
    <t>3613716807</t>
  </si>
  <si>
    <t>24-53174</t>
  </si>
  <si>
    <t>Quincy Law</t>
  </si>
  <si>
    <t>2-1021</t>
  </si>
  <si>
    <t>3899774871</t>
  </si>
  <si>
    <t>25-100568</t>
  </si>
  <si>
    <t>Abigail Foley,Justin Foley</t>
  </si>
  <si>
    <t>S40-160</t>
  </si>
  <si>
    <t>3613721368</t>
  </si>
  <si>
    <t>24-61045</t>
  </si>
  <si>
    <t>Daniel Lopez</t>
  </si>
  <si>
    <t>636846444</t>
  </si>
  <si>
    <t>26-108248</t>
  </si>
  <si>
    <t>Daniel Beltran</t>
  </si>
  <si>
    <t>6181156439</t>
  </si>
  <si>
    <t>25-106464</t>
  </si>
  <si>
    <t>Daniela Jaramillo,Jessica Jaramillo</t>
  </si>
  <si>
    <t>6770249604</t>
  </si>
  <si>
    <t>25-106431</t>
  </si>
  <si>
    <t>Kyesha Oatis</t>
  </si>
  <si>
    <t>6348406467</t>
  </si>
  <si>
    <t>25-106395</t>
  </si>
  <si>
    <t>Veronica Holton</t>
  </si>
  <si>
    <t>N20-1091</t>
  </si>
  <si>
    <t>5389387193</t>
  </si>
  <si>
    <t>26-108246</t>
  </si>
  <si>
    <t>Zaleeah Iddeen</t>
  </si>
  <si>
    <t>5858810560</t>
  </si>
  <si>
    <t>25-97643</t>
  </si>
  <si>
    <t>Chiddy Ezevillo,Clement Ezevillo</t>
  </si>
  <si>
    <t>3613721634</t>
  </si>
  <si>
    <t>25-103393</t>
  </si>
  <si>
    <t>7582774875</t>
  </si>
  <si>
    <t>25-103398</t>
  </si>
  <si>
    <t>6927137050</t>
  </si>
  <si>
    <t>25-103388</t>
  </si>
  <si>
    <t>7788265319</t>
  </si>
  <si>
    <t>25-101167</t>
  </si>
  <si>
    <t>Luis Ordonez Aguilar</t>
  </si>
  <si>
    <t>7489153520</t>
  </si>
  <si>
    <t>24-57850</t>
  </si>
  <si>
    <t>Richard Zambrana</t>
  </si>
  <si>
    <t>1-0409</t>
  </si>
  <si>
    <t>3613716061</t>
  </si>
  <si>
    <t>26-107396</t>
  </si>
  <si>
    <t>Christine Jackson,Rabiu Okunola</t>
  </si>
  <si>
    <t>4011305769</t>
  </si>
  <si>
    <t>25-86440</t>
  </si>
  <si>
    <t>Alejandra Velasquez</t>
  </si>
  <si>
    <t>1-1002</t>
  </si>
  <si>
    <t>6348465753</t>
  </si>
  <si>
    <t>25-102045</t>
  </si>
  <si>
    <t>N14-3058</t>
  </si>
  <si>
    <t>3852165465</t>
  </si>
  <si>
    <t>25-106359</t>
  </si>
  <si>
    <t>Jose Rosa</t>
  </si>
  <si>
    <t>W07-1-0703</t>
  </si>
  <si>
    <t>3618878102</t>
  </si>
  <si>
    <t>25-101395</t>
  </si>
  <si>
    <t>Enrique Jaral</t>
  </si>
  <si>
    <t>6348417953</t>
  </si>
  <si>
    <t>24-53550</t>
  </si>
  <si>
    <t>Eliana lobo</t>
  </si>
  <si>
    <t>1-0309</t>
  </si>
  <si>
    <t>3613713372</t>
  </si>
  <si>
    <t>25-100371</t>
  </si>
  <si>
    <t>Joy Onuorah</t>
  </si>
  <si>
    <t>W10-1-1005</t>
  </si>
  <si>
    <t>4725604794</t>
  </si>
  <si>
    <t>25-106467</t>
  </si>
  <si>
    <t>Brooklynn Mcgowan,Jarelle Mayberry</t>
  </si>
  <si>
    <t>6409588824</t>
  </si>
  <si>
    <t>24-67385</t>
  </si>
  <si>
    <t>Abosede Kolade</t>
  </si>
  <si>
    <t>3613716898</t>
  </si>
  <si>
    <t>24-67393</t>
  </si>
  <si>
    <t>Tramell Allen</t>
  </si>
  <si>
    <t>3899755130</t>
  </si>
  <si>
    <t>24-67378</t>
  </si>
  <si>
    <t>Tazae Adams</t>
  </si>
  <si>
    <t>3613716822</t>
  </si>
  <si>
    <t>25-106419</t>
  </si>
  <si>
    <t>Garrett L Bower</t>
  </si>
  <si>
    <t>7703360323</t>
  </si>
  <si>
    <t>25-97580</t>
  </si>
  <si>
    <t>S10-249</t>
  </si>
  <si>
    <t>6191221964</t>
  </si>
  <si>
    <t>25-106369</t>
  </si>
  <si>
    <t>Danny Maldonado,Javier Lopez</t>
  </si>
  <si>
    <t>W11-1-1116</t>
  </si>
  <si>
    <t>4413977817</t>
  </si>
  <si>
    <t>24-53178</t>
  </si>
  <si>
    <t>Eke Nkechi</t>
  </si>
  <si>
    <t>1-1313</t>
  </si>
  <si>
    <t>319674160</t>
  </si>
  <si>
    <t>25-106380</t>
  </si>
  <si>
    <t>Roy Quintero Jr</t>
  </si>
  <si>
    <t>W05-1-0522</t>
  </si>
  <si>
    <t>4570834677</t>
  </si>
  <si>
    <t>25-106377</t>
  </si>
  <si>
    <t>W06-1-0614</t>
  </si>
  <si>
    <t>4429064094</t>
  </si>
  <si>
    <t>25-106355</t>
  </si>
  <si>
    <t>Sheku Popai</t>
  </si>
  <si>
    <t>3613713858</t>
  </si>
  <si>
    <t>25-97615</t>
  </si>
  <si>
    <t>Diana Valeria Pacheco,Oscar Mendez</t>
  </si>
  <si>
    <t>3899783108</t>
  </si>
  <si>
    <t>25-86431</t>
  </si>
  <si>
    <t>Emanuela Petitval</t>
  </si>
  <si>
    <t>4022096445</t>
  </si>
  <si>
    <t>24-57853</t>
  </si>
  <si>
    <t>Edgar Rincon</t>
  </si>
  <si>
    <t>3613721466</t>
  </si>
  <si>
    <t>24-58108</t>
  </si>
  <si>
    <t>Lacey Scott</t>
  </si>
  <si>
    <t>1-1417</t>
  </si>
  <si>
    <t>3711170982</t>
  </si>
  <si>
    <t>26-107390</t>
  </si>
  <si>
    <t>Uriel Bautista</t>
  </si>
  <si>
    <t>3613720788</t>
  </si>
  <si>
    <t>26-107388</t>
  </si>
  <si>
    <t>Samuel Mezie</t>
  </si>
  <si>
    <t>3613712998</t>
  </si>
  <si>
    <t>24-67390</t>
  </si>
  <si>
    <t>Syrena Torres</t>
  </si>
  <si>
    <t>3613720673</t>
  </si>
  <si>
    <t>25-106404</t>
  </si>
  <si>
    <t>Malik Ismail</t>
  </si>
  <si>
    <t>W08-1-0806</t>
  </si>
  <si>
    <t>5485094226</t>
  </si>
  <si>
    <t>24-53556</t>
  </si>
  <si>
    <t>Faten Mashreqi</t>
  </si>
  <si>
    <t>3613714327</t>
  </si>
  <si>
    <t>25-106406</t>
  </si>
  <si>
    <t>Fernando Gallardo</t>
  </si>
  <si>
    <t>W10-1-1004</t>
  </si>
  <si>
    <t>8479880575</t>
  </si>
  <si>
    <t>25-101391</t>
  </si>
  <si>
    <t>Roseline Otanwa</t>
  </si>
  <si>
    <t>W02-1-0210</t>
  </si>
  <si>
    <t>3618882976</t>
  </si>
  <si>
    <t>25-106465</t>
  </si>
  <si>
    <t>Lavona Lipscomb</t>
  </si>
  <si>
    <t>N13-2057</t>
  </si>
  <si>
    <t>6770249316</t>
  </si>
  <si>
    <t>24-56550</t>
  </si>
  <si>
    <t>Nikia Butler</t>
  </si>
  <si>
    <t>1-1107</t>
  </si>
  <si>
    <t>3613716565</t>
  </si>
  <si>
    <t>25-106445</t>
  </si>
  <si>
    <t>Myron Jones</t>
  </si>
  <si>
    <t>7582771797</t>
  </si>
  <si>
    <t>25-106413</t>
  </si>
  <si>
    <t>Alexander Vanegas Duran</t>
  </si>
  <si>
    <t>5654665818</t>
  </si>
  <si>
    <t>24-56532</t>
  </si>
  <si>
    <t>Karla Machuca</t>
  </si>
  <si>
    <t>3613721167</t>
  </si>
  <si>
    <t>25-101174</t>
  </si>
  <si>
    <t>Gabriel Medina Zavala,Rosaivic Martinez Pereida</t>
  </si>
  <si>
    <t>6770249666</t>
  </si>
  <si>
    <t>25-97628</t>
  </si>
  <si>
    <t>Azeezat Seidu</t>
  </si>
  <si>
    <t>W28-2-1019</t>
  </si>
  <si>
    <t>7054017008</t>
  </si>
  <si>
    <t>25-106385</t>
  </si>
  <si>
    <t>Santos Avila</t>
  </si>
  <si>
    <t>W02-1-0214</t>
  </si>
  <si>
    <t>5084263793</t>
  </si>
  <si>
    <t>25-106403</t>
  </si>
  <si>
    <t>Tania Machado</t>
  </si>
  <si>
    <t>N04-1022</t>
  </si>
  <si>
    <t>9336995320</t>
  </si>
  <si>
    <t>26-109491</t>
  </si>
  <si>
    <t>CAF Management</t>
  </si>
  <si>
    <t>Christopher Lewis</t>
  </si>
  <si>
    <t>N09-1035</t>
  </si>
  <si>
    <t>3640369616</t>
  </si>
  <si>
    <t>100139438</t>
  </si>
  <si>
    <t>26-112314</t>
  </si>
  <si>
    <t>Chigozie Amaechi-Okorie</t>
  </si>
  <si>
    <t>4872373693</t>
  </si>
  <si>
    <t>26-112393</t>
  </si>
  <si>
    <t>Desaray Weathers</t>
  </si>
  <si>
    <t>6200470591</t>
  </si>
  <si>
    <t>26-111251</t>
  </si>
  <si>
    <t>Andrew Jonshua</t>
  </si>
  <si>
    <t>6770248630</t>
  </si>
  <si>
    <t>Fees</t>
  </si>
  <si>
    <t>26-113399</t>
  </si>
  <si>
    <t>Breana Renee</t>
  </si>
  <si>
    <t>6348462455</t>
  </si>
  <si>
    <t>26-112425</t>
  </si>
  <si>
    <t>Julian Rodriguez</t>
  </si>
  <si>
    <t>7030176492</t>
  </si>
  <si>
    <t>26-113347</t>
  </si>
  <si>
    <t>Randy Armstrong</t>
  </si>
  <si>
    <t>6339584759</t>
  </si>
  <si>
    <t>26-110843</t>
  </si>
  <si>
    <t>6348409898</t>
  </si>
  <si>
    <t>16800995</t>
  </si>
  <si>
    <t>26-112944</t>
  </si>
  <si>
    <t>Roseline Ilugbekhai</t>
  </si>
  <si>
    <t>862539403</t>
  </si>
  <si>
    <t>Deadline-Claim Filing</t>
  </si>
  <si>
    <t>26-112943</t>
  </si>
  <si>
    <t>6403137752</t>
  </si>
  <si>
    <t>16801001</t>
  </si>
  <si>
    <t>26-110898</t>
  </si>
  <si>
    <t>6770248176</t>
  </si>
  <si>
    <t>26-112396</t>
  </si>
  <si>
    <t>Laquinda Weaver</t>
  </si>
  <si>
    <t>6770248389</t>
  </si>
  <si>
    <t>26-112423</t>
  </si>
  <si>
    <t>6770249251</t>
  </si>
  <si>
    <t>26-113498</t>
  </si>
  <si>
    <t>Jocelyn Perez</t>
  </si>
  <si>
    <t>6770249388</t>
  </si>
  <si>
    <t>Ledger;Eviction Documentation</t>
  </si>
  <si>
    <t>26-112427</t>
  </si>
  <si>
    <t>7338640603</t>
  </si>
  <si>
    <t>26-112298</t>
  </si>
  <si>
    <t>Vita Manning</t>
  </si>
  <si>
    <t>4171873033</t>
  </si>
  <si>
    <t>16801286</t>
  </si>
  <si>
    <t>26-112942</t>
  </si>
  <si>
    <t>Stephanie Davis</t>
  </si>
  <si>
    <t>8582135080</t>
  </si>
  <si>
    <t>26-113402</t>
  </si>
  <si>
    <t>Taydrian Washington</t>
  </si>
  <si>
    <t>8828995701</t>
  </si>
  <si>
    <t>26-112453</t>
  </si>
  <si>
    <t>Latrina Thomas</t>
  </si>
  <si>
    <t>8828993535</t>
  </si>
  <si>
    <t>26-113497</t>
  </si>
  <si>
    <t>Lakimbe Anderson</t>
  </si>
  <si>
    <t>8931630922</t>
  </si>
  <si>
    <t>26-112951</t>
  </si>
  <si>
    <t>Stephanie Williams</t>
  </si>
  <si>
    <t>N19-2076</t>
  </si>
  <si>
    <t>9295357312</t>
  </si>
  <si>
    <t>26-111120</t>
  </si>
  <si>
    <t>9336995240</t>
  </si>
  <si>
    <t>26-113698</t>
  </si>
  <si>
    <t>Joser Raudales</t>
  </si>
  <si>
    <t>4908659219</t>
  </si>
  <si>
    <t>Damage Photos</t>
  </si>
  <si>
    <t>26-112452</t>
  </si>
  <si>
    <t>Shaquesa Murphy</t>
  </si>
  <si>
    <t>7657720885</t>
  </si>
  <si>
    <t>Ledger</t>
  </si>
  <si>
    <t>26-113718</t>
  </si>
  <si>
    <t>Teresa Williams</t>
  </si>
  <si>
    <t>7648615785</t>
  </si>
  <si>
    <t>26-113699</t>
  </si>
  <si>
    <t>7489153312</t>
  </si>
  <si>
    <t>26-113716</t>
  </si>
  <si>
    <t>7338647101</t>
  </si>
  <si>
    <t>26-114252</t>
  </si>
  <si>
    <t>3899779684</t>
  </si>
  <si>
    <t>26-113725</t>
  </si>
  <si>
    <t>3899773357</t>
  </si>
  <si>
    <t>26-113689</t>
  </si>
  <si>
    <t>Brittany Candler</t>
  </si>
  <si>
    <t>7489152660</t>
  </si>
  <si>
    <t>26-113713</t>
  </si>
  <si>
    <t>Ahmed Elhakim</t>
  </si>
  <si>
    <t>3613714491</t>
  </si>
  <si>
    <t>26-109489</t>
  </si>
  <si>
    <t>Oscar Isidro</t>
  </si>
  <si>
    <t>862539313</t>
  </si>
  <si>
    <t>26-112974</t>
  </si>
  <si>
    <t>3613715648</t>
  </si>
  <si>
    <t>26-112955</t>
  </si>
  <si>
    <t>Amanda Dominguez</t>
  </si>
  <si>
    <t>3613721654</t>
  </si>
  <si>
    <t>26-112956</t>
  </si>
  <si>
    <t>4270058549</t>
  </si>
  <si>
    <t>26-109478</t>
  </si>
  <si>
    <t>Archesicia Thomas</t>
  </si>
  <si>
    <t>6155143120</t>
  </si>
  <si>
    <t>Paid by Renter</t>
  </si>
  <si>
    <t>26-112315</t>
  </si>
  <si>
    <t>Symone Rogers</t>
  </si>
  <si>
    <t>5225499310</t>
  </si>
  <si>
    <t>26-112320</t>
  </si>
  <si>
    <t>Theophile Kangkang</t>
  </si>
  <si>
    <t>6114056130</t>
  </si>
  <si>
    <t>26-112429</t>
  </si>
  <si>
    <t>Dynisha Harris</t>
  </si>
  <si>
    <t>7438312972</t>
  </si>
  <si>
    <t>26-112941</t>
  </si>
  <si>
    <t>Ingrid Diaz</t>
  </si>
  <si>
    <t>6927134576</t>
  </si>
  <si>
    <t>26-112947</t>
  </si>
  <si>
    <t>Jose Roman</t>
  </si>
  <si>
    <t>7228089119</t>
  </si>
  <si>
    <t>26-113721</t>
  </si>
  <si>
    <t>Yender Jose</t>
  </si>
  <si>
    <t>7966779521</t>
  </si>
  <si>
    <t>26-114256</t>
  </si>
  <si>
    <t>Almudena Edu</t>
  </si>
  <si>
    <t>6339584798</t>
  </si>
  <si>
    <t>26-114267</t>
  </si>
  <si>
    <t>Amariah Wiggins</t>
  </si>
  <si>
    <t>5848851073</t>
  </si>
  <si>
    <t>Eviction Documentation</t>
  </si>
  <si>
    <t>26-114272</t>
  </si>
  <si>
    <t>Omari White</t>
  </si>
  <si>
    <t>9716376474</t>
  </si>
  <si>
    <t>26-114274</t>
  </si>
  <si>
    <t>Deborah Clark</t>
  </si>
  <si>
    <t>771503537</t>
  </si>
  <si>
    <t>26-115192</t>
  </si>
  <si>
    <t>3899772454</t>
  </si>
  <si>
    <t>26-115719</t>
  </si>
  <si>
    <t>3613716379</t>
  </si>
  <si>
    <t>26-115731</t>
  </si>
  <si>
    <t>Aramide Ogundipe</t>
  </si>
  <si>
    <t>3613721663</t>
  </si>
  <si>
    <t>26-116301</t>
  </si>
  <si>
    <t>Tamiko Brown</t>
  </si>
  <si>
    <t>7184396694</t>
  </si>
  <si>
    <t>26-116303</t>
  </si>
  <si>
    <t>Jonathan Tinoco</t>
  </si>
  <si>
    <t>7538789581</t>
  </si>
  <si>
    <t>26-116304</t>
  </si>
  <si>
    <t>3912285314</t>
  </si>
  <si>
    <t>26-116305</t>
  </si>
  <si>
    <t>Nicholas Fonwo</t>
  </si>
  <si>
    <t>7286118026</t>
  </si>
  <si>
    <t>26-116848</t>
  </si>
  <si>
    <t>Faye Miller</t>
  </si>
  <si>
    <t>5084242710</t>
  </si>
  <si>
    <t>26-116839</t>
  </si>
  <si>
    <t>Nicole Brown</t>
  </si>
  <si>
    <t>8127854850</t>
  </si>
  <si>
    <t>26-116838</t>
  </si>
  <si>
    <t>Brianca Smiley</t>
  </si>
  <si>
    <t>7703360423</t>
  </si>
  <si>
    <t>26-116827</t>
  </si>
  <si>
    <t>Rocio Contreras</t>
  </si>
  <si>
    <t>4296297448</t>
  </si>
  <si>
    <t>26-116663</t>
  </si>
  <si>
    <t>Olufemi Oladejo</t>
  </si>
  <si>
    <t>6191219252</t>
  </si>
  <si>
    <t>26-116661</t>
  </si>
  <si>
    <t>Alexandria Newman</t>
  </si>
  <si>
    <t>4022097160</t>
  </si>
  <si>
    <t>26-116845</t>
  </si>
  <si>
    <t>Daniel Rodriguez</t>
  </si>
  <si>
    <t>6770248335</t>
  </si>
  <si>
    <t>26-116672</t>
  </si>
  <si>
    <t>Karina Mendoza</t>
  </si>
  <si>
    <t>6348457383</t>
  </si>
  <si>
    <t>26-116666</t>
  </si>
  <si>
    <t>Mari Rojas</t>
  </si>
  <si>
    <t>6348422742</t>
  </si>
  <si>
    <t>26-116835</t>
  </si>
  <si>
    <t>Latesha Williams</t>
  </si>
  <si>
    <t>6348443874</t>
  </si>
  <si>
    <t>26-117282</t>
  </si>
  <si>
    <t>Andres Hernandez</t>
  </si>
  <si>
    <t>8127856416</t>
  </si>
  <si>
    <t>26-118121</t>
  </si>
  <si>
    <t>Earl Roof</t>
  </si>
  <si>
    <t>3618882911</t>
  </si>
  <si>
    <t>16801587</t>
  </si>
  <si>
    <t>26-118125</t>
  </si>
  <si>
    <t>Leaujodon Alexander</t>
  </si>
  <si>
    <t>9295357433</t>
  </si>
  <si>
    <t>16801400</t>
  </si>
  <si>
    <t>26-118313</t>
  </si>
  <si>
    <t>Jordan Feaster</t>
  </si>
  <si>
    <t>9249833163</t>
  </si>
  <si>
    <t>16801394</t>
  </si>
  <si>
    <t>26-118316</t>
  </si>
  <si>
    <t>8242760085</t>
  </si>
  <si>
    <t>16801238</t>
  </si>
  <si>
    <t>26-118305</t>
  </si>
  <si>
    <t>Krystal Farrell</t>
  </si>
  <si>
    <t>8127855710</t>
  </si>
  <si>
    <t>16801226</t>
  </si>
  <si>
    <t>26-118841</t>
  </si>
  <si>
    <t>Scott Johnson</t>
  </si>
  <si>
    <t>10684285974</t>
  </si>
  <si>
    <t>26-118838</t>
  </si>
  <si>
    <t>Juan Ruiz,Maricela Ortega</t>
  </si>
  <si>
    <t>4250767076</t>
  </si>
  <si>
    <t>26-118824</t>
  </si>
  <si>
    <t>Kelvia Hernandez</t>
  </si>
  <si>
    <t>4115506172</t>
  </si>
  <si>
    <t>26-118599</t>
  </si>
  <si>
    <t>N23-2098</t>
  </si>
  <si>
    <t>3613721794</t>
  </si>
  <si>
    <t>26-118837</t>
  </si>
  <si>
    <t>Nadia Ramirez</t>
  </si>
  <si>
    <t>8490997893</t>
  </si>
  <si>
    <t>26-118600</t>
  </si>
  <si>
    <t>Luis garcia</t>
  </si>
  <si>
    <t>W13-1-1321</t>
  </si>
  <si>
    <t>7966779317</t>
  </si>
  <si>
    <t>26-118839</t>
  </si>
  <si>
    <t>Aminu Titilayo</t>
  </si>
  <si>
    <t>W24-2-2033</t>
  </si>
  <si>
    <t>7237193451</t>
  </si>
  <si>
    <t>26-118815</t>
  </si>
  <si>
    <t>319674090</t>
  </si>
  <si>
    <t>26-118816</t>
  </si>
  <si>
    <t>Carlos Jose Oliva Cordero</t>
  </si>
  <si>
    <t>W08-1-0810</t>
  </si>
  <si>
    <t>6348395105</t>
  </si>
  <si>
    <t>26-119476</t>
  </si>
  <si>
    <t>Alvin James</t>
  </si>
  <si>
    <t>12163940145</t>
  </si>
  <si>
    <t>26-119350</t>
  </si>
  <si>
    <t>Adolfo Munguia</t>
  </si>
  <si>
    <t>W23-2-2044</t>
  </si>
  <si>
    <t>8968944721</t>
  </si>
  <si>
    <t>26-119469</t>
  </si>
  <si>
    <t>N15-1067</t>
  </si>
  <si>
    <t>3673425249</t>
  </si>
  <si>
    <t>26-119348</t>
  </si>
  <si>
    <t>Rayquain Brown</t>
  </si>
  <si>
    <t>6770250799</t>
  </si>
  <si>
    <t>26-119540</t>
  </si>
  <si>
    <t>Stuart Doing</t>
  </si>
  <si>
    <t>3613722028</t>
  </si>
  <si>
    <t>26-119963</t>
  </si>
  <si>
    <t>S29-213</t>
  </si>
  <si>
    <t>6191219666</t>
  </si>
  <si>
    <t>26-120779</t>
  </si>
  <si>
    <t>Teaira Shead</t>
  </si>
  <si>
    <t>9716376184</t>
  </si>
  <si>
    <t>26-120777</t>
  </si>
  <si>
    <t>Talika Taylor</t>
  </si>
  <si>
    <t>8828994902</t>
  </si>
  <si>
    <t>Eviction Documentation;Other</t>
  </si>
  <si>
    <t>26-120776</t>
  </si>
  <si>
    <t>Jared Jenkins</t>
  </si>
  <si>
    <t>7886616917</t>
  </si>
  <si>
    <t>26-120780</t>
  </si>
  <si>
    <t>418200662</t>
  </si>
  <si>
    <t>26-120770</t>
  </si>
  <si>
    <t>3613716699</t>
  </si>
  <si>
    <t>26-120774</t>
  </si>
  <si>
    <t>Briana Clark</t>
  </si>
  <si>
    <t>6770249943</t>
  </si>
  <si>
    <t>26-120772</t>
  </si>
  <si>
    <t>Mahogany Harris</t>
  </si>
  <si>
    <t>5946654137</t>
  </si>
  <si>
    <t>26-121451</t>
  </si>
  <si>
    <t>Yeiby Cardenas</t>
  </si>
  <si>
    <t>8242741459</t>
  </si>
  <si>
    <t>26-121464</t>
  </si>
  <si>
    <t>Sergio Rodas</t>
  </si>
  <si>
    <t>5729419006</t>
  </si>
  <si>
    <t>26-121220</t>
  </si>
  <si>
    <t>Malik Shamar</t>
  </si>
  <si>
    <t>10379652643</t>
  </si>
  <si>
    <t>26-121442</t>
  </si>
  <si>
    <t>Tatiana Cooks</t>
  </si>
  <si>
    <t>9662694203</t>
  </si>
  <si>
    <t>26-121219</t>
  </si>
  <si>
    <t>Jose Villanueva</t>
  </si>
  <si>
    <t>9468567104</t>
  </si>
  <si>
    <t>26-121461</t>
  </si>
  <si>
    <t>4935385843</t>
  </si>
  <si>
    <t>26-121351</t>
  </si>
  <si>
    <t>Jorge Camacho</t>
  </si>
  <si>
    <t>3613721436</t>
  </si>
  <si>
    <t>Lease;Eviction Documentation</t>
  </si>
  <si>
    <t>26-121353</t>
  </si>
  <si>
    <t>4227379101</t>
  </si>
  <si>
    <t>26-121439</t>
  </si>
  <si>
    <t>3618881759</t>
  </si>
  <si>
    <t>26-121435</t>
  </si>
  <si>
    <t>5848804912</t>
  </si>
  <si>
    <t>26-121217</t>
  </si>
  <si>
    <t>Ilona Hishaw</t>
  </si>
  <si>
    <t>8127856483</t>
  </si>
  <si>
    <t>26-121446</t>
  </si>
  <si>
    <t>3613714611</t>
  </si>
  <si>
    <t>26-121355</t>
  </si>
  <si>
    <t>Dandrea Mcneil</t>
  </si>
  <si>
    <t>6770248277</t>
  </si>
  <si>
    <t>26-121214</t>
  </si>
  <si>
    <t>Rodrinesha Fridia</t>
  </si>
  <si>
    <t>6212510886</t>
  </si>
  <si>
    <t>Unit Status</t>
  </si>
  <si>
    <t>Expected Move-Out</t>
  </si>
  <si>
    <t>Actual Charges</t>
  </si>
  <si>
    <t>Scheduled Charges</t>
  </si>
  <si>
    <t>Balance</t>
  </si>
  <si>
    <t>Deposit Held</t>
  </si>
  <si>
    <t>Vacant Rented Not Ready</t>
  </si>
  <si>
    <t>-- Vacant --</t>
  </si>
  <si>
    <t>W05-1-0505</t>
  </si>
  <si>
    <t>Romero, Roberto</t>
  </si>
  <si>
    <t>W05-1-0506</t>
  </si>
  <si>
    <t>Anyaegbu, Kenechukwu</t>
  </si>
  <si>
    <t>Vacant Unrented Not Ready</t>
  </si>
  <si>
    <t>W05-1-0520</t>
  </si>
  <si>
    <t>James, Paul</t>
  </si>
  <si>
    <t>W05-1-0523</t>
  </si>
  <si>
    <t>Lyons, Robert</t>
  </si>
  <si>
    <t>W05-1-0524</t>
  </si>
  <si>
    <t>W07-1-0702</t>
  </si>
  <si>
    <t>Zelasko, Stan</t>
  </si>
  <si>
    <t>Mezgebe, Filmon</t>
  </si>
  <si>
    <t>W07-1-0704</t>
  </si>
  <si>
    <t>Martinez, Diego</t>
  </si>
  <si>
    <t>W07-1-0706</t>
  </si>
  <si>
    <t>Siegwald, Kevin</t>
  </si>
  <si>
    <t>W07-1-0721</t>
  </si>
  <si>
    <t>Contreras, Hivis</t>
  </si>
  <si>
    <t>W13-1-1301</t>
  </si>
  <si>
    <t>Calvillo, Lisa</t>
  </si>
  <si>
    <t>W13-1-1302</t>
  </si>
  <si>
    <t>REYNOLDS, STEPHEN</t>
  </si>
  <si>
    <t>W13-1-1320</t>
  </si>
  <si>
    <t>Brown, Chiquita</t>
  </si>
  <si>
    <t>W13-1-1323</t>
  </si>
  <si>
    <t>Celaya, Michelle</t>
  </si>
  <si>
    <t>Nataren Quintanilla, Johnathan</t>
  </si>
  <si>
    <t>N01-2004</t>
  </si>
  <si>
    <t>Joel, Douglas</t>
  </si>
  <si>
    <t>N01-3001</t>
  </si>
  <si>
    <t>Velez, Kelvin</t>
  </si>
  <si>
    <t>N01-3002</t>
  </si>
  <si>
    <t>Heath, Mekeja</t>
  </si>
  <si>
    <t>N09-1034</t>
  </si>
  <si>
    <t>Odimegwu, Ekwutor</t>
  </si>
  <si>
    <t>Betancourt, Eleazar</t>
  </si>
  <si>
    <t>N09-1036</t>
  </si>
  <si>
    <t>Montes, Lorena</t>
  </si>
  <si>
    <t>N09-2035</t>
  </si>
  <si>
    <t>Mckelvin, Dylan</t>
  </si>
  <si>
    <t>N10-1039</t>
  </si>
  <si>
    <t>Jegede, Lamidi</t>
  </si>
  <si>
    <t>N10-1040</t>
  </si>
  <si>
    <t>Hernandez, Orlin</t>
  </si>
  <si>
    <t>N10-2039</t>
  </si>
  <si>
    <t>N10-2040</t>
  </si>
  <si>
    <t>N10-3039</t>
  </si>
  <si>
    <t>Okedele, Morenikeji</t>
  </si>
  <si>
    <t>N12-1046</t>
  </si>
  <si>
    <t>Santana, Lorenzo</t>
  </si>
  <si>
    <t>N12-1047</t>
  </si>
  <si>
    <t>Nnaji, Nnenna</t>
  </si>
  <si>
    <t>N12-1048</t>
  </si>
  <si>
    <t>Herrera, Ingrid</t>
  </si>
  <si>
    <t>N12-3047</t>
  </si>
  <si>
    <t>Nayte, Daniel</t>
  </si>
  <si>
    <t>N12-3049</t>
  </si>
  <si>
    <t>N15-1066</t>
  </si>
  <si>
    <t>Cummings, Clayton</t>
  </si>
  <si>
    <t>N15-2066</t>
  </si>
  <si>
    <t>Gonzalez, Adolfo</t>
  </si>
  <si>
    <t>N15-2069</t>
  </si>
  <si>
    <t>Vazquez, Jesus</t>
  </si>
  <si>
    <t>N15-3067</t>
  </si>
  <si>
    <t>Jhaidri, Amine</t>
  </si>
  <si>
    <t>Simmons, Myleah</t>
  </si>
  <si>
    <t>W21-2-1053</t>
  </si>
  <si>
    <t>Centeno, Lester</t>
  </si>
  <si>
    <t>W21-2-1055</t>
  </si>
  <si>
    <t>Akoh, Omachile</t>
  </si>
  <si>
    <t>W21-2-1057</t>
  </si>
  <si>
    <t>David, Elvin</t>
  </si>
  <si>
    <t>W21-2-1060</t>
  </si>
  <si>
    <t>Paw, Ta</t>
  </si>
  <si>
    <t>W21-2-2054</t>
  </si>
  <si>
    <t>Daboh, Sheik</t>
  </si>
  <si>
    <t>W21-2-2055</t>
  </si>
  <si>
    <t>Adetunji, Oladayo</t>
  </si>
  <si>
    <t>W21-2-2056</t>
  </si>
  <si>
    <t>Gamez-Montes, Jose</t>
  </si>
  <si>
    <t>Ahmadu, Yakubu</t>
  </si>
  <si>
    <t>W21-2-2060</t>
  </si>
  <si>
    <t>JIN, Yichao</t>
  </si>
  <si>
    <t>W21-2-2061</t>
  </si>
  <si>
    <t>Gyles, Noah</t>
  </si>
  <si>
    <t>Okem, Paul</t>
  </si>
  <si>
    <t>Essel, Margaret</t>
  </si>
  <si>
    <t>W03-1-0312</t>
  </si>
  <si>
    <t>Mitchell, Kolby</t>
  </si>
  <si>
    <t>W03-1-0313</t>
  </si>
  <si>
    <t>Santana, Perla</t>
  </si>
  <si>
    <t>W03-1-0314</t>
  </si>
  <si>
    <t>Jaimes, Maria</t>
  </si>
  <si>
    <t>W03-1-0316</t>
  </si>
  <si>
    <t>Silva, Pascual</t>
  </si>
  <si>
    <t>W03-1-0317</t>
  </si>
  <si>
    <t>Olumuyiwa, Blessing</t>
  </si>
  <si>
    <t>W03-1-0318</t>
  </si>
  <si>
    <t>Solis, Dulce</t>
  </si>
  <si>
    <t>W05-1-0507</t>
  </si>
  <si>
    <t>Waweru, Consolata</t>
  </si>
  <si>
    <t>W05-1-0509</t>
  </si>
  <si>
    <t>Abeso, Angela</t>
  </si>
  <si>
    <t>W05-1-0511</t>
  </si>
  <si>
    <t>Ghebremichael, Yohanes</t>
  </si>
  <si>
    <t>W05-1-0512</t>
  </si>
  <si>
    <t>Okoro, Eric</t>
  </si>
  <si>
    <t>W05-1-0513</t>
  </si>
  <si>
    <t>Williams, Natasha</t>
  </si>
  <si>
    <t>W05-1-0515</t>
  </si>
  <si>
    <t>Okeke, Johnpaul</t>
  </si>
  <si>
    <t>W07-1-0709</t>
  </si>
  <si>
    <t>Kaper, Kevin</t>
  </si>
  <si>
    <t>W07-1-0713</t>
  </si>
  <si>
    <t>Ali, Zain</t>
  </si>
  <si>
    <t>Nguebuo, Bernadette</t>
  </si>
  <si>
    <t>W07-1-0718</t>
  </si>
  <si>
    <t>Pompa, Brianna</t>
  </si>
  <si>
    <t>W12-1-1207</t>
  </si>
  <si>
    <t>Arenas, Luis</t>
  </si>
  <si>
    <t>W12-1-1208</t>
  </si>
  <si>
    <t>Valera, Franklin</t>
  </si>
  <si>
    <t>Vacant Rented Ready</t>
  </si>
  <si>
    <t>W12-1-1210</t>
  </si>
  <si>
    <t>Oshilaja, Nojimu</t>
  </si>
  <si>
    <t>W12-1-1212</t>
  </si>
  <si>
    <t>Stites, Christian</t>
  </si>
  <si>
    <t>Vacant Unrented Ready</t>
  </si>
  <si>
    <t>W12-1-1214</t>
  </si>
  <si>
    <t>W12-1-1215</t>
  </si>
  <si>
    <t>McKnight, Keshira</t>
  </si>
  <si>
    <t>W12-1-1216</t>
  </si>
  <si>
    <t>Gebru, Filmon</t>
  </si>
  <si>
    <t>W12-1-1217</t>
  </si>
  <si>
    <t>Tresp, Jerry</t>
  </si>
  <si>
    <t>W13-1-1307</t>
  </si>
  <si>
    <t>Garrett, Mary</t>
  </si>
  <si>
    <t>W13-1-1310</t>
  </si>
  <si>
    <t>Barrett, AL</t>
  </si>
  <si>
    <t>W13-1-1312</t>
  </si>
  <si>
    <t>Iwuanyanwu, Paul</t>
  </si>
  <si>
    <t>W13-1-1313</t>
  </si>
  <si>
    <t>Hall, Tamika</t>
  </si>
  <si>
    <t>W13-1-1314</t>
  </si>
  <si>
    <t>Faniyi, Oluwole</t>
  </si>
  <si>
    <t>W13-1-1315</t>
  </si>
  <si>
    <t>Vielman, Myler</t>
  </si>
  <si>
    <t>W13-1-1316</t>
  </si>
  <si>
    <t>Devera, Paz</t>
  </si>
  <si>
    <t>W14-1-1407</t>
  </si>
  <si>
    <t>John, Bolanle</t>
  </si>
  <si>
    <t>W14-1-1408</t>
  </si>
  <si>
    <t>Gebrehiwot, Haben</t>
  </si>
  <si>
    <t>W14-1-1410</t>
  </si>
  <si>
    <t>Casey, Noah</t>
  </si>
  <si>
    <t>W14-1-1412</t>
  </si>
  <si>
    <t>Obi, Longinus</t>
  </si>
  <si>
    <t>W14-1-1413</t>
  </si>
  <si>
    <t>Hintsa, Erena</t>
  </si>
  <si>
    <t>W14-1-1414</t>
  </si>
  <si>
    <t>Clincy, Jaqon</t>
  </si>
  <si>
    <t>W14-1-1415</t>
  </si>
  <si>
    <t>Torres, Jonmy</t>
  </si>
  <si>
    <t>W14-1-1418</t>
  </si>
  <si>
    <t>Oyadina, Babatunde</t>
  </si>
  <si>
    <t>N03-1014</t>
  </si>
  <si>
    <t>Igwenagu, Vision</t>
  </si>
  <si>
    <t>N03-1017</t>
  </si>
  <si>
    <t>Hodges, Alyssa</t>
  </si>
  <si>
    <t>Smith, Philip</t>
  </si>
  <si>
    <t>N03-1021</t>
  </si>
  <si>
    <t>Carrillo, Leslie</t>
  </si>
  <si>
    <t>N03-2015</t>
  </si>
  <si>
    <t>Kelly, Lakeshia</t>
  </si>
  <si>
    <t>N03-2016</t>
  </si>
  <si>
    <t>Ortega, Emmanuel</t>
  </si>
  <si>
    <t>N03-2017</t>
  </si>
  <si>
    <t>De, Maria</t>
  </si>
  <si>
    <t>McGrier, Laelah</t>
  </si>
  <si>
    <t>N03-3014</t>
  </si>
  <si>
    <t>N03-3015</t>
  </si>
  <si>
    <t>Contreras, Guillermo</t>
  </si>
  <si>
    <t>N03-3018</t>
  </si>
  <si>
    <t>Owolana, Olubukunmi</t>
  </si>
  <si>
    <t>N03-3020</t>
  </si>
  <si>
    <t>Anwari, Liaqat</t>
  </si>
  <si>
    <t>N14-1059</t>
  </si>
  <si>
    <t>Gonzalez, Fernando</t>
  </si>
  <si>
    <t>N14-1061</t>
  </si>
  <si>
    <t>obidike, Frances</t>
  </si>
  <si>
    <t>N14-1062</t>
  </si>
  <si>
    <t>Eduardo, Jose</t>
  </si>
  <si>
    <t>N14-1065</t>
  </si>
  <si>
    <t>Martinez, Camilo</t>
  </si>
  <si>
    <t>N14-2059</t>
  </si>
  <si>
    <t>Nguyen, Augustine</t>
  </si>
  <si>
    <t>N14-2061</t>
  </si>
  <si>
    <t>Rivero, Zamara</t>
  </si>
  <si>
    <t>N14-2062</t>
  </si>
  <si>
    <t>Young, Sebron</t>
  </si>
  <si>
    <t>N14-2063</t>
  </si>
  <si>
    <t>Ukaga, Diana</t>
  </si>
  <si>
    <t>N14-2064</t>
  </si>
  <si>
    <t>N14-2065</t>
  </si>
  <si>
    <t>Teul, Vianei</t>
  </si>
  <si>
    <t>N14-3059</t>
  </si>
  <si>
    <t>Alejandra, Maria</t>
  </si>
  <si>
    <t>N14-3060</t>
  </si>
  <si>
    <t>Mabry, Hosea</t>
  </si>
  <si>
    <t>Manzanares Irias, Dorian</t>
  </si>
  <si>
    <t>Folorunsho, Miracle</t>
  </si>
  <si>
    <t>N14-3064</t>
  </si>
  <si>
    <t>Ibrahim, Mary-Gabrielle</t>
  </si>
  <si>
    <t>N14-3065</t>
  </si>
  <si>
    <t>Hare, Roderick</t>
  </si>
  <si>
    <t>N20-1088</t>
  </si>
  <si>
    <t>Arce, Rogelio</t>
  </si>
  <si>
    <t>N20-1090</t>
  </si>
  <si>
    <t>King, Keith</t>
  </si>
  <si>
    <t>Williams, Kierra</t>
  </si>
  <si>
    <t>N20-1093</t>
  </si>
  <si>
    <t>Stiles, Cade</t>
  </si>
  <si>
    <t>N20-1095</t>
  </si>
  <si>
    <t>Pence, Cole</t>
  </si>
  <si>
    <t>N20-2091</t>
  </si>
  <si>
    <t>Rios Adame, Cecilia</t>
  </si>
  <si>
    <t>N20-2092</t>
  </si>
  <si>
    <t>Oshinlaja, Omoyeni</t>
  </si>
  <si>
    <t>N20-2094</t>
  </si>
  <si>
    <t>Cabrales, Margie</t>
  </si>
  <si>
    <t>N20-2095</t>
  </si>
  <si>
    <t>Amaya, Salvador</t>
  </si>
  <si>
    <t>N20-3089</t>
  </si>
  <si>
    <t>Lloyd, Uche</t>
  </si>
  <si>
    <t>N20-3090</t>
  </si>
  <si>
    <t>Nicastro, Casey</t>
  </si>
  <si>
    <t>N20-3092</t>
  </si>
  <si>
    <t>Nguyen, Trung</t>
  </si>
  <si>
    <t>N20-3095</t>
  </si>
  <si>
    <t>W01-1-0103</t>
  </si>
  <si>
    <t>Olaleye, Azeezat</t>
  </si>
  <si>
    <t>W01-1-0106</t>
  </si>
  <si>
    <t>Ogonnaya, Amaka</t>
  </si>
  <si>
    <t>W01-1-0107</t>
  </si>
  <si>
    <t>Merida, Rossana</t>
  </si>
  <si>
    <t>W01-1-0109</t>
  </si>
  <si>
    <t>Martinez, Maria</t>
  </si>
  <si>
    <t>W01-1-0114</t>
  </si>
  <si>
    <t>Ojiako, Esther</t>
  </si>
  <si>
    <t>W02-1-0206</t>
  </si>
  <si>
    <t>Britto, Eric</t>
  </si>
  <si>
    <t>Gebremariam Weldekeal, Asmerom</t>
  </si>
  <si>
    <t>Barragan, Lorenzo</t>
  </si>
  <si>
    <t>W02-1-0213</t>
  </si>
  <si>
    <t>Nwokedi, Ethine</t>
  </si>
  <si>
    <t>W04-1-0404</t>
  </si>
  <si>
    <t>Osevwe, Sherifat</t>
  </si>
  <si>
    <t>Martin, Addison</t>
  </si>
  <si>
    <t>W04-1-0407</t>
  </si>
  <si>
    <t>Lopez, Alicia</t>
  </si>
  <si>
    <t>W04-1-0413</t>
  </si>
  <si>
    <t>Offiong, Raymond</t>
  </si>
  <si>
    <t>W06-1-0603</t>
  </si>
  <si>
    <t>Audu, Yohana</t>
  </si>
  <si>
    <t>W06-1-0604</t>
  </si>
  <si>
    <t>W06-1-0605</t>
  </si>
  <si>
    <t>W06-1-0606</t>
  </si>
  <si>
    <t>Barahona, Marvin</t>
  </si>
  <si>
    <t>W06-1-0607</t>
  </si>
  <si>
    <t>Espinoza, Katherine</t>
  </si>
  <si>
    <t>W06-1-0608</t>
  </si>
  <si>
    <t>Lanette, Katrice</t>
  </si>
  <si>
    <t>W06-1-0611</t>
  </si>
  <si>
    <t>Cornejo, Jessica</t>
  </si>
  <si>
    <t>Alvardo, Dulce</t>
  </si>
  <si>
    <t>Chunn, Dennis</t>
  </si>
  <si>
    <t>W08-1-0803</t>
  </si>
  <si>
    <t>Aroyewun, Samuel</t>
  </si>
  <si>
    <t>W08-1-0804</t>
  </si>
  <si>
    <t>Nwachukwu, Chidinma</t>
  </si>
  <si>
    <t>Adevu, Makafui</t>
  </si>
  <si>
    <t>W08-1-0811</t>
  </si>
  <si>
    <t>Awaritoma, Otaroghene</t>
  </si>
  <si>
    <t>W08-1-0813</t>
  </si>
  <si>
    <t>W09-1-0903</t>
  </si>
  <si>
    <t>Williams, Christine</t>
  </si>
  <si>
    <t>W09-1-0905</t>
  </si>
  <si>
    <t>Hernandez, Javier</t>
  </si>
  <si>
    <t>W09-1-0906</t>
  </si>
  <si>
    <t xml:space="preserve"> Excluded -Model Unit</t>
  </si>
  <si>
    <t>W09-1-0909</t>
  </si>
  <si>
    <t>Kotun, Jimoh</t>
  </si>
  <si>
    <t>W09-1-0911</t>
  </si>
  <si>
    <t>Tewelde, Bisrat</t>
  </si>
  <si>
    <t>W09-1-0912</t>
  </si>
  <si>
    <t>Lujan, Yesenia</t>
  </si>
  <si>
    <t>W09-1-0914</t>
  </si>
  <si>
    <t>Adams, Tony</t>
  </si>
  <si>
    <t>W10-1-1007</t>
  </si>
  <si>
    <t>Cothern, Devin</t>
  </si>
  <si>
    <t>W10-1-1008</t>
  </si>
  <si>
    <t>Aina, Emoshoke</t>
  </si>
  <si>
    <t>W10-1-1009</t>
  </si>
  <si>
    <t>W10-1-1010</t>
  </si>
  <si>
    <t>Mendoza, Erica</t>
  </si>
  <si>
    <t>W10-1-1011</t>
  </si>
  <si>
    <t>Agosun, Ambrose</t>
  </si>
  <si>
    <t>W10-1-1012</t>
  </si>
  <si>
    <t>W10-1-1014</t>
  </si>
  <si>
    <t>Ayemoba, Israel</t>
  </si>
  <si>
    <t>W11-1-1104</t>
  </si>
  <si>
    <t>Richards, Alessandro</t>
  </si>
  <si>
    <t>Mckeever, Larkyn</t>
  </si>
  <si>
    <t>W11-1-1111</t>
  </si>
  <si>
    <t>Medina, Kimberly</t>
  </si>
  <si>
    <t>W11-1-1113</t>
  </si>
  <si>
    <t>Adejumobi, Yusuf</t>
  </si>
  <si>
    <t>Saenz, Jacqueline</t>
  </si>
  <si>
    <t>S28-106</t>
  </si>
  <si>
    <t>Lopez, Daniel</t>
  </si>
  <si>
    <t>Moran, Fernando</t>
  </si>
  <si>
    <t>S28-202</t>
  </si>
  <si>
    <t>Clement, Tosin</t>
  </si>
  <si>
    <t>S28-204</t>
  </si>
  <si>
    <t>De La Hoz Avila, Jose</t>
  </si>
  <si>
    <t>S28-207</t>
  </si>
  <si>
    <t>Williams, Miranda</t>
  </si>
  <si>
    <t>S28-208</t>
  </si>
  <si>
    <t>Ngu, Kathleen</t>
  </si>
  <si>
    <t>S29-111</t>
  </si>
  <si>
    <t>Guadalupe-Ascen, Victor</t>
  </si>
  <si>
    <t>S29-112</t>
  </si>
  <si>
    <t>Leon, Jose</t>
  </si>
  <si>
    <t>S29-114</t>
  </si>
  <si>
    <t>Anyasoh, Bright</t>
  </si>
  <si>
    <t>S29-116</t>
  </si>
  <si>
    <t>Robinson, Calvin</t>
  </si>
  <si>
    <t>S29-209</t>
  </si>
  <si>
    <t>Mata, Julio</t>
  </si>
  <si>
    <t>S29-210</t>
  </si>
  <si>
    <t>Tyra, Otejiri</t>
  </si>
  <si>
    <t>S29-212</t>
  </si>
  <si>
    <t>Mael, Haileab</t>
  </si>
  <si>
    <t>S29-214</t>
  </si>
  <si>
    <t>Tesfamariam, Mengesha</t>
  </si>
  <si>
    <t>Arnold, Maureen</t>
  </si>
  <si>
    <t>S29-216</t>
  </si>
  <si>
    <t>Castillo, Isabel</t>
  </si>
  <si>
    <t>S33-133</t>
  </si>
  <si>
    <t>King Jr, Karvin Alexander</t>
  </si>
  <si>
    <t>S33-134</t>
  </si>
  <si>
    <t>Mcelroy, Robert</t>
  </si>
  <si>
    <t>S33-136</t>
  </si>
  <si>
    <t>Brown, Darlene</t>
  </si>
  <si>
    <t>S33-138</t>
  </si>
  <si>
    <t>Shields, David</t>
  </si>
  <si>
    <t>S33-139</t>
  </si>
  <si>
    <t>John, Chidera</t>
  </si>
  <si>
    <t>S33-140</t>
  </si>
  <si>
    <t>Ninaji, Chukwuemaka</t>
  </si>
  <si>
    <t>S33-233</t>
  </si>
  <si>
    <t>S33-234</t>
  </si>
  <si>
    <t>S33-238</t>
  </si>
  <si>
    <t>Molina, Cesar</t>
  </si>
  <si>
    <t>S33-240</t>
  </si>
  <si>
    <t>Dessalegne, Abenezer</t>
  </si>
  <si>
    <t>W23-2-1043</t>
  </si>
  <si>
    <t>De, Julio</t>
  </si>
  <si>
    <t>W23-2-1045</t>
  </si>
  <si>
    <t>Navarro, Jiovani</t>
  </si>
  <si>
    <t>Akinyemi, Olabisi</t>
  </si>
  <si>
    <t>W23-2-1047</t>
  </si>
  <si>
    <t>Simpson, Jeffrey</t>
  </si>
  <si>
    <t>Sutter, Anthony</t>
  </si>
  <si>
    <t>W23-2-2043</t>
  </si>
  <si>
    <t>Muorah, Adaobi</t>
  </si>
  <si>
    <t>W23-2-2046</t>
  </si>
  <si>
    <t>Avila, Yulisa</t>
  </si>
  <si>
    <t>W25-2-1026</t>
  </si>
  <si>
    <t>Pasillas, Manuel</t>
  </si>
  <si>
    <t>W25-2-2024</t>
  </si>
  <si>
    <t>Vaughan, Thomasine</t>
  </si>
  <si>
    <t>W25-2-2026</t>
  </si>
  <si>
    <t>Famojuro, Abimbola</t>
  </si>
  <si>
    <t>Mancilla, Perla</t>
  </si>
  <si>
    <t>W25-2-2030</t>
  </si>
  <si>
    <t>Acevedo, Rosemarie</t>
  </si>
  <si>
    <t>W27-2-1003</t>
  </si>
  <si>
    <t>Rosales, Juan</t>
  </si>
  <si>
    <t>W27-2-1004</t>
  </si>
  <si>
    <t>Gergens, Stephanie</t>
  </si>
  <si>
    <t>W27-2-1007</t>
  </si>
  <si>
    <t>Mayuku, Marian</t>
  </si>
  <si>
    <t>W27-2-1008</t>
  </si>
  <si>
    <t>Santiago, Cesar</t>
  </si>
  <si>
    <t>W27-2-1010</t>
  </si>
  <si>
    <t>W27-2-1011</t>
  </si>
  <si>
    <t>Obiakor, Augustina</t>
  </si>
  <si>
    <t>W27-2-1012</t>
  </si>
  <si>
    <t>Pacheco, Miguel</t>
  </si>
  <si>
    <t>W27-2-2003</t>
  </si>
  <si>
    <t>Andrade, Abel</t>
  </si>
  <si>
    <t>W27-2-2004</t>
  </si>
  <si>
    <t>Aguirre, Alexandra</t>
  </si>
  <si>
    <t>W27-2-2005</t>
  </si>
  <si>
    <t>W27-2-2006</t>
  </si>
  <si>
    <t>Virginia, Elica</t>
  </si>
  <si>
    <t>W27-2-2008</t>
  </si>
  <si>
    <t>W27-2-2011</t>
  </si>
  <si>
    <t>Ajayi, Pious</t>
  </si>
  <si>
    <t>Jackson, Jeremaine</t>
  </si>
  <si>
    <t>N02-1005</t>
  </si>
  <si>
    <t>Wilbon, Sean</t>
  </si>
  <si>
    <t>N02-1007</t>
  </si>
  <si>
    <t>N02-1008</t>
  </si>
  <si>
    <t>Leiton, Daniel</t>
  </si>
  <si>
    <t>N02-1011</t>
  </si>
  <si>
    <t>N02-1012</t>
  </si>
  <si>
    <t>N02-2005</t>
  </si>
  <si>
    <t>Cano, Jesica</t>
  </si>
  <si>
    <t>N02-2006</t>
  </si>
  <si>
    <t>Chimereze, Okechukwu</t>
  </si>
  <si>
    <t>N02-2008</t>
  </si>
  <si>
    <t>wang, Yubo</t>
  </si>
  <si>
    <t>N02-2009</t>
  </si>
  <si>
    <t>Guthrie, Christopher</t>
  </si>
  <si>
    <t>N02-2010</t>
  </si>
  <si>
    <t>Martinez, Elizabeth</t>
  </si>
  <si>
    <t>N02-2011</t>
  </si>
  <si>
    <t>Munoz, Aime</t>
  </si>
  <si>
    <t>N02-2012</t>
  </si>
  <si>
    <t>Alves, Diego</t>
  </si>
  <si>
    <t>N06-1029</t>
  </si>
  <si>
    <t>Reyes, Lindsay</t>
  </si>
  <si>
    <t>N06-1030</t>
  </si>
  <si>
    <t>Belber, Pedro</t>
  </si>
  <si>
    <t>N06-2028</t>
  </si>
  <si>
    <t>N06-2029</t>
  </si>
  <si>
    <t>N06-2030</t>
  </si>
  <si>
    <t>Rahimi, Zohoor Shah</t>
  </si>
  <si>
    <t>N06-2031</t>
  </si>
  <si>
    <t>Howard, Jerry</t>
  </si>
  <si>
    <t>N07-1050</t>
  </si>
  <si>
    <t>Ramirez, Ricardina</t>
  </si>
  <si>
    <t>N07-1051</t>
  </si>
  <si>
    <t>Garcia-Herrera, Maria</t>
  </si>
  <si>
    <t>N07-1052</t>
  </si>
  <si>
    <t>Sepulveda, Irma</t>
  </si>
  <si>
    <t>N07-1053</t>
  </si>
  <si>
    <t>N07-2053</t>
  </si>
  <si>
    <t>Prieto Borjas, Ricardo</t>
  </si>
  <si>
    <t>N11-1042</t>
  </si>
  <si>
    <t>Lozada, Victor</t>
  </si>
  <si>
    <t>N11-1043</t>
  </si>
  <si>
    <t>Ahmed, Funke</t>
  </si>
  <si>
    <t>N11-1044</t>
  </si>
  <si>
    <t>Umelo, Innocent</t>
  </si>
  <si>
    <t>N11-1045</t>
  </si>
  <si>
    <t>Young, Margaret</t>
  </si>
  <si>
    <t>N11-2043</t>
  </si>
  <si>
    <t>Gutierrez, Cliffton</t>
  </si>
  <si>
    <t>N11-2044</t>
  </si>
  <si>
    <t>Saunders, Kerric</t>
  </si>
  <si>
    <t>N11-2045</t>
  </si>
  <si>
    <t>Maldonado, Gissel</t>
  </si>
  <si>
    <t>N13-1054</t>
  </si>
  <si>
    <t>N13-2054</t>
  </si>
  <si>
    <t>Albarran, Anabel</t>
  </si>
  <si>
    <t>N13-2055</t>
  </si>
  <si>
    <t>Aleman, Victor</t>
  </si>
  <si>
    <t>N13-2056</t>
  </si>
  <si>
    <t>Sereke, Aregai</t>
  </si>
  <si>
    <t>N19-1078</t>
  </si>
  <si>
    <t>N19-1079</t>
  </si>
  <si>
    <t>Palma, Julian</t>
  </si>
  <si>
    <t>N19-1081</t>
  </si>
  <si>
    <t>N19-1082</t>
  </si>
  <si>
    <t>Rodriguez, Abigail</t>
  </si>
  <si>
    <t>N19-2077</t>
  </si>
  <si>
    <t>Jones, Brandy</t>
  </si>
  <si>
    <t>N19-2080</t>
  </si>
  <si>
    <t>Lumio Jimenez, Mauricio</t>
  </si>
  <si>
    <t>S26-402</t>
  </si>
  <si>
    <t>Neira, Diana</t>
  </si>
  <si>
    <t>S26-405</t>
  </si>
  <si>
    <t>Ramsel, Christine</t>
  </si>
  <si>
    <t>S26-406</t>
  </si>
  <si>
    <t>Akpowevwe, Faustina</t>
  </si>
  <si>
    <t>S26-411</t>
  </si>
  <si>
    <t>Ukeoma, Ferdinand</t>
  </si>
  <si>
    <t>S26-412</t>
  </si>
  <si>
    <t>Patricio, Manuel</t>
  </si>
  <si>
    <t>S26-413</t>
  </si>
  <si>
    <t>Nathaniel, Perpetual</t>
  </si>
  <si>
    <t>S27-420</t>
  </si>
  <si>
    <t>Diaz, Danilo</t>
  </si>
  <si>
    <t>W15-2-1085</t>
  </si>
  <si>
    <t>W15-2-1089</t>
  </si>
  <si>
    <t>VAZQUEZ VIDALES, MARIA ESTHELA</t>
  </si>
  <si>
    <t>W15-2-1090</t>
  </si>
  <si>
    <t>Beachy, Brian</t>
  </si>
  <si>
    <t>W15-2-2090</t>
  </si>
  <si>
    <t>Nazary, Mohammad</t>
  </si>
  <si>
    <t>W15-2-3085</t>
  </si>
  <si>
    <t>W15-2-3092</t>
  </si>
  <si>
    <t>Jean, Julio</t>
  </si>
  <si>
    <t>W16-2-1082</t>
  </si>
  <si>
    <t>Guzman, Rosalba</t>
  </si>
  <si>
    <t>W16-2-1084</t>
  </si>
  <si>
    <t>Gimba, Bena</t>
  </si>
  <si>
    <t>W16-2-2081</t>
  </si>
  <si>
    <t>Badmos, Femi</t>
  </si>
  <si>
    <t>W16-2-2082</t>
  </si>
  <si>
    <t>Baker, Veronica</t>
  </si>
  <si>
    <t>W16-2-2083</t>
  </si>
  <si>
    <t>Osarenmwinda, Eronmwon</t>
  </si>
  <si>
    <t>W24-2-1039</t>
  </si>
  <si>
    <t>Romero, Christopher</t>
  </si>
  <si>
    <t>W24-2-2034</t>
  </si>
  <si>
    <t>Addison, Calandra</t>
  </si>
  <si>
    <t>S37-149</t>
  </si>
  <si>
    <t>Lopez, Eduardo</t>
  </si>
  <si>
    <t>S37-250</t>
  </si>
  <si>
    <t>Sullman, Duku</t>
  </si>
  <si>
    <t>S38-151</t>
  </si>
  <si>
    <t>S38-154</t>
  </si>
  <si>
    <t>S38-253</t>
  </si>
  <si>
    <t>S38-254</t>
  </si>
  <si>
    <t>Adeboye, Adeyinka</t>
  </si>
  <si>
    <t>S38-354</t>
  </si>
  <si>
    <t>S40-159</t>
  </si>
  <si>
    <t>S40-161</t>
  </si>
  <si>
    <t>Hurtado, Amalia</t>
  </si>
  <si>
    <t>S40-162</t>
  </si>
  <si>
    <t>S40-259</t>
  </si>
  <si>
    <t>S40-260</t>
  </si>
  <si>
    <t>Ramos, Jacob</t>
  </si>
  <si>
    <t>S40-261</t>
  </si>
  <si>
    <t>Bryant, James</t>
  </si>
  <si>
    <t>W01-1-0102</t>
  </si>
  <si>
    <t>W01-1-0115</t>
  </si>
  <si>
    <t>Gaston, William</t>
  </si>
  <si>
    <t>W02-1-0201</t>
  </si>
  <si>
    <t>Ruiz, Martha</t>
  </si>
  <si>
    <t>W02-1-0202</t>
  </si>
  <si>
    <t>Kamrani, Sarwia</t>
  </si>
  <si>
    <t>W02-1-0216</t>
  </si>
  <si>
    <t>Coello, Bryan</t>
  </si>
  <si>
    <t>W04-1-0402</t>
  </si>
  <si>
    <t>Coleman, Taija</t>
  </si>
  <si>
    <t>W06-1-0602</t>
  </si>
  <si>
    <t>Dorough, Sarah</t>
  </si>
  <si>
    <t>W06-1-0615</t>
  </si>
  <si>
    <t>Bastida, Gricelda</t>
  </si>
  <si>
    <t>W08-1-0801</t>
  </si>
  <si>
    <t>Avalos, Ana</t>
  </si>
  <si>
    <t>W08-1-0815</t>
  </si>
  <si>
    <t>Ezisi-Odom, Ndidiamaka</t>
  </si>
  <si>
    <t>Straughter, Gerald</t>
  </si>
  <si>
    <t>W09-1-0915</t>
  </si>
  <si>
    <t>Rodriguez, Maria</t>
  </si>
  <si>
    <t>W10-1-1002</t>
  </si>
  <si>
    <t>Rodriguez, Jairo</t>
  </si>
  <si>
    <t>W10-1-1015</t>
  </si>
  <si>
    <t>Rodriguez, Adis</t>
  </si>
  <si>
    <t>W10-1-1016</t>
  </si>
  <si>
    <t>W19-2-1067</t>
  </si>
  <si>
    <t xml:space="preserve"> Excluded -Down Unit</t>
  </si>
  <si>
    <t>W19-2-1068</t>
  </si>
  <si>
    <t>Garcia, Marco</t>
  </si>
  <si>
    <t>W19-2-1069</t>
  </si>
  <si>
    <t>Rodriguez, Roberto</t>
  </si>
  <si>
    <t>Adenowo, Olalekan</t>
  </si>
  <si>
    <t>W19-2-3068</t>
  </si>
  <si>
    <t>W19-2-3069</t>
  </si>
  <si>
    <t>W20-2-1062</t>
  </si>
  <si>
    <t>Cristina, Isabel</t>
  </si>
  <si>
    <t>W20-2-1063</t>
  </si>
  <si>
    <t>Gonzalez, Oscar</t>
  </si>
  <si>
    <t>W20-2-1064</t>
  </si>
  <si>
    <t>Porcayo, Juan</t>
  </si>
  <si>
    <t>W20-2-2063</t>
  </si>
  <si>
    <t>Nwitor, Oge</t>
  </si>
  <si>
    <t>Ortiz, Nancy</t>
  </si>
  <si>
    <t>W20-2-3062</t>
  </si>
  <si>
    <t>W20-2-3063</t>
  </si>
  <si>
    <t>Coker, Akinkunmi</t>
  </si>
  <si>
    <t>W20-2-3064</t>
  </si>
  <si>
    <t>Gyamfi, Daniel</t>
  </si>
  <si>
    <t>W20-2-3065</t>
  </si>
  <si>
    <t>Hield, Tiesha</t>
  </si>
  <si>
    <t>W22-2-1048</t>
  </si>
  <si>
    <t>Medina, Kevin</t>
  </si>
  <si>
    <t>W22-2-1049</t>
  </si>
  <si>
    <t>Juarez, Micaela</t>
  </si>
  <si>
    <t>Araque, Victor</t>
  </si>
  <si>
    <t>W03-1-0304</t>
  </si>
  <si>
    <t>Asemota, Donald</t>
  </si>
  <si>
    <t>W03-1-0305</t>
  </si>
  <si>
    <t>Esealuka, Arnold</t>
  </si>
  <si>
    <t>W03-1-0319</t>
  </si>
  <si>
    <t>Cardona, Sebastian</t>
  </si>
  <si>
    <t>W03-1-0322</t>
  </si>
  <si>
    <t>Vargas, Ronaldo</t>
  </si>
  <si>
    <t>W03-1-0323</t>
  </si>
  <si>
    <t>Cole, Tiffany</t>
  </si>
  <si>
    <t>W03-1-0324</t>
  </si>
  <si>
    <t>Castro Juarez, Susana</t>
  </si>
  <si>
    <t>W12-1-1204</t>
  </si>
  <si>
    <t>Murph, Mary</t>
  </si>
  <si>
    <t>W12-1-1219</t>
  </si>
  <si>
    <t>Tafoya, Maria</t>
  </si>
  <si>
    <t>W12-1-1220</t>
  </si>
  <si>
    <t>W12-1-1221</t>
  </si>
  <si>
    <t>Taiwo, Yejide</t>
  </si>
  <si>
    <t>W12-1-1223</t>
  </si>
  <si>
    <t>Maciel, Griselda</t>
  </si>
  <si>
    <t>W12-1-1224</t>
  </si>
  <si>
    <t>Collins, Emmanuel</t>
  </si>
  <si>
    <t>Zambrano, Weelferth</t>
  </si>
  <si>
    <t>W14-1-1405</t>
  </si>
  <si>
    <t>Olatunji, Atinuke</t>
  </si>
  <si>
    <t>W14-1-1406</t>
  </si>
  <si>
    <t>W14-1-1420</t>
  </si>
  <si>
    <t>Jackson, Christopher</t>
  </si>
  <si>
    <t>W14-1-1421</t>
  </si>
  <si>
    <t>Miller, Orlando</t>
  </si>
  <si>
    <t>W14-1-1422</t>
  </si>
  <si>
    <t>Calderon, Sandra</t>
  </si>
  <si>
    <t>S30-121</t>
  </si>
  <si>
    <t>McGee, Kaitlin</t>
  </si>
  <si>
    <t>S30-122</t>
  </si>
  <si>
    <t>Medina, Yusmary</t>
  </si>
  <si>
    <t>S30-123</t>
  </si>
  <si>
    <t>Bwiza, Irebe</t>
  </si>
  <si>
    <t>Baham, Yaismon</t>
  </si>
  <si>
    <t>S30-222</t>
  </si>
  <si>
    <t>Poron, Josue</t>
  </si>
  <si>
    <t>S30-223</t>
  </si>
  <si>
    <t>Jones, Jada</t>
  </si>
  <si>
    <t>S31-117</t>
  </si>
  <si>
    <t>Jackson, Rontarria</t>
  </si>
  <si>
    <t>MORGAN, PEMETRIA</t>
  </si>
  <si>
    <t>S31-120</t>
  </si>
  <si>
    <t>Quinones, Raul</t>
  </si>
  <si>
    <t>S31-217</t>
  </si>
  <si>
    <t>Florencio, Camilo</t>
  </si>
  <si>
    <t>S31-218</t>
  </si>
  <si>
    <t>Gebreab, Pawlos</t>
  </si>
  <si>
    <t>S31-219</t>
  </si>
  <si>
    <t>Terefe, Kibrom</t>
  </si>
  <si>
    <t>S31-220</t>
  </si>
  <si>
    <t>Yetunde, Adewuyi</t>
  </si>
  <si>
    <t>S34-142</t>
  </si>
  <si>
    <t>S34-143</t>
  </si>
  <si>
    <t>Palomo, Jose</t>
  </si>
  <si>
    <t>S34-144</t>
  </si>
  <si>
    <t>Wilmsmeyer Valdes, Dibrian</t>
  </si>
  <si>
    <t>S34-241</t>
  </si>
  <si>
    <t>Mohammed, Bekri</t>
  </si>
  <si>
    <t>S34-243</t>
  </si>
  <si>
    <t>Petrace, Jeremy</t>
  </si>
  <si>
    <t>Husseni, Jeanne</t>
  </si>
  <si>
    <t>Amerson, Leia</t>
  </si>
  <si>
    <t>S35-246</t>
  </si>
  <si>
    <t>Nwaobilor, Magnus</t>
  </si>
  <si>
    <t>S35-247</t>
  </si>
  <si>
    <t>Martinez, Maresa</t>
  </si>
  <si>
    <t>Campbell, Natalie</t>
  </si>
  <si>
    <t>N04-1023</t>
  </si>
  <si>
    <t>Tabora, Heidy</t>
  </si>
  <si>
    <t>N04-1025</t>
  </si>
  <si>
    <t>Jimenez, Marisol</t>
  </si>
  <si>
    <t>N04-2022</t>
  </si>
  <si>
    <t>Baham, Tarwonda</t>
  </si>
  <si>
    <t>N04-2023</t>
  </si>
  <si>
    <t>Gomez, Catalina</t>
  </si>
  <si>
    <t>N04-2024</t>
  </si>
  <si>
    <t>Medellin-Tapia, Jose</t>
  </si>
  <si>
    <t>N04-2025</t>
  </si>
  <si>
    <t>Quarles, Alexandria</t>
  </si>
  <si>
    <t>N05-1026</t>
  </si>
  <si>
    <t>Nuno, Yosselin</t>
  </si>
  <si>
    <t>N05-2026</t>
  </si>
  <si>
    <t>Popoola, Fatima</t>
  </si>
  <si>
    <t>N05-2027</t>
  </si>
  <si>
    <t>Bustos, Peter</t>
  </si>
  <si>
    <t>N08-1033</t>
  </si>
  <si>
    <t>Lule, Gabriel</t>
  </si>
  <si>
    <t>N08-2032</t>
  </si>
  <si>
    <t>Rodriguez, Marquin</t>
  </si>
  <si>
    <t>Lane, Davin</t>
  </si>
  <si>
    <t>Maradiaga, Tania</t>
  </si>
  <si>
    <t>N16-1071</t>
  </si>
  <si>
    <t>Planas, Danis</t>
  </si>
  <si>
    <t>N16-2071</t>
  </si>
  <si>
    <t>Che Xol, Claudia</t>
  </si>
  <si>
    <t>N17-1072</t>
  </si>
  <si>
    <t>Amayo, Jorge</t>
  </si>
  <si>
    <t>N17-1073</t>
  </si>
  <si>
    <t>Boscan, Jim</t>
  </si>
  <si>
    <t>N17-1075</t>
  </si>
  <si>
    <t>Reyes-Hill, Dilia</t>
  </si>
  <si>
    <t>N17-2072</t>
  </si>
  <si>
    <t>Martinez, Miriam</t>
  </si>
  <si>
    <t>N17-2073</t>
  </si>
  <si>
    <t>Banuelos, Miguel</t>
  </si>
  <si>
    <t>N17-2074</t>
  </si>
  <si>
    <t>Lane, Yvette</t>
  </si>
  <si>
    <t>N18-2084</t>
  </si>
  <si>
    <t>Andrade Borjas, Darwin</t>
  </si>
  <si>
    <t>Cavazos, Jonathan</t>
  </si>
  <si>
    <t>N23-1098</t>
  </si>
  <si>
    <t>Obiamiwe, Lisa</t>
  </si>
  <si>
    <t>N23-2099</t>
  </si>
  <si>
    <t>Okolo, Obinna</t>
  </si>
  <si>
    <t>N24-1100</t>
  </si>
  <si>
    <t>Le, Hue</t>
  </si>
  <si>
    <t>N24-2100</t>
  </si>
  <si>
    <t>Hernández, Alfonso</t>
  </si>
  <si>
    <t>Estrada Villegas, Michael</t>
  </si>
  <si>
    <t>N25-2102</t>
  </si>
  <si>
    <t>Lubo Pushaina, Rance</t>
  </si>
  <si>
    <t>Hinkel, August</t>
  </si>
  <si>
    <t>Smith, Lauren</t>
  </si>
  <si>
    <t>W17-2-1076</t>
  </si>
  <si>
    <t>Santibanez, Nallely</t>
  </si>
  <si>
    <t>W17-2-1077</t>
  </si>
  <si>
    <t>Ordaz, Moises</t>
  </si>
  <si>
    <t>Muswagha, Jeannine</t>
  </si>
  <si>
    <t>Okonofua, Eely</t>
  </si>
  <si>
    <t>W17-2-2076</t>
  </si>
  <si>
    <t>Wilson, Sharon</t>
  </si>
  <si>
    <t>W17-2-2078</t>
  </si>
  <si>
    <t>Onye, Loveth</t>
  </si>
  <si>
    <t>W17-2-2080</t>
  </si>
  <si>
    <t>Celis, Belen</t>
  </si>
  <si>
    <t>Washington, Denzel</t>
  </si>
  <si>
    <t>W28-2-1021</t>
  </si>
  <si>
    <t>Hocky, Ebagua</t>
  </si>
  <si>
    <t>W28-2-1023</t>
  </si>
  <si>
    <t>Molina, Melvin</t>
  </si>
  <si>
    <t>W28-2-2019</t>
  </si>
  <si>
    <t>Aransiola, Deborah</t>
  </si>
  <si>
    <t>Onim, Saif</t>
  </si>
  <si>
    <t>W28-2-2021</t>
  </si>
  <si>
    <t>Collins, Donesha</t>
  </si>
  <si>
    <t>W28-2-2022</t>
  </si>
  <si>
    <t>Hodge, Brock</t>
  </si>
  <si>
    <t>MGBAKOR-OBIORA, UCHENNA</t>
  </si>
  <si>
    <t>S32-425</t>
  </si>
  <si>
    <t>Alagbe, Adebukola</t>
  </si>
  <si>
    <t>S32-426</t>
  </si>
  <si>
    <t>S32-427</t>
  </si>
  <si>
    <t>Cheong, Kameng</t>
  </si>
  <si>
    <t>S32-428</t>
  </si>
  <si>
    <t>Gebremariam, Robiel</t>
  </si>
  <si>
    <t>S32-432</t>
  </si>
  <si>
    <t>Ofili, Bukunmi</t>
  </si>
  <si>
    <t>Titilayo, Aminu</t>
  </si>
  <si>
    <t>S36-434</t>
  </si>
  <si>
    <t>Sanchez, Angelica</t>
  </si>
  <si>
    <t>S36-435</t>
  </si>
  <si>
    <t>Rodriguez, Carlos</t>
  </si>
  <si>
    <t>Said, Djallel</t>
  </si>
  <si>
    <t>W18-2-1072</t>
  </si>
  <si>
    <t>Bauer, Jack</t>
  </si>
  <si>
    <t>teniente, Liliana</t>
  </si>
  <si>
    <t>W18-2-2072</t>
  </si>
  <si>
    <t>Langford, Hayden</t>
  </si>
  <si>
    <t>W18-2-2073</t>
  </si>
  <si>
    <t>Woods, Bridget</t>
  </si>
  <si>
    <t>Asad, Naureen</t>
  </si>
  <si>
    <t>W26-2-1014</t>
  </si>
  <si>
    <t>Gali, Emmanuel</t>
  </si>
  <si>
    <t>Ramos, Graciela</t>
  </si>
  <si>
    <t>W26-2-2013</t>
  </si>
  <si>
    <t>Romaine, Stella</t>
  </si>
  <si>
    <t>W26-2-2014</t>
  </si>
  <si>
    <t>Couron, Haylee</t>
  </si>
  <si>
    <t>W26-2-2016</t>
  </si>
  <si>
    <t>Ladejobi, Oluranti</t>
  </si>
  <si>
    <t>Salazar Atilano, Victor</t>
  </si>
  <si>
    <t>S39-258</t>
  </si>
  <si>
    <t>S41-163</t>
  </si>
  <si>
    <t>Moran, Judith</t>
  </si>
  <si>
    <t>S41-167</t>
  </si>
  <si>
    <t>Montoya, Erika</t>
  </si>
  <si>
    <t>S41-266</t>
  </si>
  <si>
    <t>Esquivel, Inocencia</t>
  </si>
  <si>
    <t>S41-268</t>
  </si>
  <si>
    <t>Lemae, Rhianna</t>
  </si>
  <si>
    <t>Johnson, Datriona</t>
  </si>
  <si>
    <t>S42-171</t>
  </si>
  <si>
    <t>Rosas, Wendy</t>
  </si>
  <si>
    <t>Notice Given</t>
  </si>
  <si>
    <t>Lease End Date</t>
  </si>
  <si>
    <t>Early Termination</t>
  </si>
  <si>
    <t>Scheduled Rent</t>
  </si>
  <si>
    <t>James, Alvin (AJ)</t>
  </si>
  <si>
    <t>Maintenance Issue in Unit</t>
  </si>
  <si>
    <t>Rented House</t>
  </si>
  <si>
    <t>Moving Out of Area</t>
  </si>
  <si>
    <t>Job Transfer / Lost Job</t>
  </si>
  <si>
    <t>Cruz, Miguel</t>
  </si>
  <si>
    <t>Unhappy w/ Neighbors</t>
  </si>
  <si>
    <t>Yousufi, Farzana</t>
  </si>
  <si>
    <t>Failure To Pay</t>
  </si>
  <si>
    <t>Skipped During Eviction</t>
  </si>
  <si>
    <t>Transfer On-Site</t>
  </si>
  <si>
    <t>Fairley, Azreal</t>
  </si>
  <si>
    <t>Pacheco, Daylin</t>
  </si>
  <si>
    <t>Rodriguez, Rocio</t>
  </si>
  <si>
    <t>Fonwo, Nicholas</t>
  </si>
  <si>
    <t>Alejandro, Victor</t>
  </si>
  <si>
    <t>Buying House</t>
  </si>
  <si>
    <t>Antony, Tyler</t>
  </si>
  <si>
    <t>Need Larger Apartment</t>
  </si>
  <si>
    <t>Straw, Zantevia</t>
  </si>
  <si>
    <t>Cisse, Oumar</t>
  </si>
  <si>
    <t>Relationship / Marital Change</t>
  </si>
  <si>
    <t>Villalba, Juan</t>
  </si>
  <si>
    <t>Moving out of state</t>
  </si>
  <si>
    <t>Raudales, Joser</t>
  </si>
  <si>
    <t>Catalan, Yacqueline</t>
  </si>
  <si>
    <t>Gang, Xie</t>
  </si>
  <si>
    <t>Doing, Stuart (Stuart)</t>
  </si>
  <si>
    <t>Death</t>
  </si>
  <si>
    <t>Baca, Hilda</t>
  </si>
  <si>
    <t>Brown, Ronald</t>
  </si>
  <si>
    <t>Shrestha, Bijay</t>
  </si>
  <si>
    <t>Rental Increase</t>
  </si>
  <si>
    <t>Dominguez, Amanda</t>
  </si>
  <si>
    <t>Ihenyen, Jude</t>
  </si>
  <si>
    <t>Hernandez, Andres</t>
  </si>
  <si>
    <t>Mayorga, Nancy</t>
  </si>
  <si>
    <t>Chukwudire, Oluchi</t>
  </si>
  <si>
    <t>Ugiomoh, Jude</t>
  </si>
  <si>
    <t>Sunday, Prince</t>
  </si>
  <si>
    <t>Bisiriyu, Rasaq</t>
  </si>
  <si>
    <t>Asuncion, Eustacio</t>
  </si>
  <si>
    <t>Contreras, Rocio</t>
  </si>
  <si>
    <t>Nunez, Raul</t>
  </si>
  <si>
    <t>Nene, Aki</t>
  </si>
  <si>
    <t>Too Far From Work</t>
  </si>
  <si>
    <t>Akingbowumi, Tunde</t>
  </si>
  <si>
    <t>Majid, Abdul</t>
  </si>
  <si>
    <t>Aguilera, Angelica</t>
  </si>
  <si>
    <t>Olaniran, Oluwafikaunyomi</t>
  </si>
  <si>
    <t>Wilcox, Heidi</t>
  </si>
  <si>
    <t>Sheperak, Andrew</t>
  </si>
  <si>
    <t>Lee, Nikiya</t>
  </si>
  <si>
    <t>Nwosu, Michael</t>
  </si>
  <si>
    <t>Denham, Latoya</t>
  </si>
  <si>
    <t>Kayse, Edioye</t>
  </si>
  <si>
    <t>Rox, Artie</t>
  </si>
  <si>
    <t>Beltran, Rosio</t>
  </si>
  <si>
    <t>Rojas, Mari</t>
  </si>
  <si>
    <t>Barriga, Yanheli</t>
  </si>
  <si>
    <t>Tinoco, Jonathan</t>
  </si>
  <si>
    <t>Adeoye, Emmanuel</t>
  </si>
  <si>
    <t>Yeon, Hyo</t>
  </si>
  <si>
    <t>Mavungo, Ramon</t>
  </si>
  <si>
    <t>Mendoza, Karina</t>
  </si>
  <si>
    <t>Financial Difficulties</t>
  </si>
  <si>
    <t>Davila, Lisa</t>
  </si>
  <si>
    <t>Rangel, Juan</t>
  </si>
  <si>
    <t>Armstrong, Randy</t>
  </si>
  <si>
    <t>Oliva Cordero, Carlos Jose</t>
  </si>
  <si>
    <t>Phipps, Terrah</t>
  </si>
  <si>
    <t>Yazmin, Karen</t>
  </si>
  <si>
    <t>Sunday, Akinola</t>
  </si>
  <si>
    <t>Hercules, Jonathan</t>
  </si>
  <si>
    <t>Tekie, Yoel</t>
  </si>
  <si>
    <t>Jarencio, Joster</t>
  </si>
  <si>
    <t>Cruz, Josue</t>
  </si>
  <si>
    <t>Chavez, Jessica</t>
  </si>
  <si>
    <t>Enriquez, Victor</t>
  </si>
  <si>
    <t>garcia, Luis</t>
  </si>
  <si>
    <t>Dennis, Christy</t>
  </si>
  <si>
    <t>Anchondo, Damian</t>
  </si>
  <si>
    <t>Palomino, Keiry</t>
  </si>
  <si>
    <t>Newman, Alexandria</t>
  </si>
  <si>
    <t>Magarin, Sergio</t>
  </si>
  <si>
    <t>Diaz, Noemi</t>
  </si>
  <si>
    <t>Rebeca, Evelyn</t>
  </si>
  <si>
    <t>Godsey, Lillian</t>
  </si>
  <si>
    <t>Rent Too High</t>
  </si>
  <si>
    <t>Rodriguez, Mariela</t>
  </si>
  <si>
    <t>Ramirez, Nadia</t>
  </si>
  <si>
    <t>irabor, Sylvester</t>
  </si>
  <si>
    <t>Akbari, Jalil</t>
  </si>
  <si>
    <t>Giles, Avelaura</t>
  </si>
  <si>
    <t>Investors' Property Services</t>
  </si>
  <si>
    <t>Cancellations, Denials, and Move Outs</t>
  </si>
  <si>
    <t>1/1/2025 - 3/31/2026</t>
  </si>
  <si>
    <t>Printed 3/3/2026 2:39:26 PM</t>
  </si>
  <si>
    <t>Residents</t>
  </si>
  <si>
    <t>Days Occupied</t>
  </si>
  <si>
    <t>Broke Lease</t>
  </si>
  <si>
    <t>Days Notice</t>
  </si>
  <si>
    <t>Date Vacated</t>
  </si>
  <si>
    <t>Times Late / NSF</t>
  </si>
  <si>
    <t>Actual Rent</t>
  </si>
  <si>
    <t>Move Out Reason</t>
  </si>
  <si>
    <t>waitlist</t>
  </si>
  <si>
    <t>Joy David</t>
  </si>
  <si>
    <t>Failure to Produce Docs</t>
  </si>
  <si>
    <t>R</t>
  </si>
  <si>
    <t>Fernando Gonzalez, Hortencia Mejorada</t>
  </si>
  <si>
    <t xml:space="preserve">(R) </t>
  </si>
  <si>
    <t>1-1406</t>
  </si>
  <si>
    <t>Eve Kelvin Uruvwewhu, Oreva Akweda</t>
  </si>
  <si>
    <t>1-1414</t>
  </si>
  <si>
    <t>Tariq Cooley</t>
  </si>
  <si>
    <t>1-0520</t>
  </si>
  <si>
    <t>Paul James</t>
  </si>
  <si>
    <t>1-1311</t>
  </si>
  <si>
    <t>Dianai Arellano Diaz, Victor Enriquez</t>
  </si>
  <si>
    <t>2-1035</t>
  </si>
  <si>
    <t>Damilare Falana</t>
  </si>
  <si>
    <t xml:space="preserve">(PT) </t>
  </si>
  <si>
    <t>Lorena Montes</t>
  </si>
  <si>
    <t>Quintence Mccarthy</t>
  </si>
  <si>
    <t>Wayne Stinson</t>
  </si>
  <si>
    <t>Maria Soleded, Mercede Nzang</t>
  </si>
  <si>
    <t>Tunde Akingbowumi</t>
  </si>
  <si>
    <t>Vicent Anthony Carrasouillo</t>
  </si>
  <si>
    <t>Bekri Mohammed, Erebi Mohammed</t>
  </si>
  <si>
    <t>Xavier Taylor</t>
  </si>
  <si>
    <t>Incomplete Application</t>
  </si>
  <si>
    <t>Andrew Newton</t>
  </si>
  <si>
    <t>(R) Clerical Adjustment</t>
  </si>
  <si>
    <t>1-0214</t>
  </si>
  <si>
    <t>Xayvion Cloud</t>
  </si>
  <si>
    <t>Leo Malacara, Maria Malacara</t>
  </si>
  <si>
    <t>Dominique Tall, Maria Murcia</t>
  </si>
  <si>
    <t>Added/Lost Roommate</t>
  </si>
  <si>
    <t>Rodrigo Velazquez</t>
  </si>
  <si>
    <t>(R) Larger/Smaller Apartment</t>
  </si>
  <si>
    <t>Yeymi Fajardo Ramirez</t>
  </si>
  <si>
    <t>1-1005</t>
  </si>
  <si>
    <t>Brenda Nyelong</t>
  </si>
  <si>
    <t>2-1078</t>
  </si>
  <si>
    <t>Diamond Summers</t>
  </si>
  <si>
    <t>Sergio Martinez - Ruan</t>
  </si>
  <si>
    <t>Cameron Woodley</t>
  </si>
  <si>
    <t>1-0906</t>
  </si>
  <si>
    <t>Terrah Phipps</t>
  </si>
  <si>
    <t>Esther Y Yi</t>
  </si>
  <si>
    <t>Flor Mendez</t>
  </si>
  <si>
    <t>1-1216</t>
  </si>
  <si>
    <t>Geoffrey Oteri</t>
  </si>
  <si>
    <t>Eyobel Tesfay, Hermon Habtemariam</t>
  </si>
  <si>
    <t>2-1044</t>
  </si>
  <si>
    <t>2-1076</t>
  </si>
  <si>
    <t>Nallely Santibanez</t>
  </si>
  <si>
    <t>1-0718</t>
  </si>
  <si>
    <t>Tyler Myrick</t>
  </si>
  <si>
    <t>Hossein Nazari, Mohammad Nazary</t>
  </si>
  <si>
    <t>1-0308</t>
  </si>
  <si>
    <t>Jaxon Jaxon Mckinley</t>
  </si>
  <si>
    <t>Kenneth Nwuya</t>
  </si>
  <si>
    <t>(PT) Incomplete Application</t>
  </si>
  <si>
    <t>Liam kemple</t>
  </si>
  <si>
    <t>Rented a House</t>
  </si>
  <si>
    <t>1-0601</t>
  </si>
  <si>
    <t>Jessica Cornejo Moreno, Nilson Flores</t>
  </si>
  <si>
    <t>Aminata Kabba</t>
  </si>
  <si>
    <t>Wanted a Change/Unhappy</t>
  </si>
  <si>
    <t>1-0514</t>
  </si>
  <si>
    <t>Brhane Temelso</t>
  </si>
  <si>
    <t>Leaving Town</t>
  </si>
  <si>
    <t>2-1090</t>
  </si>
  <si>
    <t>Isabel Castillo</t>
  </si>
  <si>
    <t>Celetta Williams</t>
  </si>
  <si>
    <t>1-1215</t>
  </si>
  <si>
    <t>Keshira Mcknight</t>
  </si>
  <si>
    <t>Christopher Marquez</t>
  </si>
  <si>
    <t>Taneshia Smith</t>
  </si>
  <si>
    <t>2-1074</t>
  </si>
  <si>
    <t>Arneiqua Gillard, Arneiqua Gillard</t>
  </si>
  <si>
    <t>Higher LOC \ Illness</t>
  </si>
  <si>
    <t>(R) Failure to Produce Docs</t>
  </si>
  <si>
    <t>Hammed Akintoye</t>
  </si>
  <si>
    <t>Amelia Rosales, Jorge Alberto Negrete</t>
  </si>
  <si>
    <t>1-0504</t>
  </si>
  <si>
    <t>Omar Martinez</t>
  </si>
  <si>
    <t>Clerical Adjustment</t>
  </si>
  <si>
    <t>Elizabeth Martinez, Rafael Morales</t>
  </si>
  <si>
    <t>Karina Angel Acevedo</t>
  </si>
  <si>
    <t>Raynesha Bollin</t>
  </si>
  <si>
    <t>Bought Home/Condo/Townhouse</t>
  </si>
  <si>
    <t>Syria Hudson</t>
  </si>
  <si>
    <t>1-1324</t>
  </si>
  <si>
    <t>Muhammad Medina Kiara, Tobi Ogunmola</t>
  </si>
  <si>
    <t>Nnaemeka Christopher</t>
  </si>
  <si>
    <t>(PT) Bought Home/Condo/Townhouse</t>
  </si>
  <si>
    <t>Gerald Mbanaso, Iddrissu Musah</t>
  </si>
  <si>
    <t>Kearyon Taylor, Shanique Reid</t>
  </si>
  <si>
    <t>Quavius Reza</t>
  </si>
  <si>
    <t>Larger/Smaller Apartment</t>
  </si>
  <si>
    <t>Nubia Iris Argueta Soriano</t>
  </si>
  <si>
    <t>Job Transfer</t>
  </si>
  <si>
    <t>Angel Yvonne Smith</t>
  </si>
  <si>
    <t>1-1302</t>
  </si>
  <si>
    <t>Tierra Salaam</t>
  </si>
  <si>
    <t>John Joseph</t>
  </si>
  <si>
    <t>1-1220</t>
  </si>
  <si>
    <t>Elica Virgina Lopez, Gabriela Gonzalez</t>
  </si>
  <si>
    <t>Nallely Santibanez, Walter escobar</t>
  </si>
  <si>
    <t>2-1036</t>
  </si>
  <si>
    <t>Cesar Acevedo</t>
  </si>
  <si>
    <t>1-0102</t>
  </si>
  <si>
    <t>Damien Toney, Joshua Gallegos</t>
  </si>
  <si>
    <t>Maira Portillo, Sergio Serrano Rivera</t>
  </si>
  <si>
    <t>Alfonso Hernández, Amparo Trejo, Ashlee Trejo, Karol Trejo</t>
  </si>
  <si>
    <t>Karen Yulissa Gomez, Waldina Gomez</t>
  </si>
  <si>
    <t>Belen Sarmiento Montes</t>
  </si>
  <si>
    <t>Amalia Hurtado, Benito Ruiz</t>
  </si>
  <si>
    <t>Anngy Rodriguez</t>
  </si>
  <si>
    <t>Calista Onuegbu, Okechukwu Chimereze Onuegbu</t>
  </si>
  <si>
    <t>Abigail Gomez</t>
  </si>
  <si>
    <t>Miraunda Dickerson</t>
  </si>
  <si>
    <t>Lost Job</t>
  </si>
  <si>
    <t>Niloidy Ledesma</t>
  </si>
  <si>
    <t>1-1413</t>
  </si>
  <si>
    <t>Semere Emnetu</t>
  </si>
  <si>
    <t>2-1065</t>
  </si>
  <si>
    <t>Jessica Joichin</t>
  </si>
  <si>
    <t>Christian Kochan</t>
  </si>
  <si>
    <t>Hue Le, Triet Nguyen</t>
  </si>
  <si>
    <t>Basil Eneji, Ejima Ogoh</t>
  </si>
  <si>
    <t>Damian Campbell</t>
  </si>
  <si>
    <t>1-0209</t>
  </si>
  <si>
    <t>Daniel Teklehaimanot, Natnael Geberemeskel</t>
  </si>
  <si>
    <t>Gabriella Grange</t>
  </si>
  <si>
    <t>Financial Problems</t>
  </si>
  <si>
    <t>Lachandra Thomas</t>
  </si>
  <si>
    <t>Hayley Nacole Preston</t>
  </si>
  <si>
    <t>Leia Amerson, Rachel Lopez</t>
  </si>
  <si>
    <t>Malik Mousa</t>
  </si>
  <si>
    <t>Tytanisha Earl</t>
  </si>
  <si>
    <t>Omotola Daniyan, Victor Hunt</t>
  </si>
  <si>
    <t>1-0108</t>
  </si>
  <si>
    <t>Deaja Stewart</t>
  </si>
  <si>
    <t>1-1111</t>
  </si>
  <si>
    <t>Henry Berko Sakyi</t>
  </si>
  <si>
    <t>Nayomi Michael Tesfaslassie</t>
  </si>
  <si>
    <t>1-1011</t>
  </si>
  <si>
    <t>Ambrose Agosun, Nancy Obiechefu</t>
  </si>
  <si>
    <t>Monica Jordan</t>
  </si>
  <si>
    <t>1-1103</t>
  </si>
  <si>
    <t>Christine Jackson, Rabiu Okunola</t>
  </si>
  <si>
    <t>(R) Military Transfer</t>
  </si>
  <si>
    <t>Keith Edwards</t>
  </si>
  <si>
    <t>Cancelled Total : 105</t>
  </si>
  <si>
    <t>Leslie Wills, Brissa Fraire, Whaten C Wills</t>
  </si>
  <si>
    <t>Y</t>
  </si>
  <si>
    <t>Clerical Adjustment, Financial Problems</t>
  </si>
  <si>
    <t>Lucille Dixon</t>
  </si>
  <si>
    <t>Credit Rejected</t>
  </si>
  <si>
    <t>Lamya Overton</t>
  </si>
  <si>
    <t>1-0310</t>
  </si>
  <si>
    <t>Nicolas Williams</t>
  </si>
  <si>
    <t>1-1004</t>
  </si>
  <si>
    <t>Yannick Belibi</t>
  </si>
  <si>
    <t>Jamaica Powell, Jermiah Powell</t>
  </si>
  <si>
    <t>Anthony Lewis Verdine</t>
  </si>
  <si>
    <t>1-1416</t>
  </si>
  <si>
    <t>Alexcia Hill</t>
  </si>
  <si>
    <t>Sunny Eyi</t>
  </si>
  <si>
    <t>Hilda Pineda Lainez, Martir Samuel Centeno Aleman</t>
  </si>
  <si>
    <t>Background</t>
  </si>
  <si>
    <t>John Hadley</t>
  </si>
  <si>
    <t>Olivia Hampton</t>
  </si>
  <si>
    <t>1-1301</t>
  </si>
  <si>
    <t>Chastity Ray</t>
  </si>
  <si>
    <t>2-1013</t>
  </si>
  <si>
    <t>Lakendra Lacy</t>
  </si>
  <si>
    <t>Jessekah Mays</t>
  </si>
  <si>
    <t>2-1053</t>
  </si>
  <si>
    <t>Carlos Juarez</t>
  </si>
  <si>
    <t>Damion Lee</t>
  </si>
  <si>
    <t>Jimiski Johnson</t>
  </si>
  <si>
    <t>Shannon Dawnson</t>
  </si>
  <si>
    <t>Jovan Savage</t>
  </si>
  <si>
    <t>1-1410</t>
  </si>
  <si>
    <t>Nyesha Mason</t>
  </si>
  <si>
    <t>Briana Jones, Jessica Belton</t>
  </si>
  <si>
    <t>Skipped/Owes Money/No Notice</t>
  </si>
  <si>
    <t>1-0708</t>
  </si>
  <si>
    <t>Enma Chiroy</t>
  </si>
  <si>
    <t>Azariah Jemison</t>
  </si>
  <si>
    <t>Shawn Allison Smith</t>
  </si>
  <si>
    <t>Sanai Jackson</t>
  </si>
  <si>
    <t>Favour Emole</t>
  </si>
  <si>
    <t>Antonio Gordon</t>
  </si>
  <si>
    <t>Tradarian Barnes</t>
  </si>
  <si>
    <t>Craig Mcguire</t>
  </si>
  <si>
    <t>Leroy Bargas Iii</t>
  </si>
  <si>
    <t>Paige Opal</t>
  </si>
  <si>
    <t>1-1206</t>
  </si>
  <si>
    <t>Ophelia Clines, Tanisha Braams</t>
  </si>
  <si>
    <t>Daniel Nguema Mikue</t>
  </si>
  <si>
    <t>1-1316</t>
  </si>
  <si>
    <t>Roderick Williams</t>
  </si>
  <si>
    <t>Marco Joubert</t>
  </si>
  <si>
    <t>Elizabeth Emiohe</t>
  </si>
  <si>
    <t>1-0410</t>
  </si>
  <si>
    <t>Himelinda Gallegos</t>
  </si>
  <si>
    <t>Antonio Rivera</t>
  </si>
  <si>
    <t>2-1018</t>
  </si>
  <si>
    <t>Lino Rodriguez, Maria Fonseca Pena</t>
  </si>
  <si>
    <t>Clayton Owens, Latanya Brown</t>
  </si>
  <si>
    <t>Naomi Barbee, Stacey Small</t>
  </si>
  <si>
    <t>1-0303</t>
  </si>
  <si>
    <t>Akira Ross</t>
  </si>
  <si>
    <t>Ehab Abouelkheir, Lis Scocozza</t>
  </si>
  <si>
    <t>Victoria Jones</t>
  </si>
  <si>
    <t>Jayla Johnson</t>
  </si>
  <si>
    <t>2-1064</t>
  </si>
  <si>
    <t>Marseillas Bolden</t>
  </si>
  <si>
    <t>1-1003</t>
  </si>
  <si>
    <t>Shirley Y Alvarez Bejarano</t>
  </si>
  <si>
    <t>Breckin Spinks, Darian Spinks</t>
  </si>
  <si>
    <t>Tyler Rachel, Zyion Tyler</t>
  </si>
  <si>
    <t>Chynah King</t>
  </si>
  <si>
    <t>1-0414</t>
  </si>
  <si>
    <t>Tyree Newble</t>
  </si>
  <si>
    <t>Jertorrius Glenn</t>
  </si>
  <si>
    <t>Eybel Tesfay</t>
  </si>
  <si>
    <t>Tashunia Coleman</t>
  </si>
  <si>
    <t>Amaya Johnson</t>
  </si>
  <si>
    <t>Michael Doh</t>
  </si>
  <si>
    <t>2-1060</t>
  </si>
  <si>
    <t>Kennedy Reid</t>
  </si>
  <si>
    <t>Auriel Brown</t>
  </si>
  <si>
    <t>Lataurus Hardeman</t>
  </si>
  <si>
    <t>Skhulile Sibiya</t>
  </si>
  <si>
    <t>Denied Total : 61</t>
  </si>
  <si>
    <t>Moved Out</t>
  </si>
  <si>
    <t>Eduin Guevara Camphell</t>
  </si>
  <si>
    <t>Arlis Velandia Lopez, Maria Claro Sanchez</t>
  </si>
  <si>
    <t>N</t>
  </si>
  <si>
    <t>Richard Oilatan</t>
  </si>
  <si>
    <t>Kayala McElroy</t>
  </si>
  <si>
    <t>Elvira Serrano, Jose Zavala, Marleny Contreras</t>
  </si>
  <si>
    <t>Jairo Yobany Nunez Barahona</t>
  </si>
  <si>
    <t>2-1014</t>
  </si>
  <si>
    <t>Mayra Yamileth Valdiviezo, Salvador Fajardo</t>
  </si>
  <si>
    <t>Kimary Robert</t>
  </si>
  <si>
    <t>Nekedra Akinyanju</t>
  </si>
  <si>
    <t>Markesiunna Guice</t>
  </si>
  <si>
    <t>Mayra Canales, Nallely Ortiz</t>
  </si>
  <si>
    <t>Danica Heidmann, Nico Rodriguez</t>
  </si>
  <si>
    <t>Lawrence Igoni, Tasheika Bennett</t>
  </si>
  <si>
    <t>1-0301</t>
  </si>
  <si>
    <t>Anibal Bargas, Anibal Vargas, Joxanna Vargas</t>
  </si>
  <si>
    <t>Deziree Griffin</t>
  </si>
  <si>
    <t>Mohamed Amare Fofana</t>
  </si>
  <si>
    <t>Deandre Henry</t>
  </si>
  <si>
    <t>Amershia Freeman</t>
  </si>
  <si>
    <t>Danny Maldonado, Javier Enrique Lopez</t>
  </si>
  <si>
    <t>1-1304</t>
  </si>
  <si>
    <t>Lunya Taylor</t>
  </si>
  <si>
    <t>Monte Heard</t>
  </si>
  <si>
    <t>Lucia Rodriguez</t>
  </si>
  <si>
    <t>Christopher Orozco, Krystal Hernandez</t>
  </si>
  <si>
    <t>Ersharon Roberts</t>
  </si>
  <si>
    <t>Ebony Houston</t>
  </si>
  <si>
    <t>2-1063</t>
  </si>
  <si>
    <t>Clayton Bouchard</t>
  </si>
  <si>
    <t>2-1024</t>
  </si>
  <si>
    <t>Josefina Beltran</t>
  </si>
  <si>
    <t>Matthew Oliver</t>
  </si>
  <si>
    <t>Jailon Jones</t>
  </si>
  <si>
    <t>Rayenieshia Cole</t>
  </si>
  <si>
    <t>Azalea Davis</t>
  </si>
  <si>
    <t>Olalekan Adebiyi</t>
  </si>
  <si>
    <t>Fredy Choc Che, Pablo Ical Choc</t>
  </si>
  <si>
    <t>Brianna Bell</t>
  </si>
  <si>
    <t>Brenda Carrillo Rios, Jembere Workneh</t>
  </si>
  <si>
    <t>Catalina Garcia Nunez, Emilio Padilla</t>
  </si>
  <si>
    <t>Maria Brown</t>
  </si>
  <si>
    <t>Dominque Brown</t>
  </si>
  <si>
    <t>Desha Tatum</t>
  </si>
  <si>
    <t>Candace Gafford</t>
  </si>
  <si>
    <t>DeAndra Hobson, Varun Mehindru</t>
  </si>
  <si>
    <t>J Jesus Mercado Arriaga</t>
  </si>
  <si>
    <t>Khary Manners</t>
  </si>
  <si>
    <t>2-1080</t>
  </si>
  <si>
    <t>Keiny Castillo, Kristna Castillo, Mirian Gomez</t>
  </si>
  <si>
    <t>1-0501</t>
  </si>
  <si>
    <t>Tania Guzman</t>
  </si>
  <si>
    <t>Carlos Lira, Drew Alonzo</t>
  </si>
  <si>
    <t>Keondrae Lipsey</t>
  </si>
  <si>
    <t>Arlis Menjivar Zepeda</t>
  </si>
  <si>
    <t>Lilian Nayeli Medina</t>
  </si>
  <si>
    <t>1-0710</t>
  </si>
  <si>
    <t>Heraclio Mendoza</t>
  </si>
  <si>
    <t>2-1088</t>
  </si>
  <si>
    <t>Dashanae Hall</t>
  </si>
  <si>
    <t>2-1041</t>
  </si>
  <si>
    <t>Juan Che Choc</t>
  </si>
  <si>
    <t>Samantha Brown</t>
  </si>
  <si>
    <t>1-0614</t>
  </si>
  <si>
    <t>Viviana Quintero</t>
  </si>
  <si>
    <t>Gabriel Serrano</t>
  </si>
  <si>
    <t>1-0101</t>
  </si>
  <si>
    <t>Annie Mcelroy</t>
  </si>
  <si>
    <t>Sheniece Perkins</t>
  </si>
  <si>
    <t>Chioma Nwaeze, Ijeoma Mbonu</t>
  </si>
  <si>
    <t>Gabriel Andara</t>
  </si>
  <si>
    <t>Joseph Thomas, Michelle Thomas</t>
  </si>
  <si>
    <t>Adril Bolivar, Shirleys Bolivar</t>
  </si>
  <si>
    <t>Oludolapo Fakeye</t>
  </si>
  <si>
    <t>Armando Torres, Joel Torres</t>
  </si>
  <si>
    <t>Keanna Bell</t>
  </si>
  <si>
    <t>Kaiden Hawthorne</t>
  </si>
  <si>
    <t>Amiya Gilbert</t>
  </si>
  <si>
    <t>1-0204</t>
  </si>
  <si>
    <t>Yessika Hobbs</t>
  </si>
  <si>
    <t>Denis Romero, Luis Lopez</t>
  </si>
  <si>
    <t>Jose Acevedo Sosa</t>
  </si>
  <si>
    <t>1-0311</t>
  </si>
  <si>
    <t>Kevin Thompson</t>
  </si>
  <si>
    <t>Dorian Jackson</t>
  </si>
  <si>
    <t>Anna Mellado</t>
  </si>
  <si>
    <t>Maria De Los Angeles velasquez moreno</t>
  </si>
  <si>
    <t>Baltazar De La Paz, Maria Oliveros</t>
  </si>
  <si>
    <t>Segun Oguntomi</t>
  </si>
  <si>
    <t>Gracie Mcelroy</t>
  </si>
  <si>
    <t>Martinez Brown</t>
  </si>
  <si>
    <t>Cohlby Thomas</t>
  </si>
  <si>
    <t>Norlyn Ely Hercules Lopez</t>
  </si>
  <si>
    <t>Djarabe Bonaventure</t>
  </si>
  <si>
    <t>Nixon Alvarez</t>
  </si>
  <si>
    <t>1-1014</t>
  </si>
  <si>
    <t>Walter Mcglone</t>
  </si>
  <si>
    <t>Danieshia Vincent</t>
  </si>
  <si>
    <t>2-1029</t>
  </si>
  <si>
    <t>Rosa Pena</t>
  </si>
  <si>
    <t>Orlin Hernandez, Yulisa Avila</t>
  </si>
  <si>
    <t>Onsite Transfer</t>
  </si>
  <si>
    <t>Julius Barksdale</t>
  </si>
  <si>
    <t>2-1061</t>
  </si>
  <si>
    <t>Modupe Awe Taiwo</t>
  </si>
  <si>
    <t>Aloysius Griffiths, Williemina Griffiths</t>
  </si>
  <si>
    <t>2-1020</t>
  </si>
  <si>
    <t>Agustin Magadan, Christian Magadan, Esmeralda Bibiano, Kevin Magadan, Marvin Magadan</t>
  </si>
  <si>
    <t>1-1114</t>
  </si>
  <si>
    <t>Kerem Soydan, Mesut Uzuntas</t>
  </si>
  <si>
    <t>Alejandro Pineda Matos, Mayerlin Gonzalez</t>
  </si>
  <si>
    <t>Heraldo Pena, Melissa Lopez</t>
  </si>
  <si>
    <t>Jadesola Munis, Olawunmi Munis</t>
  </si>
  <si>
    <t>Security Concerns</t>
  </si>
  <si>
    <t>2-1072</t>
  </si>
  <si>
    <t>Tunde Arikewuyo</t>
  </si>
  <si>
    <t>Jonathan Valecillos</t>
  </si>
  <si>
    <t>Samson Ikhariale</t>
  </si>
  <si>
    <t>Gabriel Medina Zavala, Rosaivic Martinez Pereida</t>
  </si>
  <si>
    <t>Carrie Coats, Hannah Mcknight</t>
  </si>
  <si>
    <t>Cherish Sims</t>
  </si>
  <si>
    <t>Abayomi Apuabi</t>
  </si>
  <si>
    <t>Apolinario III Dungca</t>
  </si>
  <si>
    <t>Molly Shigemoto</t>
  </si>
  <si>
    <t>Celestina Biachi, Darrus Metcalf</t>
  </si>
  <si>
    <t>1-0321</t>
  </si>
  <si>
    <t>Azeezat Olaleye, Ibironke Crockett, Naeem Olaleye</t>
  </si>
  <si>
    <t>Onsite Transfer, Leaving Town</t>
  </si>
  <si>
    <t>Eric Henry</t>
  </si>
  <si>
    <t>Ani Segovia, Jesus Neire</t>
  </si>
  <si>
    <t>1-1213</t>
  </si>
  <si>
    <t>Cindy Delgadillo, Osiel Duarte</t>
  </si>
  <si>
    <t>Employment Transfer</t>
  </si>
  <si>
    <t>1-1404</t>
  </si>
  <si>
    <t>Chidera Amandianaeze, Daryl Manning, Kamsiyochukwu Amandianaeze, Victoria Amandianaeze-Manning</t>
  </si>
  <si>
    <t>Edward Benton, Isabella Efemartins, Isabella Egonye</t>
  </si>
  <si>
    <t>Alex Delgado, Nelson Rivera</t>
  </si>
  <si>
    <t>Kynisha Pierre</t>
  </si>
  <si>
    <t>Juana Quintanilla Lopez</t>
  </si>
  <si>
    <t>Emmanuel Babalola</t>
  </si>
  <si>
    <t>Alicia Guel, Beningo Rodriguez, Roberto Rodriguez, Steve Rodriguez</t>
  </si>
  <si>
    <t>2-1050</t>
  </si>
  <si>
    <t>Jacqueline Lemus, Kevin Lemus</t>
  </si>
  <si>
    <t>Janet Adeyeye, Kamrhon Dupas</t>
  </si>
  <si>
    <t>Francis Wobo</t>
  </si>
  <si>
    <t>Military Transfer</t>
  </si>
  <si>
    <t>Juan Calderon  Carranza</t>
  </si>
  <si>
    <t>Maria Perez</t>
  </si>
  <si>
    <t>1-0813</t>
  </si>
  <si>
    <t>Ivis Lagos</t>
  </si>
  <si>
    <t>Oluwatosin Oni</t>
  </si>
  <si>
    <t>Bridget Adeleye, Robert Booth</t>
  </si>
  <si>
    <t>Khatera Azimi, Nesar Ahmad Azimi</t>
  </si>
  <si>
    <t>Jesus Segura, Miriam Gonzalez</t>
  </si>
  <si>
    <t>2-1084</t>
  </si>
  <si>
    <t>Alma Rodriguez, Francisco Gonzalez</t>
  </si>
  <si>
    <t>Cristobal Ibarra</t>
  </si>
  <si>
    <t>Alejandra Saavedra, Bryan Rivero Gomez</t>
  </si>
  <si>
    <t>Adeniyi Alagbe, Tamekia Colvin</t>
  </si>
  <si>
    <t xml:space="preserve">Leaving Town, </t>
  </si>
  <si>
    <t>1-0723</t>
  </si>
  <si>
    <t>1-0210</t>
  </si>
  <si>
    <t>Mohammad Helmandi, Wahida Ahmadi</t>
  </si>
  <si>
    <t>2-1067</t>
  </si>
  <si>
    <t>Jonathan Gonzalez, Nereyda Rodriguez</t>
  </si>
  <si>
    <t>Akinloye Ojudale, Francisca Ojudale</t>
  </si>
  <si>
    <t>1-0406</t>
  </si>
  <si>
    <t>Disney Valencia, Erica Mendoza</t>
  </si>
  <si>
    <t>Leaving Town, Onsite Transfer</t>
  </si>
  <si>
    <t>2-1085</t>
  </si>
  <si>
    <t>Joseli Almendarez Rodas, Juan Carlos Almendarez</t>
  </si>
  <si>
    <t>Gbenga Thomas</t>
  </si>
  <si>
    <t>Nemiah Dotson</t>
  </si>
  <si>
    <t>2-1040</t>
  </si>
  <si>
    <t>Mariano Abeso Bindang</t>
  </si>
  <si>
    <t>Alexa Rojas, Raul Martinez</t>
  </si>
  <si>
    <t>Ameerah Salman, Anas Abdulbasit, Mustafa Hammo</t>
  </si>
  <si>
    <t>1-0315</t>
  </si>
  <si>
    <t>Israel Ayemoba</t>
  </si>
  <si>
    <t>Lizeth Castaneda</t>
  </si>
  <si>
    <t>Mylisa Panta</t>
  </si>
  <si>
    <t>Bibi Ahmadi, Fnu Hamidullah</t>
  </si>
  <si>
    <t>Eloy Gutierrez</t>
  </si>
  <si>
    <t>1-0703</t>
  </si>
  <si>
    <t>Gloria Vivanco</t>
  </si>
  <si>
    <t>Martha Hernandez</t>
  </si>
  <si>
    <t>2-1006</t>
  </si>
  <si>
    <t>Andrea Hall, Janice Hayes</t>
  </si>
  <si>
    <t>Charisma Kirby</t>
  </si>
  <si>
    <t>Antonio De Jesus Vasquez Alvarado, Emmanuel De Jesus Vazquez Sustaita</t>
  </si>
  <si>
    <t>Austin Bray, Lora Lane</t>
  </si>
  <si>
    <t>Andrew Abubokhe</t>
  </si>
  <si>
    <t>Natalie Cortez</t>
  </si>
  <si>
    <t>Chiddy Ezevillo, Clement Ezevillo</t>
  </si>
  <si>
    <t>Brooklynn Mcgowan, Jarelle Mayberry</t>
  </si>
  <si>
    <t>Jose Luis Alcocer</t>
  </si>
  <si>
    <t>Ignacio Alfonso Gonzales Alvarado, Ignacio Gonzales</t>
  </si>
  <si>
    <t>1-0511</t>
  </si>
  <si>
    <t>Tre'Quan Joffrion</t>
  </si>
  <si>
    <t>Lamerlou Poliarco</t>
  </si>
  <si>
    <t>Christian Oluwole, Femi Oluwole</t>
  </si>
  <si>
    <t>Larger/Smaller Apartment, Leaving Town</t>
  </si>
  <si>
    <t>2-1042</t>
  </si>
  <si>
    <t>Milton Anye</t>
  </si>
  <si>
    <t>Josue Poron</t>
  </si>
  <si>
    <t>1-1401</t>
  </si>
  <si>
    <t>Brahyan Vargas, Francisco Amorocho Molina</t>
  </si>
  <si>
    <t>Pablo Betancourt</t>
  </si>
  <si>
    <t>Deybin Padilla Buezo, Jose De Jesus Guillen Machada, Katerin Guillen, Maryuri Guillen</t>
  </si>
  <si>
    <t>Audrey Ortega, Bonnie Ortega, Linda Salas</t>
  </si>
  <si>
    <t>Beatriz Rodrigues, Davi Meneses</t>
  </si>
  <si>
    <t>Adrian Hernandez</t>
  </si>
  <si>
    <t>1-1109</t>
  </si>
  <si>
    <t>Ariam Carrizales, Jose Carrizales</t>
  </si>
  <si>
    <t>Adolfina Vergara Diaz, Juan Tovar</t>
  </si>
  <si>
    <t>Ruben Rivera, Silvia Rivera</t>
  </si>
  <si>
    <t>Fiyori Hagos, Yonatan Simon</t>
  </si>
  <si>
    <t>2-1033</t>
  </si>
  <si>
    <t>Joy Jenkins</t>
  </si>
  <si>
    <t>Julianne White, Kevin Ray-Taque</t>
  </si>
  <si>
    <t>1-0113</t>
  </si>
  <si>
    <t>Ifeoma Agbasi, Kyle Johnson</t>
  </si>
  <si>
    <t>Mario Mendoza</t>
  </si>
  <si>
    <t>Eric Gilmore, Paola Hernandez Bravo, Sean Gilmore</t>
  </si>
  <si>
    <t>Amina Baker</t>
  </si>
  <si>
    <t>Dolores Choc Ical, Fernando Cucul Tiul</t>
  </si>
  <si>
    <t>Cludius Ojo, Oluwatosin Onifade</t>
  </si>
  <si>
    <t>2-1028</t>
  </si>
  <si>
    <t>Dulce Pacheco, Wilfrido Cruz Urbano</t>
  </si>
  <si>
    <t>1-0307</t>
  </si>
  <si>
    <t>Juan Alcantar</t>
  </si>
  <si>
    <t>Gafar Danmola, Morenikeji Danmola, Moshood Danmola, Olubunmi Danmola</t>
  </si>
  <si>
    <t>Rafatu Sarumo</t>
  </si>
  <si>
    <t>Daizsa Turner</t>
  </si>
  <si>
    <t>David Benbourked</t>
  </si>
  <si>
    <t>Guadalupe Lazaro</t>
  </si>
  <si>
    <t>Jennifer Adetosoye</t>
  </si>
  <si>
    <t>Andy Bastidas</t>
  </si>
  <si>
    <t>2-1034</t>
  </si>
  <si>
    <t>Erika Antero, Jonathan Antero, Melina Martinez</t>
  </si>
  <si>
    <t>1-1212</t>
  </si>
  <si>
    <t>Adrian Ramos</t>
  </si>
  <si>
    <t>Jayson Herrera</t>
  </si>
  <si>
    <t>Henderson Tyrell, Osarenkhoe Edayi</t>
  </si>
  <si>
    <t>2-1019</t>
  </si>
  <si>
    <t>Andrea Jones, Azeezat Seidu</t>
  </si>
  <si>
    <t>1-0415</t>
  </si>
  <si>
    <t>Denzel Okafor, Derek Okafor</t>
  </si>
  <si>
    <t>2-1027</t>
  </si>
  <si>
    <t>Alfredo Ba Tux, Vicente Caal Maquin</t>
  </si>
  <si>
    <t>Magdalena Mifumu Ogbo Abegue</t>
  </si>
  <si>
    <t>Kennedy Hampton</t>
  </si>
  <si>
    <t>Abiodun Salawu, Adejoke Salawu</t>
  </si>
  <si>
    <t>Brondon Perez, Leslie Lopez</t>
  </si>
  <si>
    <t>Nathalie Rodriguez</t>
  </si>
  <si>
    <t>Gustavo Rangel</t>
  </si>
  <si>
    <t>1-1016</t>
  </si>
  <si>
    <t>Kenneth Nwuya, Nkwo Chidi</t>
  </si>
  <si>
    <t>1-0807</t>
  </si>
  <si>
    <t>Idania Gramajo, Jaime Lopez</t>
  </si>
  <si>
    <t>1-1102</t>
  </si>
  <si>
    <t>Maria Soleded, Nicol Afang</t>
  </si>
  <si>
    <t>1-0905</t>
  </si>
  <si>
    <t>Camilo Florencio, Daniela Nicanor</t>
  </si>
  <si>
    <t>Alex Lopez, Kennya Jacqueline Reyes</t>
  </si>
  <si>
    <t>1-1110</t>
  </si>
  <si>
    <t>Olaide Folorunsho</t>
  </si>
  <si>
    <t>1-1315</t>
  </si>
  <si>
    <t>Jeleel Olufowobi</t>
  </si>
  <si>
    <t>Ali Mohammad Einullah, Zakirullah Akhtari</t>
  </si>
  <si>
    <t>Natalie Aguilera, Saul Jonathan Discua Calix</t>
  </si>
  <si>
    <t>Anil Kumar Gummadidala, Bala Murali Krishna Gummadidala, Naresh Gummadidala</t>
  </si>
  <si>
    <t>Willie Beacham</t>
  </si>
  <si>
    <t>Chiekezi Akagha, Renee Walters</t>
  </si>
  <si>
    <t>Wanted a Change/Unhappy, Leaving Town</t>
  </si>
  <si>
    <t>Mario Cortez Reyes</t>
  </si>
  <si>
    <t>Chandanea Haliburton</t>
  </si>
  <si>
    <t>1-0518</t>
  </si>
  <si>
    <t>Ibraheem Akilagun</t>
  </si>
  <si>
    <t>Rebecca Hunter, Tandi Hunter</t>
  </si>
  <si>
    <t>Michael Lupian</t>
  </si>
  <si>
    <t>1-0806</t>
  </si>
  <si>
    <t>Qiana Abrams, Robert Abrams III</t>
  </si>
  <si>
    <t>Samantha Ramirez</t>
  </si>
  <si>
    <t>Luis Vazquez, Mirella Galvan Arredondo</t>
  </si>
  <si>
    <t>1-1012</t>
  </si>
  <si>
    <t>Greg Daiker</t>
  </si>
  <si>
    <t>Denis Villegas, Mayra Elizabeth Ignacio</t>
  </si>
  <si>
    <t>Johandris Alvarez, Yaritza Ojeda</t>
  </si>
  <si>
    <t>1-1010</t>
  </si>
  <si>
    <t>Nissa Escalante Branch</t>
  </si>
  <si>
    <t>Ejiro Iwhiwhu, Ogodo Maxwell</t>
  </si>
  <si>
    <t>1-0616</t>
  </si>
  <si>
    <t>Irving Paz Lazo</t>
  </si>
  <si>
    <t>Abigail Foley, Justin Foley</t>
  </si>
  <si>
    <t>1-1201</t>
  </si>
  <si>
    <t>Nnadi Emmanuel, Nnaemeka Christopher</t>
  </si>
  <si>
    <t>1-0203</t>
  </si>
  <si>
    <t>Estifanos Yohannes</t>
  </si>
  <si>
    <t>Dionni Monette</t>
  </si>
  <si>
    <t>Brittany Brown, Za'Naae Alley</t>
  </si>
  <si>
    <t>2-1015</t>
  </si>
  <si>
    <t>Aldair Serrano, Fabiola Romo, Jesus Serrano</t>
  </si>
  <si>
    <t>1-1105</t>
  </si>
  <si>
    <t>Abdullah Ali Al Ahjeri, Amy Saleh</t>
  </si>
  <si>
    <t>Marlon Brown</t>
  </si>
  <si>
    <t>1-1318</t>
  </si>
  <si>
    <t>Makenzie Greenwood</t>
  </si>
  <si>
    <t>Michel Perez-Perez</t>
  </si>
  <si>
    <t>2-1016</t>
  </si>
  <si>
    <t>Francisco Mendoza</t>
  </si>
  <si>
    <t>2-1005</t>
  </si>
  <si>
    <t>Cindy Us Tec, Omar Barbosa</t>
  </si>
  <si>
    <t>Charles Ewere, Ese Ewere</t>
  </si>
  <si>
    <t>Edwin Hernandez, Miriam Lopez</t>
  </si>
  <si>
    <t>Michael Schindler</t>
  </si>
  <si>
    <t>Annaciata Obidigwe</t>
  </si>
  <si>
    <t>Cinthia Velasco, Virginia Martinez</t>
  </si>
  <si>
    <t>Jahirey Berry, Olivia Mendoza</t>
  </si>
  <si>
    <t>2-1017</t>
  </si>
  <si>
    <t>Paola Rios</t>
  </si>
  <si>
    <t>2-1059</t>
  </si>
  <si>
    <t>Donovan Webb</t>
  </si>
  <si>
    <t>Allen Maradiaga, Sherry Aguero Flores</t>
  </si>
  <si>
    <t>1-0604</t>
  </si>
  <si>
    <t>Maranda Wagner</t>
  </si>
  <si>
    <t>Carmen Castello, ERGUIN LARA</t>
  </si>
  <si>
    <t>Leaving Town, Wanted a Change/Unhappy</t>
  </si>
  <si>
    <t>2-1031</t>
  </si>
  <si>
    <t>Marvin De Jesus Lazo</t>
  </si>
  <si>
    <t>Latanya Stanback</t>
  </si>
  <si>
    <t>2-1052</t>
  </si>
  <si>
    <t>Aaliyah Edwards</t>
  </si>
  <si>
    <t>Jose Moreno, Minerva Soriano</t>
  </si>
  <si>
    <t>Stairesand Bennett- Bryan</t>
  </si>
  <si>
    <t>Ayala Dennis, Tamiah Giles</t>
  </si>
  <si>
    <t>Oscarline Onwuemenyi</t>
  </si>
  <si>
    <t>2-1054</t>
  </si>
  <si>
    <t>Cornelius Pyle</t>
  </si>
  <si>
    <t>Amy Perez, Maria Morales (Employee), Miriam Sapon, Omar Martinez (Employee)</t>
  </si>
  <si>
    <t>Lost Job, Onsite Transfer</t>
  </si>
  <si>
    <t>Diana Valeria Pacheco, Oscar Mendez</t>
  </si>
  <si>
    <t>Franklin Valera, Omaira Araujo, Omaireddys Rosales</t>
  </si>
  <si>
    <t>1-0416</t>
  </si>
  <si>
    <t>Adeola Lawal, Joseph Irokwe, Suraj Maiyegun</t>
  </si>
  <si>
    <t>Steve Harper</t>
  </si>
  <si>
    <t>Nataly Hurtado, Rene Reyes</t>
  </si>
  <si>
    <t>Abriana Benavides, Julio Mata</t>
  </si>
  <si>
    <t>Mauricio Jovel</t>
  </si>
  <si>
    <t>Abosede Ogunnubi</t>
  </si>
  <si>
    <t>1-0522</t>
  </si>
  <si>
    <t>Emanuela Petitval, Jn Laurent Luc</t>
  </si>
  <si>
    <t>Juan Rangel Alvarez, Maria Gonzalez Romero</t>
  </si>
  <si>
    <t>1-0104</t>
  </si>
  <si>
    <t>Andrew Valdez, pablo moises mejia zelaya</t>
  </si>
  <si>
    <t>Luis Fernando Ordonez Aguilar</t>
  </si>
  <si>
    <t>1-0312</t>
  </si>
  <si>
    <t>Christian Vasquez, Mirna Favela</t>
  </si>
  <si>
    <t>1-0714</t>
  </si>
  <si>
    <t>Samson Bahta</t>
  </si>
  <si>
    <t>Alexis Brown, Miky'Ra Butler</t>
  </si>
  <si>
    <t>Katherine Galindo, Keydy Galindo</t>
  </si>
  <si>
    <t>Ahmad Zia Ali Jani, Ali Jani, Fatima Jani, Giti Haidarzada, Hojjat Jani, Mohammad Jani</t>
  </si>
  <si>
    <t>Bobby Manley</t>
  </si>
  <si>
    <t>2-1079</t>
  </si>
  <si>
    <t>Daniela Jaramillo, Jessica Jaramillo</t>
  </si>
  <si>
    <t>1-0116</t>
  </si>
  <si>
    <t>Emily Hennawi Martinez, Enriquez Melquiadez, Martina Martinez Polanco, Nelbys Gonzalez</t>
  </si>
  <si>
    <t>Alvin Arnold, Temitope Oduwaiye</t>
  </si>
  <si>
    <t>Estefany Breve, Miguel Botello Moreira</t>
  </si>
  <si>
    <t>Todd Buretz</t>
  </si>
  <si>
    <t>Trevor Bryant</t>
  </si>
  <si>
    <t>Gerardo Duenez</t>
  </si>
  <si>
    <t>1-0816</t>
  </si>
  <si>
    <t>1-0524</t>
  </si>
  <si>
    <t>Lateefat Falola, Yemi Kuforiji</t>
  </si>
  <si>
    <t>Moved Out Total : 326</t>
  </si>
  <si>
    <t>Delinquency notes backup — pre-fix state 7/1/2026, corrected pairings (owner-matched). K = LeaseLock/RSI value, L = CAF note.</t>
  </si>
  <si>
    <t>Sheet Row (as of backup)</t>
  </si>
  <si>
    <t>LeaseLock/RSI (col K value)</t>
  </si>
  <si>
    <t>CAF Notes (col L)</t>
  </si>
  <si>
    <t>L Note Type</t>
  </si>
  <si>
    <t>Former (pre-fix)</t>
  </si>
  <si>
    <t>RSI: Rent Suit Concluded (Notes)</t>
  </si>
  <si>
    <t>RSI: Hearing Scheduled</t>
  </si>
  <si>
    <t xml:space="preserve">pending lease lock </t>
  </si>
  <si>
    <t>Manual</t>
  </si>
  <si>
    <t>LL: Claim Denied (Claim Denied) | RSI: Granted (Notes)</t>
  </si>
  <si>
    <t>lease lock claim deined; wrote off $16,032.72, ready to send to collections</t>
  </si>
  <si>
    <t>Feaster, Jordan</t>
  </si>
  <si>
    <t>LL: Closed - $750.00 paid | RSI: Cancelled (Notes)</t>
  </si>
  <si>
    <t>lease lock claim deined; wrote off $15,609.70, ready to send to collections</t>
  </si>
  <si>
    <t>RSI: Dismissed (Notes)</t>
  </si>
  <si>
    <t>LL: Claim Denied () | RSI: Rent Suit Concluded (Notes)</t>
  </si>
  <si>
    <t>RSI: Granted (Notes)</t>
  </si>
  <si>
    <t>LL: Open - Pending Documentation | RSI: Granted (Notes)</t>
  </si>
  <si>
    <t>LL: Claim Denied () | RSI: Cancelled (Notes)</t>
  </si>
  <si>
    <t>LL: Closed - $750.00 paid | RSI: Dismissed (Tenant Vacated) (Notes)</t>
  </si>
  <si>
    <t>LL: Closed - $750.00 paid</t>
  </si>
  <si>
    <t>LL: Claim Denied () | RSI: Granted (Notes)</t>
  </si>
  <si>
    <t>RSI: LC Handling Appeal (Notes)</t>
  </si>
  <si>
    <t>LL: Open - Pending Documentation | RSI: Dismissed (Tenant Vacated) (Notes)</t>
  </si>
  <si>
    <t>LL: Claim Denied ()</t>
  </si>
  <si>
    <t>lease lock claim deined; wrote off $8,747.05, ready to send to collections</t>
  </si>
  <si>
    <t>lease lock claim deined; wrote off $8,454.99, ready to send to collections</t>
  </si>
  <si>
    <t>LL: Claim Denied (Claim Denied) | RSI: Dismissed (Tenant Vacated) (Notes)</t>
  </si>
  <si>
    <t>Lease lock payment of $1,000; new amount written off $8,591.79, ready to send to collections</t>
  </si>
  <si>
    <t>RSI: Dismissed (Tenant PAID) (Notes)</t>
  </si>
  <si>
    <t>LL: Closed - no payment | RSI: Cancelled (Notes)</t>
  </si>
  <si>
    <t>LL: Claim Denied (Claim Denied) | RSI: Cancelled (Notes)</t>
  </si>
  <si>
    <t>RSI: Dismissed (Tenant Vacated) (Notes)</t>
  </si>
  <si>
    <t>LL: Claim Denied (Claim Denied) | RSI: Dismissed (Notes)</t>
  </si>
  <si>
    <t>LL: Closed - $750.00 paid | RSI: Dismissed (Notes)</t>
  </si>
  <si>
    <t>lease lock payment of $750; new amount written off $6,575.67, ready to be sent to collection</t>
  </si>
  <si>
    <t>LL: Closed - no payment</t>
  </si>
  <si>
    <t>lease lock payment $750; new amount written off $6,044.45, ready to be sent to collections</t>
  </si>
  <si>
    <t>not in lease; wrote off $4,729.51, ready to be sent to collections</t>
  </si>
  <si>
    <t>RSI: Cancelled (Notes)</t>
  </si>
  <si>
    <t>lease lock payment $750; wrote off and ready for collections</t>
  </si>
  <si>
    <t>LL: Claim Denied () | RSI: Dismissal Filed (Notes)</t>
  </si>
  <si>
    <t>claim deined; wrote off $1,334.92</t>
  </si>
  <si>
    <t>LL: Closed - $385.00 paid</t>
  </si>
  <si>
    <t>RSI: Cancelled</t>
  </si>
  <si>
    <t>RSI: Dismissal Filed (Notes)</t>
  </si>
  <si>
    <t>lease lock payment of $522.58; wrote off remaining amount and ready for collections</t>
  </si>
  <si>
    <t>not in lease lock; wrote off $269.18 and ready for collections</t>
  </si>
  <si>
    <t>LL: Closed - $387.00 paid | RSI: Dismissed (Tenant Vacated) (Notes)</t>
  </si>
  <si>
    <t>not in leaselock; wrote off $236.19 and ready for collections</t>
  </si>
  <si>
    <t>LL: Closed - $932.50 paid | RSI: Hearing Scheduled</t>
  </si>
  <si>
    <t>LL: Claim Denied (Claim Denied)</t>
  </si>
  <si>
    <t>LL: Closed - no payment | RSI: Dismissed (Tenant Vacated) (Notes)</t>
  </si>
  <si>
    <t>LL: Closed - $750.00 paid | RSI: Cancelled</t>
  </si>
  <si>
    <t>filed writ/ penidng writ date</t>
  </si>
  <si>
    <t>resident skipped</t>
  </si>
  <si>
    <t>court date 7/1</t>
  </si>
  <si>
    <t>Court date 7/8 @ 1:30</t>
  </si>
  <si>
    <t>pending court date; filed 6/17</t>
  </si>
  <si>
    <t>Court 7/14 @ 1:30</t>
  </si>
  <si>
    <t>Court 7/22 @ 9:30am</t>
  </si>
  <si>
    <t>Court 7/16 @1:30pm</t>
  </si>
  <si>
    <t>Active EHA</t>
  </si>
  <si>
    <t>only owes July</t>
  </si>
  <si>
    <t>Current (orphaned - no resident on row), backed up 7/27/2026</t>
  </si>
  <si>
    <t>EHA</t>
  </si>
  <si>
    <t>resident paid</t>
  </si>
  <si>
    <t>resident NFS'ed, small balance notice was sent</t>
  </si>
  <si>
    <t>MTM charge added</t>
  </si>
  <si>
    <t>small balnce letter sent</t>
  </si>
  <si>
    <t>Former (orphan)</t>
  </si>
  <si>
    <t>(owner unknown — was at blank row 115, archived 8/5/2026)</t>
  </si>
  <si>
    <t>Hearing Time</t>
  </si>
  <si>
    <t>Location</t>
  </si>
  <si>
    <t>Plaintiff</t>
  </si>
  <si>
    <t>Defendant</t>
  </si>
  <si>
    <t>Property Email Addresses</t>
  </si>
  <si>
    <t>Unit Address</t>
  </si>
  <si>
    <t>Case No</t>
  </si>
  <si>
    <t>Dallas County JP 3-1</t>
  </si>
  <si>
    <t>Quentin Allen</t>
  </si>
  <si>
    <t>ava.pm@cafmanagement.com</t>
  </si>
  <si>
    <t>9750 Royal Oaks, 1416</t>
  </si>
  <si>
    <t>Ethine Nwokedi</t>
  </si>
  <si>
    <t>9750 Royal Lane, 213</t>
  </si>
  <si>
    <t>JPC-25-07646-31</t>
  </si>
  <si>
    <t>Javier Lopez</t>
  </si>
  <si>
    <t>9750 Royal Oaks, 1116</t>
  </si>
  <si>
    <t>9750 Royal Oaks, 310</t>
  </si>
  <si>
    <t>E-file</t>
  </si>
  <si>
    <t>Nereyda Rodriguez</t>
  </si>
  <si>
    <t>8201 Fair Oaks Crossing, 1071</t>
  </si>
  <si>
    <t>.</t>
  </si>
  <si>
    <t>Jose Guillen Machada</t>
  </si>
  <si>
    <t>8303 Skillman Street, 122</t>
  </si>
  <si>
    <t>09:30 AM</t>
  </si>
  <si>
    <t>Andrew Jonshua Trujillo Alvarado</t>
  </si>
  <si>
    <t>9750 Royal Lane, 1424</t>
  </si>
  <si>
    <t>JPC-25-07384-31</t>
  </si>
  <si>
    <t>9750 Royal Lane, 215</t>
  </si>
  <si>
    <t>JPC-25-07378-31</t>
  </si>
  <si>
    <t>9750 Royal Lane, 715</t>
  </si>
  <si>
    <t>JPC-25-06767-31</t>
  </si>
  <si>
    <t>01:30 PM</t>
  </si>
  <si>
    <t>8201 Fair Oaks Crossing, 1031</t>
  </si>
  <si>
    <t>JPC-25-07762-31</t>
  </si>
  <si>
    <t>8401 Skillman Street, 2086</t>
  </si>
  <si>
    <t>JPC-25-07732-31</t>
  </si>
  <si>
    <t>8303 Skillman Street, 408</t>
  </si>
  <si>
    <t>JPC-25-07761-31</t>
  </si>
  <si>
    <t>Miguel Salazar Sanchez</t>
  </si>
  <si>
    <t>9750 Royal Lane, 406</t>
  </si>
  <si>
    <t>JPC-25-07928-31</t>
  </si>
  <si>
    <t>Dija Sparks</t>
  </si>
  <si>
    <t>9750 Royal Lane, 516</t>
  </si>
  <si>
    <t>JPC-25-07512-31</t>
  </si>
  <si>
    <t>Mia Smith</t>
  </si>
  <si>
    <t>9750 Royal Lane, 808</t>
  </si>
  <si>
    <t>JPC-25-07788-31</t>
  </si>
  <si>
    <t>9750 Royal Lane, 310</t>
  </si>
  <si>
    <t>JPC-25-07377-31</t>
  </si>
  <si>
    <t>9750 Royal Lane, 1105</t>
  </si>
  <si>
    <t>JPC-25-07389-31</t>
  </si>
  <si>
    <t>9750 Royal Lane, 1416</t>
  </si>
  <si>
    <t>JPC-25-07385-31</t>
  </si>
  <si>
    <t>Latonya Walker</t>
  </si>
  <si>
    <t>9750 Royal Lane, 113</t>
  </si>
  <si>
    <t>JPC-25-07388-31</t>
  </si>
  <si>
    <t>Leila Butler</t>
  </si>
  <si>
    <t>9750 Royal Lane, 802</t>
  </si>
  <si>
    <t>JPC-25-07927-31</t>
  </si>
  <si>
    <t>Clarence Kouevi</t>
  </si>
  <si>
    <t>9750 Royal Lane, 910</t>
  </si>
  <si>
    <t>JPC-25-07179-31</t>
  </si>
  <si>
    <t>Afi Anyakpah</t>
  </si>
  <si>
    <t>9750 Royal Lane, 1419</t>
  </si>
  <si>
    <t>JPC-25-07930-31</t>
  </si>
  <si>
    <t>8201 Fair Oaks Crossing, 1046</t>
  </si>
  <si>
    <t>JPC-25-06706-31</t>
  </si>
  <si>
    <t>Alvaro Santana Juarez</t>
  </si>
  <si>
    <t>9750 Royal Lane, 1423</t>
  </si>
  <si>
    <t>JPC-25-07929-31</t>
  </si>
  <si>
    <t>8401 Skillman Street LP</t>
  </si>
  <si>
    <t>8303 Skillman Street, 403</t>
  </si>
  <si>
    <t>JPC-25-04454-31</t>
  </si>
  <si>
    <t>8401 Skillman Street, 2040</t>
  </si>
  <si>
    <t>JPC-25-04475-31</t>
  </si>
  <si>
    <t>8401 Skillman Street, 2047</t>
  </si>
  <si>
    <t>JPC-25-04472-31</t>
  </si>
  <si>
    <t>8401 Skillman Street, 3058</t>
  </si>
  <si>
    <t>JPC-25-04471-31</t>
  </si>
  <si>
    <t>8401 Skillman Street, 2034</t>
  </si>
  <si>
    <t>JPC-25-04709-31</t>
  </si>
  <si>
    <t>8401 Skillman Street, 3046</t>
  </si>
  <si>
    <t>JPC-25-04698-31</t>
  </si>
  <si>
    <t>8401 Skillman Street, 2082</t>
  </si>
  <si>
    <t>JPC-25-04683-31</t>
  </si>
  <si>
    <t>8401 Skillman Street, 2093</t>
  </si>
  <si>
    <t>JPC-25-04708-31</t>
  </si>
  <si>
    <t>8401 Skillman Street, 3091</t>
  </si>
  <si>
    <t>JPC-25-04697-31</t>
  </si>
  <si>
    <t>11:00 AM</t>
  </si>
  <si>
    <t>8303 Skillman Street, 258</t>
  </si>
  <si>
    <t>JPC-25-04371-31</t>
  </si>
  <si>
    <t>8401 Skillman Street, 1038</t>
  </si>
  <si>
    <t>JPC-25-03882-31</t>
  </si>
  <si>
    <t>8401 Skillman Street, 2061</t>
  </si>
  <si>
    <t>JPC-25-03883-31</t>
  </si>
  <si>
    <t>8201 Fair Oaks Crossing, 1074</t>
  </si>
  <si>
    <t>JPC-25-06442-31</t>
  </si>
  <si>
    <t>9750 Royal Lane, 102</t>
  </si>
  <si>
    <t>JPC-25-06445-31</t>
  </si>
  <si>
    <t>8201 Fair Oaks Crossing, 2005</t>
  </si>
  <si>
    <t>JPC-25-06447-31</t>
  </si>
  <si>
    <t>9750 Royal Lane, 1202</t>
  </si>
  <si>
    <t>JPC-25-06444-31</t>
  </si>
  <si>
    <t>Breana Mccarrell</t>
  </si>
  <si>
    <t>9750 Royal Lane, 401</t>
  </si>
  <si>
    <t>JPC-25-06441-31</t>
  </si>
  <si>
    <t>JPC-25-06461-31</t>
  </si>
  <si>
    <t>8303 Skillman Street, 433</t>
  </si>
  <si>
    <t>JPC-25-06407-31</t>
  </si>
  <si>
    <t>8201 Fair Oaks Crossing, 1041</t>
  </si>
  <si>
    <t>JPC-25-06462-31</t>
  </si>
  <si>
    <t>8201 Fair Oaks Crossing, 2070</t>
  </si>
  <si>
    <t>JPC-25-06608-31</t>
  </si>
  <si>
    <t>8401 Skillman Street, 3048</t>
  </si>
  <si>
    <t>JPC-25-06459-31</t>
  </si>
  <si>
    <t>8201 Fair Oaks Crossing, 1040</t>
  </si>
  <si>
    <t>JPC-25-06604-31</t>
  </si>
  <si>
    <t>Alexis Brown</t>
  </si>
  <si>
    <t>8303 Skillman Street, 159</t>
  </si>
  <si>
    <t>JPC-25-06609-31</t>
  </si>
  <si>
    <t>8401 Skillman Street, 2057</t>
  </si>
  <si>
    <t>JPC-25-06610-31</t>
  </si>
  <si>
    <t>8201 Fair Oaks Crossing, 1080</t>
  </si>
  <si>
    <t>JPC-25-06605-31</t>
  </si>
  <si>
    <t>8201 Fair Oaks Crossing, 2028</t>
  </si>
  <si>
    <t>JPC-25-06607-31</t>
  </si>
  <si>
    <t>Tamiah Giles</t>
  </si>
  <si>
    <t>8401 Skillman Street, 1101</t>
  </si>
  <si>
    <t>JPC-25-06693-31</t>
  </si>
  <si>
    <t>William Simpson</t>
  </si>
  <si>
    <t>8201 Fair Oaks Crossing, 2065</t>
  </si>
  <si>
    <t>JPC-25-06692-31</t>
  </si>
  <si>
    <t>JPC-25-06931-31</t>
  </si>
  <si>
    <t>JPC-25-06766-31</t>
  </si>
  <si>
    <t>JPC-25-06759-31</t>
  </si>
  <si>
    <t>8201 Fair Oaks Crossing, 1020</t>
  </si>
  <si>
    <t>JPC-25-06770-31</t>
  </si>
  <si>
    <t>8303 Skillman Street, 201</t>
  </si>
  <si>
    <t>JPC-25-06764-31</t>
  </si>
  <si>
    <t>JPC-25-06708-31</t>
  </si>
  <si>
    <t>8401 Skillman Street, 2051</t>
  </si>
  <si>
    <t>JPC-25-06699-31</t>
  </si>
  <si>
    <t>Olivia Mendoza</t>
  </si>
  <si>
    <t>8303 Skillman Street, 162</t>
  </si>
  <si>
    <t>JPC-25-06705-31</t>
  </si>
  <si>
    <t>Andrew Trujillo Alvarado</t>
  </si>
  <si>
    <t>9750 Royal Oaks, 1424</t>
  </si>
  <si>
    <t>JPC-25-06700-31</t>
  </si>
  <si>
    <t>Roy Quintero</t>
  </si>
  <si>
    <t>9750 Royal Oaks, 522</t>
  </si>
  <si>
    <t>JPC-25-06697-31</t>
  </si>
  <si>
    <t>Dewayne Dixon</t>
  </si>
  <si>
    <t>8401 Skillman Street, 2038</t>
  </si>
  <si>
    <t>JPC-25-06704-31</t>
  </si>
  <si>
    <t>8401 Skillman Street, 2018</t>
  </si>
  <si>
    <t>JPC-25-06696-31</t>
  </si>
  <si>
    <t>8401 Skillman Street, 2020</t>
  </si>
  <si>
    <t>JPC-25-06703-31</t>
  </si>
  <si>
    <t>8201 Fair Oaks Crossing, 1065</t>
  </si>
  <si>
    <t>JPC-25-06702-31</t>
  </si>
  <si>
    <t>8401 Skillman Street, 1020</t>
  </si>
  <si>
    <t>JPC-25-06701-31</t>
  </si>
  <si>
    <t>8303 Skillman Street, 430</t>
  </si>
  <si>
    <t>JPC-25-06443-31</t>
  </si>
  <si>
    <t>8201 Fair Oaks Crossing, 2067</t>
  </si>
  <si>
    <t>JPC-25-06905-31</t>
  </si>
  <si>
    <t>8401 Skillman Street, 2021</t>
  </si>
  <si>
    <t>JPC-25-06698-31</t>
  </si>
  <si>
    <t>9750 Royal Lane, 1004</t>
  </si>
  <si>
    <t>JPC-25-06934-31</t>
  </si>
  <si>
    <t>Alexxis Means</t>
  </si>
  <si>
    <t>8201 Fair Oaks Crossing, 1016</t>
  </si>
  <si>
    <t>JPC-25-06926-31</t>
  </si>
  <si>
    <t>Jarelle Mayberry</t>
  </si>
  <si>
    <t>8201 Fair Oaks Crossing, 2050</t>
  </si>
  <si>
    <t>JPC-25-06928-31</t>
  </si>
  <si>
    <t>8201 Fair Oaks Crossing, 1044</t>
  </si>
  <si>
    <t>JPC-25-06957-31</t>
  </si>
  <si>
    <t>8201 Fair Oaks Crossing, 2092</t>
  </si>
  <si>
    <t>JPC-25-06961-31</t>
  </si>
  <si>
    <t>Alma Bacho</t>
  </si>
  <si>
    <t>8303 Skillman Street, 157</t>
  </si>
  <si>
    <t>JPC-25-06963-31</t>
  </si>
  <si>
    <t>Diamond Goodman</t>
  </si>
  <si>
    <t>8201 Fair Oaks Crossing, 1087</t>
  </si>
  <si>
    <t>JPC-25-06958-31</t>
  </si>
  <si>
    <t>8201 Fair Oaks Crossing, 1032</t>
  </si>
  <si>
    <t>JPC-25-06956-31</t>
  </si>
  <si>
    <t>DeAndra Hobson</t>
  </si>
  <si>
    <t>8201 Fair Oaks Crossing, 2053</t>
  </si>
  <si>
    <t>JPC-25-06960-31</t>
  </si>
  <si>
    <t>8303 Skillman Street, 245</t>
  </si>
  <si>
    <t>JPC-25-06966-31</t>
  </si>
  <si>
    <t>Nely Lara Vasquez</t>
  </si>
  <si>
    <t>8401 Skillman Street, 1056</t>
  </si>
  <si>
    <t>JPC-25-06971-31</t>
  </si>
  <si>
    <t>8401 Skillman Street, 2014</t>
  </si>
  <si>
    <t>JPC-25-07012-31</t>
  </si>
  <si>
    <t>Oscar Divini Pomposo Aviles</t>
  </si>
  <si>
    <t>8401 Skillman Street, 2083</t>
  </si>
  <si>
    <t>JPC-25-07009-31</t>
  </si>
  <si>
    <t>Talasia Rashidi</t>
  </si>
  <si>
    <t>8401 Skillman Street, 2096</t>
  </si>
  <si>
    <t>JPC-25-06972-31</t>
  </si>
  <si>
    <t>Tyler Kelly</t>
  </si>
  <si>
    <t>8401 Skillman Street, 3040</t>
  </si>
  <si>
    <t>JPC-25-07008-31</t>
  </si>
  <si>
    <t>8401 Skillman Street, 3094</t>
  </si>
  <si>
    <t>JPC-25-07007-31</t>
  </si>
  <si>
    <t>8201 Fair Oaks Crossing, 1054</t>
  </si>
  <si>
    <t>JPC-25-07011-31</t>
  </si>
  <si>
    <t>Prince Sunday</t>
  </si>
  <si>
    <t>8303 Skillman Street, 421</t>
  </si>
  <si>
    <t>JPC-25-06969-31</t>
  </si>
  <si>
    <t>JPC-25-07181-31</t>
  </si>
  <si>
    <t>Alberto Olalde</t>
  </si>
  <si>
    <t>9750 Royal Lane, 901</t>
  </si>
  <si>
    <t>JPC-25-07180-31</t>
  </si>
  <si>
    <t>9750 Royal Lane, 1-0516</t>
  </si>
  <si>
    <t>JPC-25-07182-31</t>
  </si>
  <si>
    <t>8303 Skillman Street, 414</t>
  </si>
  <si>
    <t>JPC-25-06707-31</t>
  </si>
  <si>
    <t>JPC-25-07371-31</t>
  </si>
  <si>
    <t>8303 Skillman Street, 215</t>
  </si>
  <si>
    <t>JPC-25-06409-31</t>
  </si>
  <si>
    <t>Estanislao Flores</t>
  </si>
  <si>
    <t>8401 Skillman Street, 1037</t>
  </si>
  <si>
    <t>JPC-25-06460-31</t>
  </si>
  <si>
    <t>8303 Skillman Street, 272</t>
  </si>
  <si>
    <t>JPC-25-06408-31</t>
  </si>
  <si>
    <t>Breana Renee Mccarrell</t>
  </si>
  <si>
    <t>JPC-25-07376-31</t>
  </si>
  <si>
    <t>8201 Fair Oaks Crossing, 2039</t>
  </si>
  <si>
    <t>JPC-25-06446-31</t>
  </si>
  <si>
    <t>9750 Royal Lane, 403</t>
  </si>
  <si>
    <t>JPC-25-07372-31</t>
  </si>
  <si>
    <t>Client</t>
  </si>
  <si>
    <t>Case Type</t>
  </si>
  <si>
    <t>Balance Due</t>
  </si>
  <si>
    <t>File Date</t>
  </si>
  <si>
    <t>Case Number</t>
  </si>
  <si>
    <t>Result</t>
  </si>
  <si>
    <t>Vacated?</t>
  </si>
  <si>
    <t>Writ?</t>
  </si>
  <si>
    <t>Dismiss?</t>
  </si>
  <si>
    <t>Dismissal Reason</t>
  </si>
  <si>
    <t>Collections?</t>
  </si>
  <si>
    <t>Attorney Notes</t>
  </si>
  <si>
    <t>DALLAS (PRECINCT 3 - 1)</t>
  </si>
  <si>
    <t>Dismissed Filed</t>
  </si>
  <si>
    <t>Dwayne Sanders</t>
  </si>
  <si>
    <t>9750 Royal Apt 605</t>
  </si>
  <si>
    <t>$22,761.44</t>
  </si>
  <si>
    <t>09/18/2025</t>
  </si>
  <si>
    <t>New</t>
  </si>
  <si>
    <t>Attendance Required</t>
  </si>
  <si>
    <t/>
  </si>
  <si>
    <t>Attorney Dismissal</t>
  </si>
  <si>
    <t>Vacated</t>
  </si>
  <si>
    <t>Writ</t>
  </si>
  <si>
    <t>9/29/2025</t>
  </si>
  <si>
    <t>(09/29/2025 - CE - Emailed) Since you have not responded to our email asking if you would like to use one of the attorneys on our network to represent you in your upcoming judgment over 20,000 case, we have to assume that you have your own representation.  We have, therefore, closed this case in our system.  If this was an oversight and you do actually need representation, please feel free to contact us.
(09/19/2025 - ce - Emailed) The Justice of the Peace can only hear cases for damages under $20,000. 
If you would like to proceed with this case in JP court, you will need to reduce the judgment amount requested to under $20,000 and change the reason for eviction. After this has been done, please reply directly to this email informing us that you would like to move forward and the fees have been reduced. 
If you would like to request more than $20,000, you will have to request this amount in the district court. If you opt to file in the district court, you will need an attorney to represent you. We do have an In-Network Attorney that we can transfer your case to. The fee would depend on the complexity of your particular case. You can also choose to use your own attorney.</t>
  </si>
  <si>
    <t>8201 Fair Apt 2075</t>
  </si>
  <si>
    <t>$0.00</t>
  </si>
  <si>
    <t>10/07/2025</t>
  </si>
  <si>
    <t>10/29/2025</t>
  </si>
  <si>
    <t>(10/08/2025 - ce - Emailed) All lease violation cases must be filed by either the property itself or an attorney.  Therefore, Nationwide Compliant is unable to represent you on this case for Lease Violation.
We do have an In-Network Attorney that we can transfer your case to. The base fee is $750 but is subject to change depending on the complexity of the case.  You can also choose to use your own attorney or file the case yourself.
Please reply to this email and let us know your preference.
If you choose to use your own attorney or file the case yourself, simply click DISMISS in our system within the next 7 days, and your property will not incur any charges.</t>
  </si>
  <si>
    <t>9750 Royal Apt/Suite 605</t>
  </si>
  <si>
    <t>$24,375.36</t>
  </si>
  <si>
    <t>10/14/2025</t>
  </si>
  <si>
    <t>10/23/2025</t>
  </si>
  <si>
    <t>(10/23/2025 - ce - Emailed) Since you have not responded to our email asking if you would like to use one of the attorneys on our network to represent you in your upcoming judgment over 20,000 case, we have to assume that you have your own representation.  We have, therefore, closed this case in our system.  If this was an oversight and you do actually need representation, please feel free to contact us.
(10/15/2025 - ce - Emailed) The Justice of the Peace can only hear cases for damages under $20,000. 
If you would like to proceed with this case in JP court, you will need to reduce the judgment amount requested to under $20,000 and change the reason for eviction. After this has been done, please reply directly to this email informing us that you would like to move forward and the fees have been reduced. 
If you would like to request more than $20,000, you will have to request this amount in the district court. If you opt to file in the district court, you will need an attorney to represent you. We do have an In-Network Attorney that we can transfer your case to. The fee would depend on the complexity of your particular case. You can also choose to use your own attorney.</t>
  </si>
  <si>
    <t>10/28/2025</t>
  </si>
  <si>
    <t>11/7/2025</t>
  </si>
  <si>
    <t>(10/28/2025 - ce - Emailed) All lease violation cases must be filed by either the property itself or an attorney.  Therefore, Nationwide Compliant is unable to represent you on this case for Lease Violation.
We do have an In-Network Attorney that we can transfer your case to. The base fee is $750 but is subject to change depending on the complexity of the case.  You can also choose to use your own attorney or file the case yourself.
Please reply to this email and let us know your preference.
If you choose to use your own attorney or file the case yourself, simply click DISMISS in our system within the next 7 days, and your property will not incur any charges.</t>
  </si>
  <si>
    <t>8201 Fair Apt 2065</t>
  </si>
  <si>
    <t>$3,389.62</t>
  </si>
  <si>
    <t>09/23/2025</t>
  </si>
  <si>
    <t>Processed</t>
  </si>
  <si>
    <t>11/06/2025</t>
  </si>
  <si>
    <t>Judicial Dismissal</t>
  </si>
  <si>
    <t>(11/07/2025 - cj - Emailed) Dallas Eviction Advocacy Center appeared in attendance for Defendant and argued case should be dismissed due to insufficient notice to vacate. The Judge determined there was a lack of service because according to postal records notice was mailed after notice was posted outside of the door.
(11/03/2025 - SYS - Emailed) Please upload your most current ledger to your case in NWC.  Judges are now requesting proof that no  payments have been accepted since the eviction was filed.  Failure to do so could result in the dismissal of your case.  PLEASE NOTE: ​We will not update your fees to reflect the updated ledger, as the petition has already been filed. Th​e updated ledger ​will simply allow us to answer questions the court may have about payments made since the case was filed. To avoid receiving reminder emails requesting the updated ledger, please remember to check the ledger box on the file eviction page once you have added the updated ledger.
If you no longer wish to proceed with this case, please select DISMISS by the defendant name on your NWC case status page.</t>
  </si>
  <si>
    <t>8401 Skillman Apt 2021</t>
  </si>
  <si>
    <t>$2,466.23</t>
  </si>
  <si>
    <t>09/24/2025</t>
  </si>
  <si>
    <t>11/20/2025</t>
  </si>
  <si>
    <t>11/24/2025</t>
  </si>
  <si>
    <t>(11/24/2025 - cj) Dallas Eviction Advocacy Center appeared in attendance for Defendant and argued case should be dismissed due to pleadings being incorrect. Judge determined Plaintiff forfeited right to transact business in the State of Texas. Defendant's attorney provided court with a copy of tax status print out. The Judge determined that property does not have valid Franchise Tax with the Texas Comptroller of Public Accounts. Additionally, Judge considered notice improper due to the 'deadbolt engaged' component of service being refuted by the defendant's testimony. 
Please note that you are responsible for the accuracy and completeness of your submission. Nationwide is not responsible for any damages whether related to delays, unsatisfactory results, or other which are resulting from the submission of incomplete, insufficient, inaccurate information, or any other condition as specified in the terms and conditions.
(11/22/2025 - cj) Judge dismissed case after Defendant argued pleadings were incorrect. Judge determined Plaintiff forfeited right to transact business in the State of Texas. The Judge determined that property does not have valid Franchise Tax with the Texas Comptroller of Public Accounts.
Additionally, Dallas Eviction Advocacy Center appeared in attendance for Defendant and argued case should be dismissed due to improper notice. Due to this, Judge dismissed case due to insufficient notice. Please note that you are responsible for the accuracy and completeness of your submission.
Nationwide is not responsible for any damages whether related to delays, unsatisfactory results, or other which are resulting from the submission of incomplete, insufficient, inaccurate information, or any other condition as specified in the terms and conditions.
(11/17/2025 - SYS - Emailed) Please upload your most current ledger to your case in NWC.  Judges are now requesting proof that no  payments have been accepted since the eviction was filed.  Failure to do so could result in the dismissal of your case.  PLEASE NOTE: ​We will not update your fees to reflect the updated ledger, as the petition has already been filed. Th​e updated ledger ​will simply allow us to answer questions the court may have about payments made since the case was filed. To avoid receiving reminder emails requesting the updated ledger, please remember to check the ledger box on the file eviction page once you have added the updated ledger.
If you no longer wish to proceed with this case, please select DISMISS by the defendant name on your NWC case status page.
(11/12/2025 - cj - Emailed) This case has been reset by the Judge and is set for 11/20/2025 @ 1:30PM because the tenant has contested service of notice to vacate and claims that notice was not properly served. Judge has requested that person who served notice to attend the reset hearing to testify regarding delivery. ATTENDANCE REQUIRED.
Additionally, the tenant in this case has retained legal counsel. Please be present at the hearing as you may have to refute the usual assertions that opposing counsel will make.
Also, while we feel that we are more than capable of prosecuting this case with your presences, we want to give you the opportunity to retain an attorney if you choose.
Please reply to this email and confirm that you WILL BE PRESENT at the reset hearing.</t>
  </si>
  <si>
    <t>8303 Skillman Apt 414</t>
  </si>
  <si>
    <t>$1,704.49</t>
  </si>
  <si>
    <t>09/30/2025</t>
  </si>
  <si>
    <t>12/08/2025</t>
  </si>
  <si>
    <t>12/9/2025</t>
  </si>
  <si>
    <t>(12/09/2025 - KD) The judge has dismissed this case. The DEAC was present to represent the defendant. The individual who delivered the Notice to Vacate letter (NTV) is no longer employed by the plaintiff, therefore unable to appear or respond to the defendants testimony. Additionally, the registered owner's franchise tax status is currently listed as inactive.
(12/03/2025 - SYS - Emailed) Please upload your most current ledger to your case in NWC.  Judges are now requesting proof that no  payments have been accepted since the eviction was filed.  Failure to do so could result in the dismissal of your case.  PLEASE NOTE: ​We will not update your fees to reflect the updated ledger, as the petition has already been filed. Th​e updated ledger ​will simply allow us to answer questions the court may have about payments made since the case was filed. To avoid receiving reminder emails requesting the updated ledger, please remember to check the ledger box on the file eviction page once you have added the updated ledger.
If you no longer wish to proceed with this case, please select DISMISS by the defendant name on your NWC case status page.
(11/12/2025 - cj - Emailed) This case has been reset by the Judge and is set for 12/08/2025 @ 1:30PM because the tenant has contested service of notice to vacate and claims that notice was not properly served. Judge has requested that person who served notice to attend the reset hearing to testify regarding delivery. ATTENDANCE REQUIRED.
Additionally, the tenant in this case has retained legal counsel. Please be present at the hearing as you may have to refute the usual assertions that opposing counsel will make.
Also, while we feel that we are more than capable of prosecuting this case with your presences, we want to give you the opportunity to retain an attorney if you choose.
Please reply to this email and confirm that you WILL BE PRESENT at the reset hearing.</t>
  </si>
  <si>
    <t>8201 Fair Apt/Suite 2067</t>
  </si>
  <si>
    <t>$2,976.27</t>
  </si>
  <si>
    <t>10/13/2025</t>
  </si>
  <si>
    <t>11/22/2025</t>
  </si>
  <si>
    <t>(11/22/2025 - cj) Judge dismissed case after Defendant argued pleadings were incorrect. Judge determined Plaintiff forfeited right to transact business in the State of Texas. The Judge determined that property does not have valid Franchise Tax with the Texas Comptroller of Public Accounts.
(11/17/2025 - SYS - Emailed) Please upload your most current ledger to your case in NWC.  Judges are now requesting proof that no  payments have been accepted since the eviction was filed.  Failure to do so could result in the dismissal of your case.  PLEASE NOTE: ​We will not update your fees to reflect the updated ledger, as the petition has already been filed. Th​e updated ledger ​will simply allow us to answer questions the court may have about payments made since the case was filed. To avoid receiving reminder emails requesting the updated ledger, please remember to check the ledger box on the file eviction page once you have added the updated ledger.
If you no longer wish to proceed with this case, please select DISMISS by the defendant name on your NWC case status page.</t>
  </si>
  <si>
    <t>9750 Royal Apt/Suite 715</t>
  </si>
  <si>
    <t>$2,807.89</t>
  </si>
  <si>
    <t>10/21/2025</t>
  </si>
  <si>
    <t>01/13/2026</t>
  </si>
  <si>
    <t>1/14/2026</t>
  </si>
  <si>
    <t>(01/14/2026 - cj) Judge dismissed case after determining pleadings were incorrect. Judge determined Plaintiff forfeited right to transact business in the State of Texas. The Judge determined that property does not have valid Franchise Tax with the Texas Comptroller of Public Accounts.
(01/08/2026 - SYS - Emailed) Please upload your most current ledger to your case in NWC.  Judges are now requesting proof that no  payments have been accepted since the eviction was filed.  Failure to do so could result in the dismissal of your case.  PLEASE NOTE: ​We will not update your fees to reflect the updated ledger, as the petition has already been filed. Th​e updated ledger ​will simply allow us to answer questions the court may have about payments made since the case was filed. To avoid receiving reminder emails requesting the updated ledger, please remember to check the ledger box on the file eviction page once you have added the updated ledger.
If you no longer wish to proceed with this case, please select DISMISS by the defendant name on your NWC case status page.
(12/05/2025 - SH) The Motion to reinstate was granted by the Judge. This case will now be heard on 1.13.2025 @ 9:30am
(12/01/2025 - SYS - Emailed) Please upload your most current ledger to your case in NWC.  Judges are now requesting proof that no  payments have been accepted since the eviction was filed.  Failure to do so could result in the dismissal of your case.  PLEASE NOTE: ​We will not update your fees to reflect the updated ledger, as the petition has already been filed. Th​e updated ledger ​will simply allow us to answer questions the court may have about payments made since the case was filed. To avoid receiving reminder emails requesting the updated ledger, please remember to check the ledger box on the file eviction page once you have added the updated ledger.
If you no longer wish to proceed with this case, please select DISMISS by the defendant name on your NWC case status page.
(11/04/2025 - 11:41:05 AM) Thank you for trusting NWC to handle your case(s). We understand delays can be frustrating, and we want to assure you that we are actively monitoring your cases. Due to a high volume of filings with the court, there has been a delay in receiving case numbers and court dates. Please know that the court is working as quickly as possible to serve all clients, including NWC.
We truly appreciate your patience during this time. At NWC, we are committed to keeping all case information updated promptly upon receipt and within our stated commitment times.
If you have any case- or court-specific questions, please don’t hesitate to reach out directly to me, Shaunna Hampton (shaunna.hampton@nationwidecompliant.com
), or your Dallas County Market Support Specialist, Christine Johnson (Christine.johnson@nationwidecompliant.com
). We are here to help and ensure you are supported every step of the way.</t>
  </si>
  <si>
    <t>9750 Royal Apt 516</t>
  </si>
  <si>
    <t>$1,511.89</t>
  </si>
  <si>
    <t>01/15/2026</t>
  </si>
  <si>
    <t>2/18/2026</t>
  </si>
  <si>
    <t>(03/05/2026 - SH) This case was dismissed due to the State Franchise Tax for this property was inavtive at the time of filing.
(02/13/2026 - SYS - Emailed) Please upload your most current ledger to your case in NWC.  Judges are now requesting proof that no  payments have been accepted since the eviction was filed.  Failure to do so could result in the dismissal of your case.  PLEASE NOTE: ​We will not update your fees to reflect the updated ledger, as the petition has already been filed. Th​e updated ledger ​will simply allow us to answer questions the court may have about payments made since the case was filed. To avoid receiving reminder emails requesting the updated ledger, please remember to check the ledger box on the file eviction page once you have added the updated ledger.
If you no longer wish to proceed with this case, please select DISMISS by the defendant name on your NWC case status page.
(01/16/2026 - 11:41:15 AM) The Judge has requested confirmation that Plaintiff's franchise tax status is in good standing. This case has been reset to 02/19/2026 at 9:30AM. Court has reset case in order to allow time to confirm if property will be able to provide evidence of good standing with franchise tax status. PLEASE NOTE that property ATTENDANCE is required at reset hearing detailed above.
(01/12/2026 - SYS - Emailed) Please upload your most current ledger to your case in NWC.  Judges are now requesting proof that no  payments have been accepted since the eviction was filed.  Failure to do so could result in the dismissal of your case.  PLEASE NOTE: ​We will not update your fees to reflect the updated ledger, as the petition has already been filed. Th​e updated ledger ​will simply allow us to answer questions the court may have about payments made since the case was filed. To avoid receiving reminder emails requesting the updated ledger, please remember to check the ledger box on the file eviction page once you have added the updated ledger.
If you no longer wish to proceed with this case, please select DISMISS by the defendant name on your NWC case status page.
(12/12/2025 - 8:06:16 AM) An attorney appeared on behalf of the defendant. The property is listed under Edcouch Financial, which currently reflects a forfeited tax status. The property representative advised that management is actively working to resolve this issue.
To allow time for the matter to be corrected, the Judge reset the case for January 15, 2025 at 1:30 p.m.
(12/05/2025 - SYS - Emailed) Please upload your most current ledger to your case in NWC.  Judges are now requesting proof that no  payments have been accepted since the eviction was filed.  Failure to do so could result in the dismissal of your case.  PLEASE NOTE: ​We will not update your fees to reflect the updated ledger, as the petition has already been filed. Th​e updated ledger ​will simply allow us to answer questions the court may have about payments made since the case was filed. To avoid receiving reminder emails requesting the updated ledger, please remember to check the ledger box on the file eviction page once you have added the updated ledger.
If you no longer wish to proceed with this case, please select DISMISS by the defendant name on your NWC case status page.
(11/18/2025 - 1:06:31 PM) Thank you for trusting Nationwide Compliant with your case(s). We understand that delays can be frustrating, and I want to reassure you that your case has been submitted to the court. Due to longer-than-usual processing times, we have contacted the court to obtain an estimated timeframe for acceptance. At this point, the case remains in “submitted” status and has not yet been processed.
We are monitoring the situation closely and will update the case as soon as any new information becomes available. If you have any questions, please feel free to reach out to me at shaunna.hampton@nationwidecompliant.com
 or to Christine Johnson at christine.johnson@nationwidecompliant.com
.
(11/04/2025 - 11:41:34 AM) Thank you for trusting NWC to handle your case(s). We understand delays can be frustrating, and we want to assure you that we are actively monitoring your cases. Due to a high volume of filings with the court, there has been a delay in receiving case numbers and court dates. Please know that the court is working as quickly as possible to serve all clients, including NWC.
We truly appreciate your patience during this time. At NWC, we are committed to keeping all case information updated promptly upon receipt and within our stated commitment times.
If you have any case- or court-specific questions, please don’t hesitate to reach out directly to me, Shaunna Hampton (shaunna.hampton@nationwidecompliant.com
), or your Dallas County Market Support Specialist, Christine Johnson (Christine.johnson@nationwidecompliant.com
). We are here to help and ensure you are supported every step of the way.</t>
  </si>
  <si>
    <t>9750 Royal Apt/Suite 808</t>
  </si>
  <si>
    <t>$2,180.11</t>
  </si>
  <si>
    <t>11/18/2025</t>
  </si>
  <si>
    <t>1/16/2026</t>
  </si>
  <si>
    <t>(01/16/2026 - cj) Dallas Eviction Advocacy Center appeared in attendance for Defendant and argued that notice was improper. Judge dismissed case after determining that mailed notice did not allow additional 3 days AFTER mailing. 
You are responsible for the accuracy and completeness of your submission. Nationwide is not responsible for any damages whether related to delays, unsatisfactory results, or other which are resulting from the submission of incomplete, insufficient, inaccurate information, or any other condition as specified in the terms and conditions.
(01/12/2026 - SYS - Emailed) Please upload your most current ledger to your case in NWC.  Judges are now requesting proof that no  payments have been accepted since the eviction was filed.  Failure to do so could result in the dismissal of your case.  PLEASE NOTE: ​We will not update your fees to reflect the updated ledger, as the petition has already been filed. Th​e updated ledger ​will simply allow us to answer questions the court may have about payments made since the case was filed. To avoid receiving reminder emails requesting the updated ledger, please remember to check the ledger box on the file eviction page once you have added the updated ledger.
If you no longer wish to proceed with this case, please select DISMISS by the defendant name on your NWC case status page.
(12/15/2025 - 1:06:10 PM) We followed up with the court regarding the status of pending cases. The court advised that filings are currently taking approximately 2–3 weeks to be reviewed and accepted due to an increase in filings, approved staff leave, and the holiday court schedule. After this week’s hearings, the court will have a two-week hearing break, allowing clerks to focus on processing filings. The court anticipates this will significantly reduce the backlog and bring timelines closer to normal by the end of the month.</t>
  </si>
  <si>
    <t>8303 Skillman Apt 433</t>
  </si>
  <si>
    <t>$15,868.64</t>
  </si>
  <si>
    <t>09/15/2025</t>
  </si>
  <si>
    <t>10/22/2025</t>
  </si>
  <si>
    <t>Possession</t>
  </si>
  <si>
    <t>Dismiss</t>
  </si>
  <si>
    <t>(10/17/2025 - SYS - Emailed) Please upload your most current ledger to your case in NWC.  Judges are now requesting proof that no  payments have been accepted since the eviction was filed.  Failure to do so could result in the dismissal of your case.  PLEASE NOTE: ​We will not update your fees to reflect the updated ledger, as the petition has already been filed. Th​e updated ledger ​will simply allow us to answer questions the court may have about payments made since the case was filed. To avoid receiving reminder emails requesting the updated ledger, please remember to check the ledger box on the file eviction page once you have added the updated ledger.
If you no longer wish to proceed with this case, please select DISMISS by the defendant name on your NWC case status page.</t>
  </si>
  <si>
    <t>8201 Fair Apt 1041</t>
  </si>
  <si>
    <t>$5,483.51</t>
  </si>
  <si>
    <t>09/19/2025</t>
  </si>
  <si>
    <t>uvac</t>
  </si>
  <si>
    <t>(10/20/2025 - SYS - Emailed) Please upload your most current ledger to your case in NWC.  Judges are now requesting proof that no  payments have been accepted since the eviction was filed.  Failure to do so could result in the dismissal of your case.  PLEASE NOTE: ​We will not update your fees to reflect the updated ledger, as the petition has already been filed. Th​e updated ledger ​will simply allow us to answer questions the court may have about payments made since the case was filed. To avoid receiving reminder emails requesting the updated ledger, please remember to check the ledger box on the file eviction page once you have added the updated ledger.
If you no longer wish to proceed with this case, please select DISMISS by the defendant name on your NWC case status page.</t>
  </si>
  <si>
    <t>8401 Skillman Apt 3048</t>
  </si>
  <si>
    <t>$5,713.78</t>
  </si>
  <si>
    <t>10/27/2025</t>
  </si>
  <si>
    <t>11/05/2025</t>
  </si>
  <si>
    <t>11/12/2025</t>
  </si>
  <si>
    <t>(10/22/2025 - SYS - Emailed) Please upload your most current ledger to your case in NWC.  Judges are now requesting proof that no  payments have been accepted since the eviction was filed.  Failure to do so could result in the dismissal of your case.  PLEASE NOTE: ​We will not update your fees to reflect the updated ledger, as the petition has already been filed. Th​e updated ledger ​will simply allow us to answer questions the court may have about payments made since the case was filed. To avoid receiving reminder emails requesting the updated ledger, please remember to check the ledger box on the file eviction page once you have added the updated ledger.
If you no longer wish to proceed with this case, please select DISMISS by the defendant name on your NWC case status page.</t>
  </si>
  <si>
    <t>8303 Skillman Apt 159</t>
  </si>
  <si>
    <t>$4,712.01</t>
  </si>
  <si>
    <t>09/22/2025</t>
  </si>
  <si>
    <t>8201 Fair Apt 1040</t>
  </si>
  <si>
    <t>$4,873.61</t>
  </si>
  <si>
    <t>8401 Skillman Apt 2057</t>
  </si>
  <si>
    <t>$2,933.08</t>
  </si>
  <si>
    <t>8401 Skillman Apt 2018</t>
  </si>
  <si>
    <t>$4,121.74</t>
  </si>
  <si>
    <t>11/11/2025</t>
  </si>
  <si>
    <t>11/17/2025</t>
  </si>
  <si>
    <t>8201 Fair Apt 2028</t>
  </si>
  <si>
    <t>$3,495.33</t>
  </si>
  <si>
    <t>8201 Fair Apt 1065</t>
  </si>
  <si>
    <t>$3,204.09</t>
  </si>
  <si>
    <t>8401 Skillman Apt 1020</t>
  </si>
  <si>
    <t>$2,400.92</t>
  </si>
  <si>
    <t>09/25/2025</t>
  </si>
  <si>
    <t>8401 Skillman Apt 2020</t>
  </si>
  <si>
    <t>$2,254.54</t>
  </si>
  <si>
    <t>8401 Skillman Apt 2038</t>
  </si>
  <si>
    <t>$1,927.60</t>
  </si>
  <si>
    <t>09/26/2025</t>
  </si>
  <si>
    <t>8201 Fair Apt 1020</t>
  </si>
  <si>
    <t>$3,461.10</t>
  </si>
  <si>
    <t>8303 Skillman Apt 201</t>
  </si>
  <si>
    <t>$1,534.67</t>
  </si>
  <si>
    <t>8201 Fair Apt 1046</t>
  </si>
  <si>
    <t>$1,646.02</t>
  </si>
  <si>
    <t>02/19/2026</t>
  </si>
  <si>
    <t>03/06/2026</t>
  </si>
  <si>
    <t>(02/13/2026 - SYS - Emailed) Please upload your most current ledger to your case in NWC.  Judges are now requesting proof that no  payments have been accepted since the eviction was filed.  Failure to do so could result in the dismissal of your case.  PLEASE NOTE: ​We will not update your fees to reflect the updated ledger, as the petition has already been filed. Th​e updated ledger ​will simply allow us to answer questions the court may have about payments made since the case was filed. To avoid receiving reminder emails requesting the updated ledger, please remember to check the ledger box on the file eviction page once you have added the updated ledger.
If you no longer wish to proceed with this case, please select DISMISS by the defendant name on your NWC case status page.
(01/16/2026 - 11:41:14 AM) The Judge has requested confirmation that Plaintiff's franchise tax status is in good standing. This case has been reset to 02/19/2026 at 9:30AM. Court has reset case in order to allow time to confirm if property will be able to provide evidence of good standing with franchise tax status. PLEASE NOTE that property ATTENDANCE is required at reset hearing detailed above.
(01/12/2026 - SYS - Emailed) Please upload your most current ledger to your case in NWC.  Judges are now requesting proof that no  payments have been accepted since the eviction was filed.  Failure to do so could result in the dismissal of your case.  PLEASE NOTE: ​We will not update your fees to reflect the updated ledger, as the petition has already been filed. Th​e updated ledger ​will simply allow us to answer questions the court may have about payments made since the case was filed. To avoid receiving reminder emails requesting the updated ledger, please remember to check the ledger box on the file eviction page once you have added the updated ledger.
If you no longer wish to proceed with this case, please select DISMISS by the defendant name on your NWC case status page.
(12/09/2025 - KD) This case has been reset for 01.15.26 @ 1:30 pm due to an outstanding franchise tax obligation. Property management was there and confirmed they've communicated the information to the owner. Attendance is required.
(12/03/2025 - SYS - Emailed) Please upload your most current ledger to your case in NWC.  Judges are now requesting proof that no  payments have been accepted since the eviction was filed.  Failure to do so could result in the dismissal of your case.  PLEASE NOTE: ​We will not update your fees to reflect the updated ledger, as the petition has already been filed. Th​e updated ledger ​will simply allow us to answer questions the court may have about payments made since the case was filed. To avoid receiving reminder emails requesting the updated ledger, please remember to check the ledger box on the file eviction page once you have added the updated ledger.
If you no longer wish to proceed with this case, please select DISMISS by the defendant name on your NWC case status page.</t>
  </si>
  <si>
    <t>8201 Fair Apt/Suite 2053</t>
  </si>
  <si>
    <t>$1,702.23</t>
  </si>
  <si>
    <t>12/01/2025</t>
  </si>
  <si>
    <t>(11/19/2025 - SYS - Emailed) Please upload your most current ledger to your case in NWC.  Judges are now requesting proof that no  payments have been accepted since the eviction was filed.  Failure to do so could result in the dismissal of your case.  PLEASE NOTE: ​We will not update your fees to reflect the updated ledger, as the petition has already been filed. Th​e updated ledger ​will simply allow us to answer questions the court may have about payments made since the case was filed. To avoid receiving reminder emails requesting the updated ledger, please remember to check the ledger box on the file eviction page once you have added the updated ledger.
If you no longer wish to proceed with this case, please select DISMISS by the defendant name on your NWC case status page.</t>
  </si>
  <si>
    <t>8201 Fair Apt/Suite 2092</t>
  </si>
  <si>
    <t>$1,724.97</t>
  </si>
  <si>
    <t>11/25/2025</t>
  </si>
  <si>
    <t>8201 Fair Apt/Suite 1032</t>
  </si>
  <si>
    <t>$1,765.47</t>
  </si>
  <si>
    <t>9750 Royal Apt/Suite 310</t>
  </si>
  <si>
    <t>$3,979.37</t>
  </si>
  <si>
    <t>02/09/2026</t>
  </si>
  <si>
    <t>(02/04/2026 - SYS - Emailed) Please upload your most current ledger to your case in NWC.  Judges are now requesting proof that no  payments have been accepted since the eviction was filed.  Failure to do so could result in the dismissal of your case.  PLEASE NOTE: ​We will not update your fees to reflect the updated ledger, as the petition has already been filed. Th​e updated ledger ​will simply allow us to answer questions the court may have about payments made since the case was filed. To avoid receiving reminder emails requesting the updated ledger, please remember to check the ledger box on the file eviction page once you have added the updated ledger.
If you no longer wish to proceed with this case, please select DISMISS by the defendant name on your NWC case status page.
(01/14/2026 - 10:57:25 AM) The Judge has requested confirmation that Plaintiff's franchise tax status is in good standing. This case has been reset to 02/09/2026 at 1:30 PM. Court has reset case in order to allow time to confirm if property will be able to provide evidence of good standing with franchise tax status. PLEASE NOTE that property ATTENDANCE is required at reset hearing detailed above.
(01/08/2026 - SYS - Emailed) Please upload your most current ledger to your case in NWC.  Judges are now requesting proof that no  payments have been accepted since the eviction was filed.  Failure to do so could result in the dismissal of your case.  PLEASE NOTE: ​We will not update your fees to reflect the updated ledger, as the petition has already been filed. Th​e updated ledger ​will simply allow us to answer questions the court may have about payments made since the case was filed. To avoid receiving reminder emails requesting the updated ledger, please remember to check the ledger box on the file eviction page once you have added the updated ledger.
If you no longer wish to proceed with this case, please select DISMISS by the defendant name on your NWC case status page.
(11/11/2025 - 12:31:51 PM) Thank you for trusting NWC to handle your case(s). We understand delays can be frustrating, and we want to assure you that we are actively monitoring your cases. Due to a high volume of filings with the court, there has been a delay in receiving case numbers and court dates. Please know that the court is working as quickly as possible to serve all clients, including NWC.
We truly appreciate your patience during this time. At NWC, we are committed to keeping all case information updated promptly upon receipt and within our stated commitment times.
If you have any case- or court-specific questions, please don’t hesitate to reach out directly to me, Shaunna Hampton (shaunna.hampton@nationwidecompliant.com), or your Dallas County Market Support Specialist, Christine Johnson (Christine.johnson@nationwidecompliant.com). We are here to help and ensure you are supported every step of the way.
(11/04/2025 - 11:41:05 AM) Thank you for trusting NWC to handle your case(s). We understand delays can be frustrating, and we want to assure you that we are actively monitoring your cases. Due to a high volume of filings with the court, there has been a delay in receiving case numbers and court dates. Please know that the court is working as quickly as possible to serve all clients, including NWC.
We truly appreciate your patience during this time. At NWC, we are committed to keeping all case information updated promptly upon receipt and within our stated commitment times.
If you have any case- or court-specific questions, please don’t hesitate to reach out directly to me, Shaunna Hampton (shaunna.hampton@nationwidecompliant.com
), or your Dallas County Market Support Specialist, Christine Johnson (Christine.johnson@nationwidecompliant.com
). We are here to help and ensure you are supported every step of the way.</t>
  </si>
  <si>
    <t>9750 Royal Apt/Suite 403</t>
  </si>
  <si>
    <t>$1,363.12</t>
  </si>
  <si>
    <t>12/09/2025</t>
  </si>
  <si>
    <t>01/09/2026</t>
  </si>
  <si>
    <t>(12/04/2025 - SYS - Emailed) Please upload your most current ledger to your case in NWC.  Judges are now requesting proof that no  payments have been accepted since the eviction was filed.  Failure to do so could result in the dismissal of your case.  PLEASE NOTE: ​We will not update your fees to reflect the updated ledger, as the petition has already been filed. Th​e updated ledger ​will simply allow us to answer questions the court may have about payments made since the case was filed. To avoid receiving reminder emails requesting the updated ledger, please remember to check the ledger box on the file eviction page once you have added the updated ledger.
If you no longer wish to proceed with this case, please select DISMISS by the defendant name on your NWC case status page.
(11/11/2025 - 12:31:51 PM) Thank you for trusting NWC to handle your case(s). We understand delays can be frustrating, and we want to assure you that we are actively monitoring your cases. Due to a high volume of filings with the court, there has been a delay in receiving case numbers and court dates. Please know that the court is working as quickly as possible to serve all clients, including NWC.
We truly appreciate your patience during this time. At NWC, we are committed to keeping all case information updated promptly upon receipt and within our stated commitment times.
If you have any case- or court-specific questions, please don’t hesitate to reach out directly to me, Shaunna Hampton (shaunna.hampton@nationwidecompliant.com), or your Dallas County Market Support Specialist, Christine Johnson (Christine.johnson@nationwidecompliant.com). We are here to help and ensure you are supported every step of the way.
(11/04/2025 - 11:41:05 AM) Thank you for trusting NWC to handle your case(s). We understand delays can be frustrating, and we want to assure you that we are actively monitoring your cases. Due to a high volume of filings with the court, there has been a delay in receiving case numbers and court dates. Please know that the court is working as quickly as possible to serve all clients, including NWC.
We truly appreciate your patience during this time. At NWC, we are committed to keeping all case information updated promptly upon receipt and within our stated commitment times.
If you have any case- or court-specific questions, please don’t hesitate to reach out directly to me, Shaunna Hampton (shaunna.hampton@nationwidecompliant.com
), or your Dallas County Market Support Specialist, Christine Johnson (Christine.johnson@nationwidecompliant.com
). We are here to help and ensure you are supported every step of the way.</t>
  </si>
  <si>
    <t>Unit Vacated</t>
  </si>
  <si>
    <t>9750 Royal Apt/Suite 401</t>
  </si>
  <si>
    <t>$18,597.93</t>
  </si>
  <si>
    <t>02/18/2026</t>
  </si>
  <si>
    <t>01/20/2026</t>
  </si>
  <si>
    <t>9750 Royal Apt/Suite 113</t>
  </si>
  <si>
    <t>$2,038.25</t>
  </si>
  <si>
    <t>(02/04/2026 - SYS - Emailed) Please upload your most current ledger to your case in NWC.  Judges are now requesting proof that no  payments have been accepted since the eviction was filed.  Failure to do so could result in the dismissal of your case.  PLEASE NOTE: ​We will not update your fees to reflect the updated ledger, as the petition has already been filed. Th​e updated ledger ​will simply allow us to answer questions the court may have about payments made since the case was filed. To avoid receiving reminder emails requesting the updated ledger, please remember to check the ledger box on the file eviction page once you have added the updated ledger.
If you no longer wish to proceed with this case, please select DISMISS by the defendant name on your NWC case status page.
(01/14/2026 - 10:57:23 AM) The Judge has requested confirmation that Plaintiff's franchise tax status is in good standing. This case has been reset to 02/09/2026 at 1:30 PM. Court has reset case in order to allow time to confirm if property will be able to provide evidence of good standing with franchise tax status. PLEASE NOTE that property ATTENDANCE is required at reset hearing detailed above.
(01/08/2026 - SYS - Emailed) Please upload your most current ledger to your case in NWC.  Judges are now requesting proof that no  payments have been accepted since the eviction was filed.  Failure to do so could result in the dismissal of your case.  PLEASE NOTE: ​We will not update your fees to reflect the updated ledger, as the petition has already been filed. Th​e updated ledger ​will simply allow us to answer questions the court may have about payments made since the case was filed. To avoid receiving reminder emails requesting the updated ledger, please remember to check the ledger box on the file eviction page once you have added the updated ledger.
If you no longer wish to proceed with this case, please select DISMISS by the defendant name on your NWC case status page.
(11/11/2025 - 12:31:47 PM) Thank you for trusting NWC to handle your case(s). We understand delays can be frustrating, and we want to assure you that we are actively monitoring your cases. Due to a high volume of filings with the court, there has been a delay in receiving case numbers and court dates. Please know that the court is working as quickly as possible to serve all clients, including NWC.
We truly appreciate your patience during this time. At NWC, we are committed to keeping all case information updated promptly upon receipt and within our stated commitment times.
If you have any case- or court-specific questions, please don’t hesitate to reach out directly to me, Shaunna Hampton (shaunna.hampton@nationwidecompliant.com), or your Dallas County Market Support Specialist, Christine Johnson (Christine.johnson@nationwidecompliant.com). We are here to help and ensure you are supported every step of the way.
(11/04/2025 - 11:41:04 AM) Thank you for trusting NWC to handle your case(s). We understand delays can be frustrating, and we want to assure you that we are actively monitoring your cases. Due to a high volume of filings with the court, there has been a delay in receiving case numbers and court dates. Please know that the court is working as quickly as possible to serve all clients, including NWC.
We truly appreciate your patience during this time. At NWC, we are committed to keeping all case information updated promptly upon receipt and within our stated commitment times.
If you have any case- or court-specific questions, please don’t hesitate to reach out directly to me, Shaunna Hampton (shaunna.hampton@nationwidecompliant.com
), or your Dallas County Market Support Specialist, Christine Johnson (Christine.johnson@nationwidecompliant.com
). We are here to help and ensure you are supported every step of the way.</t>
  </si>
  <si>
    <t>9750 Royal Apt 1419</t>
  </si>
  <si>
    <t>$2,339.12</t>
  </si>
  <si>
    <t>02/25/2026</t>
  </si>
  <si>
    <t>03/04/2026</t>
  </si>
  <si>
    <t>bpaid</t>
  </si>
  <si>
    <t>(02/13/2026 - SYS - Emailed) Please upload your most current ledger to your case in NWC.  Judges are now requesting proof that no  payments have been accepted since the eviction was filed.  Failure to do so could result in the dismissal of your case.  PLEASE NOTE: ​We will not update your fees to reflect the updated ledger, as the petition has already been filed. Th​e updated ledger ​will simply allow us to answer questions the court may have about payments made since the case was filed. To avoid receiving reminder emails requesting the updated ledger, please remember to check the ledger box on the file eviction page once you have added the updated ledger.
If you no longer wish to proceed with this case, please select DISMISS by the defendant name on your NWC case status page.
(01/16/2026 - 11:41:14 AM) The Judge has requested confirmation that Plaintiff's franchise tax status is in good standing. This case has been reset to 02/19/2026 at 9:30AM. Court has reset case in order to allow time to confirm if property will be able to provide evidence of good standing with franchise tax status. PLEASE NOTE that property ATTENDANCE is required at reset hearing detailed above.
(01/12/2026 - SYS - Emailed) Please upload your most current ledger to your case in NWC.  Judges are now requesting proof that no  payments have been accepted since the eviction was filed.  Failure to do so could result in the dismissal of your case.  PLEASE NOTE: ​We will not update your fees to reflect the updated ledger, as the petition has already been filed. Th​e updated ledger ​will simply allow us to answer questions the court may have about payments made since the case was filed. To avoid receiving reminder emails requesting the updated ledger, please remember to check the ledger box on the file eviction page once you have added the updated ledger.
If you no longer wish to proceed with this case, please select DISMISS by the defendant name on your NWC case status page.
(12/15/2025 - 1:06:09 PM) We followed up with the court regarding the status of pending cases. The court advised that filings are currently taking approximately 2–3 weeks to be reviewed and accepted due to an increase in filings, approved staff leave, and the holiday court schedule. After this week’s hearings, the court will have a two-week hearing break, allowing clerks to focus on processing filings. The court anticipates this will significantly reduce the backlog and bring timelines closer to normal by the end of the month.</t>
  </si>
  <si>
    <t>8303 Skillman Apt/Suite 408</t>
  </si>
  <si>
    <t>$1,597.18</t>
  </si>
  <si>
    <t>11/19/2025</t>
  </si>
  <si>
    <t>01/14/2026</t>
  </si>
  <si>
    <t>(01/09/2026 - SYS - Emailed) Please upload your most current ledger to your case in NWC.  Judges are now requesting proof that no  payments have been accepted since the eviction was filed.  Failure to do so could result in the dismissal of your case.  PLEASE NOTE: ​We will not update your fees to reflect the updated ledger, as the petition has already been filed. Th​e updated ledger ​will simply allow us to answer questions the court may have about payments made since the case was filed. To avoid receiving reminder emails requesting the updated ledger, please remember to check the ledger box on the file eviction page once you have added the updated ledger.
If you no longer wish to proceed with this case, please select DISMISS by the defendant name on your NWC case status page.</t>
  </si>
  <si>
    <t>8303 Skillman Apt/Suite 245</t>
  </si>
  <si>
    <t>$2,154.18</t>
  </si>
  <si>
    <t>12/04/2025</t>
  </si>
  <si>
    <t>8303 Skillman Apt/Suite 122</t>
  </si>
  <si>
    <t>$2,268.90</t>
  </si>
  <si>
    <t>8201 Fair Apt/Suite 1016</t>
  </si>
  <si>
    <t>$2,318.88</t>
  </si>
  <si>
    <t>10/24/2025</t>
  </si>
  <si>
    <t>8201 Fair Apt/Suite 1071</t>
  </si>
  <si>
    <t>$2,490.20</t>
  </si>
  <si>
    <t>8303 Skillman Apt/Suite 157</t>
  </si>
  <si>
    <t>$2,694.54</t>
  </si>
  <si>
    <t>8401 Skillman Apt/Suite 2096</t>
  </si>
  <si>
    <t>$1,697.28</t>
  </si>
  <si>
    <t>8303 Skillman Apt/Suite 421</t>
  </si>
  <si>
    <t>$1,857.01</t>
  </si>
  <si>
    <t>8401 Skillman Apt/Suite 1056</t>
  </si>
  <si>
    <t>$1,898.95</t>
  </si>
  <si>
    <t>10/20/2025</t>
  </si>
  <si>
    <t>8201 Fair Apt/Suite 1087</t>
  </si>
  <si>
    <t>$1,746.84</t>
  </si>
  <si>
    <t>11/07/2025</t>
  </si>
  <si>
    <t>8201 Fair Apt/Suite 1044</t>
  </si>
  <si>
    <t>$1,723.99</t>
  </si>
  <si>
    <t>11/03/2025</t>
  </si>
  <si>
    <t>8401 Skillman Apt/Suite 2083</t>
  </si>
  <si>
    <t>$1,654.67</t>
  </si>
  <si>
    <t>10/15/2025</t>
  </si>
  <si>
    <t>10/17/2025</t>
  </si>
  <si>
    <t>8401 Skillman Apt/Suite 3040</t>
  </si>
  <si>
    <t>$1,616.13</t>
  </si>
  <si>
    <t>9750 Royal Apt/Suite 1-0516</t>
  </si>
  <si>
    <t>oth</t>
  </si>
  <si>
    <t>9750 Royal Apt/Suite 1419</t>
  </si>
  <si>
    <t>$2,368.74</t>
  </si>
  <si>
    <t>10/30/2025</t>
  </si>
  <si>
    <t>9750 Royal Apt/Suite 901</t>
  </si>
  <si>
    <t>$2,132.79</t>
  </si>
  <si>
    <t>10/31/2025</t>
  </si>
  <si>
    <t>9750 Royal Apt/Suite 213</t>
  </si>
  <si>
    <t>$1,635.92</t>
  </si>
  <si>
    <t>9750 Royal Apt/Suite 802</t>
  </si>
  <si>
    <t>$2,973.94</t>
  </si>
  <si>
    <t>02/12/2026</t>
  </si>
  <si>
    <t>(01/16/2026 - 11:41:15 AM) The Judge has requested confirmation that Plaintiff's franchise tax status is in good standing. This case has been reset to 02/19/2026 at 9:30AM. Court has reset case in order to allow time to confirm if property will be able to provide evidence of good standing with franchise tax status. PLEASE NOTE that property ATTENDANCE is required at reset hearing detailed above.
(01/12/2026 - SYS - Emailed) Please upload your most current ledger to your case in NWC.  Judges are now requesting proof that no  payments have been accepted since the eviction was filed.  Failure to do so could result in the dismissal of your case.  PLEASE NOTE: ​We will not update your fees to reflect the updated ledger, as the petition has already been filed. Th​e updated ledger ​will simply allow us to answer questions the court may have about payments made since the case was filed. To avoid receiving reminder emails requesting the updated ledger, please remember to check the ledger box on the file eviction page once you have added the updated ledger.
If you no longer wish to proceed with this case, please select DISMISS by the defendant name on your NWC case status page.
(12/15/2025 - 1:06:10 PM) We followed up with the court regarding the status of pending cases. The court advised that filings are currently taking approximately 2–3 weeks to be reviewed and accepted due to an increase in filings, approved staff leave, and the holiday court schedule. After this week’s hearings, the court will have a two-week hearing break, allowing clerks to focus on processing filings. The court anticipates this will significantly reduce the backlog and bring timelines closer to normal by the end of the month.</t>
  </si>
  <si>
    <t>9750 Royal Apt/Suite 406</t>
  </si>
  <si>
    <t>$2,480.95</t>
  </si>
  <si>
    <t>(01/12/2026 - SYS - Emailed) Please upload your most current ledger to your case in NWC.  Judges are now requesting proof that no  payments have been accepted since the eviction was filed.  Failure to do so could result in the dismissal of your case.  PLEASE NOTE: ​We will not update your fees to reflect the updated ledger, as the petition has already been filed. Th​e updated ledger ​will simply allow us to answer questions the court may have about payments made since the case was filed. To avoid receiving reminder emails requesting the updated ledger, please remember to check the ledger box on the file eviction page once you have added the updated ledger.
If you no longer wish to proceed with this case, please select DISMISS by the defendant name on your NWC case status page.
(12/15/2025 - 1:06:10 PM) We followed up with the court regarding the status of pending cases. The court advised that filings are currently taking approximately 2–3 weeks to be reviewed and accepted due to an increase in filings, approved staff leave, and the holiday court schedule. After this week’s hearings, the court will have a two-week hearing break, allowing clerks to focus on processing filings. The court anticipates this will significantly reduce the backlog and bring timelines closer to normal by the end of the month.</t>
  </si>
  <si>
    <t>9750 Royal Apt/Suite 1423</t>
  </si>
  <si>
    <t>$2,105.30</t>
  </si>
  <si>
    <t>8201 Fair Apt/Suite 1031</t>
  </si>
  <si>
    <t>$1,597.62</t>
  </si>
  <si>
    <t>8303 Skillman Apt 272</t>
  </si>
  <si>
    <t>$12,617.47</t>
  </si>
  <si>
    <t>11/14/2025</t>
  </si>
  <si>
    <t>(11/14/2025 - 11:59:49 AM) The Judge has determined that Plaintiff's name requires amendment. Our amendment team will contact you regarding next steps concerning this process.
Please note: If you need to amend this case, you must reply directly to this email or contact our support team. Amendments are not filed automatically—you must clearly indicate what needs to be changed and confirm your approval of any associated fees before we proceed.
(11/06/2025 - SYS - Emailed) Please upload your most current ledger to your case in NWC.  Judges are now requesting proof that no  payments have been accepted since the eviction was filed.  Failure to do so could result in the dismissal of your case.  PLEASE NOTE: ​We will not update your fees to reflect the updated ledger, as the petition has already been filed. Th​e updated ledger ​will simply allow us to answer questions the court may have about payments made since the case was filed. To avoid receiving reminder emails requesting the updated ledger, please remember to check the ledger box on the file eviction page once you have added the updated ledger.
If you no longer wish to proceed with this case, please select DISMISS by the defendant name on your NWC case status page.
(10/24/2025 - kb - Emailed) The court informed us this case needs to be amended to correct the plaintiff's name and also provide proof the address is correct. The charge to amend the case is $170. Please reply to this email if you would like to amend this case. Please also confirm the correct address/incorrect data. Note, that even if this amendment is approved and filed with the court, the case is still subject to dismissal at the judges discretion. 
 You are responsible for the accuracy and completeness of your submission.  Nationwide is not responsible for any damages whether related to delays, unsatisfactory results, or other which are resulting from the submission of incomplete, insufficient, inaccurate information, or any other condition as specified in the terms and conditions.
(10/23/2025 - KD - Emailed) Due to the case being amended, it will now be heard on 11.12.25 @ 1:30 pm. Attendance is required.
(10/22/2025 - 9:36:00 AM) REMINDER, If you delivered the notice for this case by affixing it to the outside of the resident's door, you MUST attend the hearing and testify that you ALSO mailed the notice to the resident AND that you EITHER could not gain access to the unit or you feared bodily harm if you hand delivered the notice or posted the notice on the inside of the door. (G.S. Sec. 24.005) Court is set for TODAY 10/22/2025 @1:30PM, please note that your notice provided states you posted notice OUTSIDE of the door and mailed notice the same day.
(10/22/2025 - 9:35:55 AM) REMINDER, If you delivered the notice for this case by affixing it to the outside of the resident's door, you MUST attend the hearing and testify that you ALSO mailed the notice to the resident AND that you EITHER could not gain access to the unit or you feared bodily harm if you hand delivered the notice or posted the notice on the inside of the door. (G.S. Sec. 24.005) Court is set for TODAY 10/22/2025 @1:30PM, please note that your notice provided states you posted notice OUTSIDE of the door and mailed notice the same day.
(10/17/2025 - SYS - Emailed) Please upload your most current ledger to your case in NWC.  Judges are now requesting proof that no  payments have been accepted since the eviction was filed.  Failure to do so could result in the dismissal of your case.  PLEASE NOTE: ​We will not update your fees to reflect the updated ledger, as the petition has already been filed. Th​e updated ledger ​will simply allow us to answer questions the court may have about payments made since the case was filed. To avoid receiving reminder emails requesting the updated ledger, please remember to check the ledger box on the file eviction page once you have added the updated ledger.
If you no longer wish to proceed with this case, please select DISMISS by the defendant name on your NWC case status page.</t>
  </si>
  <si>
    <t>8303 Skillman Apt 215</t>
  </si>
  <si>
    <t>$10,575.60</t>
  </si>
  <si>
    <t>(11/14/2025 - 11:59:49 AM) The Judge has determined that Plaintiff's name requires amendment. Our amendment team will contact you regarding next steps concerning this process.
Please note: If you need to amend this case, you must reply directly to this email or contact our support team. Amendments are not filed automatically—you must clearly indicate what needs to be changed and confirm your approval of any associated fees before we proceed.
(11/06/2025 - SYS - Emailed) Please upload your most current ledger to your case in NWC.  Judges are now requesting proof that no  payments have been accepted since the eviction was filed.  Failure to do so could result in the dismissal of your case.  PLEASE NOTE: ​We will not update your fees to reflect the updated ledger, as the petition has already been filed. Th​e updated ledger ​will simply allow us to answer questions the court may have about payments made since the case was filed. To avoid receiving reminder emails requesting the updated ledger, please remember to check the ledger box on the file eviction page once you have added the updated ledger.
If you no longer wish to proceed with this case, please select DISMISS by the defendant name on your NWC case status page.
(10/24/2025 - kb - Emailed) The court informed us this case needs to be amended to correct the plaintiff's name and provide evidence that the address is correct. The charge to amend the case is $170. Please reply to this email if you would like to amend this case. Please also confirm the correct address/incorrect data. Note, that even if this amendment is approved and filed with the court, the case is still subject to dismissal at the judges discretion. 
 You are responsible for the accuracy and completeness of your submission.  Nationwide is not responsible for any damages whether related to delays, unsatisfactory results, or other which are resulting from the submission of incomplete, insufficient, inaccurate information, or any other condition as specified in the terms and conditions.
(10/23/2025 - KD - Emailed) Due to the case being amended, it will now be heard on 11.12.25 @ 1:30 pm. Attendance is required.
(10/22/2025 - 9:35:58 AM) REMINDER, If you delivered the notice for this case by affixing it to the outside of the resident's door, you MUST attend the hearing and testify that you ALSO mailed the notice to the resident AND that you EITHER could not gain access to the unit or you feared bodily harm if you hand delivered the notice or posted the notice on the inside of the door. (G.S. Sec. 24.005) Court is set for TODAY 10/22/2025 @1:30PM, please note that your notice provided states you posted notice OUTSIDE of the door and mailed notice the same day.
(10/22/2025 - 9:35:55 AM) REMINDER, If you delivered the notice for this case by affixing it to the outside of the resident's door, you MUST attend the hearing and testify that you ALSO mailed the notice to the resident AND that you EITHER could not gain access to the unit or you feared bodily harm if you hand delivered the notice or posted the notice on the inside of the door. (G.S. Sec. 24.005) Court is set for TODAY 10/22/2025 @1:30PM, please note that your notice provided states you posted notice OUTSIDE of the door and mailed notice the same day.
(10/17/2025 - SYS - Emailed) Please upload your most current ledger to your case in NWC.  Judges are now requesting proof that no  payments have been accepted since the eviction was filed.  Failure to do so could result in the dismissal of your case.  PLEASE NOTE: ​We will not update your fees to reflect the updated ledger, as the petition has already been filed. Th​e updated ledger ​will simply allow us to answer questions the court may have about payments made since the case was filed. To avoid receiving reminder emails requesting the updated ledger, please remember to check the ledger box on the file eviction page once you have added the updated ledger.
If you no longer wish to proceed with this case, please select DISMISS by the defendant name on your NWC case status page.</t>
  </si>
  <si>
    <t>9750 Royal Apt 1202</t>
  </si>
  <si>
    <t>$19,211.18</t>
  </si>
  <si>
    <t>9750 Royal Apt 401</t>
  </si>
  <si>
    <t>$16,792.23</t>
  </si>
  <si>
    <t>9750 Royal Apt 102</t>
  </si>
  <si>
    <t>$7,369.97</t>
  </si>
  <si>
    <t>8201 Fair Apt 2005</t>
  </si>
  <si>
    <t>$7,424.87</t>
  </si>
  <si>
    <t>8201 Fair Apt 1074</t>
  </si>
  <si>
    <t>$9,280.90</t>
  </si>
  <si>
    <t>8401 Skillman Apt 2061</t>
  </si>
  <si>
    <t>$6,501.08</t>
  </si>
  <si>
    <t>8201 Fair Apt 2039</t>
  </si>
  <si>
    <t>$7,117.64</t>
  </si>
  <si>
    <t>(11/14/2025 - 11:59:49 AM) The Judge has determined that Plaintiff's name requires amendment. Our amendment team will contact you regarding next steps concerning this process.
Please note: If you need to amend this case, you must reply directly to this email or contact our support team. Amendments are not filed automatically—you must clearly indicate what needs to be changed and confirm your approval of any associated fees before we proceed.
(11/06/2025 - SYS - Emailed) Please upload your most current ledger to your case in NWC.  Judges are now requesting proof that no  payments have been accepted since the eviction was filed.  Failure to do so could result in the dismissal of your case.  PLEASE NOTE: ​We will not update your fees to reflect the updated ledger, as the petition has already been filed. Th​e updated ledger ​will simply allow us to answer questions the court may have about payments made since the case was filed. To avoid receiving reminder emails requesting the updated ledger, please remember to check the ledger box on the file eviction page once you have added the updated ledger.
If you no longer wish to proceed with this case, please select DISMISS by the defendant name on your NWC case status page.
(10/24/2025 - kb - Emailed) The court notified us this case needs to be amended to provide the correct plaintiff's name. The charge to amend the case is $170. Please reply to this email if you would like to amend this case. Please also confirm the correct address/incorrect data. Note, that even if this amendment is approved and filed with the court, the case is still subject to dismissal at the judges discretion. 
 You are responsible for the accuracy and completeness of your submission.  Nationwide is not responsible for any damages whether related to delays, unsatisfactory results, or other which are resulting from the submission of incomplete, insufficient, inaccurate information, or any other condition as specified in the terms and conditions.
(10/23/2025 - KD - Emailed) Due to this case being amended, this case will now be heard on 11.12.25 @ 1:30 PM. Attendance is required.
(10/22/2025 - 9:35:58 AM) REMINDER, If you delivered the notice for this case by affixing it to the outside of the resident's door, you MUST attend the hearing and testify that you ALSO mailed the notice to the resident AND that you EITHER could not gain access to the unit or you feared bodily harm if you hand delivered the notice or posted the notice on the inside of the door. (G.S. Sec. 24.005) Court is set for TODAY 10/22/2025 @1:30PM, please note that your notice provided states you posted notice OUTSIDE of the door and mailed notice the same day.
(10/22/2025 - 9:35:55 AM) REMINDER, If you delivered the notice for this case by affixing it to the outside of the resident's door, you MUST attend the hearing and testify that you ALSO mailed the notice to the resident AND that you EITHER could not gain access to the unit or you feared bodily harm if you hand delivered the notice or posted the notice on the inside of the door. (G.S. Sec. 24.005) Court is set for TODAY 10/22/2025 @1:30PM, please note that your notice provided states you posted notice OUTSIDE of the door and mailed notice the same day.
(10/17/2025 - SYS - Emailed) Please upload your most current ledger to your case in NWC.  Judges are now requesting proof that no  payments have been accepted since the eviction was filed.  Failure to do so could result in the dismissal of your case.  PLEASE NOTE: ​We will not update your fees to reflect the updated ledger, as the petition has already been filed. Th​e updated ledger ​will simply allow us to answer questions the court may have about payments made since the case was filed. To avoid receiving reminder emails requesting the updated ledger, please remember to check the ledger box on the file eviction page once you have added the updated ledger.
If you no longer wish to proceed with this case, please select DISMISS by the defendant name on your NWC case status page.</t>
  </si>
  <si>
    <t>8303 Skillman Apt 430</t>
  </si>
  <si>
    <t>$5,593.48</t>
  </si>
  <si>
    <t>(11/06/2025 - SYS - Emailed) Please upload your most current ledger to your case in NWC.  Judges are now requesting proof that no  payments have been accepted since the eviction was filed.  Failure to do so could result in the dismissal of your case.  PLEASE NOTE: ​We will not update your fees to reflect the updated ledger, as the petition has already been filed. Th​e updated ledger ​will simply allow us to answer questions the court may have about payments made since the case was filed. To avoid receiving reminder emails requesting the updated ledger, please remember to check the ledger box on the file eviction page once you have added the updated ledger.
If you no longer wish to proceed with this case, please select DISMISS by the defendant name on your NWC case status page.
(10/24/2025 - kb - Emailed) The court informed us this case needs to be amended to correct the plaintiff's name  and provide evidence that the address is correct. The charge to amend the case is $170. Please reply to this email if you would like to amend this case. Please also confirm the correct address/incorrect data. Note, that even if this amendment is approved and filed with the court, the case is still subject to dismissal at the judges discretion. 
 You are responsible for the accuracy and completeness of your submission.  Nationwide is not responsible for any damages whether related to delays, unsatisfactory results, or other which are resulting from the submission of incomplete, insufficient, inaccurate information, or any other condition as specified in the terms and conditions.
(10/23/2025 - KD - Emailed) Due to this case being amended, it will now be heard on 11.12.25 @ 1:30 PM. Attendance is required.
(10/22/2025 - 9:36:01 AM) REMINDER, If you delivered the notice for this case by affixing it to the outside of the resident's door, you MUST attend the hearing and testify that you ALSO mailed the notice to the resident AND that you EITHER could not gain access to the unit or you feared bodily harm if you hand delivered the notice or posted the notice on the inside of the door. (G.S. Sec. 24.005) Court is set for TODAY 10/22/2025 @1:30PM, please note that your notice provided states you posted notice OUTSIDE of the door and mailed notice the same day.
(10/22/2025 - 9:35:55 AM) REMINDER, If you delivered the notice for this case by affixing it to the outside of the resident's door, you MUST attend the hearing and testify that you ALSO mailed the notice to the resident AND that you EITHER could not gain access to the unit or you feared bodily harm if you hand delivered the notice or posted the notice on the inside of the door. (G.S. Sec. 24.005) Court is set for TODAY 10/22/2025 @1:30PM, please note that your notice provided states you posted notice OUTSIDE of the door and mailed notice the same day.
(10/17/2025 - SYS - Emailed) Please upload your most current ledger to your case in NWC.  Judges are now requesting proof that no  payments have been accepted since the eviction was filed.  Failure to do so could result in the dismissal of your case.  PLEASE NOTE: ​We will not update your fees to reflect the updated ledger, as the petition has already been filed. Th​e updated ledger ​will simply allow us to answer questions the court may have about payments made since the case was filed. To avoid receiving reminder emails requesting the updated ledger, please remember to check the ledger box on the file eviction page once you have added the updated ledger.
If you no longer wish to proceed with this case, please select DISMISS by the defendant name on your NWC case status page.</t>
  </si>
  <si>
    <t>8401 Skillman Apt 1037</t>
  </si>
  <si>
    <t>$5,320.90</t>
  </si>
  <si>
    <t>(11/14/2025 - 11:59:50 AM) The Judge has determined that Plaintiff's name requires amendment. Our amendment team will contact you regarding next steps concerning this process.
Please note: If you need to amend this case, you must reply directly to this email or contact our support team. Amendments are not filed automatically—you must clearly indicate what needs to be changed and confirm your approval of any associated fees before we proceed.
(11/06/2025 - SYS - Emailed) Please upload your most current ledger to your case in NWC.  Judges are now requesting proof that no  payments have been accepted since the eviction was filed.  Failure to do so could result in the dismissal of your case.  PLEASE NOTE: ​We will not update your fees to reflect the updated ledger, as the petition has already been filed. Th​e updated ledger ​will simply allow us to answer questions the court may have about payments made since the case was filed. To avoid receiving reminder emails requesting the updated ledger, please remember to check the ledger box on the file eviction page once you have added the updated ledger.
If you no longer wish to proceed with this case, please select DISMISS by the defendant name on your NWC case status page.
(10/24/2025 - kb - Emailed) The court notified us this case needs to be amended to provide the correct entity name and provide evidence the address listed is correct. The charge to amend the case is $170. Please reply to this email if you would like to amend this case. Please also confirm the correct address/incorrect data. Note, that even if this amendment is approved and filed with the court, the case is still subject to dismissal at the judges discretion. 
 You are responsible for the accuracy and completeness of your submission.  Nationwide is not responsible for any damages whether related to delays, unsatisfactory results, or other which are resulting from the submission of incomplete, insufficient, inaccurate information, or any other condition as specified in the terms and conditions.
(10/23/2025 - KD  - Emailed) Due to this case being amended, it will now be heard on 11.12.25 @ 1:30 PM. Attendance is required.
(10/22/2025 - 9:36:01 AM) REMINDER, If you delivered the notice for this case by affixing it to the outside of the resident's door, you MUST attend the hearing and testify that you ALSO mailed the notice to the resident AND that you EITHER could not gain access to the unit or you feared bodily harm if you hand delivered the notice or posted the notice on the inside of the door. (G.S. Sec. 24.005) Court is set for TODAY 10/22/2025 @1:30PM, please note that your notice provided states you posted notice OUTSIDE of the door and mailed notice the same day.
(10/22/2025 - 9:35:56 AM) REMINDER, If you delivered the notice for this case by affixing it to the outside of the resident's door, you MUST attend the hearing and testify that you ALSO mailed the notice to the resident AND that you EITHER could not gain access to the unit or you feared bodily harm if you hand delivered the notice or posted the notice on the inside of the door. (G.S. Sec. 24.005) Court is set for TODAY 10/22/2025 @1:30PM, please note that your notice provided states you posted notice OUTSIDE of the door and mailed notice the same day.
(10/17/2025 - SYS - Emailed) Please upload your most current ledger to your case in NWC.  Judges are now requesting proof that no  payments have been accepted since the eviction was filed.  Failure to do so could result in the dismissal of your case.  PLEASE NOTE: ​We will not update your fees to reflect the updated ledger, as the petition has already been filed. Th​e updated ledger ​will simply allow us to answer questions the court may have about payments made since the case was filed. To avoid receiving reminder emails requesting the updated ledger, please remember to check the ledger box on the file eviction page once you have added the updated ledger.
If you no longer wish to proceed with this case, please select DISMISS by the defendant name on your NWC case status page.</t>
  </si>
  <si>
    <t>9750 Royal Apt 215</t>
  </si>
  <si>
    <t>$4,666.10</t>
  </si>
  <si>
    <t>9750 Royal Apt 1116</t>
  </si>
  <si>
    <t>$4,291.84</t>
  </si>
  <si>
    <t>(10/12/2025 - kb - Emailed) This case was rejected by the court due to a bad address (court stated it should be "lane" and not "oaks"). The charge to amend the case is $85. Please reply to this email if you would like to amend this case. Please also confirm the correct address/incorrect data. Note, that even if this amendment is approved and filed with the court, the case is still subject to dismissal at the judges discretion. 
 You are responsible for the accuracy and completeness of your submission.  Nationwide is not responsible for any damages whether related to delays, unsatisfactory results, or other which are resulting from the submission of incomplete, insufficient, inaccurate information, or any other condition as specified in the terms and conditions.</t>
  </si>
  <si>
    <t>9750 Royal Apt 310</t>
  </si>
  <si>
    <t>$2,717.44</t>
  </si>
  <si>
    <t>(10/10/2025 - ce - Emailed) This case was rejected by the court due to a bad address. The charge to amend the case is $85. Please reply to this email if you would like to amend this case. Please also confirm the correct address/incorrect data. Note, that even if this amendment is approved and filed with the court, the case is still subject to dismissal at the judges discretion. 
 You are responsible for the accuracy and completeness of your submission.  Nationwide is not responsible for any damages whether related to delays, unsatisfactory results, or other which are resulting from the submission of incomplete, insufficient, inaccurate information, or any other condition as specified in the terms and conditions.</t>
  </si>
  <si>
    <t>8401 Skillman Apt 1101</t>
  </si>
  <si>
    <t>$4,169.19</t>
  </si>
  <si>
    <t>(11/03/2025 - SYS - Emailed) Please upload your most current ledger to your case in NWC.  Judges are now requesting proof that no  payments have been accepted since the eviction was filed.  Failure to do so could result in the dismissal of your case.  PLEASE NOTE: ​We will not update your fees to reflect the updated ledger, as the petition has already been filed. Th​e updated ledger ​will simply allow us to answer questions the court may have about payments made since the case was filed. To avoid receiving reminder emails requesting the updated ledger, please remember to check the ledger box on the file eviction page once you have added the updated ledger.
If you no longer wish to proceed with this case, please select DISMISS by the defendant name on your NWC case status page.</t>
  </si>
  <si>
    <t>9750 Royal Apt 1416</t>
  </si>
  <si>
    <t>$3,973.42</t>
  </si>
  <si>
    <t>9750 Royal Apt 522</t>
  </si>
  <si>
    <t>$2,603.79</t>
  </si>
  <si>
    <t>8401 Skillman Apt 2051</t>
  </si>
  <si>
    <t>$2,973.45</t>
  </si>
  <si>
    <t>9750 Royal Apt 1424</t>
  </si>
  <si>
    <t>$3,235.84</t>
  </si>
  <si>
    <t>8303 Skillman Apt 162</t>
  </si>
  <si>
    <t>$3,318.19</t>
  </si>
  <si>
    <t>9750 Royal Apt 1105</t>
  </si>
  <si>
    <t>$1,497.92</t>
  </si>
  <si>
    <t>8401 Skillman Apt 2086</t>
  </si>
  <si>
    <t>$2,028.80</t>
  </si>
  <si>
    <t>9750 Royal Apt 1004</t>
  </si>
  <si>
    <t>$1,617.06</t>
  </si>
  <si>
    <t>9750 Royal Apt 715</t>
  </si>
  <si>
    <t>$1,507.46</t>
  </si>
  <si>
    <t>9750 Royal Apt 113</t>
  </si>
  <si>
    <t>$1,334.00</t>
  </si>
  <si>
    <t>9750 Royal Apt/Suite 910</t>
  </si>
  <si>
    <t>$1,919.14</t>
  </si>
  <si>
    <t>(01/16/2026 - 11:41:15 AM) The Judge has requested confirmation that Plaintiff's franchise tax status is in good standing. This case has been reset to 02/19/2026 at 9:30AM. Court has reset case in order to allow time to confirm if property will be able to provide evidence of good standing with franchise tax status. PLEASE NOTE that property ATTENDANCE is required at reset hearing detailed above.
(01/12/2026 - SYS - Emailed) Please upload your most current ledger to your case in NWC.  Judges are now requesting proof that no  payments have been accepted since the eviction was filed.  Failure to do so could result in the dismissal of your case.  PLEASE NOTE: ​We will not update your fees to reflect the updated ledger, as the petition has already been filed. Th​e updated ledger ​will simply allow us to answer questions the court may have about payments made since the case was filed. To avoid receiving reminder emails requesting the updated ledger, please remember to check the ledger box on the file eviction page once you have added the updated ledger.
If you no longer wish to proceed with this case, please select DISMISS by the defendant name on your NWC case status page.
(12/09/2025 - KD) This case has been reset for 01.15.26 @ 1:30 pm due to an outstanding franchise tax obligation. The property manager was present and confirmed that they have notified the owner of this information. Attendance is required.
(12/03/2025 - SYS - Emailed) Please upload your most current ledger to your case in NWC.  Judges are now requesting proof that no  payments have been accepted since the eviction was filed.  Failure to do so could result in the dismissal of your case.  PLEASE NOTE: ​We will not update your fees to reflect the updated ledger, as the petition has already been filed. Th​e updated ledger ​will simply allow us to answer questions the court may have about payments made since the case was filed. To avoid receiving reminder emails requesting the updated ledger, please remember to check the ledger box on the file eviction page once you have added the updated ledger.
If you no longer wish to proceed with this case, please select DISMISS by the defendant name on your NWC case status page.
(11/04/2025 - 11:40:57 AM) Thank you for trusting NWC to handle your case(s). We understand delays can be frustrating, and we want to assure you that we are actively monitoring your cases. Due to a high volume of filings with the court, there has been a delay in receiving case numbers and court dates. Please know that the court is working as quickly as possible to serve all clients, including NWC.
We truly appreciate your patience during this time. At NWC, we are committed to keeping all case information updated promptly upon receipt and within our stated commitment times.
If you have any case- or court-specific questions, please don’t hesitate to reach out directly to me, Shaunna Hampton (shaunna.hampton@nationwidecompliant.com
), or your Dallas County Market Support Specialist, Christine Johnson (Christine.johnson@nationwidecompliant.com
). We are here to help and ensure you are supported every step of the way.</t>
  </si>
  <si>
    <t>8201 Fair Apt 2070</t>
  </si>
  <si>
    <t>$3,892.21</t>
  </si>
  <si>
    <t>Case Transferred</t>
  </si>
  <si>
    <t>(12/26/2025 - TR - Emailed) We have received a notice regarding your appeal case from the County Court. ​This case has been sent to the County Court on appeal and we are no longer able to represent you on this case as it now requires an attorney.
It is imperative that you log into your account, download the document, which is located in your tenant documents for this case and forward it to your attorney as soon as possible (the same place you uploaded the lease, ntv, etc.) You may also need to adjust the calendar in the upper left hand corner back a few months to view this case if its older.
(10/31/2025 - hh - Emailed) This case has been sent to County Court on appeal. We are no longer able to represent you on this case as it now requires an attorney. Once we receive information from the County Court, we will notify you via email and mail but you should be proactive and reach out to the County Court for information on the appeal as the mail system does have delays.
 We do have an In-Network Attorney that we can transfer your case to. The base fee is $1,075 but is subject to change depending on the complexity of the case.  You can also choose your own attorney. 
 Please reply to this email and let us know your preference.
(10/22/2025 - SYS - Emailed) Please upload your most current ledger to your case in NWC.  Judges are now requesting proof that no  payments have been accepted since the eviction was filed.  Failure to do so could result in the dismissal of your case.  PLEASE NOTE: ​We will not update your fees to reflect the updated ledger, as the petition has already been filed. Th​e updated ledger ​will simply allow us to answer questions the court may have about payments made since the case was filed. To avoid receiving reminder emails requesting the updated ledger, please remember to check the ledger box on the file eviction page once you have added the updated ledger.
If you no longer wish to proceed with this case, please select DISMISS by the defendant name on your NWC case status page.</t>
  </si>
  <si>
    <t>8201 Fair Apt 1080</t>
  </si>
  <si>
    <t>$3,473.33</t>
  </si>
  <si>
    <t>(12/29/2025 - TR - Emailed) We have received a notice regarding your appeal case from the County Court. ​This case has been sent to the County Court on appeal and we are no longer able to represent you on this case as it now requires an attorney.
It is imperative that you log into your account, download the document, which is located in your tenant documents for this case and forward it to your attorney as soon as possible (the same place you uploaded the lease, ntv, etc.) You may also need to adjust the calendar in the upper left hand corner back a few months to view this case if its older.
(12/25/2025 - TR - Emailed) We have received a notice regarding your appeal case from the County Court. ​This case has been sent to the County Court on appeal and we are no longer able to represent you on this case as it now requires an attorney.
It is imperative that you log into your account, download the document, which is located in your tenant documents for this case and forward it to your attorney as soon as possible (the same place you uploaded the lease, ntv, etc.) You may also need to adjust the calendar in the upper left hand corner back a few months to view this case if its older.
(11/14/2025 - hh - Emailed) This case has been sent to County Court on appeal. We are no longer able to represent you on this case as it now requires an attorney. Once we receive information from the County Court, we will notify you via email and mail but you should be proactive and reach out to the County Court for information on the appeal as the mail system does have delays.
 We do have an In-Network Attorney that we can transfer your case to. The base fee is $1,075 but is subject to change depending on the complexity of the case.  You can also choose your own attorney. 
 Please reply to this email and let us know your preference.
(10/22/2025 - SYS - Emailed) Please upload your most current ledger to your case in NWC.  Judges are now requesting proof that no  payments have been accepted since the eviction was filed.  Failure to do so could result in the dismissal of your case.  PLEASE NOTE: ​We will not update your fees to reflect the updated ledger, as the petition has already been filed. Th​e updated ledger ​will simply allow us to answer questions the court may have about payments made since the case was filed. To avoid receiving reminder emails requesting the updated ledger, please remember to check the ledger box on the file eviction page once you have added the updated ledger.
If you no longer wish to proceed with this case, please select DISMISS by the defendant name on your NWC case status page.</t>
  </si>
  <si>
    <t>9750 Royal Apt/Suite 1416</t>
  </si>
  <si>
    <t>$5,235.35</t>
  </si>
  <si>
    <t>(03/05/2026 - TR - Emailed) We have received a notice regarding your appeal case from the County Court. ​This case has been sent to the County Court on appeal and we are no longer able to represent you on this case as it now requires an attorney.
It is imperative that you log into your account, download the document, which is located in your tenant documents for this case and forward it to your attorney as soon as possible (the same place you uploaded the lease, ntv, etc.) You may also need to adjust the calendar in the upper left hand corner back a few months to view this case if its older.
(02/16/2026 - hh - Emailed) This case has been sent to County Court on appeal. We are no longer able to represent you on this case as it now requires an attorney. Once we receive information from the County Court, we will notify you via email and mail but you should be proactive and reach out to the County Court for information on the appeal as the mail system does have delays.
 We do have an In-Network Attorney that we can transfer your case to. The base fee is $1,075 but is subject to change depending on the complexity of the case.  You can also choose your own attorney. 
 Please reply to this email and let us know your preference.
(02/04/2026 - SYS - Emailed) Please upload your most current ledger to your case in NWC.  Judges are now requesting proof that no  payments have been accepted since the eviction was filed.  Failure to do so could result in the dismissal of your case.  PLEASE NOTE: ​We will not update your fees to reflect the updated ledger, as the petition has already been filed. Th​e updated ledger ​will simply allow us to answer questions the court may have about payments made since the case was filed. To avoid receiving reminder emails requesting the updated ledger, please remember to check the ledger box on the file eviction page once you have added the updated ledger.
If you no longer wish to proceed with this case, please select DISMISS by the defendant name on your NWC case status page.
(01/14/2026 - 10:57:25 AM) The Judge has requested confirmation that Plaintiff's franchise tax status is in good standing. This case has been reset to 02/09/2026 at 1:30 PM. Court has reset case in order to allow time to confirm if property will be able to provide evidence of good standing with franchise tax status. PLEASE NOTE that property ATTENDANCE is required at reset hearing detailed above.
(01/08/2026 - SYS - Emailed) Please upload your most current ledger to your case in NWC.  Judges are now requesting proof that no  payments have been accepted since the eviction was filed.  Failure to do so could result in the dismissal of your case.  PLEASE NOTE: ​We will not update your fees to reflect the updated ledger, as the petition has already been filed. Th​e updated ledger ​will simply allow us to answer questions the court may have about payments made since the case was filed. To avoid receiving reminder emails requesting the updated ledger, please remember to check the ledger box on the file eviction page once you have added the updated ledger.
If you no longer wish to proceed with this case, please select DISMISS by the defendant name on your NWC case status page.
(11/11/2025 - 12:31:47 PM) Thank you for trusting NWC to handle your case(s). We understand delays can be frustrating, and we want to assure you that we are actively monitoring your cases. Due to a high volume of filings with the court, there has been a delay in receiving case numbers and court dates. Please know that the court is working as quickly as possible to serve all clients, including NWC.
We truly appreciate your patience during this time. At NWC, we are committed to keeping all case information updated promptly upon receipt and within our stated commitment times.
If you have any case- or court-specific questions, please don’t hesitate to reach out directly to me, Shaunna Hampton (shaunna.hampton@nationwidecompliant.com), or your Dallas County Market Support Specialist, Christine Johnson (Christine.johnson@nationwidecompliant.com). We are here to help and ensure you are supported every step of the way.
(11/04/2025 - 11:41:04 AM) Thank you for trusting NWC to handle your case(s). We understand delays can be frustrating, and we want to assure you that we are actively monitoring your cases. Due to a high volume of filings with the court, there has been a delay in receiving case numbers and court dates. Please know that the court is working as quickly as possible to serve all clients, including NWC.
We truly appreciate your patience during this time. At NWC, we are committed to keeping all case information updated promptly upon receipt and within our stated commitment times.
If you have any case- or court-specific questions, please don’t hesitate to reach out directly to me, Shaunna Hampton (shaunna.hampton@nationwidecompliant.com
), or your Dallas County Market Support Specialist, Christine Johnson (Christine.johnson@nationwidecompliant.com
). We are here to help and ensure you are supported every step of the way.</t>
  </si>
  <si>
    <t>9750 Royal Apt/Suite 1105</t>
  </si>
  <si>
    <t>$2,765.34</t>
  </si>
  <si>
    <t>(02/17/2026 - hh - Emailed) This case has been sent to County Court on appeal. We are no longer able to represent you on this case as it now requires an attorney. Once we receive information from the County Court, we will notify you via email and mail but you should be proactive and reach out to the County Court for information on the appeal as the mail system does have delays.
 We do have an In-Network Attorney that we can transfer your case to. The base fee is $1,075 but is subject to change depending on the complexity of the case.  You can also choose your own attorney. 
 Please reply to this email and let us know your preference.
(02/04/2026 - SYS - Emailed) Please upload your most current ledger to your case in NWC.  Judges are now requesting proof that no  payments have been accepted since the eviction was filed.  Failure to do so could result in the dismissal of your case.  PLEASE NOTE: ​We will not update your fees to reflect the updated ledger, as the petition has already been filed. Th​e updated ledger ​will simply allow us to answer questions the court may have about payments made since the case was filed. To avoid receiving reminder emails requesting the updated ledger, please remember to check the ledger box on the file eviction page once you have added the updated ledger.
If you no longer wish to proceed with this case, please select DISMISS by the defendant name on your NWC case status page.
(01/14/2026 - 10:57:23 AM) The Judge has requested confirmation that Plaintiff's franchise tax status is in good standing. This case has been reset to 02/09/2026 at 1:30 PM. Court has reset case in order to allow time to confirm if property will be able to provide evidence of good standing with franchise tax status. PLEASE NOTE that property ATTENDANCE is required at reset hearing detailed above.
(01/08/2026 - SYS - Emailed) Please upload your most current ledger to your case in NWC.  Judges are now requesting proof that no  payments have been accepted since the eviction was filed.  Failure to do so could result in the dismissal of your case.  PLEASE NOTE: ​We will not update your fees to reflect the updated ledger, as the petition has already been filed. Th​e updated ledger ​will simply allow us to answer questions the court may have about payments made since the case was filed. To avoid receiving reminder emails requesting the updated ledger, please remember to check the ledger box on the file eviction page once you have added the updated ledger.
If you no longer wish to proceed with this case, please select DISMISS by the defendant name on your NWC case status page.
(11/24/2025 - cj) The court has updated this case, and the date has been reset to 12/09/2025 @1:30PM.
(11/17/2025 - SYS - Emailed) Please upload your most current ledger to your case in NWC.  Judges are now requesting proof that no  payments have been accepted since the eviction was filed.  Failure to do so could result in the dismissal of your case.  PLEASE NOTE: ​We will not update your fees to reflect the updated ledger, as the petition has already been filed. Th​e updated ledger ​will simply allow us to answer questions the court may have about payments made since the case was filed. To avoid receiving reminder emails requesting the updated ledger, please remember to check the ledger box on the file eviction page once you have added the updated ledger.
If you no longer wish to proceed with this case, please select DISMISS by the defendant name on your NWC case status page.
(11/04/2025 - 11:41:04 AM) Thank you for trusting NWC to handle your case(s). We understand delays can be frustrating, and we want to assure you that we are actively monitoring your cases. Due to a high volume of filings with the court, there has been a delay in receiving case numbers and court dates. Please know that the court is working as quickly as possible to serve all clients, including NWC.
We truly appreciate your patience during this time. At NWC, we are committed to keeping all case information updated promptly upon receipt and within our stated commitment times.
If you have any case- or court-specific questions, please don’t hesitate to reach out directly to me, Shaunna Hampton (shaunna.hampton@nationwidecompliant.com
), or your Dallas County Market Support Specialist, Christine Johnson (Christine.johnson@nationwidecompliant.com
). We are here to help and ensure you are supported every step of the way.</t>
  </si>
  <si>
    <t>8201 Fair Apt/Suite 2050</t>
  </si>
  <si>
    <t>$2,240.00</t>
  </si>
  <si>
    <t>Hearing</t>
  </si>
  <si>
    <t>9750 Royal Apt/Suite 1424</t>
  </si>
  <si>
    <t>$4,749.76</t>
  </si>
  <si>
    <t>01/07/2026</t>
  </si>
  <si>
    <t>(11/11/2025 - 12:31:47 PM) Thank you for trusting NWC to handle your case(s). We understand delays can be frustrating, and we want to assure you that we are actively monitoring your cases. Due to a high volume of filings with the court, there has been a delay in receiving case numbers and court dates. Please know that the court is working as quickly as possible to serve all clients, including NWC.
We truly appreciate your patience during this time. At NWC, we are committed to keeping all case information updated promptly upon receipt and within our stated commitment times.
If you have any case- or court-specific questions, please don’t hesitate to reach out directly to me, Shaunna Hampton (shaunna.hampton@nationwidecompliant.com), or your Dallas County Market Support Specialist, Christine Johnson (Christine.johnson@nationwidecompliant.com). We are here to help and ensure you are supported every step of the way.
(11/04/2025 - 11:41:05 AM) Thank you for trusting NWC to handle your case(s). We understand delays can be frustrating, and we want to assure you that we are actively monitoring your cases. Due to a high volume of filings with the court, there has been a delay in receiving case numbers and court dates. Please know that the court is working as quickly as possible to serve all clients, including NWC.
We truly appreciate your patience during this time. At NWC, we are committed to keeping all case information updated promptly upon receipt and within our stated commitment times.
If you have any case- or court-specific questions, please don’t hesitate to reach out directly to me, Shaunna Hampton (shaunna.hampton@nationwidecompliant.com
), or your Dallas County Market Support Specialist, Christine Johnson (Christine.johnson@nationwidecompliant.com
). We are here to help and ensure you are supported every step of the way.</t>
  </si>
  <si>
    <t>9750 Royal Apt/Suite 215</t>
  </si>
  <si>
    <t>$6,460.80</t>
  </si>
  <si>
    <t>8401 Skillman Apt/Suite 2014</t>
  </si>
  <si>
    <t>$1,381.26</t>
  </si>
  <si>
    <t>In-Person Hearing</t>
  </si>
  <si>
    <t>8201 Fair Apt/Suite 1054</t>
  </si>
  <si>
    <t>$1,484.41</t>
  </si>
  <si>
    <t>8401 Skillman Apt/Suite 3094</t>
  </si>
  <si>
    <t>$1,400.78</t>
  </si>
  <si>
    <t>8401 Skillman Apt/Suite 2086</t>
  </si>
  <si>
    <t>$2,009.07</t>
  </si>
  <si>
    <t>Unpaid Rent</t>
  </si>
  <si>
    <t>Unpaid Other</t>
  </si>
  <si>
    <t>Unpaid Deposit</t>
  </si>
  <si>
    <t>Past Due</t>
  </si>
  <si>
    <t>Current Due</t>
  </si>
  <si>
    <t>Last Delinquency Note</t>
  </si>
  <si>
    <t>05/20/2026 04:56 AM meet_elise_api@cafmanagement:Agent Notes:
2026-05-07 15:48 - letting out of lease due to incident on property will be turning in keys on 5-9
2026-05-09 17:06 - did not turn in keys, follow up 5/11/2026
AI Summary:
(5/9/2026 - 5/19/2026) Sent a message reminding tenant of pending balance and provided a link for payment submission. Follow-up needed regarding keys not turned in by 5/11/2026.
Last Updated: 2026-05-20</t>
  </si>
  <si>
    <t>Past (Skip)</t>
  </si>
  <si>
    <t>04/30/2026 02:45 AM meet_elise_api@cafmanagement:AI Summary:
(4/29/2026) Reminder sent about outstanding balance with a link provided for payment submission.
Last Updated: 2026-04-30</t>
  </si>
  <si>
    <t>Notice (Eviction)</t>
  </si>
  <si>
    <t>05/27/2026 01:09 PM floating2@cafmanagement.com:Writ of Possession 6/3 @9AM</t>
  </si>
  <si>
    <t>Past (Eviction)</t>
  </si>
  <si>
    <t>01/24/2026 10:03 AM meet_elise_api@cafmanagement:AI Summary:
(1/23/2026) Agent contacted tenant regarding overdue payment, provided a link for payment submission, and offered assistance for any questions.
Last Updated: 2026-01-24</t>
  </si>
  <si>
    <t>04/28/2026 03:14 AM meet_elise_api@cafmanagement:AI Summary:
(4/27/2026) Agent reached out to tenant regarding unpaid balance, requesting payment today and offering assistance if needed.
Last Updated: 2026-04-28</t>
  </si>
  <si>
    <t>Notice (Eviction, Month To Month)</t>
  </si>
  <si>
    <t>05/08/2026 03:10 AM meet_elise_api@cafmanagement:Agent Notes:
2026-05-07 16:00 - court on 5/21 at 9:30
AI Summary:
(5/6/2026) Informed tenant of overdue balance and provided a link for payment submission.
Last Updated: 2026-05-08</t>
  </si>
  <si>
    <t>04/13/2026 01:07 AM meet_elise_api@cafmanagement:AI Summary:
(4/12/2026) Agent reached out to the tenant regarding an unpaid balance, inquiring about the expected payment date and providing a link for payment submission.
Last Updated: 2026-04-13</t>
  </si>
  <si>
    <t>04/18/2026 01:13 AM meet_elise_api@cafmanagement:AI Summary:
(4/17/2026) Informed tenant of outstanding balance and provided a link for payment.
Last Updated: 2026-04-18</t>
  </si>
  <si>
    <t>Notice (Month To Month)</t>
  </si>
  <si>
    <t>04/30/2026 02:43 AM meet_elise_api@cafmanagement:AI Summary:
(4/29/2026) Reached out to tenant regarding their notice to vacate, attempting to understand reasons for leaving and offering assistance to encourage them to stay. Highlighted the expenses and time involved in moving.
Last Updated: 2026-04-30</t>
  </si>
  <si>
    <t>05/04/2026 07:23 AM meet_elise_api@cafmanagement:Agent Notes:
2026-03-19 11:11 - Promise to Pay - 03/31/2026
AI Summary:
(3/19/2026 - 5/3/2026) Resident promised to pay by 3/31/2026. On 5/3/2026, agent inquired about payment date and provided a link for payment.
Last Updated: 2026-05-04</t>
  </si>
  <si>
    <t>Current (Month To Month)</t>
  </si>
  <si>
    <t>05/25/2026 08:02 AM meet_elise_api@cafmanagement:AI Summary:
(5/24/2026) Sent a message to the tenant about the outstanding balance and provided a link for payment submission.
Last Updated: 2026-05-25</t>
  </si>
  <si>
    <t>04/29/2026 06:16 AM meet_elise_api@cafmanagement:AI Summary:
(4/28/2026) Message sent to tenant regarding open charges and total balance due, with a request to submit payment via provided link.
Last Updated: 2026-04-29</t>
  </si>
  <si>
    <t>03/22/2026 01:02 AM meet_elise_api@cafmanagement:AI Summary:
(3/21/2026) Informed tenant of outstanding charges and provided a link for payment.
Last Updated: 2026-03-22</t>
  </si>
  <si>
    <t>04/01/2026 01:03 AM meet_elise_api@cafmanagement:AI Summary:
(3/31/2026) Sent a message to tenant regarding overdue balance, provided a link for payment submission.
Last Updated: 2026-04-01</t>
  </si>
  <si>
    <t>05/25/2026 07:59 AM meet_elise_api@cafmanagement:AI Summary:
(5/24/2026) Agent contacted resident regarding overdue balance, provided payment link, and requested prompt payment.
Last Updated: 2026-05-25</t>
  </si>
  <si>
    <t>04/06/2026 01:03 AM meet_elise_api@cafmanagement:AI Summary:
(4/5/2026) Sent a message to the tenant regarding overdue payment, provided a link for payment submission, and offered assistance for any questions.
Last Updated: 2026-04-06</t>
  </si>
  <si>
    <t>05/08/2026 03:10 AM meet_elise_api@cafmanagement:AI Summary:
(2026-02-19) Payment plan created (status: missed, remaining balance: $50.92 out of $1,117.92). Resident has 1 payment plan in past 6 months.
(5/7/2026) Resident promised to make a payment tomorrow. Agent acknowledged and mentioned a colleague will review the request.
Last Updated: 2026-05-08</t>
  </si>
  <si>
    <t>05/22/2026 04:48 AM meet_elise_api@cafmanagement:Agent Notes:
2026-05-11 12:02 - abandonment notice place inside the unit 5/8
AI Summary:
(5/8/2026 - 5/21/2026) Abandonment notice placed inside the unit on 5/8. Payment reminder sent on 5/21 with a link to view and submit payment. No notable activity.
Last Updated: 2026-05-22</t>
  </si>
  <si>
    <t>05/15/2026 05:30 AM meet_elise_api@cafmanagement:AI Summary:
(5/14/2026) Resident inquired if there would be additional charges beyond the current balance. Agent clarified that other charges might apply until the account is fully settled. Resident requested notification once the account is fully settled.
Last Updated: 2026-05-15</t>
  </si>
  <si>
    <t>05/25/2026 07:59 AM meet_elise_api@cafmanagement:AI Summary:
(5/24/2026) Message sent to tenant regarding open charges and a request to settle the balance. Payment link provided for convenience.
Last Updated: 2026-05-25</t>
  </si>
  <si>
    <t>03/21/2026 01:09 AM meet_elise_api@cafmanagement:AI Summary:
(3/20/2026) Sent a message to the tenant inquiring about the payment date and provided a link for payment.
Last Updated: 2026-03-21</t>
  </si>
  <si>
    <t>05/12/2026 01:15 PM meet_elise_api@cafmanagement:Agent Notes:
2026-05-11 12:07 - court on 5/21
AI Summary:
(5/6/2026) Reminder sent to tenant about outstanding balance with a request to pay off the balance today.
Last Updated: 2026-05-12</t>
  </si>
  <si>
    <t>Current (Eviction)</t>
  </si>
  <si>
    <t>05/27/2026 04:06 AM meet_elise_api@cafmanagement:Agent Notes:
2026-03-19 11:12 - PTP - 03/20/2026
AI Summary:
(2026-02-19) Payment plan created (status: complete, remaining balance: $0.00 out of $1,403.20). Resident has 1 payment plan in past 6 months.
(2026-05-26) Resident attempted to pay balance via app but was unable due to account lock from eviction filing. Resident questioned the need to pay June rent immediately and expressed willingness to pay $3,000. Colleague explained full balance, including filing fees, must be paid before court date. Resident requested removal of filing fees and inquired about using referral bonus to cover fees.
Last Updated: 2026-05-27</t>
  </si>
  <si>
    <t>05/12/2026 01:15 PM meet_elise_api@cafmanagement:Agent Notes:
2026-05-11 12:12 - court 5/21
AI Summary:
(5/5/2026) Reminder sent to tenant about outstanding balance with a link provided for payment submission.
Last Updated: 2026-05-12</t>
  </si>
  <si>
    <t>05/18/2026 03:35 AM meet_elise_api@cafmanagement:AI Summary:
(5/11/2026 - 5/17/2026) Sent two messages reminding tenant of overdue balance and requesting payment through the provided payment link.
Last Updated: 2026-05-18</t>
  </si>
  <si>
    <t>05/12/2026 05:16 AM meet_elise_api@cafmanagement:Agent Notes:
2026-05-11 12:16 - court 5/21
AI Summary:
(3/20/2026) Contacted tenant to inquire about payment plans and provided a link for payment. Awaiting tenant's response.
Last Updated: 2026-05-12</t>
  </si>
  <si>
    <t>05/25/2026 08:03 AM meet_elise_api@cafmanagement:AI Summary:
(5/24/2026) Agent reminded tenant of open charges and requested payment of the total balance due, providing a link for payment.
Last Updated: 2026-05-25</t>
  </si>
  <si>
    <t>05/25/2026 07:59 AM meet_elise_api@cafmanagement:AI Summary:
(5/24/2026) Agent reached out to tenant regarding unpaid balance, inquiring about expected payment date and provided a link for payment submission.
Last Updated: 2026-05-25</t>
  </si>
  <si>
    <t>05/25/2026 08:03 AM meet_elise_api@cafmanagement:Agent Notes:
2026-05-11 15:10 - Said he is moving out on the 21st and that he was told by Harper not to pay until move out. We have nothing showing he is moving out he said he is going to send it to me .  Explained rather or not if he is moving out rent is still due on the 1st and the eviction process has began 
AI Summary:
(2026-04-15) Payment plan created (status: missed, remaining balance: $1,676.00 out of $1,676.00). Resident has 1 payment plan in past 6 months.
(2026-05-11) Resident mentioned moving out on the 21st and claimed Harper advised not to pay until then. No move-out notice received; eviction process initiated.
(2026-05-24) Agent reminded resident of overdue balance and provided a link for payment submission.
Last Updated: 2026-05-25</t>
  </si>
  <si>
    <t>05/12/2026 01:15 PM meet_elise_api@cafmanagement:Agent Notes:
2026-05-11 15:14 - court on 5/21
AI Summary:
(5/6/2026) Agent contacted tenant regarding overdue payment, provided a link for payment submission, and offered assistance for any questions.
Last Updated: 2026-05-12</t>
  </si>
  <si>
    <t>03/04/2026 05:29 PM ava.cm@cafmanagement.com:3/4 network difficulties unable to complete call   knocked on door no answer</t>
  </si>
  <si>
    <t>03/21/2026 01:12 AM meet_elise_api@cafmanagement:AI Summary:
(3/20/2026) Agent reached out to remind tenant about balance and inquired about payment timing, providing a link for payment submission.
Last Updated: 2026-03-21</t>
  </si>
  <si>
    <t>04/19/2026 01:10 AM meet_elise_api@cafmanagement:AI Summary:
(4/18/2026) Agent reached out to inquire about a payment date for the outstanding balance and provided a link for payment.
Last Updated: 2026-04-19</t>
  </si>
  <si>
    <t>05/22/2026 04:47 AM meet_elise_api@cafmanagement:Agent Notes:
2026-05-11 16:29 - Court 5/21
2026-05-21 09:15 - Shawna Joe 
AI Summary:
(5/20/2026) Resident disputes charges, calculating a different amount owed. Property manager credits account for incorrect pet charge, informs resident of past due balance, and warns of eviction process continuation if not paid. Internal note mentions court date on 5/21.
Last Updated: 2026-05-22</t>
  </si>
  <si>
    <t>01/24/2026 10:05 AM meet_elise_api@cafmanagement:AI Summary:
(1/23/2026) Reminder sent to tenant about outstanding balance with a request to pay off the balance today.
Last Updated: 2026-01-24</t>
  </si>
  <si>
    <t>04/11/2026 01:15 AM meet_elise_api@cafmanagement:AI Summary:
(4/10/2026) Agent inquired about payment date, resident promised to pay the balance tomorrow morning. Agent acknowledged and escalated the request.
Last Updated: 2026-04-11</t>
  </si>
  <si>
    <t>05/04/2026 07:26 AM meet_elise_api@cafmanagement:AI Summary:
(5/3/2026) Contacted tenant requesting an update on outstanding balance and provided a link for payment. Awaiting tenant's response.
Last Updated: 2026-05-04</t>
  </si>
  <si>
    <t>05/05/2026 07:57 AM meet_elise_api@cafmanagement:AI Summary:
(5/4/2026) Contacted tenant regarding outstanding balance, requested payment through provided payment link, and offered assistance for any questions.
Last Updated: 2026-05-05</t>
  </si>
  <si>
    <t>04/18/2026 01:11 AM meet_elise_api@cafmanagement:AI Summary:
(4/17/2026) Sent a message to tenant regarding overdue payment, provided a link for payment submission, and offered assistance for any questions.
Last Updated: 2026-04-18</t>
  </si>
  <si>
    <t>03/16/2026 01:04 AM meet_elise_api@cafmanagement:AI Summary:
(3/15/2026) Informed tenant of balance due and provided a link for payment submission.
Last Updated: 2026-03-16</t>
  </si>
  <si>
    <t>05/02/2026 04:43 AM meet_elise_api@cafmanagement:AI Summary:
(5/1/2026) Agent inquired about payment date and requested tenant to pay off balance today using the provided payment link.
Last Updated: 2026-05-02</t>
  </si>
  <si>
    <t>05/06/2026 06:30 AM meet_elise_api@cafmanagement:AI Summary:
(5/5/2026) Sent a message to the tenant regarding unpaid balance, requesting payment and offering assistance if needed.
Last Updated: 2026-05-06</t>
  </si>
  <si>
    <t>05/06/2026 06:30 AM meet_elise_api@cafmanagement:AI Summary:
(5/5/2026) Agent reminded tenant of open charges and requested payment of the total balance due. Provided a link for payment and offered assistance for any questions.
Last Updated: 2026-05-06</t>
  </si>
  <si>
    <t>05/25/2026 08:04 AM meet_elise_api@cafmanagement:AI Summary:
(5/24/2026) Agent reminded tenant of open charges and requested payment of the total balance due, providing a link for payment.
Last Updated: 2026-05-25</t>
  </si>
  <si>
    <t>05/24/2026 03:58 AM meet_elise_api@cafmanagement:AI Summary:
(5/23/2026) Sent a reminder about the outstanding balance and provided a link for payment.
Last Updated: 2026-05-24</t>
  </si>
  <si>
    <t>04/29/2026 06:19 AM meet_elise_api@cafmanagement:AI Summary:
(4/28/2026) Sent a message to tenant regarding overdue balance, requesting immediate payment through the provided payment link.
Last Updated: 2026-04-29</t>
  </si>
  <si>
    <t>04/21/2026 01:27 AM meet_elise_api@cafmanagement:AI Summary:
(4/20/2026) Agent informed tenant of open charges and requested payment of the total balance, providing a link for payment.
Last Updated: 2026-04-21</t>
  </si>
  <si>
    <t>01/17/2026 06:48 PM meet_elise_api@cafmanagement:AI Summary:
(1/13/2026) Message sent to tenant regarding overdue balance with a request to pay off the balance using the provided payment link.
Last Updated: 2026-01-17</t>
  </si>
  <si>
    <t>04/21/2026 01:26 AM meet_elise_api@cafmanagement:AI Summary:
(4/20/2026) Sent a message to the tenant inquiring about the expected payment date and provided a link for payment submission.
Last Updated: 2026-04-21</t>
  </si>
  <si>
    <t>05/27/2026 04:05 AM meet_elise_api@cafmanagement:AI Summary:
(5/26/2026) Notified tenant of account balance.
Last Updated: 2026-05-27</t>
  </si>
  <si>
    <t>03/16/2026 01:06 AM meet_elise_api@cafmanagement:AI Summary:
(3/15/2026) Informed tenant of outstanding balance and provided a link for payment submission.
Last Updated: 2026-03-16</t>
  </si>
  <si>
    <t>02/11/2026 12:31 AM meet_elise_api@cafmanagement:AI Summary:
(2/10/2026) Agent informed tenant of overdue payment and requested settlement of the balance. Provided a link for payment.
Last Updated: 2026-02-10</t>
  </si>
  <si>
    <t>05/07/2026 05:50 AM meet_elise_api@cafmanagement:AI Summary:
(5/6/2026) Reminder sent about outstanding balance with a payment link provided.
Last Updated: 2026-05-07</t>
  </si>
  <si>
    <t>04/26/2026 03:50 AM meet_elise_api@cafmanagement:AI Summary:
(4/25/2026) Sent a message to tenant regarding overdue payment, provided a link for payment, and requested settlement of the balance.
Last Updated: 2026-04-26</t>
  </si>
  <si>
    <t>05/07/2026 05:52 AM meet_elise_api@cafmanagement:AI Summary:
(5/6/2026) Informed tenant of outstanding balance and provided a link for payment submission.
Last Updated: 2026-05-07</t>
  </si>
  <si>
    <t>02/15/2026 02:36 AM meet_elise_api@cafmanagement:AI Summary:
(2/14/2026) Agent informed tenant of a balance due and provided a link for payment. No response from tenant.
Last Updated: 2026-02-15</t>
  </si>
  <si>
    <t>04/30/2026 02:42 AM meet_elise_api@cafmanagement:AI Summary:
(4/29/2026) Sent a message to the tenant inquiring about the unpaid balance and requesting payment through the provided payment link. Awaiting tenant's response.
Last Updated: 2026-04-30</t>
  </si>
  <si>
    <t>03/24/2026 09:16 AM ava.cm@cafmanagement.com:3/23 Court at 1:30pm Possession granted can file writ on 3/31</t>
  </si>
  <si>
    <t>05/25/2026 08:04 AM meet_elise_api@cafmanagement:AI Summary:
(5/24/2026) Sent a reminder about the outstanding balance and provided a link for payment submission.
Last Updated: 2026-05-25</t>
  </si>
  <si>
    <t>04/26/2026 03:50 AM meet_elise_api@cafmanagement:AI Summary:
(4/25/2026) Contacted tenant regarding balance and provided a link for payment submission. Awaiting tenant's response on payment plans.
Last Updated: 2026-04-26</t>
  </si>
  <si>
    <t>03/27/2026 01:05 AM meet_elise_api@cafmanagement:AI Summary:
(3/26/2026) Inquired about payment date and provided a link for payment.
Last Updated: 2026-03-27</t>
  </si>
  <si>
    <t>04/20/2026 01:10 AM meet_elise_api@cafmanagement:AI Summary:
(4/19/2026) Sent a message to tenant regarding overdue payment, requesting settlement of the balance. Provided a link for payment.
Last Updated: 2026-04-20</t>
  </si>
  <si>
    <t>04/29/2026 06:17 AM meet_elise_api@cafmanagement:AI Summary:
(4/28/2026) Contacted tenant to inquire about payment plans and provided a link for payment submission.
Last Updated: 2026-04-29</t>
  </si>
  <si>
    <t>04/29/2026 06:17 AM meet_elise_api@cafmanagement:AI Summary:
(4/28/2026) Agent contacted resident regarding outstanding balance, requesting payment today and offering assistance for any questions.
Last Updated: 2026-04-29</t>
  </si>
  <si>
    <t>04/18/2026 01:13 AM meet_elise_api@cafmanagement:AI Summary:
(4/17/2026) Sent a message to the tenant about the outstanding balance and provided a link for payment submission.
Last Updated: 2026-04-18</t>
  </si>
  <si>
    <t>04/04/2026 01:32 AM meet_elise_api@cafmanagement:AI Summary:
(4/3/2026) Agent contacted tenant regarding overdue payment, provided link for payment submission.
Last Updated: 2026-04-04</t>
  </si>
  <si>
    <t>05/25/2026 08:01 AM meet_elise_api@cafmanagement:AI Summary:
(5/24/2026) Agent inquired about tenant's payment date and provided a link for payment submission.
Last Updated: 2026-05-25</t>
  </si>
  <si>
    <t>04/08/2026 01:13 AM meet_elise_api@cafmanagement:AI Summary:
(4/7/2026) Agent contacted resident regarding overdue payment, provided a link for payment submission, and offered assistance for any questions.
Last Updated: 2026-04-08</t>
  </si>
  <si>
    <t>03/19/2026 01:06 AM meet_elise_api@cafmanagement:AI Summary:
(3/18/2026) Agent reached out to tenant regarding unpaid balance, inquiring about expected payment date and provided a link for payment submission.
Last Updated: 2026-03-19</t>
  </si>
  <si>
    <t>04/28/2026 03:14 AM meet_elise_api@cafmanagement:AI Summary:
(4/27/2026) Inquired about payment date for outstanding balance and provided link for payment.
Last Updated: 2026-04-28</t>
  </si>
  <si>
    <t>04/22/2026 01:13 AM meet_elise_api@cafmanagement:AI Summary:
(4/21/2026) Sent a message to the tenant inquiring about the unpaid balance and requesting payment through the provided payment link.
Last Updated: 2026-04-22</t>
  </si>
  <si>
    <t>04/20/2026 01:11 AM meet_elise_api@cafmanagement:AI Summary:
(4/19/2026) Agent informed resident of a balance due and provided a link for payment submission.
Last Updated: 2026-04-20</t>
  </si>
  <si>
    <t>Current (Eviction, Month To Month)</t>
  </si>
  <si>
    <t>05/12/2026 05:16 AM meet_elise_api@cafmanagement:Agent Notes:
2026-05-11 17:49 - abandonment notice placed 5/6   eviction court 5/21
AI Summary:
(3/20/2026) Informed resident of new charges and provided a link for payment submission.
Last Updated: 2026-05-12</t>
  </si>
  <si>
    <t>05/25/2026 07:59 AM meet_elise_api@cafmanagement:AI Summary:
(5/24/2026) Sent a reminder about the outstanding balance and provided a link for payment submission.
Last Updated: 2026-05-25</t>
  </si>
  <si>
    <t>03/29/2026 01:07 AM meet_elise_api@cafmanagement:AI Summary:
(3/28/2026) Reminder sent to tenant about outstanding balance with a link provided for payment submission.
Last Updated: 2026-03-29</t>
  </si>
  <si>
    <t>05/06/2026 06:30 AM meet_elise_api@cafmanagement:AI Summary:
(5/5/2026) Contacted tenant to inquire about payment plans and provided a link for payment.
Last Updated: 2026-05-06</t>
  </si>
  <si>
    <t>04/03/2026 11:40 PM meet_elise_api@cafmanagement:AI Summary:
(4/2/2026) Sent a message to the tenant regarding overdue payment, provided a link for viewing and submitting payment.
Last Updated: 2026-04-03</t>
  </si>
  <si>
    <t>04/18/2026 01:12 AM meet_elise_api@cafmanagement:AI Summary:
(4/17/2026) Sent a message to the tenant regarding overdue balance, provided a link for payment submission.
Last Updated: 2026-04-18</t>
  </si>
  <si>
    <t>04/26/2026 03:51 AM meet_elise_api@cafmanagement:AI Summary:
(4/25/2026) Sent a message to the tenant inquiring about the payment date and provided a link for making the payment.
Last Updated: 2026-04-26</t>
  </si>
  <si>
    <t>02/22/2026 09:24 PM nortiz@cafmanagement.com:filed an appeal.</t>
  </si>
  <si>
    <t>05/12/2026 05:16 AM meet_elise_api@cafmanagement:Agent Notes:
2026-05-11 17:58 - court 5/21
AI Summary:
(4/28/2026) Sent a message to the tenant inquiring about the unpaid balance and requesting payment today.
Last Updated: 2026-05-12</t>
  </si>
  <si>
    <t>02/25/2026 03:46 AM meet_elise_api@cafmanagement:AI Summary:
(2/18/2026 - 2/24/2026) Sent two messages reminding tenant of overdue balance and provided a link for payment. No response from tenant.
Last Updated: 2026-02-25</t>
  </si>
  <si>
    <t>05/12/2026 01:15 PM meet_elise_api@cafmanagement:Agent Notes:
2026-05-11 18:03 - court 5/27
AI Summary:
(5/6/2026) Informed tenant of open charges and requested payment of the total balance due. Provided a link for payment.
Last Updated: 2026-05-12</t>
  </si>
  <si>
    <t>03/06/2026 12:59 AM meet_elise_api@cafmanagement:AI Summary:
(3/5/2026) Agent informed tenant of open charges and provided a link for payment submission.
Last Updated: 2026-03-05</t>
  </si>
  <si>
    <t>05/05/2026 07:57 AM meet_elise_api@cafmanagement:AI Summary:
(5/4/2026) Agent inquired about the outstanding balance and requested payment through a provided link. No response from the resident.
Last Updated: 2026-05-05</t>
  </si>
  <si>
    <t>05/22/2026 04:47 AM meet_elise_api@cafmanagement:Agent Notes:
2026-05-11 18:04 - court date 5/21
2026-05-21 09:12 - Court date 5/21
AI Summary:
(4/29/2026) Contacted tenant to inquire about payment plans and requested payment through the provided payment link.
Last Updated: 2026-05-22</t>
  </si>
  <si>
    <t>04/01/2026 01:03 AM meet_elise_api@cafmanagement:AI Summary:
(3/31/2026) Agent informed tenant of overdue payment and provided a link for payment submission.
Last Updated: 2026-04-01</t>
  </si>
  <si>
    <t>04/12/2026 01:23 AM meet_elise_api@cafmanagement:AI Summary:
(4/11/2026) Sent a message to tenant regarding overdue payment, provided a link for payment, and requested to settle the account.
Last Updated: 2026-04-12</t>
  </si>
  <si>
    <t>01/24/2026 10:04 AM meet_elise_api@cafmanagement:AI Summary:
(1/23/2026) Agent informed tenant of open charges and provided a link for payment submission.
Last Updated: 2026-01-24</t>
  </si>
  <si>
    <t>03/19/2026 01:04 AM meet_elise_api@cafmanagement:AI Summary:
(3/18/2026) Sent a message to the tenant regarding overdue payment, including a link for payment.
Last Updated: 2026-03-19</t>
  </si>
  <si>
    <t>03/20/2026 01:07 AM meet_elise_api@cafmanagement:AI Summary:
(3/19/2026) Sent a message to the tenant regarding overdue payment, including a link for payment and the total balance due.
Last Updated: 2026-03-20</t>
  </si>
  <si>
    <t>02/14/2026 06:42 AM meet_elise_api@cafmanagement:AI Summary:
(2/13/2026) Sent a reminder about the outstanding balance and provided a link for payment.
Last Updated: 2026-02-14</t>
  </si>
  <si>
    <t>03/21/2026 01:11 AM meet_elise_api@cafmanagement:AI Summary:
(3/20/2026) Contacted tenant regarding balance and inquired about payment plans. Provided a link for payment submission.
Last Updated: 2026-03-21</t>
  </si>
  <si>
    <t>05/25/2026 08:04 AM meet_elise_api@cafmanagement:AI Summary:
(5/24/2026) Agent reminded tenant of overdue balance and requested immediate payment, providing a link for payment processing.
Last Updated: 2026-05-25</t>
  </si>
  <si>
    <t>03/18/2026 01:03 AM meet_elise_api@cafmanagement:AI Summary:
(3/17/2026) Agent informed tenant of open charges and requested payment of the total balance due, providing a link for payment.
Last Updated: 2026-03-18</t>
  </si>
  <si>
    <t>04/16/2026 01:09 AM meet_elise_api@cafmanagement:AI Summary:
(4/15/2026) Informed tenant to submit a work order for mailbox key and register car through H4 towing.
Last Updated: 2026-04-16</t>
  </si>
  <si>
    <t>05/24/2026 03:58 AM meet_elise_api@cafmanagement:AI Summary:
(5/23/2026) Sent a message to the tenant regarding overdue balance, requesting immediate payment and providing a link for payment.
Last Updated: 2026-05-24</t>
  </si>
  <si>
    <t>03/30/2026 01:02 AM meet_elise_api@cafmanagement:AI Summary:
(3/29/2026) Informed tenant of balance due and provided a link for payment submission.
Last Updated: 2026-03-30</t>
  </si>
  <si>
    <t>05/07/2026 05:49 AM meet_elise_api@cafmanagement:AI Summary:
(5/6/2026) Sent a message to the tenant regarding overdue balance, provided a link for payment submission.
Last Updated: 2026-05-07</t>
  </si>
  <si>
    <t>05/15/2026 05:29 AM meet_elise_api@cafmanagement:AI Summary:
(5/14/2026) Sent a message to the tenant regarding overdue balance, requesting immediate payment and providing a link for payment.
Last Updated: 2026-05-15</t>
  </si>
  <si>
    <t>04/29/2026 06:17 AM meet_elise_api@cafmanagement:AI Summary:
(10/5/2023) No notable activity.
Last Updated: 2026-04-29</t>
  </si>
  <si>
    <t>03/05/2026 11:50 AM ava.cm@cafmanagement.com:3/5 no answer</t>
  </si>
  <si>
    <t>03/21/2026 01:09 AM meet_elise_api@cafmanagement:AI Summary:
(3/20/2026) Message sent to tenant regarding open charges and a request to settle the balance. Payment link provided for convenience.
Last Updated: 2026-03-21</t>
  </si>
  <si>
    <t>03/21/2026 01:11 AM meet_elise_api@cafmanagement:AI Summary:
(3/20/2026) Sent a message to the tenant inquiring about the unpaid balance and requesting payment through the provided payment link. Awaiting tenant's response.
Last Updated: 2026-03-21</t>
  </si>
  <si>
    <t>03/21/2026 01:12 AM meet_elise_api@cafmanagement:AI Summary:
(3/20/2026) Sent a message to the tenant regarding overdue payment, including a link for payment.
Last Updated: 2026-03-21</t>
  </si>
  <si>
    <t>Abreus, Isabel Patrica</t>
  </si>
  <si>
    <t>Adams, Amanda</t>
  </si>
  <si>
    <t>Aguirre, Jennifer</t>
  </si>
  <si>
    <t>Aguirre, Jose</t>
  </si>
  <si>
    <t>Akulu, Amanuel</t>
  </si>
  <si>
    <t>Alade, Olanrewaju</t>
  </si>
  <si>
    <t>Reyes, Martha</t>
  </si>
  <si>
    <t>Alams, Anne</t>
  </si>
  <si>
    <t>Allen, Breau</t>
  </si>
  <si>
    <t>Allen, Valerie</t>
  </si>
  <si>
    <t>Alparada, Wilmaira</t>
  </si>
  <si>
    <t>Alpirez, Evaleen</t>
  </si>
  <si>
    <t>Alva, Jason</t>
  </si>
  <si>
    <t>Amador, Daniel</t>
  </si>
  <si>
    <t>Aminu, Murtala Mohammad</t>
  </si>
  <si>
    <t>Analaba, Ihauama</t>
  </si>
  <si>
    <t>Anderson, Dream</t>
  </si>
  <si>
    <t>Andrews, Jashawn</t>
  </si>
  <si>
    <t>Anselmi Rojas, Johan</t>
  </si>
  <si>
    <t>armstrong, peyton</t>
  </si>
  <si>
    <t>Atkins, Tamika</t>
  </si>
  <si>
    <t>Ausmore-Reid, Kiamesha</t>
  </si>
  <si>
    <t>Austin, Warren</t>
  </si>
  <si>
    <t>Avila, Maricarmen</t>
  </si>
  <si>
    <t>Bailey, Janae</t>
  </si>
  <si>
    <t>Bailon, Nayeli</t>
  </si>
  <si>
    <t>Bamboa, Jose de Jesus</t>
  </si>
  <si>
    <t>Barrios quiroz, Eduardo</t>
  </si>
  <si>
    <t>Barry, Amadou</t>
  </si>
  <si>
    <t>Bashiru, Odunayo</t>
  </si>
  <si>
    <t>Bayless, Kristen</t>
  </si>
  <si>
    <t>Beachem, Kayla</t>
  </si>
  <si>
    <t>Beachum, Asia</t>
  </si>
  <si>
    <t>Beard, Angel</t>
  </si>
  <si>
    <t>Bell, Nehemiah</t>
  </si>
  <si>
    <t>Belvin, Brent</t>
  </si>
  <si>
    <t>Bennett, Monique</t>
  </si>
  <si>
    <t>Bentacur, Nolvis</t>
  </si>
  <si>
    <t>Boone, Paul</t>
  </si>
  <si>
    <t>Boston, Porscha</t>
  </si>
  <si>
    <t>Brent, Avion</t>
  </si>
  <si>
    <t>Brereton, Jamel</t>
  </si>
  <si>
    <t>Bridge Donald, Harper</t>
  </si>
  <si>
    <t>Briggs, Angel</t>
  </si>
  <si>
    <t>Brooks, Niya</t>
  </si>
  <si>
    <t>BROSSETT-EARLY, Corvette</t>
  </si>
  <si>
    <t>Brown, Alfredia</t>
  </si>
  <si>
    <t>Brown, Larry</t>
  </si>
  <si>
    <t>Brown, Nakeisha</t>
  </si>
  <si>
    <t>Brown, Shontasia</t>
  </si>
  <si>
    <t>Bryant, Veronica</t>
  </si>
  <si>
    <t>Burgess, Christopher</t>
  </si>
  <si>
    <t>Burrell, Lueretia</t>
  </si>
  <si>
    <t>Cabrera, Alissa</t>
  </si>
  <si>
    <t>Cabrera, Barbaro</t>
  </si>
  <si>
    <t>Camacho, Jose</t>
  </si>
  <si>
    <t>Carrie, Lashanea</t>
  </si>
  <si>
    <t>Castillo, Faigh</t>
  </si>
  <si>
    <t>Caston, Chava</t>
  </si>
  <si>
    <t>Chaljub-Zambrano, Marcos</t>
  </si>
  <si>
    <t>Chavez, Raven</t>
  </si>
  <si>
    <t>Cheema, Bushra</t>
  </si>
  <si>
    <t>Colaire, Mckim</t>
  </si>
  <si>
    <t>Cook Richardson, Lakendrea</t>
  </si>
  <si>
    <t>Cooper, Tyeshaun</t>
  </si>
  <si>
    <t>Cornelius, Dalecia</t>
  </si>
  <si>
    <t>Coulthurst, Kayla</t>
  </si>
  <si>
    <t>Crawford, Rayvion</t>
  </si>
  <si>
    <t>Curtis, Queen</t>
  </si>
  <si>
    <t>Derrick, Paul</t>
  </si>
  <si>
    <t>Desanto, Dylan</t>
  </si>
  <si>
    <t>Desiderio, Yoselin</t>
  </si>
  <si>
    <t>Dews, Chester</t>
  </si>
  <si>
    <t>Diaz, Ashley</t>
  </si>
  <si>
    <t>Diaz, Ismael</t>
  </si>
  <si>
    <t>Dotson, Morgan</t>
  </si>
  <si>
    <t>Dunn, Tisheena</t>
  </si>
  <si>
    <t>Duran, William</t>
  </si>
  <si>
    <t>Duri, Monique</t>
  </si>
  <si>
    <t>Dyer, Zeniaya Kal'I</t>
  </si>
  <si>
    <t>DYKES, QUALONDA</t>
  </si>
  <si>
    <t>Easter, Jayla</t>
  </si>
  <si>
    <t>Edwards, Sariya</t>
  </si>
  <si>
    <t>Elizor, Melissa</t>
  </si>
  <si>
    <t>Elliott, Kiana</t>
  </si>
  <si>
    <t>Ellis, Kayla</t>
  </si>
  <si>
    <t>Ellis, Marquavon</t>
  </si>
  <si>
    <t>Emerick, Madeline</t>
  </si>
  <si>
    <t>Esquivel Arredondo, Allan</t>
  </si>
  <si>
    <t>Estes, Kyla</t>
  </si>
  <si>
    <t>Evans, Huni</t>
  </si>
  <si>
    <t>Faulk, Hailey</t>
  </si>
  <si>
    <t>Fernanderz, Nina</t>
  </si>
  <si>
    <t>FIGUERO, Fernando</t>
  </si>
  <si>
    <t>Fitzgerald, Cyan</t>
  </si>
  <si>
    <t>Flanigan, Brianna Garcia</t>
  </si>
  <si>
    <t>Flores, Andrew</t>
  </si>
  <si>
    <t>Flores, Eli</t>
  </si>
  <si>
    <t>Flores, Escamila</t>
  </si>
  <si>
    <t>Folusho, Seaun</t>
  </si>
  <si>
    <t>Foster, Chantevia</t>
  </si>
  <si>
    <t>Franco, Joan</t>
  </si>
  <si>
    <t>Franklin, Anton</t>
  </si>
  <si>
    <t>Frontado, Mayira</t>
  </si>
  <si>
    <t>Gaga, Vinnie</t>
  </si>
  <si>
    <t>Gaines, Steven</t>
  </si>
  <si>
    <t>Garcia, Alejandro</t>
  </si>
  <si>
    <t>Garcia, Claudia</t>
  </si>
  <si>
    <t>Garcia, Francisco</t>
  </si>
  <si>
    <t>Garcia, Janet</t>
  </si>
  <si>
    <t>Gatson, Octavia</t>
  </si>
  <si>
    <t>Geason, Jacob</t>
  </si>
  <si>
    <t>G, Megs</t>
  </si>
  <si>
    <t>Gomez Sanchez, Oscar</t>
  </si>
  <si>
    <t>Gonzalez, Idelciro</t>
  </si>
  <si>
    <t>GONZALEZ, NATALIA</t>
  </si>
  <si>
    <t>Gordon, Kathleen</t>
  </si>
  <si>
    <t>Graffis, Revka</t>
  </si>
  <si>
    <t>Graterol Jimenez, Luis</t>
  </si>
  <si>
    <t>Graves, Jennifer</t>
  </si>
  <si>
    <t>Green, Destiny</t>
  </si>
  <si>
    <t>Green, Sheridan</t>
  </si>
  <si>
    <t>Guerrero, Frank</t>
  </si>
  <si>
    <t>Gutierrez, Bladis</t>
  </si>
  <si>
    <t>Guttman, Tami</t>
  </si>
  <si>
    <t>Guzman, Leslie</t>
  </si>
  <si>
    <t>Hall, Oliver</t>
  </si>
  <si>
    <t>Hambrick, Nyla</t>
  </si>
  <si>
    <t>Hamilton, Jacobi</t>
  </si>
  <si>
    <t>Ham, Jacobiii</t>
  </si>
  <si>
    <t>Hampton, Shirlynn</t>
  </si>
  <si>
    <t>Hart, Brittany</t>
  </si>
  <si>
    <t>Harvey, Chancey</t>
  </si>
  <si>
    <t>Haynes, Betty</t>
  </si>
  <si>
    <t>Haynes, bettyhaynes</t>
  </si>
  <si>
    <t>Heliso, Adonaye</t>
  </si>
  <si>
    <t>Hernandez, Phillip</t>
  </si>
  <si>
    <t>Hinkle, August</t>
  </si>
  <si>
    <t>Hintsa, Danaet</t>
  </si>
  <si>
    <t>Hiranhphom, Luca</t>
  </si>
  <si>
    <t>Holden, Brittany</t>
  </si>
  <si>
    <t>Holmes, Ronnie</t>
  </si>
  <si>
    <t>Holt, David</t>
  </si>
  <si>
    <t>Howard, Latasha</t>
  </si>
  <si>
    <t>Howe, Jolie</t>
  </si>
  <si>
    <t>Hudson, Anthony</t>
  </si>
  <si>
    <t>Hudson, ShNai</t>
  </si>
  <si>
    <t>HWeKJA, Unknown</t>
  </si>
  <si>
    <t>Inajosa, Michelle</t>
  </si>
  <si>
    <t>Isabell, Bettia</t>
  </si>
  <si>
    <t>Israel, Isaiah</t>
  </si>
  <si>
    <t>Jackson, Brianesha</t>
  </si>
  <si>
    <t>Jackson, Zoe</t>
  </si>
  <si>
    <t>Jamaluddin, Khuwaylah</t>
  </si>
  <si>
    <t>JDfHv5, Morrie</t>
  </si>
  <si>
    <t>Jenkins, Katlynn</t>
  </si>
  <si>
    <t>Johnson, Benjamin</t>
  </si>
  <si>
    <t>Johnson, Malia</t>
  </si>
  <si>
    <t>Johnson, Mary</t>
  </si>
  <si>
    <t>Johnson, Michelle</t>
  </si>
  <si>
    <t>Johnson, Rhonda</t>
  </si>
  <si>
    <t>Johnson, Shauntay</t>
  </si>
  <si>
    <t>Jones, Aviance</t>
  </si>
  <si>
    <t>Jones, Brionna</t>
  </si>
  <si>
    <t>Jones, Cabria</t>
  </si>
  <si>
    <t>Jones, Emmanuel</t>
  </si>
  <si>
    <t>Jones, Jaylan</t>
  </si>
  <si>
    <t>Jones, Laverne</t>
  </si>
  <si>
    <t>Jones, Miyara</t>
  </si>
  <si>
    <t>Jones, Savannah</t>
  </si>
  <si>
    <t>Jordan, Emma</t>
  </si>
  <si>
    <t>J, Yves</t>
  </si>
  <si>
    <t>Kelley, Christyana</t>
  </si>
  <si>
    <t>Kirsch, John</t>
  </si>
  <si>
    <t>Knight, Jaida</t>
  </si>
  <si>
    <t>Lainez, Dania</t>
  </si>
  <si>
    <t>Lama, Jenny</t>
  </si>
  <si>
    <t>Larroy, Miachael</t>
  </si>
  <si>
    <t>Latimer, Kanya</t>
  </si>
  <si>
    <t>Lee, Ricky</t>
  </si>
  <si>
    <t>Lee, Sha</t>
  </si>
  <si>
    <t>Lee, Zariah</t>
  </si>
  <si>
    <t>Letelier, Liz</t>
  </si>
  <si>
    <t>Lewis, Aujeanae</t>
  </si>
  <si>
    <t>Lewis, Deanaali</t>
  </si>
  <si>
    <t>Lewis, Jasean</t>
  </si>
  <si>
    <t>Leza, Aisha</t>
  </si>
  <si>
    <t>Lidell, Marquis</t>
  </si>
  <si>
    <t>Link, Larry</t>
  </si>
  <si>
    <t>Lin, Shamiya</t>
  </si>
  <si>
    <t>Lopez, Devora</t>
  </si>
  <si>
    <t>Lopez Gonzalez, Gustavo</t>
  </si>
  <si>
    <t>lopez, gustavo</t>
  </si>
  <si>
    <t>Lopez, Nestor</t>
  </si>
  <si>
    <t>Lopez, Nicolle</t>
  </si>
  <si>
    <t>Lopez, Rose</t>
  </si>
  <si>
    <t>Mack-McNair, Jordan</t>
  </si>
  <si>
    <t>Maddox, Travonta</t>
  </si>
  <si>
    <t>Malone, Kayla</t>
  </si>
  <si>
    <t>Malveaux, Alaiyah</t>
  </si>
  <si>
    <t>Manano, Keith</t>
  </si>
  <si>
    <t>Mancias, Marissa</t>
  </si>
  <si>
    <t>Marie, Ava</t>
  </si>
  <si>
    <t>Marshall, Christine</t>
  </si>
  <si>
    <t>Martinez, Belen</t>
  </si>
  <si>
    <t>Mathis, Takeyvia</t>
  </si>
  <si>
    <t>May, Saliah</t>
  </si>
  <si>
    <t>McCoy, Christina</t>
  </si>
  <si>
    <t>Mccoy, Kajai</t>
  </si>
  <si>
    <t>Mcdonald, Jatori</t>
  </si>
  <si>
    <t>Mcleod, Kaseem</t>
  </si>
  <si>
    <t>Mcneal, Ziera</t>
  </si>
  <si>
    <t>Mendoza, Imelda</t>
  </si>
  <si>
    <t>Meyer, Kelsey</t>
  </si>
  <si>
    <t>Mihyar, Yousif</t>
  </si>
  <si>
    <t>., Miiyadabraat</t>
  </si>
  <si>
    <t>Miranda, Chantal</t>
  </si>
  <si>
    <t>Mitchell, John</t>
  </si>
  <si>
    <t>Mitchell, Melody</t>
  </si>
  <si>
    <t>Mizan, Semira</t>
  </si>
  <si>
    <t>Mohammad, Murtala</t>
  </si>
  <si>
    <t>Moore, Eugene</t>
  </si>
  <si>
    <t>Morales Amesty, Jose</t>
  </si>
  <si>
    <t>Mosier, Winnie</t>
  </si>
  <si>
    <t>Mosley, Tyriana</t>
  </si>
  <si>
    <t>Muggio, Emily</t>
  </si>
  <si>
    <t>Murray, Terrell</t>
  </si>
  <si>
    <t>Neely, Montreia</t>
  </si>
  <si>
    <t>Nelson, Nikkiyah</t>
  </si>
  <si>
    <t>Instagram</t>
  </si>
  <si>
    <t>New, Augu</t>
  </si>
  <si>
    <t>Northern, Tundra</t>
  </si>
  <si>
    <t>Not_Provided, Keisha</t>
  </si>
  <si>
    <t>Nussly, Fuck</t>
  </si>
  <si>
    <t>Odigie, Emmanuel</t>
  </si>
  <si>
    <t>Ogundyile, Olusaoga</t>
  </si>
  <si>
    <t>Oke, Brettney</t>
  </si>
  <si>
    <t>Olanrenaiu, Ahade</t>
  </si>
  <si>
    <t>Oliver, Jasmin</t>
  </si>
  <si>
    <t>Oliver, Josue</t>
  </si>
  <si>
    <t>Omar, Mohammad</t>
  </si>
  <si>
    <t>Omochere, Matthew</t>
  </si>
  <si>
    <t>Opara, Clarissa</t>
  </si>
  <si>
    <t>Orbe, Vanessa</t>
  </si>
  <si>
    <t>Orozco, Erik</t>
  </si>
  <si>
    <t>Orozco, Margie</t>
  </si>
  <si>
    <t>Ortiz, Joshua</t>
  </si>
  <si>
    <t>Ostagne, Line</t>
  </si>
  <si>
    <t>Padilla, Felix</t>
  </si>
  <si>
    <t>Park, Hyo</t>
  </si>
  <si>
    <t>Parks, Matthew</t>
  </si>
  <si>
    <t>Patrick, Janice</t>
  </si>
  <si>
    <t>Patton, Ronnie</t>
  </si>
  <si>
    <t>Peavy, Janet</t>
  </si>
  <si>
    <t>Perbomo, Danilo</t>
  </si>
  <si>
    <t>Pettigrew, Lashonda</t>
  </si>
  <si>
    <t>Pleasant, Indie</t>
  </si>
  <si>
    <t>Pollard, Shantela</t>
  </si>
  <si>
    <t>Porter, Darrius</t>
  </si>
  <si>
    <t>Porterfield, LaQuante</t>
  </si>
  <si>
    <t>Portillo, William</t>
  </si>
  <si>
    <t>Posocco, Jordan</t>
  </si>
  <si>
    <t>Price, Dylan</t>
  </si>
  <si>
    <t>Pupek, Mira</t>
  </si>
  <si>
    <t>Quezada, Guadalupe</t>
  </si>
  <si>
    <t>Quintero, Maryelin</t>
  </si>
  <si>
    <t>Ralls, Katelyn</t>
  </si>
  <si>
    <t>Ramirez, Perla</t>
  </si>
  <si>
    <t>Ramos, Ruth</t>
  </si>
  <si>
    <t>Reckford, Aaliyah</t>
  </si>
  <si>
    <t>Reed, Tamoria</t>
  </si>
  <si>
    <t>Reras Quinones, Guadalupe</t>
  </si>
  <si>
    <t>Reyes, Juan</t>
  </si>
  <si>
    <t>reyes, Rafael</t>
  </si>
  <si>
    <t>Rhodes, Amir</t>
  </si>
  <si>
    <t>Rimmer, Somya</t>
  </si>
  <si>
    <t>Rivera, Nelly</t>
  </si>
  <si>
    <t>Robinson, Amber</t>
  </si>
  <si>
    <t>Robinson, Sierra</t>
  </si>
  <si>
    <t>Rodriguez, Daniela</t>
  </si>
  <si>
    <t>Rodriguez, Frank</t>
  </si>
  <si>
    <t>Rodriguez, Irvin</t>
  </si>
  <si>
    <t>Rodriguez, Roxana</t>
  </si>
  <si>
    <t>Rogers, Donell</t>
  </si>
  <si>
    <t>Rosemond, Olivia</t>
  </si>
  <si>
    <t>Rossum, Amiya</t>
  </si>
  <si>
    <t>Ruiz, Daniela</t>
  </si>
  <si>
    <t>Russell, Schuyler</t>
  </si>
  <si>
    <t>sabara, Romiko</t>
  </si>
  <si>
    <t>Saito, Kazuki</t>
  </si>
  <si>
    <t>Salina, Karen</t>
  </si>
  <si>
    <t>Sanchez, Bianca</t>
  </si>
  <si>
    <t>Shabanaj, Berat</t>
  </si>
  <si>
    <t>Shannon, Dewey</t>
  </si>
  <si>
    <t>Shepherd, Tre'Viana</t>
  </si>
  <si>
    <t>Shetta, Meferet</t>
  </si>
  <si>
    <t>Simmons, Romell</t>
  </si>
  <si>
    <t>Simpson, Brianna</t>
  </si>
  <si>
    <t>Sinclair, Christy</t>
  </si>
  <si>
    <t>Small, Alan</t>
  </si>
  <si>
    <t>Smith, Donte</t>
  </si>
  <si>
    <t>Smith, Leeyah</t>
  </si>
  <si>
    <t>Smith, Shauna</t>
  </si>
  <si>
    <t>Snyder, Rayven</t>
  </si>
  <si>
    <t>Spencer, Sheena</t>
  </si>
  <si>
    <t>Stanbery, Lucia</t>
  </si>
  <si>
    <t>Stanley, Tyler</t>
  </si>
  <si>
    <t>Steel, Deirdra</t>
  </si>
  <si>
    <t>Steele, Alexis</t>
  </si>
  <si>
    <t>Steele, Tony</t>
  </si>
  <si>
    <t>Steele, Vivian</t>
  </si>
  <si>
    <t>Steven, Sandra</t>
  </si>
  <si>
    <t>Stewart, Jessica</t>
  </si>
  <si>
    <t>St, Naja</t>
  </si>
  <si>
    <t>Stognere, Lydia</t>
  </si>
  <si>
    <t>Stone, Dansiah</t>
  </si>
  <si>
    <t>Sulbaran, Mercedes</t>
  </si>
  <si>
    <t>Sweat, Amani</t>
  </si>
  <si>
    <t>Tamez-buccino, Paolo</t>
  </si>
  <si>
    <t>Taylor, Donvea</t>
  </si>
  <si>
    <t>Taylor, Kylah</t>
  </si>
  <si>
    <t>Taylor, Latavia</t>
  </si>
  <si>
    <t>Tennyson, Daneshia</t>
  </si>
  <si>
    <t>test, a</t>
  </si>
  <si>
    <t>Test, Elise</t>
  </si>
  <si>
    <t>Thomas, Corey</t>
  </si>
  <si>
    <t>Thomas, Stefan</t>
  </si>
  <si>
    <t>Thompson, Darion</t>
  </si>
  <si>
    <t>Thompson, Rumonda</t>
  </si>
  <si>
    <t>Torres, Abigail</t>
  </si>
  <si>
    <t>Trevino, Maria</t>
  </si>
  <si>
    <t>Tucker, Trinity</t>
  </si>
  <si>
    <t>Turner, Elizare</t>
  </si>
  <si>
    <t>Turpin, Izaiah</t>
  </si>
  <si>
    <t>Turriago, Marien</t>
  </si>
  <si>
    <t>Unknown, Aggie</t>
  </si>
  <si>
    <t>Unknown, Alexis</t>
  </si>
  <si>
    <t>Unknown, Andrew</t>
  </si>
  <si>
    <t>Unknown, Angela</t>
  </si>
  <si>
    <t>Unknown, Angelica</t>
  </si>
  <si>
    <t>Unknown, Anon</t>
  </si>
  <si>
    <t>Unknown, April</t>
  </si>
  <si>
    <t>Unknown, Ashley</t>
  </si>
  <si>
    <t>Unknown, Asia</t>
  </si>
  <si>
    <t>Unknown, AuJeanae</t>
  </si>
  <si>
    <t>Unknown, Aylara</t>
  </si>
  <si>
    <t>Unknown, Azara</t>
  </si>
  <si>
    <t>Unknown, Azaria</t>
  </si>
  <si>
    <t>Unknown, Brendon</t>
  </si>
  <si>
    <t>Unknown, Brian</t>
  </si>
  <si>
    <t>Unknown, Brittany</t>
  </si>
  <si>
    <t>Unknown, Claudia</t>
  </si>
  <si>
    <t>Unknown, Daisy</t>
  </si>
  <si>
    <t>Unknown, Dianela</t>
  </si>
  <si>
    <t>Unknown, Dolores</t>
  </si>
  <si>
    <t>Unknown, Dunnell</t>
  </si>
  <si>
    <t>Unknown, Enrico</t>
  </si>
  <si>
    <t>Unknown, Gary</t>
  </si>
  <si>
    <t>Unknown, Illia</t>
  </si>
  <si>
    <t>Unknown, Jack</t>
  </si>
  <si>
    <t>Unknown, Jarodines</t>
  </si>
  <si>
    <t>Unknown, Jaylon</t>
  </si>
  <si>
    <t>Unknown, Jaywin</t>
  </si>
  <si>
    <t>Unknown, Jorge</t>
  </si>
  <si>
    <t>Unknown, Joshua</t>
  </si>
  <si>
    <t>Unknown, Journey</t>
  </si>
  <si>
    <t>Unknown, Laquante</t>
  </si>
  <si>
    <t>Unknown, Linda</t>
  </si>
  <si>
    <t>Unknown, Matreka</t>
  </si>
  <si>
    <t>Unknown, Mia</t>
  </si>
  <si>
    <t>Unknown, Midanul</t>
  </si>
  <si>
    <t>Unknown, Mohammad</t>
  </si>
  <si>
    <t>Unknown, Nakeisha</t>
  </si>
  <si>
    <t>Unknown, Nina</t>
  </si>
  <si>
    <t>Unknown, Niyamaya</t>
  </si>
  <si>
    <t>Unknown, Norris</t>
  </si>
  <si>
    <t>Unknown, Olivia</t>
  </si>
  <si>
    <t>Unknown, Pedro</t>
  </si>
  <si>
    <t>Unknown, Queashana</t>
  </si>
  <si>
    <t>Unknown, Quinton</t>
  </si>
  <si>
    <t>Unknown, Ravna</t>
  </si>
  <si>
    <t>Unknown, Representative</t>
  </si>
  <si>
    <t>Unknown, Robyn</t>
  </si>
  <si>
    <t>Unknown, Ronnie</t>
  </si>
  <si>
    <t>Unknown, Samantha</t>
  </si>
  <si>
    <t>Unknown, Sandra</t>
  </si>
  <si>
    <t>Unknown, Shanty</t>
  </si>
  <si>
    <t>Unknown, Shikre</t>
  </si>
  <si>
    <t>Unknown, Shonnie</t>
  </si>
  <si>
    <t>Unknown, Sorianne</t>
  </si>
  <si>
    <t>Unknown, Steven</t>
  </si>
  <si>
    <t>Nunez, Grecia</t>
  </si>
  <si>
    <t>Unknown, Susan</t>
  </si>
  <si>
    <t>Unknown, Tay</t>
  </si>
  <si>
    <t>Unknown, Texas</t>
  </si>
  <si>
    <t>Unknown, Tisha</t>
  </si>
  <si>
    <t>Unknown, Trinity</t>
  </si>
  <si>
    <t>Unknown, Viola</t>
  </si>
  <si>
    <t>Unknown, Yara</t>
  </si>
  <si>
    <t>Unknown, Yvonna</t>
  </si>
  <si>
    <t>Urevbu, Emmanuel</t>
  </si>
  <si>
    <t>Vann, Danny</t>
  </si>
  <si>
    <t>Varis, Ryder</t>
  </si>
  <si>
    <t>Varis, Ryder John</t>
  </si>
  <si>
    <t>Vasquez, Vanity</t>
  </si>
  <si>
    <t>Velasquez, Jasmine</t>
  </si>
  <si>
    <t>Velazquez, Alejandro</t>
  </si>
  <si>
    <t>Villarreal, Zenaida</t>
  </si>
  <si>
    <t>Walker, Clarissa</t>
  </si>
  <si>
    <t>walker, kaalyiah</t>
  </si>
  <si>
    <t>Wallece, Ashley</t>
  </si>
  <si>
    <t>Weathersby, Erica</t>
  </si>
  <si>
    <t>Welch, Daisha</t>
  </si>
  <si>
    <t>Wellington, Tevin</t>
  </si>
  <si>
    <t>Wells, Aron</t>
  </si>
  <si>
    <t>Whitson, Roderick</t>
  </si>
  <si>
    <t>Whytus, Chardonelle</t>
  </si>
  <si>
    <t>Wilcox, Josh</t>
  </si>
  <si>
    <t>Wiley jr, Marvica</t>
  </si>
  <si>
    <t>Williams, Coreaonna</t>
  </si>
  <si>
    <t>Williams, Delilah</t>
  </si>
  <si>
    <t>Williams, Makaila</t>
  </si>
  <si>
    <t>Williams, Ricquel</t>
  </si>
  <si>
    <t>Corporate Lease</t>
  </si>
  <si>
    <t>Wilson, Zaihvon</t>
  </si>
  <si>
    <t>Wolveck, Elizabeth</t>
  </si>
  <si>
    <t>Woods, Jane</t>
  </si>
  <si>
    <t>Wright, Braeden</t>
  </si>
  <si>
    <t>Wynn, Nekeisha</t>
  </si>
  <si>
    <t>Yeager, Tyler</t>
  </si>
  <si>
    <t>Yut, Hina</t>
  </si>
  <si>
    <t>Zambran, Roxana</t>
  </si>
  <si>
    <t>Zapata, Patricia</t>
  </si>
  <si>
    <t>Abiona, Jen</t>
  </si>
  <si>
    <t>Adhanom, Tiebe Woledegrima</t>
  </si>
  <si>
    <t>Adzati, Sylvester</t>
  </si>
  <si>
    <t>Afternoon, Luis</t>
  </si>
  <si>
    <t>Akanji, Adetayo</t>
  </si>
  <si>
    <t>alba, victor</t>
  </si>
  <si>
    <t>Alcantara, Flor</t>
  </si>
  <si>
    <t>Allen, Ashlyn</t>
  </si>
  <si>
    <t>Anderson, Aniya</t>
  </si>
  <si>
    <t>Anderson, Dayshia</t>
  </si>
  <si>
    <t>Anderson, Shantae</t>
  </si>
  <si>
    <t>Andrews, Brian Andrews</t>
  </si>
  <si>
    <t>Armwood, Lavontae</t>
  </si>
  <si>
    <t>Arroyo, Jerrian</t>
  </si>
  <si>
    <t>Awa, Oma</t>
  </si>
  <si>
    <t>Bah, Aiysha</t>
  </si>
  <si>
    <t>Baldivia, Elijah</t>
  </si>
  <si>
    <t>Banks, JaTayia</t>
  </si>
  <si>
    <t>Barbar, Cody</t>
  </si>
  <si>
    <t>Barenett, Tatyana</t>
  </si>
  <si>
    <t>Barnett, Zykira</t>
  </si>
  <si>
    <t>Baskerville, April</t>
  </si>
  <si>
    <t>Baxter, Lynda</t>
  </si>
  <si>
    <t>Baylor, Elizabeth</t>
  </si>
  <si>
    <t>Bell, Alliah</t>
  </si>
  <si>
    <t>Bell, Assayrin</t>
  </si>
  <si>
    <t>Bello, Jade</t>
  </si>
  <si>
    <t>Benjamin, Diana</t>
  </si>
  <si>
    <t>Bergeman, Brian</t>
  </si>
  <si>
    <t>Bernal, Karen</t>
  </si>
  <si>
    <t>Blamo, Antoinette</t>
  </si>
  <si>
    <t>Bounds, Shiral</t>
  </si>
  <si>
    <t>Boykin, Brinesha</t>
  </si>
  <si>
    <t>Bradley, Layla</t>
  </si>
  <si>
    <t>Brewster, Starshaye</t>
  </si>
  <si>
    <t>Broadus, Christian</t>
  </si>
  <si>
    <t>Brooks, Parker</t>
  </si>
  <si>
    <t>Brown, Chanel</t>
  </si>
  <si>
    <t>Brown, Dajon</t>
  </si>
  <si>
    <t>Brown, Kaylei</t>
  </si>
  <si>
    <t>Brown, Kobie</t>
  </si>
  <si>
    <t>Brown, Micah</t>
  </si>
  <si>
    <t>Brown, Rachel</t>
  </si>
  <si>
    <t>Brown, Shannell</t>
  </si>
  <si>
    <t>Buelvas, Yesica</t>
  </si>
  <si>
    <t>Bullock, Jakera</t>
  </si>
  <si>
    <t>Burks, Demarius</t>
  </si>
  <si>
    <t>Burley, Shabresse</t>
  </si>
  <si>
    <t>Burns, Hayden</t>
  </si>
  <si>
    <t>Burton, Justin</t>
  </si>
  <si>
    <t>Bush, Amber</t>
  </si>
  <si>
    <t>Cardona, Alex</t>
  </si>
  <si>
    <t>Carranza, Stacy</t>
  </si>
  <si>
    <t>Castaneda, Jennifer</t>
  </si>
  <si>
    <t>Castillanos, Carlos</t>
  </si>
  <si>
    <t>Castille, Ja Tavyia</t>
  </si>
  <si>
    <t>Castillo, Cesar</t>
  </si>
  <si>
    <t>Castro, Canthoni</t>
  </si>
  <si>
    <t>cervantes, miriam</t>
  </si>
  <si>
    <t>Chambers, Nia</t>
  </si>
  <si>
    <t>Chance, Cindy</t>
  </si>
  <si>
    <t>chirino, gimner</t>
  </si>
  <si>
    <t>Cisneros, Cristal</t>
  </si>
  <si>
    <t>Cisneros, Rebecca</t>
  </si>
  <si>
    <t>Clark, Jakoria</t>
  </si>
  <si>
    <t>Coleman, Contayiah</t>
  </si>
  <si>
    <t>Coleman, Dewanda</t>
  </si>
  <si>
    <t>Collins, Arletha</t>
  </si>
  <si>
    <t>Cox, Eric</t>
  </si>
  <si>
    <t>Crelia, Bailey</t>
  </si>
  <si>
    <t>Crockett, Terina</t>
  </si>
  <si>
    <t>Cross, Miguel</t>
  </si>
  <si>
    <t>Cross, Rincia</t>
  </si>
  <si>
    <t>Cue, Aiyana</t>
  </si>
  <si>
    <t>Cuello, Leonardo</t>
  </si>
  <si>
    <t>Daki, Layla</t>
  </si>
  <si>
    <t>Dallas, Lilg</t>
  </si>
  <si>
    <t>Daniel, Madison</t>
  </si>
  <si>
    <t>Darden, Shatina</t>
  </si>
  <si>
    <t>Das, Pritam</t>
  </si>
  <si>
    <t>Davis, Dwight</t>
  </si>
  <si>
    <t>Davis, Kristinee</t>
  </si>
  <si>
    <t>Dawkins, Jermarl</t>
  </si>
  <si>
    <t>Denbow, Jayna</t>
  </si>
  <si>
    <t>Dexter, Deshaundra</t>
  </si>
  <si>
    <t>Diego, gENESIS</t>
  </si>
  <si>
    <t>Dillon, Jamichael</t>
  </si>
  <si>
    <t>Dixon, Alicia</t>
  </si>
  <si>
    <t>Dixon, Canaan</t>
  </si>
  <si>
    <t>Dixon-Pegram, Travis</t>
  </si>
  <si>
    <t>Dorsey, Jamari</t>
  </si>
  <si>
    <t>Drissi, Adam</t>
  </si>
  <si>
    <t>Duke, Roberta</t>
  </si>
  <si>
    <t>Dukes, Roberta</t>
  </si>
  <si>
    <t>Edwards, Jacqueline</t>
  </si>
  <si>
    <t>Epinayu epinayu, Laura</t>
  </si>
  <si>
    <t>Epinayu, Rosa</t>
  </si>
  <si>
    <t>Espanol, El</t>
  </si>
  <si>
    <t>Esquivel, Perla</t>
  </si>
  <si>
    <t>Evans, Dahlia</t>
  </si>
  <si>
    <t>Fears Compton, Rhonda</t>
  </si>
  <si>
    <t>Figueroa, Josselin</t>
  </si>
  <si>
    <t>Fish, Chloe</t>
  </si>
  <si>
    <t>Flanagan, Raven</t>
  </si>
  <si>
    <t>Forte, JaJuan</t>
  </si>
  <si>
    <t>Freeman, April</t>
  </si>
  <si>
    <t>Fuentes, Johannes</t>
  </si>
  <si>
    <t>Galeano, Alessa</t>
  </si>
  <si>
    <t>Gandara, Alexandra</t>
  </si>
  <si>
    <t>Garrett, Candace</t>
  </si>
  <si>
    <t>Gebreamlak, Btsuan Eyakem</t>
  </si>
  <si>
    <t>Gerges, Veronia</t>
  </si>
  <si>
    <t>Gets Funny, She</t>
  </si>
  <si>
    <t>Gilcreast, Brianna</t>
  </si>
  <si>
    <t>Gillis, Denise</t>
  </si>
  <si>
    <t>gilmore, shannon</t>
  </si>
  <si>
    <t>Goitom, Samsom</t>
  </si>
  <si>
    <t>Gomez, Daniel</t>
  </si>
  <si>
    <t>Gomez, Guadalupe</t>
  </si>
  <si>
    <t>Gonzales, Isaiah</t>
  </si>
  <si>
    <t>gonzalez, yeilin</t>
  </si>
  <si>
    <t>Good, Jubin</t>
  </si>
  <si>
    <t>Grayman, Vanessa</t>
  </si>
  <si>
    <t>Green, Erin</t>
  </si>
  <si>
    <t>Gregory, Lily</t>
  </si>
  <si>
    <t>Guy, Patrice</t>
  </si>
  <si>
    <t>Hague, Alatheia</t>
  </si>
  <si>
    <t>Hall, Dante</t>
  </si>
  <si>
    <t>Hamilton, Sharon</t>
  </si>
  <si>
    <t>Hanson, Sharon</t>
  </si>
  <si>
    <t>Hardy, Tairra</t>
  </si>
  <si>
    <t>Hardy, TAirra</t>
  </si>
  <si>
    <t>Harper, Ava</t>
  </si>
  <si>
    <t>Hartgraves, Danielle</t>
  </si>
  <si>
    <t>Haywood, Janet</t>
  </si>
  <si>
    <t>Henderson-Thomas, Shayla</t>
  </si>
  <si>
    <t>Henry, Wyatt</t>
  </si>
  <si>
    <t>Hernandez, Andrew</t>
  </si>
  <si>
    <t>Herrera, Angel</t>
  </si>
  <si>
    <t>Hill, Amanda</t>
  </si>
  <si>
    <t>Hill, Danielle</t>
  </si>
  <si>
    <t>Hill, Yashara</t>
  </si>
  <si>
    <t>Hopper, Kanyjah</t>
  </si>
  <si>
    <t>Hubbard, Macy</t>
  </si>
  <si>
    <t>Hughes, Doneesa</t>
  </si>
  <si>
    <t>Humphrey, Ariel</t>
  </si>
  <si>
    <t>Hunter, Kanecia</t>
  </si>
  <si>
    <t>Hutchinson, Kyana</t>
  </si>
  <si>
    <t>Hu, Van Ceu</t>
  </si>
  <si>
    <t>Ibane, Luz</t>
  </si>
  <si>
    <t>Jackson, Dolanto</t>
  </si>
  <si>
    <t>Jamelia, White</t>
  </si>
  <si>
    <t>Jefferson, Trevor</t>
  </si>
  <si>
    <t>Johns, Moresa</t>
  </si>
  <si>
    <t>Johnson-Harley, Ariel</t>
  </si>
  <si>
    <t>Johnson, James</t>
  </si>
  <si>
    <t>Johnson, Keyarria</t>
  </si>
  <si>
    <t>Johnson, Miah</t>
  </si>
  <si>
    <t>Johnson, Timothy</t>
  </si>
  <si>
    <t>JOLIBORE, Taka</t>
  </si>
  <si>
    <t>Jones, Brandi</t>
  </si>
  <si>
    <t>Jones, Cory</t>
  </si>
  <si>
    <t>Jones, Davion</t>
  </si>
  <si>
    <t>Josephina Perez, Josefina</t>
  </si>
  <si>
    <t>Joshua, Alfred</t>
  </si>
  <si>
    <t>Juarez, Carolina</t>
  </si>
  <si>
    <t>Jusino, Clint</t>
  </si>
  <si>
    <t>J, Zylah</t>
  </si>
  <si>
    <t>Keasler, Sandy</t>
  </si>
  <si>
    <t>Kellison, Cheyenne</t>
  </si>
  <si>
    <t>King, Kynlee</t>
  </si>
  <si>
    <t>King, Louis</t>
  </si>
  <si>
    <t>Kinney, Blake</t>
  </si>
  <si>
    <t>Kirby, Janae</t>
  </si>
  <si>
    <t>Kohnson, John</t>
  </si>
  <si>
    <t>Kokoa, Matinaba</t>
  </si>
  <si>
    <t>Kokoa, Matonaba</t>
  </si>
  <si>
    <t>Ladon Bray-Coffey, Kilie</t>
  </si>
  <si>
    <t>Lake, Markeanna</t>
  </si>
  <si>
    <t>Lake, Markiana</t>
  </si>
  <si>
    <t>Lambert, Tashauna</t>
  </si>
  <si>
    <t>Lawson, Shana</t>
  </si>
  <si>
    <t>Layfield, Harlotte</t>
  </si>
  <si>
    <t>Lea, Sherry</t>
  </si>
  <si>
    <t>Lee, Joanne</t>
  </si>
  <si>
    <t>Leon, Del Valle</t>
  </si>
  <si>
    <t>LeTourneau, Ashley</t>
  </si>
  <si>
    <t>Lewis, Christine</t>
  </si>
  <si>
    <t>Lewis, Latoya</t>
  </si>
  <si>
    <t>Liu, Hedy</t>
  </si>
  <si>
    <t>Lofton, Samaya</t>
  </si>
  <si>
    <t>Lomax, Aniyah</t>
  </si>
  <si>
    <t>Lopez, Nery</t>
  </si>
  <si>
    <t>Loredo, jose</t>
  </si>
  <si>
    <t>Luciano, Esmeralda</t>
  </si>
  <si>
    <t>Lugo, Dilaila</t>
  </si>
  <si>
    <t>Lydia, Briyauna</t>
  </si>
  <si>
    <t>Malone, Tiara</t>
  </si>
  <si>
    <t>Mansurova, Alfiia</t>
  </si>
  <si>
    <t>Marquez, Christian</t>
  </si>
  <si>
    <t>Marquez, Yaritza</t>
  </si>
  <si>
    <t>Martinez, Nate</t>
  </si>
  <si>
    <t>Masanga, Luhiagila</t>
  </si>
  <si>
    <t>May, Courtney</t>
  </si>
  <si>
    <t>Mayfield, Sharlotte</t>
  </si>
  <si>
    <t>Mcclain, Shakilyon</t>
  </si>
  <si>
    <t>Mccoy, Sharon</t>
  </si>
  <si>
    <t>McFadden, Aihsatan</t>
  </si>
  <si>
    <t>McNabb, Candace</t>
  </si>
  <si>
    <t>Mesfin, Beza</t>
  </si>
  <si>
    <t>Mikles, Leon</t>
  </si>
  <si>
    <t>Milian, Yaimet</t>
  </si>
  <si>
    <t>Miller, Alexander</t>
  </si>
  <si>
    <t>Miller, Ashley</t>
  </si>
  <si>
    <t>Miller, Breann</t>
  </si>
  <si>
    <t>Miller, Marquitta</t>
  </si>
  <si>
    <t>Miller, Tim</t>
  </si>
  <si>
    <t>Mitchell, Ashley</t>
  </si>
  <si>
    <t>M Mitchell, Lisa</t>
  </si>
  <si>
    <t>Mohamed, Abubakar</t>
  </si>
  <si>
    <t>Montgomery, Shawn</t>
  </si>
  <si>
    <t>Montgomery, Tyrone</t>
  </si>
  <si>
    <t>Moore, Harley</t>
  </si>
  <si>
    <t>Moore, Shania</t>
  </si>
  <si>
    <t>Morales, Samantha</t>
  </si>
  <si>
    <t>Morgan, Havean</t>
  </si>
  <si>
    <t>Morris, Brianna</t>
  </si>
  <si>
    <t>Morris-Bridges, Jehlani</t>
  </si>
  <si>
    <t>Morris, Madjalee</t>
  </si>
  <si>
    <t>Muhammad, Tahira</t>
  </si>
  <si>
    <t>Mweyola, Arnold</t>
  </si>
  <si>
    <t>Myre, KynTasha</t>
  </si>
  <si>
    <t>Nails, Angela</t>
  </si>
  <si>
    <t>Naquin, Rhenada</t>
  </si>
  <si>
    <t>Nashed, Antonious</t>
  </si>
  <si>
    <t>Neal, Ragan</t>
  </si>
  <si>
    <t>Negra, Saint</t>
  </si>
  <si>
    <t>Nekeatibeb, Sephanit</t>
  </si>
  <si>
    <t>Newble, Robert</t>
  </si>
  <si>
    <t>Nguyen, Kenneth</t>
  </si>
  <si>
    <t>Nixon, Jasmine</t>
  </si>
  <si>
    <t>Nnochirionye, Chikezie</t>
  </si>
  <si>
    <t>Noor, Habibo</t>
  </si>
  <si>
    <t>Nur, Sara</t>
  </si>
  <si>
    <t>Ogunade, Anthony</t>
  </si>
  <si>
    <t>Ohara, Torin</t>
  </si>
  <si>
    <t>Ojo, Jerry Aaron</t>
  </si>
  <si>
    <t>Omotunde, Israel</t>
  </si>
  <si>
    <t>Owens, Majlinda</t>
  </si>
  <si>
    <t>Oyuela, Reina</t>
  </si>
  <si>
    <t>Palacios, Gabriela</t>
  </si>
  <si>
    <t>parkman, Gakenya</t>
  </si>
  <si>
    <t>Patino, Alisson</t>
  </si>
  <si>
    <t>Patterson, Khyndal</t>
  </si>
  <si>
    <t>Perez, Edgardo</t>
  </si>
  <si>
    <t>Perez, Lisbet</t>
  </si>
  <si>
    <t>Pirela, Eugenio</t>
  </si>
  <si>
    <t>Pitcher, Travis</t>
  </si>
  <si>
    <t>Pitre, Shannon</t>
  </si>
  <si>
    <t>Ponglone, Thong</t>
  </si>
  <si>
    <t>Pritchett, Vanessa</t>
  </si>
  <si>
    <t>Quadri, Syed</t>
  </si>
  <si>
    <t>Quincu, Rhianna</t>
  </si>
  <si>
    <t>Migrated Resident</t>
  </si>
  <si>
    <t>Randle, Sara</t>
  </si>
  <si>
    <t>Rasooli, Sayed</t>
  </si>
  <si>
    <t>Rayo, Natalia</t>
  </si>
  <si>
    <t>Ray, Trevor</t>
  </si>
  <si>
    <t>Reed, Debra</t>
  </si>
  <si>
    <t>Reeves, Michael</t>
  </si>
  <si>
    <t>Remcharen, Shelleanne</t>
  </si>
  <si>
    <t>Rhymes, Ayanna</t>
  </si>
  <si>
    <t>Rice, Mccord</t>
  </si>
  <si>
    <t>Richard, Londynn</t>
  </si>
  <si>
    <t>Richardson, Kimberly</t>
  </si>
  <si>
    <t>Rodriguez, Daisy</t>
  </si>
  <si>
    <t>Rodriguez, Yonlanda</t>
  </si>
  <si>
    <t>Rojas, Diana</t>
  </si>
  <si>
    <t>Rolling, Danielle</t>
  </si>
  <si>
    <t>Ronalds, Jasmine</t>
  </si>
  <si>
    <t>Ross, Diamond</t>
  </si>
  <si>
    <t>Rostetter, Flavia</t>
  </si>
  <si>
    <t>Salinas, Maria</t>
  </si>
  <si>
    <t>Sams, Jarriel</t>
  </si>
  <si>
    <t>Sanders, Jeannelle</t>
  </si>
  <si>
    <t>Scafie, Bernard</t>
  </si>
  <si>
    <t>Scott, Shanita</t>
  </si>
  <si>
    <t>Seay, John</t>
  </si>
  <si>
    <t>Segura, Nicole</t>
  </si>
  <si>
    <t>Self, Tyler</t>
  </si>
  <si>
    <t>Serrano, Luz</t>
  </si>
  <si>
    <t>Shaikh, Sarah</t>
  </si>
  <si>
    <t>Sharp, Daviona</t>
  </si>
  <si>
    <t>Sharper, Lataveya</t>
  </si>
  <si>
    <t>Sharp, Kimmala</t>
  </si>
  <si>
    <t>Sharrieff, Alexis</t>
  </si>
  <si>
    <t>Shawishian, Ohanik</t>
  </si>
  <si>
    <t>Sheppard, Chyanne</t>
  </si>
  <si>
    <t>Sheppard, Maggie</t>
  </si>
  <si>
    <t>Shipp, Dymon</t>
  </si>
  <si>
    <t>Shirzed, Mohfawd</t>
  </si>
  <si>
    <t>Sias, Maria</t>
  </si>
  <si>
    <t>Simmons, Kaleb</t>
  </si>
  <si>
    <t>Simmons, Trinity</t>
  </si>
  <si>
    <t>Sims, Shariah</t>
  </si>
  <si>
    <t>Smith, Earl</t>
  </si>
  <si>
    <t>Smith jr, Curtis</t>
  </si>
  <si>
    <t>Smith, Raven</t>
  </si>
  <si>
    <t>Stasquez, Ms.</t>
  </si>
  <si>
    <t>Steele, Sanyiah</t>
  </si>
  <si>
    <t>Stevens, Kierra</t>
  </si>
  <si>
    <t>Stiggers, Jasmine</t>
  </si>
  <si>
    <t>Stokes, Nyjhia</t>
  </si>
  <si>
    <t>Stokes, Nyjhia (Gia)</t>
  </si>
  <si>
    <t>strong, Asianah</t>
  </si>
  <si>
    <t>Sullivan, Mike</t>
  </si>
  <si>
    <t>Suniga, Maria</t>
  </si>
  <si>
    <t>Taborda, Eduardo</t>
  </si>
  <si>
    <t>Taka Joliebore, Densie</t>
  </si>
  <si>
    <t>Tamame, Aliette</t>
  </si>
  <si>
    <t>Taylor, Kiandra</t>
  </si>
  <si>
    <t>Taylor, Lori</t>
  </si>
  <si>
    <t>Test, Entrata</t>
  </si>
  <si>
    <t>Off Site</t>
  </si>
  <si>
    <t>Testing, Ace</t>
  </si>
  <si>
    <t>Test, Katherine</t>
  </si>
  <si>
    <t>Test, Nylsa</t>
  </si>
  <si>
    <t>Thibault, Erin</t>
  </si>
  <si>
    <t>Thomas, Azaria</t>
  </si>
  <si>
    <t>Thomas, David</t>
  </si>
  <si>
    <t>Thomas, Hubbard</t>
  </si>
  <si>
    <t>Thomas, Joshua</t>
  </si>
  <si>
    <t>Tobias, Mileidis</t>
  </si>
  <si>
    <t>Toliver, Dehaulen</t>
  </si>
  <si>
    <t>Torres, Syrena</t>
  </si>
  <si>
    <t>Townsend, Davon</t>
  </si>
  <si>
    <t>Turner, John</t>
  </si>
  <si>
    <t>Turner, Kennedy</t>
  </si>
  <si>
    <t>Unknown, Alicia</t>
  </si>
  <si>
    <t>Unknown, Amber</t>
  </si>
  <si>
    <t>Unknown, Benny</t>
  </si>
  <si>
    <t>Unknown, Ebony</t>
  </si>
  <si>
    <t>Unknown, Gabriel</t>
  </si>
  <si>
    <t>Unknown, Haley</t>
  </si>
  <si>
    <t>Unknown, Heidi</t>
  </si>
  <si>
    <t>Unknown, Ibravo</t>
  </si>
  <si>
    <t>Unknown, Joyce</t>
  </si>
  <si>
    <t>Unknown, Kaleb</t>
  </si>
  <si>
    <t>Unknown, Kelsey</t>
  </si>
  <si>
    <t>Unknown, Kendall</t>
  </si>
  <si>
    <t>Unknown, Kumani</t>
  </si>
  <si>
    <t>Unknown, Lana</t>
  </si>
  <si>
    <t>Unknown, Luhiagila</t>
  </si>
  <si>
    <t>Unknown, Mara</t>
  </si>
  <si>
    <t>Unknown, Marie</t>
  </si>
  <si>
    <t>Unknown, Mawana</t>
  </si>
  <si>
    <t>Unknown, Melissa</t>
  </si>
  <si>
    <t>Unknown, Pablo</t>
  </si>
  <si>
    <t>Unknown, Piori</t>
  </si>
  <si>
    <t>Unknown, Sanders</t>
  </si>
  <si>
    <t>Unknown, Saraya</t>
  </si>
  <si>
    <t>Unknown, Veronica</t>
  </si>
  <si>
    <t>Valentine, Keysean</t>
  </si>
  <si>
    <t>Viard, Michael</t>
  </si>
  <si>
    <t>Vila Mendoza, Edsel</t>
  </si>
  <si>
    <t>Wagner, Allie</t>
  </si>
  <si>
    <t>Walker, Anthony</t>
  </si>
  <si>
    <t>Walker, Myshyra</t>
  </si>
  <si>
    <t>Wanton, Tamiko</t>
  </si>
  <si>
    <t>Warren, Lgerik</t>
  </si>
  <si>
    <t>Watts, Jazzenea</t>
  </si>
  <si>
    <t>Weatherman, Jamine</t>
  </si>
  <si>
    <t>White, Jamelia</t>
  </si>
  <si>
    <t>Wilcoxson, Esther</t>
  </si>
  <si>
    <t>Wilkins, Maia</t>
  </si>
  <si>
    <t>Williams, Jameshia</t>
  </si>
  <si>
    <t>Williams, Jaylan</t>
  </si>
  <si>
    <t>Williams, Jeremiah</t>
  </si>
  <si>
    <t>Williams, LaAsia</t>
  </si>
  <si>
    <t>Williams, Lashonda</t>
  </si>
  <si>
    <t>Williams, Niki</t>
  </si>
  <si>
    <t>Williams, Nikki</t>
  </si>
  <si>
    <t>Willingham, Kierra</t>
  </si>
  <si>
    <t>Wilson, Tekiah</t>
  </si>
  <si>
    <t>Young, Imani</t>
  </si>
  <si>
    <t>Youngman, Kaylan</t>
  </si>
  <si>
    <t>Y, Quelyn</t>
  </si>
  <si>
    <t>Zotelo, Maidelin</t>
  </si>
  <si>
    <t>Abas, Dominique</t>
  </si>
  <si>
    <t>Abram, Zariel</t>
  </si>
  <si>
    <t>Acloque, Michaelle</t>
  </si>
  <si>
    <t>Acosta, Daniela</t>
  </si>
  <si>
    <t>Adame, Kevin</t>
  </si>
  <si>
    <t>Adetola, Tejumade</t>
  </si>
  <si>
    <t>Aguilar, Athalia</t>
  </si>
  <si>
    <t>Aguilar, Meleanie</t>
  </si>
  <si>
    <t>Ahmed, Afsana Jalil</t>
  </si>
  <si>
    <t>Ahmed, Ebrahim</t>
  </si>
  <si>
    <t>Ahmed, Uzair</t>
  </si>
  <si>
    <t>Akubo, Elvia</t>
  </si>
  <si>
    <t>Alazmi, Faisal</t>
  </si>
  <si>
    <t>Aldana, Sophia</t>
  </si>
  <si>
    <t>Alejo, April</t>
  </si>
  <si>
    <t>Alexander, Brianna</t>
  </si>
  <si>
    <t>Ali, Saad</t>
  </si>
  <si>
    <t>Allen, Deavia</t>
  </si>
  <si>
    <t>Alston, Janee</t>
  </si>
  <si>
    <t>Alvarado, Sarah</t>
  </si>
  <si>
    <t>Alvarez, Daniel</t>
  </si>
  <si>
    <t>Aman, Abdulsemed</t>
  </si>
  <si>
    <t>Ampueda, Zadiel</t>
  </si>
  <si>
    <t>Anderson, Tanginique</t>
  </si>
  <si>
    <t>Angel, Esmeralda</t>
  </si>
  <si>
    <t>A Prior Story, Jesus</t>
  </si>
  <si>
    <t>Araujo, Grexie</t>
  </si>
  <si>
    <t>archaga, brittany</t>
  </si>
  <si>
    <t>Arias, Luis</t>
  </si>
  <si>
    <t>Armstrong, Adonis</t>
  </si>
  <si>
    <t>Arogundade, Oluwaseun</t>
  </si>
  <si>
    <t>Arreola, Michelle</t>
  </si>
  <si>
    <t>Arvizu, Jonathan</t>
  </si>
  <si>
    <t>Ashley, Ashley</t>
  </si>
  <si>
    <t>Aslam, Sonia</t>
  </si>
  <si>
    <t>Auces, Kiara</t>
  </si>
  <si>
    <t>Avila, Jaime</t>
  </si>
  <si>
    <t>Awolope, Stephan</t>
  </si>
  <si>
    <t>Awolope, Stephen</t>
  </si>
  <si>
    <t>Aw, Tai Wei</t>
  </si>
  <si>
    <t>Ayotte, Hilda</t>
  </si>
  <si>
    <t>Babs, Yemi</t>
  </si>
  <si>
    <t>Baca, Rashelle</t>
  </si>
  <si>
    <t>Baigoum, Segolene</t>
  </si>
  <si>
    <t>Bailey, Sean</t>
  </si>
  <si>
    <t>Baker, Matthew</t>
  </si>
  <si>
    <t>Bandi, Abhishek</t>
  </si>
  <si>
    <t>Barbosa, Carolina</t>
  </si>
  <si>
    <t>Barensprung, Desiree</t>
  </si>
  <si>
    <t>Barnett, Arnold</t>
  </si>
  <si>
    <t>Barnett, Shakobie</t>
  </si>
  <si>
    <t>Barton, Tatum</t>
  </si>
  <si>
    <t>Baskin, Sarah</t>
  </si>
  <si>
    <t>Basnet, Arnika</t>
  </si>
  <si>
    <t>Batta, Abhi</t>
  </si>
  <si>
    <t>Bautista, Hanah</t>
  </si>
  <si>
    <t>Bayliss, Aly</t>
  </si>
  <si>
    <t>Belcher, Annalee</t>
  </si>
  <si>
    <t>Bell, Nikara</t>
  </si>
  <si>
    <t>Benavides, Abigail</t>
  </si>
  <si>
    <t>Benefield, Darius</t>
  </si>
  <si>
    <t>Bennette, Leader</t>
  </si>
  <si>
    <t>Benyambura, Kailis</t>
  </si>
  <si>
    <t>Bernabe, Matilde</t>
  </si>
  <si>
    <t>Bernal, Alejandro</t>
  </si>
  <si>
    <t>Berry, Rubi</t>
  </si>
  <si>
    <t>Betts, Keyunte</t>
  </si>
  <si>
    <t>Bills, Beachley</t>
  </si>
  <si>
    <t>Birguz, Aurimar</t>
  </si>
  <si>
    <t>Bisbing, Richard</t>
  </si>
  <si>
    <t>Black, Beunka</t>
  </si>
  <si>
    <t>Bland, TaShawna</t>
  </si>
  <si>
    <t>Blaylock, Tameisha</t>
  </si>
  <si>
    <t>Bowie, Darion</t>
  </si>
  <si>
    <t>Brandt, Coby</t>
  </si>
  <si>
    <t>Brazile, Crystal</t>
  </si>
  <si>
    <t>Breedlove, Breanna</t>
  </si>
  <si>
    <t>Bridges, Samantha</t>
  </si>
  <si>
    <t>Brinson, Jakesecia</t>
  </si>
  <si>
    <t>Briscoe, Tayee</t>
  </si>
  <si>
    <t>Briske, Jason</t>
  </si>
  <si>
    <t>britten, alexis</t>
  </si>
  <si>
    <t>Broadnax, Ashauna</t>
  </si>
  <si>
    <t>Broady, Diamond</t>
  </si>
  <si>
    <t>Brooks, Kehlani</t>
  </si>
  <si>
    <t>Brown, Aubrey</t>
  </si>
  <si>
    <t>Brown, Blake</t>
  </si>
  <si>
    <t>Brown, Quinlynn</t>
  </si>
  <si>
    <t>Brown, Robert</t>
  </si>
  <si>
    <t>Brown, Shamee</t>
  </si>
  <si>
    <t>Brown, Takyria</t>
  </si>
  <si>
    <t>Brozer, Tarl</t>
  </si>
  <si>
    <t>Brumfield, Rodney</t>
  </si>
  <si>
    <t>Bryant, Renee</t>
  </si>
  <si>
    <t>Buckner, Laurette</t>
  </si>
  <si>
    <t>Burgess, Ivonna</t>
  </si>
  <si>
    <t>Burns, Kendra</t>
  </si>
  <si>
    <t>Burton, Nyla</t>
  </si>
  <si>
    <t>Bush, Kasyia</t>
  </si>
  <si>
    <t>Butler, Aiden</t>
  </si>
  <si>
    <t>Byrom, Caress</t>
  </si>
  <si>
    <t>Caesar, Zaria</t>
  </si>
  <si>
    <t>Cain, Allison</t>
  </si>
  <si>
    <t>Cambell, Chavon</t>
  </si>
  <si>
    <t>campbell, Brynnan</t>
  </si>
  <si>
    <t>Campbell, Mariah</t>
  </si>
  <si>
    <t>Canizalez, Jacquelyn</t>
  </si>
  <si>
    <t>C, Ar</t>
  </si>
  <si>
    <t>Carlos, Juan</t>
  </si>
  <si>
    <t>Carlson, Sierra</t>
  </si>
  <si>
    <t>Carney, Dashayrani</t>
  </si>
  <si>
    <t>Carrillo, Georgina</t>
  </si>
  <si>
    <t>Carter, Tyshanna</t>
  </si>
  <si>
    <t>Castillo, Isaac</t>
  </si>
  <si>
    <t>Castillo, Katie</t>
  </si>
  <si>
    <t>Castillo, Kevin</t>
  </si>
  <si>
    <t>Castro, Juan</t>
  </si>
  <si>
    <t>Catalan, Irlanda</t>
  </si>
  <si>
    <t>Catalan, Jexzamani</t>
  </si>
  <si>
    <t>Cesar, Julio</t>
  </si>
  <si>
    <t>Chambers, Antony</t>
  </si>
  <si>
    <t>Champlain, John</t>
  </si>
  <si>
    <t>Chavez, Joe</t>
  </si>
  <si>
    <t>Chinenye, Eriri</t>
  </si>
  <si>
    <t>Chism, James</t>
  </si>
  <si>
    <t>Chow, Alyse</t>
  </si>
  <si>
    <t>Cisneros, Jessica</t>
  </si>
  <si>
    <t>Cisse, Ali</t>
  </si>
  <si>
    <t>Cisse, Mamignan</t>
  </si>
  <si>
    <t>Clark, Erica</t>
  </si>
  <si>
    <t>Clark, Kimberly</t>
  </si>
  <si>
    <t>Clark, Lashun</t>
  </si>
  <si>
    <t>Clark, Shauntel</t>
  </si>
  <si>
    <t>Clarksom, Edjuanisha</t>
  </si>
  <si>
    <t>Clay, Lisa</t>
  </si>
  <si>
    <t>Cobs, Shaina</t>
  </si>
  <si>
    <t>Collins, Deja</t>
  </si>
  <si>
    <t>Colorado, Diana</t>
  </si>
  <si>
    <t>Contreras, Eduardo</t>
  </si>
  <si>
    <t>Cook, Kadajah</t>
  </si>
  <si>
    <t>Cook, Latoya</t>
  </si>
  <si>
    <t>Cor, Gerdena</t>
  </si>
  <si>
    <t>Cortez, Mayra</t>
  </si>
  <si>
    <t>Cosby, Monica</t>
  </si>
  <si>
    <t>Cotill, Anthony</t>
  </si>
  <si>
    <t>Crosby, Mariana</t>
  </si>
  <si>
    <t>Cross, Hope</t>
  </si>
  <si>
    <t>Cumon, Kestatu</t>
  </si>
  <si>
    <t>Cunningham, John</t>
  </si>
  <si>
    <t>Daley, Wendy</t>
  </si>
  <si>
    <t>Dallas, Dgz</t>
  </si>
  <si>
    <t>Daneshfar, Zoey</t>
  </si>
  <si>
    <t>Davaakhuu, Munkhzul</t>
  </si>
  <si>
    <t>Davis, Cheryl</t>
  </si>
  <si>
    <t>Davis, Danell</t>
  </si>
  <si>
    <t>Davis, Henry</t>
  </si>
  <si>
    <t>Davis, Kenya</t>
  </si>
  <si>
    <t>Davis, Kiandra</t>
  </si>
  <si>
    <t>Davis, Tareva</t>
  </si>
  <si>
    <t>Davis, Veronica</t>
  </si>
  <si>
    <t>Decker, Rylee</t>
  </si>
  <si>
    <t>Dee, Jordan</t>
  </si>
  <si>
    <t>Delgado, Jesus</t>
  </si>
  <si>
    <t>Demar, Tierra</t>
  </si>
  <si>
    <t>Dent, Jeffery</t>
  </si>
  <si>
    <t>Devons, Kaye</t>
  </si>
  <si>
    <t>Dhal, Akhilesh</t>
  </si>
  <si>
    <t>Diaz, Carlos</t>
  </si>
  <si>
    <t>Dieudonne, Aouche</t>
  </si>
  <si>
    <t>DiTommaso, Cipriani</t>
  </si>
  <si>
    <t>Dotson, Jasmine</t>
  </si>
  <si>
    <t>Dots, Yonna</t>
  </si>
  <si>
    <t>Douglas, Demeree</t>
  </si>
  <si>
    <t>Drake, Chancellor</t>
  </si>
  <si>
    <t>Drake, Daikahne</t>
  </si>
  <si>
    <t>Drake, Kerri</t>
  </si>
  <si>
    <t>Duarte, Abby</t>
  </si>
  <si>
    <t>Dudley, Malcolm</t>
  </si>
  <si>
    <t>DuFresne, Faith</t>
  </si>
  <si>
    <t>Duncan, Jronquae</t>
  </si>
  <si>
    <t>Dunning, Jurnee</t>
  </si>
  <si>
    <t>Duran, Itzel</t>
  </si>
  <si>
    <t>Ebers, Detective</t>
  </si>
  <si>
    <t>eddie, Brandon</t>
  </si>
  <si>
    <t>Edmond, Janel</t>
  </si>
  <si>
    <t>Edwards, Breanna</t>
  </si>
  <si>
    <t>Edwards, Kamilah</t>
  </si>
  <si>
    <t>Edwards, Keith</t>
  </si>
  <si>
    <t>Edwards, Lyssa</t>
  </si>
  <si>
    <t>Ellston, Savannah</t>
  </si>
  <si>
    <t>Elmore, Ceriah</t>
  </si>
  <si>
    <t>Em6nxG, Dan</t>
  </si>
  <si>
    <t>Erwin, Krissy</t>
  </si>
  <si>
    <t>Escobar, Norma</t>
  </si>
  <si>
    <t>Espinoza, Marcel</t>
  </si>
  <si>
    <t>Espinoza, Pamela</t>
  </si>
  <si>
    <t>Esquivel, Briana</t>
  </si>
  <si>
    <t>Estrada, Sabino</t>
  </si>
  <si>
    <t>Evans, Farrah</t>
  </si>
  <si>
    <t>Evans, Floyd</t>
  </si>
  <si>
    <t>Everett, Travis</t>
  </si>
  <si>
    <t>Falcon, Destiny</t>
  </si>
  <si>
    <t>Farley, Charlotte</t>
  </si>
  <si>
    <t>Fernandez, Marialuisa</t>
  </si>
  <si>
    <t>Figueroa, Paul</t>
  </si>
  <si>
    <t>Finecy, Ellie</t>
  </si>
  <si>
    <t>Finley, Kelsey</t>
  </si>
  <si>
    <t>Fleming, Joshua</t>
  </si>
  <si>
    <t>Fleming, Marsha</t>
  </si>
  <si>
    <t>Fleurimond, Natachelle</t>
  </si>
  <si>
    <t>Flint, Jada</t>
  </si>
  <si>
    <t>Flores, Jorge</t>
  </si>
  <si>
    <t>Flowers, Marquez</t>
  </si>
  <si>
    <t>ford, camara</t>
  </si>
  <si>
    <t>Fotso, Naolegas</t>
  </si>
  <si>
    <t>Fox, Troy</t>
  </si>
  <si>
    <t>Franco, Dana</t>
  </si>
  <si>
    <t>Franklin, Kayla</t>
  </si>
  <si>
    <t>Franklin, Sapphiria</t>
  </si>
  <si>
    <t>FRAZIER, JAMAR</t>
  </si>
  <si>
    <t>Fross, Hope</t>
  </si>
  <si>
    <t>Fuentes Hernandez, Leonardo</t>
  </si>
  <si>
    <t>Fuller, Solomon</t>
  </si>
  <si>
    <t>Gaddis, Taylor</t>
  </si>
  <si>
    <t>Gall, Allison</t>
  </si>
  <si>
    <t>Gamez, Kimberly</t>
  </si>
  <si>
    <t>Gamma, Fadin</t>
  </si>
  <si>
    <t>Garcia, Angel</t>
  </si>
  <si>
    <t>GARCIA DIAZ, MILLANYELA</t>
  </si>
  <si>
    <t>Garcia, Matthew</t>
  </si>
  <si>
    <t>Garcia, Ruby</t>
  </si>
  <si>
    <t>Garcia, Yazmin</t>
  </si>
  <si>
    <t>Garner Jr, Montez</t>
  </si>
  <si>
    <t>Gatewood, Jaunaeja</t>
  </si>
  <si>
    <t>Gaytan, Tania</t>
  </si>
  <si>
    <t>Gbala, Triniti</t>
  </si>
  <si>
    <t>Gilly, Jesus</t>
  </si>
  <si>
    <t>Glosson, Precious</t>
  </si>
  <si>
    <t>Goble, Brianna</t>
  </si>
  <si>
    <t>Golden, Enesha</t>
  </si>
  <si>
    <t>gonzales, brianna</t>
  </si>
  <si>
    <t>Gonzalez, Adriana</t>
  </si>
  <si>
    <t>Gonzalez, Angel</t>
  </si>
  <si>
    <t>GONZALEZ CALIXTO, LLUVIA DE ABRIL</t>
  </si>
  <si>
    <t>Gonzalez, Gabriel</t>
  </si>
  <si>
    <t>Gonzalez, Helio</t>
  </si>
  <si>
    <t>Gonzalez, Rosa</t>
  </si>
  <si>
    <t>Gonzalez, Ulysses</t>
  </si>
  <si>
    <t>Gonzalez, Victor</t>
  </si>
  <si>
    <t>Gonzalez, Yasmine</t>
  </si>
  <si>
    <t>Gorczyca, James</t>
  </si>
  <si>
    <t>Gordon, Rae</t>
  </si>
  <si>
    <t>Grant, Bryce</t>
  </si>
  <si>
    <t>Gray, Jsohua</t>
  </si>
  <si>
    <t>Graymoor, Lisa</t>
  </si>
  <si>
    <t>Gray, Noah</t>
  </si>
  <si>
    <t>Grayson, Tyrec</t>
  </si>
  <si>
    <t>Grays, The</t>
  </si>
  <si>
    <t>Greene, Hailee</t>
  </si>
  <si>
    <t>Griffith, Emma</t>
  </si>
  <si>
    <t>Grigoryan, Armen</t>
  </si>
  <si>
    <t>Guadarrama, Israel</t>
  </si>
  <si>
    <t>Guerrero, Anny</t>
  </si>
  <si>
    <t>Guestcard, Apartmentlist</t>
  </si>
  <si>
    <t>Guinyard, Dejone</t>
  </si>
  <si>
    <t>Hager, Bri</t>
  </si>
  <si>
    <t>Hailu, Ermiyas</t>
  </si>
  <si>
    <t>Hairston, Janessa</t>
  </si>
  <si>
    <t>Hams, Byron</t>
  </si>
  <si>
    <t>Handy, Kevin</t>
  </si>
  <si>
    <t>Hanjelo, Ermias</t>
  </si>
  <si>
    <t>Hannah, Devante</t>
  </si>
  <si>
    <t>Harbert, Anquesia</t>
  </si>
  <si>
    <t>Hardeman, Sylvester</t>
  </si>
  <si>
    <t>Harrell, Jaron</t>
  </si>
  <si>
    <t>Harrison, Cara</t>
  </si>
  <si>
    <t>Harrison, Jennifer</t>
  </si>
  <si>
    <t>Harris, Sam</t>
  </si>
  <si>
    <t>Hathaway, Ken</t>
  </si>
  <si>
    <t>Haulcy, Kylee</t>
  </si>
  <si>
    <t>Hayden, Tina</t>
  </si>
  <si>
    <t>Hayes, Ishmail</t>
  </si>
  <si>
    <t>Hearne, Deondria</t>
  </si>
  <si>
    <t>Heath, Mckenzi</t>
  </si>
  <si>
    <t>Heck, Webster</t>
  </si>
  <si>
    <t>Helm, Beatrice</t>
  </si>
  <si>
    <t>Henslee, Leigha</t>
  </si>
  <si>
    <t>Hernandez, Monica</t>
  </si>
  <si>
    <t>Herron, Briana</t>
  </si>
  <si>
    <t>Hesse, Alexander</t>
  </si>
  <si>
    <t>Hester, Neilson</t>
  </si>
  <si>
    <t>Hicks, Alisha</t>
  </si>
  <si>
    <t>Hicks, Markqon</t>
  </si>
  <si>
    <t>Hiday, Luke</t>
  </si>
  <si>
    <t>Hilburn, Nevaeh</t>
  </si>
  <si>
    <t>Hillary, Christopher</t>
  </si>
  <si>
    <t>Hill, Lori</t>
  </si>
  <si>
    <t>hills, jaedyn</t>
  </si>
  <si>
    <t>Hines, Nassiah</t>
  </si>
  <si>
    <t>., Hinklehinkle</t>
  </si>
  <si>
    <t>Hobson, Donna</t>
  </si>
  <si>
    <t>Hollander, Jared</t>
  </si>
  <si>
    <t>Hones, Keair</t>
  </si>
  <si>
    <t>Howie, Brooke</t>
  </si>
  <si>
    <t>Hoyle, JayHem</t>
  </si>
  <si>
    <t>Hudson, Brittany</t>
  </si>
  <si>
    <t>Hudson, Karen</t>
  </si>
  <si>
    <t>Hudson, Xzeal</t>
  </si>
  <si>
    <t>Huerta, Ruby</t>
  </si>
  <si>
    <t>Huia, Kossia</t>
  </si>
  <si>
    <t>Hunter, Ashley</t>
  </si>
  <si>
    <t>Hussein, Ruba</t>
  </si>
  <si>
    <t>ignont, jeremy</t>
  </si>
  <si>
    <t>Ikpa, Christiantus</t>
  </si>
  <si>
    <t>Irvin, Caitlyn</t>
  </si>
  <si>
    <t>Isaac, Isaiah</t>
  </si>
  <si>
    <t>Iyeke, Temple</t>
  </si>
  <si>
    <t>Jackson, Carolyn</t>
  </si>
  <si>
    <t>Jackson, Cedric</t>
  </si>
  <si>
    <t>Jackson, Ruddy</t>
  </si>
  <si>
    <t>Jackson, Taylor</t>
  </si>
  <si>
    <t>Jackson, Tramya</t>
  </si>
  <si>
    <t>Jalil, Laila</t>
  </si>
  <si>
    <t>Jamaluddin, Masoom</t>
  </si>
  <si>
    <t>James, Alex</t>
  </si>
  <si>
    <t>James, Kyara</t>
  </si>
  <si>
    <t>James, Tyler</t>
  </si>
  <si>
    <t>Janae, Toriyonna</t>
  </si>
  <si>
    <t>Jando, Martin</t>
  </si>
  <si>
    <t>Jaquan, Dildy</t>
  </si>
  <si>
    <t>Jeffery, Shan-Terria</t>
  </si>
  <si>
    <t>Jericho, Andrew Jericho</t>
  </si>
  <si>
    <t>Jimenez, Karen</t>
  </si>
  <si>
    <t>Johnson, Acee</t>
  </si>
  <si>
    <t>Johnson, Armonie</t>
  </si>
  <si>
    <t>Johnson, Dominic</t>
  </si>
  <si>
    <t>Johnson, Joyce</t>
  </si>
  <si>
    <t>Johnson, Nicholas</t>
  </si>
  <si>
    <t>JOHNSON, PAYTON CAMILLE</t>
  </si>
  <si>
    <t>Johnson, Rakia</t>
  </si>
  <si>
    <t>Johnson, Rosemary</t>
  </si>
  <si>
    <t>Johnson, Tayler</t>
  </si>
  <si>
    <t>Jones, Ashton</t>
  </si>
  <si>
    <t>Jones, Asia</t>
  </si>
  <si>
    <t>Jones, Cherish</t>
  </si>
  <si>
    <t>Jones, Courtney</t>
  </si>
  <si>
    <t>Jones, Dereonique</t>
  </si>
  <si>
    <t>Jones, Emily</t>
  </si>
  <si>
    <t>Jones, Knatasha</t>
  </si>
  <si>
    <t>Jones, Reggie</t>
  </si>
  <si>
    <t>jones, rishye</t>
  </si>
  <si>
    <t>Jones, Tawan</t>
  </si>
  <si>
    <t>Jones, Varon</t>
  </si>
  <si>
    <t>Jr, Terrance Lockett</t>
  </si>
  <si>
    <t>Kapenzi, Rumbidzai</t>
  </si>
  <si>
    <t>Karim, Jernetta</t>
  </si>
  <si>
    <t>Keita, Norbert</t>
  </si>
  <si>
    <t>Kelley, Renee</t>
  </si>
  <si>
    <t>Kelly, Candace</t>
  </si>
  <si>
    <t>Kennedy, Nevaeh</t>
  </si>
  <si>
    <t>Keyes, Lametria</t>
  </si>
  <si>
    <t>Keyes, Lamitria</t>
  </si>
  <si>
    <t>Keys, Jamyia</t>
  </si>
  <si>
    <t>Keys, Jemiah</t>
  </si>
  <si>
    <t>Khan, Shafiullah</t>
  </si>
  <si>
    <t>Kidd, Jacob</t>
  </si>
  <si>
    <t>King, Tierney</t>
  </si>
  <si>
    <t>Knighten, LeJean</t>
  </si>
  <si>
    <t>Kotey, Ardon</t>
  </si>
  <si>
    <t>LaComp, Nina</t>
  </si>
  <si>
    <t>Ladell, Zaaria</t>
  </si>
  <si>
    <t>Land, Hannah</t>
  </si>
  <si>
    <t>Lanel, Tyree</t>
  </si>
  <si>
    <t>Larroy, Michael</t>
  </si>
  <si>
    <t>Laster, Hope Alexandria</t>
  </si>
  <si>
    <t>LaValais, Keshonia</t>
  </si>
  <si>
    <t>Laverty, Kaylee</t>
  </si>
  <si>
    <t>L.Davis, Michelle</t>
  </si>
  <si>
    <t>Leann, Courtney</t>
  </si>
  <si>
    <t>Leasure, Timbre</t>
  </si>
  <si>
    <t>Lee, Juan</t>
  </si>
  <si>
    <t>Lee, Trey</t>
  </si>
  <si>
    <t>Lemos, Kiana</t>
  </si>
  <si>
    <t>Le, Oanh</t>
  </si>
  <si>
    <t>Lewis, Desiree</t>
  </si>
  <si>
    <t>Lewis, Keyciara</t>
  </si>
  <si>
    <t>Lewis, Myesha</t>
  </si>
  <si>
    <t>Lim, Kailean</t>
  </si>
  <si>
    <t>Limuel, Laila</t>
  </si>
  <si>
    <t>Little, Camron</t>
  </si>
  <si>
    <t>Lockett Jr, Terrance</t>
  </si>
  <si>
    <t>LOCKHART, RANASIA VALENCIA</t>
  </si>
  <si>
    <t>Long-Schneiden, Tanya</t>
  </si>
  <si>
    <t>Lopez gonzalez, Gustavo Adolfo</t>
  </si>
  <si>
    <t>Lopez, Jairo</t>
  </si>
  <si>
    <t>Lopez, Leslie</t>
  </si>
  <si>
    <t>Lordoba, Cindy</t>
  </si>
  <si>
    <t>Lorenzo, Olivia</t>
  </si>
  <si>
    <t>Loretto, Sandra</t>
  </si>
  <si>
    <t>Louis, Hannah</t>
  </si>
  <si>
    <t>Lucas, Brandi</t>
  </si>
  <si>
    <t>Luna, Esteban</t>
  </si>
  <si>
    <t>Lupichuk, Matthew</t>
  </si>
  <si>
    <t>Luster, Ryan</t>
  </si>
  <si>
    <t>Mabruko, Hassan</t>
  </si>
  <si>
    <t>Maizere, Lenny</t>
  </si>
  <si>
    <t>Mana, Danait</t>
  </si>
  <si>
    <t>manning, avri</t>
  </si>
  <si>
    <t>Marco, Felipe</t>
  </si>
  <si>
    <t>Marin, Judith</t>
  </si>
  <si>
    <t>Marquina, Leticia</t>
  </si>
  <si>
    <t>Marruffo, Maddie</t>
  </si>
  <si>
    <t>Martinez, America</t>
  </si>
  <si>
    <t>Martinez, Angelica</t>
  </si>
  <si>
    <t>martinez, briana</t>
  </si>
  <si>
    <t>Martinez, Carero</t>
  </si>
  <si>
    <t>Martinez, Isabel</t>
  </si>
  <si>
    <t>Martinez, Jolio</t>
  </si>
  <si>
    <t>Martinez, Julian</t>
  </si>
  <si>
    <t>Martinez, Laura</t>
  </si>
  <si>
    <t>Martinez, Lohari</t>
  </si>
  <si>
    <t>Martinez, Magaly</t>
  </si>
  <si>
    <t>Martinez Palacios, Julian</t>
  </si>
  <si>
    <t>Martinez, Samantha</t>
  </si>
  <si>
    <t>Martin, Quenderious</t>
  </si>
  <si>
    <t>Marzioli, Josiah</t>
  </si>
  <si>
    <t>Matamoros, Cynthia</t>
  </si>
  <si>
    <t>Matlock, Nosaj</t>
  </si>
  <si>
    <t>Maxwell, Jesse</t>
  </si>
  <si>
    <t>Chavez, Alexandra</t>
  </si>
  <si>
    <t>Mays, Chyra</t>
  </si>
  <si>
    <t>Mcchrthy, Tatiana</t>
  </si>
  <si>
    <t>McCleod Jr, Jason</t>
  </si>
  <si>
    <t>McCowan, Mahogany</t>
  </si>
  <si>
    <t>McCoy, Loni</t>
  </si>
  <si>
    <t>Mccullor, Aysia</t>
  </si>
  <si>
    <t>Mcdonald, Dejaya</t>
  </si>
  <si>
    <t>Mcdowell, Arthur</t>
  </si>
  <si>
    <t>Mcghee, Zyneria</t>
  </si>
  <si>
    <t>Mcgill, Sarai</t>
  </si>
  <si>
    <t>Mckenzie, Malissa</t>
  </si>
  <si>
    <t>Mckenzi, Test</t>
  </si>
  <si>
    <t>McKinney, Emily</t>
  </si>
  <si>
    <t>Mclaurin, Mosiah</t>
  </si>
  <si>
    <t>McMillon, Chris</t>
  </si>
  <si>
    <t>McMullen, Bridget</t>
  </si>
  <si>
    <t>Medrano, Jasmine</t>
  </si>
  <si>
    <t>Mendez, Donaldo</t>
  </si>
  <si>
    <t>Mendoza, Angelie</t>
  </si>
  <si>
    <t>Mendoza, Gabby</t>
  </si>
  <si>
    <t>Mendoza, Irene</t>
  </si>
  <si>
    <t>Michael, Jarelle</t>
  </si>
  <si>
    <t>Michaels, Alexander</t>
  </si>
  <si>
    <t>Michelle, Rubio</t>
  </si>
  <si>
    <t>Mikel, Ve</t>
  </si>
  <si>
    <t>Mikel, Vershea</t>
  </si>
  <si>
    <t>Miller, Nicole</t>
  </si>
  <si>
    <t>Mills, Lamya</t>
  </si>
  <si>
    <t>Miranda, Jazlyn</t>
  </si>
  <si>
    <t>Mitchell, Kiera</t>
  </si>
  <si>
    <t>Mitchell, Queen</t>
  </si>
  <si>
    <t>Mitchell, Teionte</t>
  </si>
  <si>
    <t>Mitiku, Kalkidan</t>
  </si>
  <si>
    <t>Monroe, Terry</t>
  </si>
  <si>
    <t>Montgomery, Janyia</t>
  </si>
  <si>
    <t>Moore, Angelina</t>
  </si>
  <si>
    <t>Moore, Camaya</t>
  </si>
  <si>
    <t>Moore, Cristal</t>
  </si>
  <si>
    <t>Morales, Karla</t>
  </si>
  <si>
    <t>Morales, Raul</t>
  </si>
  <si>
    <t>Moreno, Donaldo</t>
  </si>
  <si>
    <t>Moreno, Jeffrey</t>
  </si>
  <si>
    <t>Morton, Tyler</t>
  </si>
  <si>
    <t>Mosallaei, Nikoo</t>
  </si>
  <si>
    <t>Moua, May</t>
  </si>
  <si>
    <t>Muldrew, Carly</t>
  </si>
  <si>
    <t>MUNKANA, Grace</t>
  </si>
  <si>
    <t>Munoz, Celeste</t>
  </si>
  <si>
    <t>Munoz, Mariana</t>
  </si>
  <si>
    <t>Munoz, Ricardo</t>
  </si>
  <si>
    <t>Murphy, Dareion</t>
  </si>
  <si>
    <t>Murray, Laci</t>
  </si>
  <si>
    <t>Murrey, Dijuan</t>
  </si>
  <si>
    <t>Murtala, Mohammad</t>
  </si>
  <si>
    <t>Muse, Asia</t>
  </si>
  <si>
    <t>Mussa, Selemani</t>
  </si>
  <si>
    <t>mxgowan, jessica</t>
  </si>
  <si>
    <t>Na, Kariana</t>
  </si>
  <si>
    <t>Nallamilli, Kamalesh Reddy</t>
  </si>
  <si>
    <t>Naranjo, Stephanie</t>
  </si>
  <si>
    <t>Navarro, Bryan</t>
  </si>
  <si>
    <t>Navarro, Serina</t>
  </si>
  <si>
    <t>Neel, Jaylen</t>
  </si>
  <si>
    <t>Neely, Torrey</t>
  </si>
  <si>
    <t>Nero, Andre</t>
  </si>
  <si>
    <t>Newhouse, Davian</t>
  </si>
  <si>
    <t>Newman, Megan</t>
  </si>
  <si>
    <t>Ngwa, Yannick</t>
  </si>
  <si>
    <t>Nicholas, Sylva</t>
  </si>
  <si>
    <t>Niyonzima, Epiphanie</t>
  </si>
  <si>
    <t>Noied, Omyree</t>
  </si>
  <si>
    <t>Not_Provided, Jeremiah</t>
  </si>
  <si>
    <t>Not_Provided, Korlexis</t>
  </si>
  <si>
    <t>Not_Provided, Vishal</t>
  </si>
  <si>
    <t>Nsengiyunva, Mauwa</t>
  </si>
  <si>
    <t>Oaks, Jayden</t>
  </si>
  <si>
    <t>Odigie, Adenike</t>
  </si>
  <si>
    <t>Ogbe, Thompson</t>
  </si>
  <si>
    <t>Oguegbu, Chinyere</t>
  </si>
  <si>
    <t>O'Hearn, Matthew</t>
  </si>
  <si>
    <t>Okafor, Chigozie</t>
  </si>
  <si>
    <t>Oliver, Katlynn</t>
  </si>
  <si>
    <t>Oluwanisola, Nancy Omola</t>
  </si>
  <si>
    <t>Olvera, Valeria</t>
  </si>
  <si>
    <t>Oneal, Tatyana</t>
  </si>
  <si>
    <t>Orduna, Arabelle</t>
  </si>
  <si>
    <t>Orfield, Daphni</t>
  </si>
  <si>
    <t>Ortega, Vannesa</t>
  </si>
  <si>
    <t>Osvaldo, Kevin</t>
  </si>
  <si>
    <t>Owens, Jahleel</t>
  </si>
  <si>
    <t>Ozkan, Hatice</t>
  </si>
  <si>
    <t>Pababire, Alejandra</t>
  </si>
  <si>
    <t>Pacheco-Dyke, Erika</t>
  </si>
  <si>
    <t>Page, Jaeda</t>
  </si>
  <si>
    <t>Panu, Degrace</t>
  </si>
  <si>
    <t>Papilish, Novani</t>
  </si>
  <si>
    <t>Parish, Dawn</t>
  </si>
  <si>
    <t>Parks, Cheyanne</t>
  </si>
  <si>
    <t>Parson, Tracie</t>
  </si>
  <si>
    <t>Pasterski, Nikk</t>
  </si>
  <si>
    <t>Patel, Aarti</t>
  </si>
  <si>
    <t>Patel, Kausha</t>
  </si>
  <si>
    <t>Patino, Jazmin</t>
  </si>
  <si>
    <t>Pearson, Zanetra</t>
  </si>
  <si>
    <t>Pease, Austin</t>
  </si>
  <si>
    <t>Peggins, Abbey</t>
  </si>
  <si>
    <t>Peller, Janiya</t>
  </si>
  <si>
    <t>Penagos, Karen</t>
  </si>
  <si>
    <t>Perez, Hillary</t>
  </si>
  <si>
    <t>Peter, Kharis</t>
  </si>
  <si>
    <t>Peters, Elijah</t>
  </si>
  <si>
    <t>Pham, Hieu</t>
  </si>
  <si>
    <t>Phean, Soriya</t>
  </si>
  <si>
    <t>Philemon, Jude</t>
  </si>
  <si>
    <t>Pierce-Furnerman, Rue</t>
  </si>
  <si>
    <t>Pittman, Jeremy</t>
  </si>
  <si>
    <t>P., Izzy</t>
  </si>
  <si>
    <t>Poag, Taniya</t>
  </si>
  <si>
    <t>Pollock, Danny</t>
  </si>
  <si>
    <t>Pompa, Brianna (Brianna)</t>
  </si>
  <si>
    <t>Popoca, Eduardo</t>
  </si>
  <si>
    <t>Potraza, Caitlyn</t>
  </si>
  <si>
    <t>Prajapati, Ashish</t>
  </si>
  <si>
    <t>Price, Annabelle</t>
  </si>
  <si>
    <t>Price, Jamiya</t>
  </si>
  <si>
    <t>Prince, Deborah</t>
  </si>
  <si>
    <t>Pulattie, Skyler</t>
  </si>
  <si>
    <t>Quinones, Dawn</t>
  </si>
  <si>
    <t>Rajwani, Zaki</t>
  </si>
  <si>
    <t>Ramey, Cenovia</t>
  </si>
  <si>
    <t>Ramirez, Jasmin</t>
  </si>
  <si>
    <t>Ramos, Mairim</t>
  </si>
  <si>
    <t>Ramsey, Jimelia</t>
  </si>
  <si>
    <t>Rana, Bishakha</t>
  </si>
  <si>
    <t>Rangel, Angel</t>
  </si>
  <si>
    <t>Rangel, Celeste</t>
  </si>
  <si>
    <t>Raulino, Lucas</t>
  </si>
  <si>
    <t>Ray-Jackson, Cantrell</t>
  </si>
  <si>
    <t>Rayo, Nanci</t>
  </si>
  <si>
    <t>Ray Williams, Bridget</t>
  </si>
  <si>
    <t>Razz, Christopher</t>
  </si>
  <si>
    <t>Record, Aaniyah</t>
  </si>
  <si>
    <t>Rederick, Kendrick D</t>
  </si>
  <si>
    <t>Reed, Anna</t>
  </si>
  <si>
    <t>Regner, Rachel</t>
  </si>
  <si>
    <t>Remigio, Ricardo</t>
  </si>
  <si>
    <t>Resendes, Hidie</t>
  </si>
  <si>
    <t>Revere, John</t>
  </si>
  <si>
    <t>Revolorio Sarceno, Sergio</t>
  </si>
  <si>
    <t>Reyes, Osvaldo</t>
  </si>
  <si>
    <t>Reynolds, Liberte</t>
  </si>
  <si>
    <t>rhynes, chanelle</t>
  </si>
  <si>
    <t>Richardson, TyAnna</t>
  </si>
  <si>
    <t>Richmond, Steven</t>
  </si>
  <si>
    <t>Rigau, Maria</t>
  </si>
  <si>
    <t>Rives, Shaun</t>
  </si>
  <si>
    <t>Robertson, Jacobe</t>
  </si>
  <si>
    <t>Robinson, Elias</t>
  </si>
  <si>
    <t>Robinson, James</t>
  </si>
  <si>
    <t>Rockwell, Josh</t>
  </si>
  <si>
    <t>Rockwell, Kristina Mcnett</t>
  </si>
  <si>
    <t>Rodriguez, Delilah</t>
  </si>
  <si>
    <t>Rodríguez Roa, Daniel</t>
  </si>
  <si>
    <t>Rodriguez, Sergio</t>
  </si>
  <si>
    <t>Rojik, Jaycie</t>
  </si>
  <si>
    <t>Rojo, Syann</t>
  </si>
  <si>
    <t>Romero, Amanda</t>
  </si>
  <si>
    <t>Romo, Naomy</t>
  </si>
  <si>
    <t>Rosales, Kenya</t>
  </si>
  <si>
    <t>Rosero, Angelo</t>
  </si>
  <si>
    <t>Rowe, Kris</t>
  </si>
  <si>
    <t>Rubina, Oscar</t>
  </si>
  <si>
    <t>Rubio, Verania</t>
  </si>
  <si>
    <t>Ruffini, Melissa</t>
  </si>
  <si>
    <t>Rutter, Cameron</t>
  </si>
  <si>
    <t>Saira, Anita</t>
  </si>
  <si>
    <t>Salazar, Jeovany</t>
  </si>
  <si>
    <t>Salmeron, Edgar</t>
  </si>
  <si>
    <t>Salomom, Temesgen</t>
  </si>
  <si>
    <t>Salvador, Manuela</t>
  </si>
  <si>
    <t>Sammeli, Shaylee</t>
  </si>
  <si>
    <t>Sammons, Sye</t>
  </si>
  <si>
    <t>Samon Pelegrin, Reineri</t>
  </si>
  <si>
    <t>Samuels, Taylor</t>
  </si>
  <si>
    <t>Sanchez, Andrew</t>
  </si>
  <si>
    <t>Sanchez, Dakota</t>
  </si>
  <si>
    <t>Sanchez, Kimberly</t>
  </si>
  <si>
    <t>Sanchez, Lisset</t>
  </si>
  <si>
    <t>Sanders, Brandi</t>
  </si>
  <si>
    <t>Sanders, Lazarria</t>
  </si>
  <si>
    <t>sanders, serenity</t>
  </si>
  <si>
    <t>Sanders, Zibree</t>
  </si>
  <si>
    <t>Santillan, Allen</t>
  </si>
  <si>
    <t>Santillo, Brittany</t>
  </si>
  <si>
    <t>Sauyes, kay</t>
  </si>
  <si>
    <t>Sayers, Marlene</t>
  </si>
  <si>
    <t>S, Bella</t>
  </si>
  <si>
    <t>Schell, Kathleen</t>
  </si>
  <si>
    <t>Scott Ford, Dylan</t>
  </si>
  <si>
    <t>Scotting, Mckenna</t>
  </si>
  <si>
    <t>Scott, Rejana</t>
  </si>
  <si>
    <t>Seamster, Jayla</t>
  </si>
  <si>
    <t>Searcy, Mitchell</t>
  </si>
  <si>
    <t>Segun, Tolani</t>
  </si>
  <si>
    <t>Selman, Jeremy</t>
  </si>
  <si>
    <t>Semie, Tilahun</t>
  </si>
  <si>
    <t>Service, Customer</t>
  </si>
  <si>
    <t>Sescon, Jayden</t>
  </si>
  <si>
    <t>Seymon, Halayiah</t>
  </si>
  <si>
    <t>Shakya, Smit</t>
  </si>
  <si>
    <t>Shanmugam, Sabareeswaran</t>
  </si>
  <si>
    <t>Sharkey, Charleston</t>
  </si>
  <si>
    <t>Shearing, Janice</t>
  </si>
  <si>
    <t>Shelby, Tarrin</t>
  </si>
  <si>
    <t>Shelvin, Dyntrale</t>
  </si>
  <si>
    <t>., Shemeshia</t>
  </si>
  <si>
    <t>Sherman, Alexzandria</t>
  </si>
  <si>
    <t>Sherrill, Erica</t>
  </si>
  <si>
    <t>Shih, Harry</t>
  </si>
  <si>
    <t>Shi, Huaju</t>
  </si>
  <si>
    <t>Siddall, Veronica</t>
  </si>
  <si>
    <t>Simmions, Myleah</t>
  </si>
  <si>
    <t>Simoneaux, Shane</t>
  </si>
  <si>
    <t>Simpson, Kimberly</t>
  </si>
  <si>
    <t>Simpson, Tybrasha</t>
  </si>
  <si>
    <t>Sims, Jami</t>
  </si>
  <si>
    <t>Sinclair, Olivia</t>
  </si>
  <si>
    <t>Smith, Amaria</t>
  </si>
  <si>
    <t>Smith, Chelsey</t>
  </si>
  <si>
    <t>Smith, Gebynshi</t>
  </si>
  <si>
    <t>Smith, George</t>
  </si>
  <si>
    <t>Smith, Naudia</t>
  </si>
  <si>
    <t>Smith, Sherion</t>
  </si>
  <si>
    <t>Sneed, Keena</t>
  </si>
  <si>
    <t>Snyder, Angelo</t>
  </si>
  <si>
    <t>Sordia, Gricel</t>
  </si>
  <si>
    <t>Sosa, Alaxey</t>
  </si>
  <si>
    <t>Speights, Hajai</t>
  </si>
  <si>
    <t>Sr, Timothy</t>
  </si>
  <si>
    <t>Stahlke, Anna</t>
  </si>
  <si>
    <t>standard, taliyah</t>
  </si>
  <si>
    <t>Starks, Joasiya</t>
  </si>
  <si>
    <t>Steele., Dalton</t>
  </si>
  <si>
    <t>Stephens, Lucy</t>
  </si>
  <si>
    <t>Stewart, Ember</t>
  </si>
  <si>
    <t>Stimnett, Alex</t>
  </si>
  <si>
    <t>St Louis, Jordan</t>
  </si>
  <si>
    <t>Stoddart, Tabitha</t>
  </si>
  <si>
    <t>Strickland, Kaila</t>
  </si>
  <si>
    <t>Stuckey, Nina</t>
  </si>
  <si>
    <t>Suarez, Cristal</t>
  </si>
  <si>
    <t>Supply Company, Jeffrey Moreno- Apex</t>
  </si>
  <si>
    <t>Sutton, Euna</t>
  </si>
  <si>
    <t>Tae, Tae</t>
  </si>
  <si>
    <t>Talks, Alicia</t>
  </si>
  <si>
    <t>Tanner, TaQuirah</t>
  </si>
  <si>
    <t>Tanyiko, Cornelius</t>
  </si>
  <si>
    <t>Taylor, Monique</t>
  </si>
  <si>
    <t>Tente, SHUKURU</t>
  </si>
  <si>
    <t>Terell, Ceaera</t>
  </si>
  <si>
    <t>Terry, Breann</t>
  </si>
  <si>
    <t>Tesfamicael, Medhane</t>
  </si>
  <si>
    <t>test, alex</t>
  </si>
  <si>
    <t>Testing, Brenda</t>
  </si>
  <si>
    <t>Testing, Cory</t>
  </si>
  <si>
    <t>Testing, Joan</t>
  </si>
  <si>
    <t>Testing, Karylle</t>
  </si>
  <si>
    <t>Testing, Valerie</t>
  </si>
  <si>
    <t>That's It, Oh</t>
  </si>
  <si>
    <t>Thomas, Colonique</t>
  </si>
  <si>
    <t>Thomas, Daysharee</t>
  </si>
  <si>
    <t>Thompson, Andre</t>
  </si>
  <si>
    <t>Thompson, Carmen</t>
  </si>
  <si>
    <t>THOMPSON, JOHNNY</t>
  </si>
  <si>
    <t>Thompson, Lnn</t>
  </si>
  <si>
    <t>Thompson, Porche</t>
  </si>
  <si>
    <t>Tillmon, Alicia</t>
  </si>
  <si>
    <t>Tipton, Mary</t>
  </si>
  <si>
    <t>Torres, Cindy</t>
  </si>
  <si>
    <t>Torres, Francisco</t>
  </si>
  <si>
    <t>Torres, Jomnie</t>
  </si>
  <si>
    <t>Townsel, Jahara</t>
  </si>
  <si>
    <t>Townsend, John</t>
  </si>
  <si>
    <t>Traylor, Darrie</t>
  </si>
  <si>
    <t>Trejo, Angelica</t>
  </si>
  <si>
    <t>Tsegah, Prince</t>
  </si>
  <si>
    <t>Tyler, Larry</t>
  </si>
  <si>
    <t>Ulee, Esther</t>
  </si>
  <si>
    <t>Unique, Hawaii</t>
  </si>
  <si>
    <t>Unknown, Abdullah</t>
  </si>
  <si>
    <t>Unknown, Adolfo</t>
  </si>
  <si>
    <t>Unknown, Ajit</t>
  </si>
  <si>
    <t>Unknown, Akilesh</t>
  </si>
  <si>
    <t>Unknown, Alejandra</t>
  </si>
  <si>
    <t>Unknown, Aquilina</t>
  </si>
  <si>
    <t>Unknown, Arash</t>
  </si>
  <si>
    <t>Unknown, Ariel</t>
  </si>
  <si>
    <t>Unknown, Avelaida</t>
  </si>
  <si>
    <t>Unknown, Belt</t>
  </si>
  <si>
    <t>Unknown, Ben</t>
  </si>
  <si>
    <t>Unknown, Brenda</t>
  </si>
  <si>
    <t>Unknown, Brie</t>
  </si>
  <si>
    <t>Unknown, Carigan</t>
  </si>
  <si>
    <t>Unknown, Carolina</t>
  </si>
  <si>
    <t>Unknown, Casey</t>
  </si>
  <si>
    <t>Unknown, Cece</t>
  </si>
  <si>
    <t>Unknown, Chester</t>
  </si>
  <si>
    <t>Unknown, Christina</t>
  </si>
  <si>
    <t>Unknown, Connie</t>
  </si>
  <si>
    <t>Unknown, Courtesy</t>
  </si>
  <si>
    <t>Unknown, Dana</t>
  </si>
  <si>
    <t>Unknown, Darez</t>
  </si>
  <si>
    <t>Unknown, Davonte</t>
  </si>
  <si>
    <t>Unknown, Dog</t>
  </si>
  <si>
    <t>Unknown, Donnie</t>
  </si>
  <si>
    <t>Unknown, Ebers</t>
  </si>
  <si>
    <t>Unknown, Eileen</t>
  </si>
  <si>
    <t>Unknown, Elly</t>
  </si>
  <si>
    <t>Unknown, Erica</t>
  </si>
  <si>
    <t>Unknown, Ethan</t>
  </si>
  <si>
    <t>Unknown, Frank</t>
  </si>
  <si>
    <t>Unknown, Gerardo</t>
  </si>
  <si>
    <t>Unknown, Henok</t>
  </si>
  <si>
    <t>Unknown, Herbert</t>
  </si>
  <si>
    <t>Unknown, Hola</t>
  </si>
  <si>
    <t>Unknown, Hollett</t>
  </si>
  <si>
    <t>Unknown, Homer</t>
  </si>
  <si>
    <t>Unknown, Hyra</t>
  </si>
  <si>
    <t>Unknown, Inspector</t>
  </si>
  <si>
    <t>Unknown, Jamari</t>
  </si>
  <si>
    <t>Unknown, Jameerical</t>
  </si>
  <si>
    <t>Unknown, Jamie</t>
  </si>
  <si>
    <t>Unknown, Jazmine</t>
  </si>
  <si>
    <t>Unknown, Jennifer</t>
  </si>
  <si>
    <t>Unknown, Josea</t>
  </si>
  <si>
    <t>Unknown, Jury</t>
  </si>
  <si>
    <t>Unknown, Keandra</t>
  </si>
  <si>
    <t>Unknown, Kelly</t>
  </si>
  <si>
    <t>Unknown, Kyrum</t>
  </si>
  <si>
    <t>Unknown, Lashonna</t>
  </si>
  <si>
    <t>Unknown, Leah</t>
  </si>
  <si>
    <t>Unknown, Lowen</t>
  </si>
  <si>
    <t>Unknown, Madison</t>
  </si>
  <si>
    <t>Unknown, Maria</t>
  </si>
  <si>
    <t>Unknown, Mariel</t>
  </si>
  <si>
    <t>Unknown, Marsha</t>
  </si>
  <si>
    <t>Unknown, Matthew</t>
  </si>
  <si>
    <t>Unknown, Moral</t>
  </si>
  <si>
    <t>Unknown, Nadine</t>
  </si>
  <si>
    <t>Unknown, Nicole</t>
  </si>
  <si>
    <t>Unknown, Paisley</t>
  </si>
  <si>
    <t>Unknown, Patty</t>
  </si>
  <si>
    <t>Unknown, Paul</t>
  </si>
  <si>
    <t>Unknown, Pedla</t>
  </si>
  <si>
    <t>Unknown, Person</t>
  </si>
  <si>
    <t>Unknown, Peter</t>
  </si>
  <si>
    <t>Unknown, Prateek</t>
  </si>
  <si>
    <t>Unknown, Princess</t>
  </si>
  <si>
    <t>Unknown, Pysics</t>
  </si>
  <si>
    <t>Unknown, Rachel</t>
  </si>
  <si>
    <t>Unknown, Rafayud</t>
  </si>
  <si>
    <t>Unknown, Rakesh</t>
  </si>
  <si>
    <t>Unknown, Renishunner</t>
  </si>
  <si>
    <t>Unknown, Roxanne</t>
  </si>
  <si>
    <t>Unknown, Samaya</t>
  </si>
  <si>
    <t>Unknown, Sharon</t>
  </si>
  <si>
    <t>Unknown, Shaw</t>
  </si>
  <si>
    <t>Unknown, Sidharth</t>
  </si>
  <si>
    <t>Unknown, Sonia</t>
  </si>
  <si>
    <t>Unknown, Tanika</t>
  </si>
  <si>
    <t>Unknown, Tingit</t>
  </si>
  <si>
    <t>Unknown, Toria</t>
  </si>
  <si>
    <t>Unknown, Tue</t>
  </si>
  <si>
    <t>Unknown, Tushma</t>
  </si>
  <si>
    <t>Unknown, Vanessa</t>
  </si>
  <si>
    <t>Unknown, Yin</t>
  </si>
  <si>
    <t>Unknown, Zack</t>
  </si>
  <si>
    <t>Unknown, Zairine</t>
  </si>
  <si>
    <t>User, William</t>
  </si>
  <si>
    <t>Vaghashia, Mann</t>
  </si>
  <si>
    <t>Valencia, Veronica</t>
  </si>
  <si>
    <t>Valure, Ambriah</t>
  </si>
  <si>
    <t>Vance, Dominique</t>
  </si>
  <si>
    <t>Vaughn, Keyora</t>
  </si>
  <si>
    <t>Velasquez, Lizet</t>
  </si>
  <si>
    <t>Velasquez, Taisha</t>
  </si>
  <si>
    <t>Velazquez, Jason</t>
  </si>
  <si>
    <t>Vidrine, Ana</t>
  </si>
  <si>
    <t>Vieira, Jataisha</t>
  </si>
  <si>
    <t>Villareal, Felicia</t>
  </si>
  <si>
    <t>Villareal, Mariam</t>
  </si>
  <si>
    <t>Villarreal, Andrew Ryan</t>
  </si>
  <si>
    <t>Villarreal, Olivia</t>
  </si>
  <si>
    <t>Vishwasrao, Hemant</t>
  </si>
  <si>
    <t>Wade, Sakita</t>
  </si>
  <si>
    <t>Wagner, Riley</t>
  </si>
  <si>
    <t>Walker, Cassandra</t>
  </si>
  <si>
    <t>Walker, Sierra</t>
  </si>
  <si>
    <t>Washington, Joseph</t>
  </si>
  <si>
    <t>Washington, Semyria</t>
  </si>
  <si>
    <t>Washington, Sharonda</t>
  </si>
  <si>
    <t>Watson, Jessie</t>
  </si>
  <si>
    <t>Watts, Laquinta</t>
  </si>
  <si>
    <t>Weah, Malachi</t>
  </si>
  <si>
    <t>Wegner, Sherlene</t>
  </si>
  <si>
    <t>Wenstrom, Lauren</t>
  </si>
  <si>
    <t>Wheat, Kaitlyn</t>
  </si>
  <si>
    <t>Whitcomb, Chad</t>
  </si>
  <si>
    <t>white, Elisia</t>
  </si>
  <si>
    <t>White, Myah</t>
  </si>
  <si>
    <t>White, Thomasina</t>
  </si>
  <si>
    <t>Wilkins, Kennedi</t>
  </si>
  <si>
    <t>Wilkins, Mandy</t>
  </si>
  <si>
    <t>Williams, Chavez</t>
  </si>
  <si>
    <t>Williams, Corra</t>
  </si>
  <si>
    <t>Williams, Darrius</t>
  </si>
  <si>
    <t>Williams, Domonique</t>
  </si>
  <si>
    <t>Williams, Hannah</t>
  </si>
  <si>
    <t>Williams, Jaela</t>
  </si>
  <si>
    <t>Williams, Jennifer</t>
  </si>
  <si>
    <t>Williams, Jerry</t>
  </si>
  <si>
    <t>Williams, Jessica</t>
  </si>
  <si>
    <t>Williams, Kayanti</t>
  </si>
  <si>
    <t>Williams, Kayla</t>
  </si>
  <si>
    <t>Williams, Ladajaha</t>
  </si>
  <si>
    <t>Williams, Mariona</t>
  </si>
  <si>
    <t>Williams, Martha</t>
  </si>
  <si>
    <t>Joe, Shawna</t>
  </si>
  <si>
    <t>Wilson, Sincere</t>
  </si>
  <si>
    <t>Wingsield, Sophia</t>
  </si>
  <si>
    <t>Winters, Ashley</t>
  </si>
  <si>
    <t>Wong, Farron</t>
  </si>
  <si>
    <t>Woodburn, Ian</t>
  </si>
  <si>
    <t>Woodruff, Emmanuel</t>
  </si>
  <si>
    <t>Woods, Kelsee</t>
  </si>
  <si>
    <t>Woolford, Kyshawn</t>
  </si>
  <si>
    <t>Wright, Anternett</t>
  </si>
  <si>
    <t>Wright, Desiree</t>
  </si>
  <si>
    <t>W, Zakejdra</t>
  </si>
  <si>
    <t>Xue, Li</t>
  </si>
  <si>
    <t>Yagumanti, Nirmal Kumar reddy</t>
  </si>
  <si>
    <t>Yarbrough, Sharavionne</t>
  </si>
  <si>
    <t>Young, Essence</t>
  </si>
  <si>
    <t>Young, Hope</t>
  </si>
  <si>
    <t>Young, Patricia</t>
  </si>
  <si>
    <t>Young, Tyjuan</t>
  </si>
  <si>
    <t>Zain, Hira</t>
  </si>
  <si>
    <t>Zalmai, Abid</t>
  </si>
  <si>
    <t>Zorrla, Danielle</t>
  </si>
  <si>
    <t>Zwerner, Kelsey</t>
  </si>
  <si>
    <t>Abdi, Zamzam</t>
  </si>
  <si>
    <t>Abebe, Alem</t>
  </si>
  <si>
    <t>Abraha, Almaz</t>
  </si>
  <si>
    <t>Adams, Yakiya</t>
  </si>
  <si>
    <t>Adeoti, Hammed</t>
  </si>
  <si>
    <t>Adhanom, Angesom</t>
  </si>
  <si>
    <t>Adkins, Emoni</t>
  </si>
  <si>
    <t>Adley, Sierra</t>
  </si>
  <si>
    <t>Aguilar, Olivia</t>
  </si>
  <si>
    <t>Agular, Oliva</t>
  </si>
  <si>
    <t>Akhras, Wendy</t>
  </si>
  <si>
    <t>Alarcon, Samantha</t>
  </si>
  <si>
    <t>Alexander, Brenda</t>
  </si>
  <si>
    <t>Alfaro, Julia</t>
  </si>
  <si>
    <t>Allen, Heaven</t>
  </si>
  <si>
    <t>Almanza, MARYANA</t>
  </si>
  <si>
    <t>Alvarado, Angel</t>
  </si>
  <si>
    <t>Alvarez, Anaalicia</t>
  </si>
  <si>
    <t>Alvarez, Maryam</t>
  </si>
  <si>
    <t>Alvarez Santacruz, Armando</t>
  </si>
  <si>
    <t>Anderson, Nylah</t>
  </si>
  <si>
    <t>ANTHONY, APRIL</t>
  </si>
  <si>
    <t>Anya, Ta Tiyana</t>
  </si>
  <si>
    <t>Appelite, Angela</t>
  </si>
  <si>
    <t>Arch, Tati</t>
  </si>
  <si>
    <t>Aretaine, Yanet</t>
  </si>
  <si>
    <t>Argeta, Pedro</t>
  </si>
  <si>
    <t>Arias, Luz</t>
  </si>
  <si>
    <t>Arroyo, Caroslee</t>
  </si>
  <si>
    <t>Ashley, Asia</t>
  </si>
  <si>
    <t>Ashrafee, Mithila</t>
  </si>
  <si>
    <t>Asia McGowan, The</t>
  </si>
  <si>
    <t>Atibal, Welborn</t>
  </si>
  <si>
    <t>Atie Haroun, Abdaraman</t>
  </si>
  <si>
    <t>Aviles, Daisy</t>
  </si>
  <si>
    <t>Awan, Zee</t>
  </si>
  <si>
    <t>Babin, Sophie</t>
  </si>
  <si>
    <t>Baddan, Shanmukh</t>
  </si>
  <si>
    <t>Bagley, Patrice</t>
  </si>
  <si>
    <t>Baker, Annestelle</t>
  </si>
  <si>
    <t>Baker, Julian</t>
  </si>
  <si>
    <t>Ballin, Ramisha</t>
  </si>
  <si>
    <t>Banks, Patrick</t>
  </si>
  <si>
    <t>Barahona, Jonathan</t>
  </si>
  <si>
    <t>Baraka, Emmanuel</t>
  </si>
  <si>
    <t>Barefield, Tyler</t>
  </si>
  <si>
    <t>barge, angela</t>
  </si>
  <si>
    <t>barker, skylar</t>
  </si>
  <si>
    <t>Barnes, Damon</t>
  </si>
  <si>
    <t>Barron, Heather</t>
  </si>
  <si>
    <t>Barty, Morin</t>
  </si>
  <si>
    <t>Baton, Kiera</t>
  </si>
  <si>
    <t>Batool, Miss</t>
  </si>
  <si>
    <t>Baybiee, Krazy</t>
  </si>
  <si>
    <t>Bean, Jason</t>
  </si>
  <si>
    <t>Beaty, Dechanna</t>
  </si>
  <si>
    <t>Beauregard, Deborahjhae</t>
  </si>
  <si>
    <t>Behesty, Shah</t>
  </si>
  <si>
    <t>Bell, Kathy</t>
  </si>
  <si>
    <t>Belrhalia, zayden</t>
  </si>
  <si>
    <t>Bielskow, Grace</t>
  </si>
  <si>
    <t>Bingham, Justin</t>
  </si>
  <si>
    <t>Bishop, Shannon</t>
  </si>
  <si>
    <t>Blake, Sherard</t>
  </si>
  <si>
    <t>Blancas, Estefani</t>
  </si>
  <si>
    <t>Blaylock, Bra-Kayla</t>
  </si>
  <si>
    <t>Bohara, Pushpa</t>
  </si>
  <si>
    <t>Bolla, Vindhya</t>
  </si>
  <si>
    <t>Born, Kaitlyn</t>
  </si>
  <si>
    <t>Botello, Benjamin</t>
  </si>
  <si>
    <t>Boyd, Ariana</t>
  </si>
  <si>
    <t>Brainerd, David</t>
  </si>
  <si>
    <t>Brantley, Jesse</t>
  </si>
  <si>
    <t>Brooks, Jeremy</t>
  </si>
  <si>
    <t>Broomsey, Amara</t>
  </si>
  <si>
    <t>Brown, Britney</t>
  </si>
  <si>
    <t>Brown, Jareen</t>
  </si>
  <si>
    <t>Brown, Monee</t>
  </si>
  <si>
    <t>Brown, Shontareah</t>
  </si>
  <si>
    <t>Brown, Travante</t>
  </si>
  <si>
    <t>Brunson, Dennis</t>
  </si>
  <si>
    <t>Buchanan, Azesha</t>
  </si>
  <si>
    <t>burkett, lauren</t>
  </si>
  <si>
    <t>Burton, Greg</t>
  </si>
  <si>
    <t>Bush, Peggy</t>
  </si>
  <si>
    <t>Butler, Ashtene</t>
  </si>
  <si>
    <t>Butler, Jaala</t>
  </si>
  <si>
    <t>Byrd, Kelsey</t>
  </si>
  <si>
    <t>Calhoun, Jackie</t>
  </si>
  <si>
    <t>Calixto, Jekcim</t>
  </si>
  <si>
    <t>Cameron, Amanda</t>
  </si>
  <si>
    <t>Candler, Jasper</t>
  </si>
  <si>
    <t>Cannon, Kate</t>
  </si>
  <si>
    <t>Carlo, Gion</t>
  </si>
  <si>
    <t>Carrasquel, Dexireth</t>
  </si>
  <si>
    <t>Carswell, Nakala</t>
  </si>
  <si>
    <t>Carter, Angel</t>
  </si>
  <si>
    <t>Carter, Jaiquarrius</t>
  </si>
  <si>
    <t>Celimundo, Genesis</t>
  </si>
  <si>
    <t>Cervantes, Mike</t>
  </si>
  <si>
    <t>Cervantes, Vanessa</t>
  </si>
  <si>
    <t>Chandler, Konnie</t>
  </si>
  <si>
    <t>Chavez, Emily</t>
  </si>
  <si>
    <t>Chen, Sam</t>
  </si>
  <si>
    <t>Chiquito, Jose</t>
  </si>
  <si>
    <t>Chitale, Rajas Atul</t>
  </si>
  <si>
    <t>Choch, Emmanual</t>
  </si>
  <si>
    <t>Choice, Bettina</t>
  </si>
  <si>
    <t>Cho, Jaewon</t>
  </si>
  <si>
    <t>Church, Deirdre</t>
  </si>
  <si>
    <t>Clark, Mike</t>
  </si>
  <si>
    <t>Clay, Brianna</t>
  </si>
  <si>
    <t>Claycomb, Jshon</t>
  </si>
  <si>
    <t>Clipper, Makayla</t>
  </si>
  <si>
    <t>Coates, Julian</t>
  </si>
  <si>
    <t>Codenys, Ashley</t>
  </si>
  <si>
    <t>Coks, David</t>
  </si>
  <si>
    <t>Coleman, Abby</t>
  </si>
  <si>
    <t>Coleman, Paul</t>
  </si>
  <si>
    <t>Coleman, Paul David</t>
  </si>
  <si>
    <t>Coleman, Tije</t>
  </si>
  <si>
    <t>Collins, Nettie</t>
  </si>
  <si>
    <t>Colon, Milagros</t>
  </si>
  <si>
    <t>Conant, Joseph</t>
  </si>
  <si>
    <t>Conn, Angela</t>
  </si>
  <si>
    <t>Contreras, Betsy</t>
  </si>
  <si>
    <t>Contreras, Gabriela</t>
  </si>
  <si>
    <t>Cooper, Essence</t>
  </si>
  <si>
    <t>Cooper, Kendrick</t>
  </si>
  <si>
    <t>Copeland, Miyauna</t>
  </si>
  <si>
    <t>Coppage, Anthony</t>
  </si>
  <si>
    <t>Coughanour, Courtney</t>
  </si>
  <si>
    <t>Crispin, Marie</t>
  </si>
  <si>
    <t>Crispin, Sean</t>
  </si>
  <si>
    <t>Crockett, Jay</t>
  </si>
  <si>
    <t>Crockett, Jovonna</t>
  </si>
  <si>
    <t>Crooks, Brianna</t>
  </si>
  <si>
    <t>Cruz, Edinson</t>
  </si>
  <si>
    <t>Cruz, Nohemi</t>
  </si>
  <si>
    <t>Cuellar, Daniel</t>
  </si>
  <si>
    <t>Dailey, Kaidee</t>
  </si>
  <si>
    <t>Daniels, Javante</t>
  </si>
  <si>
    <t>Daniels, Sonya</t>
  </si>
  <si>
    <t>Davis, Dymond</t>
  </si>
  <si>
    <t>Davis, Jasharia</t>
  </si>
  <si>
    <t>Davis, Jayda</t>
  </si>
  <si>
    <t>Davis, Peter</t>
  </si>
  <si>
    <t>Delacruz, Francisco</t>
  </si>
  <si>
    <t>De La Garza, Noah</t>
  </si>
  <si>
    <t>Delgado, Eneida</t>
  </si>
  <si>
    <t>Diaz, Alexander</t>
  </si>
  <si>
    <t>Diaz, Flor</t>
  </si>
  <si>
    <t>Dickey, Andrew</t>
  </si>
  <si>
    <t>Dickson, Tiaisha</t>
  </si>
  <si>
    <t>Dilworth, Antwuan</t>
  </si>
  <si>
    <t>Dixon, Jayla</t>
  </si>
  <si>
    <t>D, Norma</t>
  </si>
  <si>
    <t>Dominguez, Edgar</t>
  </si>
  <si>
    <t>Dominguez, Ng</t>
  </si>
  <si>
    <t>Dominguez, Presila</t>
  </si>
  <si>
    <t>Donaldson, Shamarae</t>
  </si>
  <si>
    <t>Duncan, Aisha</t>
  </si>
  <si>
    <t>D WILLIAMS, GRINETTI</t>
  </si>
  <si>
    <t>Ebanks-Texada, Chanel</t>
  </si>
  <si>
    <t>Elder, Anasjia</t>
  </si>
  <si>
    <t>Elizabeth, Abiola</t>
  </si>
  <si>
    <t>ELLIS, JAQUAYLAN DAIWON</t>
  </si>
  <si>
    <t>Ellison, Joyce</t>
  </si>
  <si>
    <t>Ellis, Terica</t>
  </si>
  <si>
    <t>Embry, Angel</t>
  </si>
  <si>
    <t>Emerson, Daron</t>
  </si>
  <si>
    <t>Enwerekowe, Chidinma</t>
  </si>
  <si>
    <t>Epps, Jade</t>
  </si>
  <si>
    <t>Ervin, Jada</t>
  </si>
  <si>
    <t>Espinoza, Vanessa</t>
  </si>
  <si>
    <t>Estrada, Cristina</t>
  </si>
  <si>
    <t>Estrada Toscano, Marco</t>
  </si>
  <si>
    <t>Evans, Quinterra</t>
  </si>
  <si>
    <t>Fairley, Briana</t>
  </si>
  <si>
    <t>Fazende, Kenneth Philip</t>
  </si>
  <si>
    <t>Fernandez, Fernando</t>
  </si>
  <si>
    <t>Fernandez, Jennifer</t>
  </si>
  <si>
    <t>Figueroa, Gladys</t>
  </si>
  <si>
    <t>Fleming, Casey</t>
  </si>
  <si>
    <t>Foster, Noel</t>
  </si>
  <si>
    <t>Frances, Shayanna</t>
  </si>
  <si>
    <t>French, Tennille</t>
  </si>
  <si>
    <t>Fuentes, Michael</t>
  </si>
  <si>
    <t>Fuller, Damian</t>
  </si>
  <si>
    <t>Fuller, Madison</t>
  </si>
  <si>
    <t>Fullwood, Patsy</t>
  </si>
  <si>
    <t>Gadikar, Shreya</t>
  </si>
  <si>
    <t>Galler, Sharron</t>
  </si>
  <si>
    <t>Gallion, Seth</t>
  </si>
  <si>
    <t>Gamble, Maya</t>
  </si>
  <si>
    <t>Garang, Garang</t>
  </si>
  <si>
    <t>Garcia, Kelin</t>
  </si>
  <si>
    <t>garcia, vanessa</t>
  </si>
  <si>
    <t>Gardener, K'Liya</t>
  </si>
  <si>
    <t>Garner, David</t>
  </si>
  <si>
    <t>Gaston, Jessica</t>
  </si>
  <si>
    <t>Gezahegn, Siyena</t>
  </si>
  <si>
    <t>Gilbert, Solana</t>
  </si>
  <si>
    <t>Godoy Quintero, Perla</t>
  </si>
  <si>
    <t>Goldstein, Julius</t>
  </si>
  <si>
    <t>Gomez, Jose</t>
  </si>
  <si>
    <t>Gomez, Luis</t>
  </si>
  <si>
    <t>Gonzales, Sergio</t>
  </si>
  <si>
    <t>Gonzalez, Xavier</t>
  </si>
  <si>
    <t>Gonzalez, Ximena</t>
  </si>
  <si>
    <t>Goodson, Josie</t>
  </si>
  <si>
    <t>Granados, Guy</t>
  </si>
  <si>
    <t>Graves, Lavette</t>
  </si>
  <si>
    <t>Greenlees, Zach</t>
  </si>
  <si>
    <t>Greffie, Josia</t>
  </si>
  <si>
    <t>Griffin, Fantasia</t>
  </si>
  <si>
    <t>Guadalupe Diaz-Rios, Maria</t>
  </si>
  <si>
    <t>Guajardo, Lydia</t>
  </si>
  <si>
    <t>Guo, Yongxin</t>
  </si>
  <si>
    <t>Guzman, Joseph</t>
  </si>
  <si>
    <t>Hall, Fredrick</t>
  </si>
  <si>
    <t>Hamann, William</t>
  </si>
  <si>
    <t>Hampton, Taniyah</t>
  </si>
  <si>
    <t>Harley, Nia</t>
  </si>
  <si>
    <t>Harrigan, Jahmoy</t>
  </si>
  <si>
    <t>Harty, Lasedia</t>
  </si>
  <si>
    <t>Harvey, Alexandria</t>
  </si>
  <si>
    <t>Hassell, Ella</t>
  </si>
  <si>
    <t>Hatten, Alma</t>
  </si>
  <si>
    <t>Hawkins, Devonte</t>
  </si>
  <si>
    <t>Helen, Dorothy</t>
  </si>
  <si>
    <t>Hellums, Rebecca</t>
  </si>
  <si>
    <t>Henderson, Myrina</t>
  </si>
  <si>
    <t>Hernandez, Alejandro</t>
  </si>
  <si>
    <t>Hernandez, Chris</t>
  </si>
  <si>
    <t>Hernandez, Juaquin</t>
  </si>
  <si>
    <t>Hernandez, Lindsey</t>
  </si>
  <si>
    <t>Higgins, Frank</t>
  </si>
  <si>
    <t>Hill, Desarae</t>
  </si>
  <si>
    <t>H, Megan</t>
  </si>
  <si>
    <t>Hoadley, Mia</t>
  </si>
  <si>
    <t>Hoffaman, Emerald</t>
  </si>
  <si>
    <t>Holland, Hannah</t>
  </si>
  <si>
    <t>Hollins, Caitlin</t>
  </si>
  <si>
    <t>Horton, Khendrick</t>
  </si>
  <si>
    <t>Hoss, Bud</t>
  </si>
  <si>
    <t>Houston-Moore, Miracle</t>
  </si>
  <si>
    <t>Huang, Janet</t>
  </si>
  <si>
    <t>Huerta, Oscar</t>
  </si>
  <si>
    <t>Hunt, Marcus</t>
  </si>
  <si>
    <t>hurtado, alvaro</t>
  </si>
  <si>
    <t>Huynh, Jade</t>
  </si>
  <si>
    <t>Ibrahim, AJ</t>
  </si>
  <si>
    <t>Irizarry, Renee</t>
  </si>
  <si>
    <t>Jackson, Emoni</t>
  </si>
  <si>
    <t>Jackson, Jaylun</t>
  </si>
  <si>
    <t>Jackson, Ramona</t>
  </si>
  <si>
    <t>Jackson, Saranda</t>
  </si>
  <si>
    <t>Jackson, Shaniqua</t>
  </si>
  <si>
    <t>Jackson, Tyrone</t>
  </si>
  <si>
    <t>James, Precious</t>
  </si>
  <si>
    <t>Jenkins, Barbara</t>
  </si>
  <si>
    <t>Jenkins, Zakiya</t>
  </si>
  <si>
    <t>Jetton, Ta'Kenvyon</t>
  </si>
  <si>
    <t>Jimenez, Ambria</t>
  </si>
  <si>
    <t>Jimenez, Jasmine</t>
  </si>
  <si>
    <t>Jimenez, Jorge</t>
  </si>
  <si>
    <t>J, Mj</t>
  </si>
  <si>
    <t>Johnson, Alana</t>
  </si>
  <si>
    <t>Johnson, Dunning</t>
  </si>
  <si>
    <t>Johnson, Javon</t>
  </si>
  <si>
    <t>Johnson, Kirsten</t>
  </si>
  <si>
    <t>Johnson, Lysandra</t>
  </si>
  <si>
    <t>Johnson, Mea</t>
  </si>
  <si>
    <t>Johnson, Richardo</t>
  </si>
  <si>
    <t>Jones, DJarrnae</t>
  </si>
  <si>
    <t>Jones, Hajelica</t>
  </si>
  <si>
    <t>Jones, Sabrina</t>
  </si>
  <si>
    <t>Joubert, Jude</t>
  </si>
  <si>
    <t>Julien, Kervens</t>
  </si>
  <si>
    <t>., Kalei</t>
  </si>
  <si>
    <t>Keleta, John</t>
  </si>
  <si>
    <t>Kelly, Alexus</t>
  </si>
  <si>
    <t>Kiran, Swathi</t>
  </si>
  <si>
    <t>Kowatch, Dreamer</t>
  </si>
  <si>
    <t>K, Tania</t>
  </si>
  <si>
    <t>Kuvaja, Vili</t>
  </si>
  <si>
    <t>Lacedelli, Enrique</t>
  </si>
  <si>
    <t>LaCroix, Meag</t>
  </si>
  <si>
    <t>LaFall, Tanya</t>
  </si>
  <si>
    <t>Lam, Daha</t>
  </si>
  <si>
    <t>Lampkin, Linda</t>
  </si>
  <si>
    <t>Laureano, Ariana</t>
  </si>
  <si>
    <t>Lee, Data</t>
  </si>
  <si>
    <t>Leggett, Nathaniel</t>
  </si>
  <si>
    <t>Lemuz, Liyah</t>
  </si>
  <si>
    <t>Lenoy, Devin</t>
  </si>
  <si>
    <t>Leonard, Jada</t>
  </si>
  <si>
    <t>Leonard, Janajah</t>
  </si>
  <si>
    <t>Lewis, Tyi</t>
  </si>
  <si>
    <t>Liu, Jenny V.</t>
  </si>
  <si>
    <t>Livingstone, Serah</t>
  </si>
  <si>
    <t>Lizarraga, Samantha</t>
  </si>
  <si>
    <t>Lockett, Deandre</t>
  </si>
  <si>
    <t>Longo, Christian</t>
  </si>
  <si>
    <t>Lopez, Gabriel</t>
  </si>
  <si>
    <t>Lopez, Sam</t>
  </si>
  <si>
    <t>Louis, Viadellia</t>
  </si>
  <si>
    <t>Macas, Yuri</t>
  </si>
  <si>
    <t>Maddox, Tyrese</t>
  </si>
  <si>
    <t>Malayah, Marty</t>
  </si>
  <si>
    <t>M, Anahy</t>
  </si>
  <si>
    <t>Mansell, Alyssa</t>
  </si>
  <si>
    <t>Marble, Nykea</t>
  </si>
  <si>
    <t>Marquez, Gabriel</t>
  </si>
  <si>
    <t>Marroquin, Allison</t>
  </si>
  <si>
    <t>Martinez, Eduardo</t>
  </si>
  <si>
    <t>Martinez, Giancarlo</t>
  </si>
  <si>
    <t>Martinez, Jacqueline</t>
  </si>
  <si>
    <t>Martinez, Valerie</t>
  </si>
  <si>
    <t>Martin, Tatiana</t>
  </si>
  <si>
    <t>Masey, Courtney</t>
  </si>
  <si>
    <t>Mason, Aniya</t>
  </si>
  <si>
    <t>Massages, Erotic</t>
  </si>
  <si>
    <t>Mccowan, Magen</t>
  </si>
  <si>
    <t>McCrory, Melvin</t>
  </si>
  <si>
    <t>Mcdowell, Brenajia</t>
  </si>
  <si>
    <t>Mckinzie, Kenteriana</t>
  </si>
  <si>
    <t>Mckizzie, Dishayla</t>
  </si>
  <si>
    <t>McMullen, Roneisha</t>
  </si>
  <si>
    <t>McQuiston, Tiffany</t>
  </si>
  <si>
    <t>Mcshane, Lyndon</t>
  </si>
  <si>
    <t>Mcwright, Amari</t>
  </si>
  <si>
    <t>Medina Aguilar, Alondra</t>
  </si>
  <si>
    <t>Medlock, Sholanda</t>
  </si>
  <si>
    <t>Menaitreau, Demetri S.D.</t>
  </si>
  <si>
    <t>Mendoza, Kiara</t>
  </si>
  <si>
    <t>Mill, Bray</t>
  </si>
  <si>
    <t>Miller, Fredrick</t>
  </si>
  <si>
    <t>Miller, Teresa</t>
  </si>
  <si>
    <t>Minifield, Arnella</t>
  </si>
  <si>
    <t>Mitchell, Mariah</t>
  </si>
  <si>
    <t>Mize, Jackson</t>
  </si>
  <si>
    <t>Mohair, Daijah</t>
  </si>
  <si>
    <t>Molina, Amberly</t>
  </si>
  <si>
    <t>Montano, Erik</t>
  </si>
  <si>
    <t>Montfort, Connie</t>
  </si>
  <si>
    <t>Moore, Morgan</t>
  </si>
  <si>
    <t>Moore, Weldon</t>
  </si>
  <si>
    <t>Moran, Jeffre</t>
  </si>
  <si>
    <t>Morelos, Alfonso</t>
  </si>
  <si>
    <t>Morgan Danglade, Quinn</t>
  </si>
  <si>
    <t>Moss, Tonsha</t>
  </si>
  <si>
    <t>Mukeshimana, Consolata</t>
  </si>
  <si>
    <t>Mupanduki, Charles</t>
  </si>
  <si>
    <t>Murillo, Vanessa</t>
  </si>
  <si>
    <t>Texas Live</t>
  </si>
  <si>
    <t>Myers, Q</t>
  </si>
  <si>
    <t>Nelson, Chynna</t>
  </si>
  <si>
    <t>Nguyen, Vince</t>
  </si>
  <si>
    <t>Nick, Tiffany</t>
  </si>
  <si>
    <t>Njaka, Njaka</t>
  </si>
  <si>
    <t>., Norah</t>
  </si>
  <si>
    <t>Nsikak Bolutife, Umoren</t>
  </si>
  <si>
    <t>Nuesi, Richie</t>
  </si>
  <si>
    <t>Ogagun, Ninqi</t>
  </si>
  <si>
    <t>Olson, Tate</t>
  </si>
  <si>
    <t>Oluwasegun, Helen</t>
  </si>
  <si>
    <t>Ordaz, Marielena</t>
  </si>
  <si>
    <t>Ortiz, Angel</t>
  </si>
  <si>
    <t>Osborn, Alex</t>
  </si>
  <si>
    <t>Osley, Tonyejha</t>
  </si>
  <si>
    <t>Owens, Carla</t>
  </si>
  <si>
    <t>Pagan, Juliana</t>
  </si>
  <si>
    <t>Palacios, Hugo</t>
  </si>
  <si>
    <t>Pardona, Ivette</t>
  </si>
  <si>
    <t>Paredes, Javier</t>
  </si>
  <si>
    <t>Parks, Otis</t>
  </si>
  <si>
    <t>Pasionek, Joshua</t>
  </si>
  <si>
    <t>Patel, Drashti</t>
  </si>
  <si>
    <t>Patterson, Kendrick</t>
  </si>
  <si>
    <t>Payton, Graham</t>
  </si>
  <si>
    <t>Pearil, Willer</t>
  </si>
  <si>
    <t>Pearson, Imani</t>
  </si>
  <si>
    <t>Peart, Elliott Other</t>
  </si>
  <si>
    <t>Pedrosa, Luis</t>
  </si>
  <si>
    <t>Pera, Tana</t>
  </si>
  <si>
    <t>Perez, Jan</t>
  </si>
  <si>
    <t>Perez, Valeria</t>
  </si>
  <si>
    <t>Perry, Becky</t>
  </si>
  <si>
    <t>Philippe, Cherlan-Miche</t>
  </si>
  <si>
    <t>Phillips, James</t>
  </si>
  <si>
    <t>Phinisee, Felicia</t>
  </si>
  <si>
    <t>Pineda, Fredy</t>
  </si>
  <si>
    <t>Pineda, Fredy geovany</t>
  </si>
  <si>
    <t>Pineda, Marelda</t>
  </si>
  <si>
    <t>Pinkston, Reginald</t>
  </si>
  <si>
    <t>Pisanan, Maria</t>
  </si>
  <si>
    <t>Pisanan, Victor Jr</t>
  </si>
  <si>
    <t>Pittman, Mekiya</t>
  </si>
  <si>
    <t>Pittman, Sarah</t>
  </si>
  <si>
    <t>Pondt, Ajani</t>
  </si>
  <si>
    <t>Pope, Nayana</t>
  </si>
  <si>
    <t>Potter, Krista</t>
  </si>
  <si>
    <t>Pride, Starionna</t>
  </si>
  <si>
    <t>Querales, Ibrain</t>
  </si>
  <si>
    <t>Ramess, Rowe</t>
  </si>
  <si>
    <t>Ramirez, Elise Carit</t>
  </si>
  <si>
    <t>Raza, Generea</t>
  </si>
  <si>
    <t>Rebollozo, Christian</t>
  </si>
  <si>
    <t>Reddy, Dheeraj</t>
  </si>
  <si>
    <t>Regaolo, Aniyah</t>
  </si>
  <si>
    <t>Reyes, Gesis</t>
  </si>
  <si>
    <t>Reyes, Yari</t>
  </si>
  <si>
    <t>Reyes, Yasmin</t>
  </si>
  <si>
    <t>Richard, Gruffilla</t>
  </si>
  <si>
    <t>Richard, Lexie</t>
  </si>
  <si>
    <t>Richard, Shicole</t>
  </si>
  <si>
    <t>Richards, Kiari</t>
  </si>
  <si>
    <t>Ricker, Vaughn</t>
  </si>
  <si>
    <t>Rick, Sanil</t>
  </si>
  <si>
    <t>Rivers, Lanaya</t>
  </si>
  <si>
    <t>Roberson, Genesis</t>
  </si>
  <si>
    <t>Roberson, Tamilya</t>
  </si>
  <si>
    <t>Roberts, Tamara</t>
  </si>
  <si>
    <t>Robinson, Gary</t>
  </si>
  <si>
    <t>Rocha, Gianinna</t>
  </si>
  <si>
    <t>Rodriguez, Jesus</t>
  </si>
  <si>
    <t>Rodriguez, Jose</t>
  </si>
  <si>
    <t>RODRIGUEZ, LARRY</t>
  </si>
  <si>
    <t>Rodriguez, Laura</t>
  </si>
  <si>
    <t>Rodriguez, Melanie</t>
  </si>
  <si>
    <t>Rodriguez, Natia</t>
  </si>
  <si>
    <t>Rodriguez, Olivia</t>
  </si>
  <si>
    <t>Roe, Teresa</t>
  </si>
  <si>
    <t>Rojas, Adriani</t>
  </si>
  <si>
    <t>Rollerson, Halee</t>
  </si>
  <si>
    <t>Rooks, Lazarius</t>
  </si>
  <si>
    <t>Roper, Prince</t>
  </si>
  <si>
    <t>Rosales, Alvaro</t>
  </si>
  <si>
    <t>Rosas, Itzel</t>
  </si>
  <si>
    <t>Rose, Teresa</t>
  </si>
  <si>
    <t>Ross, Britney</t>
  </si>
  <si>
    <t>Ross, Brittany</t>
  </si>
  <si>
    <t>., Round</t>
  </si>
  <si>
    <t>Ruiz, Angela</t>
  </si>
  <si>
    <t>Sakshi, Pallavi</t>
  </si>
  <si>
    <t>Salfer, Leon</t>
  </si>
  <si>
    <t>Samson, Nyiesha</t>
  </si>
  <si>
    <t>Sanchez, Alexis</t>
  </si>
  <si>
    <t>Sanchez, Julian</t>
  </si>
  <si>
    <t>Sanchez, Rodrigo</t>
  </si>
  <si>
    <t>Sanders, London</t>
  </si>
  <si>
    <t>Sardina, Reymundo</t>
  </si>
  <si>
    <t>Savalboro, Brian</t>
  </si>
  <si>
    <t>Seamon, France</t>
  </si>
  <si>
    <t>Seghelmeble, Kelsey</t>
  </si>
  <si>
    <t>Severo, Javier</t>
  </si>
  <si>
    <t>Shade, Destiny</t>
  </si>
  <si>
    <t>Shaik, Sabneem</t>
  </si>
  <si>
    <t>Shatman, Vivian</t>
  </si>
  <si>
    <t>Shaw, Mercedes</t>
  </si>
  <si>
    <t>Sherry, Sara</t>
  </si>
  <si>
    <t>Sierra, Josue</t>
  </si>
  <si>
    <t>Simmons, Micaiah</t>
  </si>
  <si>
    <t>Singleton, Vanessa</t>
  </si>
  <si>
    <t>Smiley, Jayla</t>
  </si>
  <si>
    <t>Smith, Chris</t>
  </si>
  <si>
    <t>Smith, De'Aris</t>
  </si>
  <si>
    <t>Smith, Jared</t>
  </si>
  <si>
    <t>Smith, William</t>
  </si>
  <si>
    <t>Sneed, Keierra</t>
  </si>
  <si>
    <t>South-Merritt, Jaden</t>
  </si>
  <si>
    <t>Sova, Mark</t>
  </si>
  <si>
    <t>Sparks, Markeith</t>
  </si>
  <si>
    <t>Spillman, Michael</t>
  </si>
  <si>
    <t>Splann, Valentina</t>
  </si>
  <si>
    <t>Stafford, Patrica</t>
  </si>
  <si>
    <t>Steward, Breanna</t>
  </si>
  <si>
    <t>Stewart, Sam</t>
  </si>
  <si>
    <t>Suarez, Abraham</t>
  </si>
  <si>
    <t>Sulman, Duku</t>
  </si>
  <si>
    <t>Summerfield, Bryson</t>
  </si>
  <si>
    <t>Surko, Nicholas</t>
  </si>
  <si>
    <t>Symonee, Kiarah</t>
  </si>
  <si>
    <t>Talford, Leaira</t>
  </si>
  <si>
    <t>Tatum, Elaejiah</t>
  </si>
  <si>
    <t>Tatum, Janay</t>
  </si>
  <si>
    <t>Taylor, Keionj</t>
  </si>
  <si>
    <t>Taylor, Zareia</t>
  </si>
  <si>
    <t>T, Bria</t>
  </si>
  <si>
    <t>Terry, Alexis</t>
  </si>
  <si>
    <t>terry, breann</t>
  </si>
  <si>
    <t>Testing, Gian</t>
  </si>
  <si>
    <t>Testing, Mara</t>
  </si>
  <si>
    <t>Testing, Nona</t>
  </si>
  <si>
    <t>Testing, Oni</t>
  </si>
  <si>
    <t>Testing, Queenie</t>
  </si>
  <si>
    <t>Thomas, Alariyan</t>
  </si>
  <si>
    <t>Thomas, Danyale</t>
  </si>
  <si>
    <t>Thomas, Danyele</t>
  </si>
  <si>
    <t>Thomason, Sestia</t>
  </si>
  <si>
    <t>Thomas, Rickayla</t>
  </si>
  <si>
    <t>Thompson, Aniya</t>
  </si>
  <si>
    <t>Thompson, Georgina</t>
  </si>
  <si>
    <t>Thompson, Kamauriea</t>
  </si>
  <si>
    <t>Thorne, Kamryn</t>
  </si>
  <si>
    <t>Thorn, Rae-Lynn</t>
  </si>
  <si>
    <t>Thuyns, Alese</t>
  </si>
  <si>
    <t>Tingljn, Ciara</t>
  </si>
  <si>
    <t>Tiscarena, Blanca</t>
  </si>
  <si>
    <t>Todd, Nalasia</t>
  </si>
  <si>
    <t>Tomchesson, Kyle</t>
  </si>
  <si>
    <t>Tshinba, Brenadet</t>
  </si>
  <si>
    <t>Tumaini, Heri</t>
  </si>
  <si>
    <t>Turner, Vickie</t>
  </si>
  <si>
    <t>Tyese, Zaria</t>
  </si>
  <si>
    <t>Unknown, Aamarian</t>
  </si>
  <si>
    <t>Unknown, Abigail</t>
  </si>
  <si>
    <t>Unknown, Acey</t>
  </si>
  <si>
    <t>Unknown, Aksha</t>
  </si>
  <si>
    <t>Unknown, Ale</t>
  </si>
  <si>
    <t>Unknown, Aleah</t>
  </si>
  <si>
    <t>Unknown, Alec</t>
  </si>
  <si>
    <t>Unknown, Amazon</t>
  </si>
  <si>
    <t>Unknown, Andrea</t>
  </si>
  <si>
    <t>Unknown, Anna</t>
  </si>
  <si>
    <t>Unknown, Ayanna</t>
  </si>
  <si>
    <t>Unknown, Bella</t>
  </si>
  <si>
    <t>Unknown, Bharat</t>
  </si>
  <si>
    <t>Unknown, Bricksy</t>
  </si>
  <si>
    <t>Unknown, Bruce</t>
  </si>
  <si>
    <t>Unknown, Bueno</t>
  </si>
  <si>
    <t>Unknown, Bunny</t>
  </si>
  <si>
    <t>Unknown, Candre</t>
  </si>
  <si>
    <t>Unknown, Carlo</t>
  </si>
  <si>
    <t>Unknown, Carly</t>
  </si>
  <si>
    <t>Unknown, Cathy</t>
  </si>
  <si>
    <t>Unknown, Conica</t>
  </si>
  <si>
    <t>Unknown, Earlis</t>
  </si>
  <si>
    <t>Unknown, Ella</t>
  </si>
  <si>
    <t>Unknown, Gene</t>
  </si>
  <si>
    <t>Unknown, Humanity</t>
  </si>
  <si>
    <t>Unknown, India</t>
  </si>
  <si>
    <t>Unknown, Jackson</t>
  </si>
  <si>
    <t>Unknown, Jada</t>
  </si>
  <si>
    <t>Unknown, Jamaia</t>
  </si>
  <si>
    <t>Unknown, Janasia</t>
  </si>
  <si>
    <t>Unknown, Janicia</t>
  </si>
  <si>
    <t>Unknown, Jonathan</t>
  </si>
  <si>
    <t>Unknown, Jude</t>
  </si>
  <si>
    <t>Unknown, Kayla</t>
  </si>
  <si>
    <t>Unknown, Kaylee</t>
  </si>
  <si>
    <t>Unknown, Kiki</t>
  </si>
  <si>
    <t>Unknown, Laverra</t>
  </si>
  <si>
    <t>Unknown, Leticia</t>
  </si>
  <si>
    <t>Unknown, Lila</t>
  </si>
  <si>
    <t>Unknown, Loria</t>
  </si>
  <si>
    <t>Unknown, Malcolm</t>
  </si>
  <si>
    <t>Unknown, Mani</t>
  </si>
  <si>
    <t>Unknown, Margaret</t>
  </si>
  <si>
    <t>Unknown, Maurine</t>
  </si>
  <si>
    <t>Unknown, Maya</t>
  </si>
  <si>
    <t>Unknown, Mersedia</t>
  </si>
  <si>
    <t>Unknown, Miami</t>
  </si>
  <si>
    <t>Unknown, Moby</t>
  </si>
  <si>
    <t>Unknown, Natalia</t>
  </si>
  <si>
    <t>Unknown, Natalie</t>
  </si>
  <si>
    <t>Unknown, Nika</t>
  </si>
  <si>
    <t>Unknown, Penelope</t>
  </si>
  <si>
    <t>Unknown, Ray</t>
  </si>
  <si>
    <t>Unknown, Rebecca</t>
  </si>
  <si>
    <t>Unknown, Sam</t>
  </si>
  <si>
    <t>Unknown, Sarah</t>
  </si>
  <si>
    <t>Unknown, Shakara</t>
  </si>
  <si>
    <t>Unknown, Shakiah</t>
  </si>
  <si>
    <t>Unknown, Sofia</t>
  </si>
  <si>
    <t>Unknown, Sunny</t>
  </si>
  <si>
    <t>Unknown, Teresa</t>
  </si>
  <si>
    <t>Unknown, Tina</t>
  </si>
  <si>
    <t>Unknown, Toland</t>
  </si>
  <si>
    <t>Unknown, Toloman</t>
  </si>
  <si>
    <t>Unknown, Toseberry</t>
  </si>
  <si>
    <t>Unknown, Tropic</t>
  </si>
  <si>
    <t>Unknown, Yanna</t>
  </si>
  <si>
    <t>Unknown, Zayanna</t>
  </si>
  <si>
    <t>Utley, Elijah</t>
  </si>
  <si>
    <t>Vacchelli, Gerilyn</t>
  </si>
  <si>
    <t>Valdovinos, Mary</t>
  </si>
  <si>
    <t>Vandeusen, Javyon</t>
  </si>
  <si>
    <t>Vargas, Sabrina</t>
  </si>
  <si>
    <t>Varnon, Virgina</t>
  </si>
  <si>
    <t>Varnon, Virginia</t>
  </si>
  <si>
    <t>Vasquez, Lexi</t>
  </si>
  <si>
    <t>Vaughan, Ian</t>
  </si>
  <si>
    <t>vega, jonathan</t>
  </si>
  <si>
    <t>Velazquez, Ericka</t>
  </si>
  <si>
    <t>Vera Mendoza, Kiara</t>
  </si>
  <si>
    <t>Viverette, Nina</t>
  </si>
  <si>
    <t>Vivero, Josmar</t>
  </si>
  <si>
    <t>Walters, Kandice</t>
  </si>
  <si>
    <t>Walters, Margaret</t>
  </si>
  <si>
    <t>Ward, Janiya</t>
  </si>
  <si>
    <t>Washington, Keondre</t>
  </si>
  <si>
    <t>Washington, Shetamia</t>
  </si>
  <si>
    <t>Watkins, Chalyn</t>
  </si>
  <si>
    <t>Watkins, Destinie</t>
  </si>
  <si>
    <t>Watson, Nyjael</t>
  </si>
  <si>
    <t>Watson, Shane</t>
  </si>
  <si>
    <t>Webb, Karen</t>
  </si>
  <si>
    <t>Webb, Tyler</t>
  </si>
  <si>
    <t>Webster, Tracy</t>
  </si>
  <si>
    <t>Wells, Kyla</t>
  </si>
  <si>
    <t>Weston, Jeffrey</t>
  </si>
  <si>
    <t>White, Catherine</t>
  </si>
  <si>
    <t>White, Ryan</t>
  </si>
  <si>
    <t>White, Savannah</t>
  </si>
  <si>
    <t>White, Tori</t>
  </si>
  <si>
    <t>Will, Ariana</t>
  </si>
  <si>
    <t>Williams, Ashley</t>
  </si>
  <si>
    <t>williams, calanya</t>
  </si>
  <si>
    <t>Williams, Chontel</t>
  </si>
  <si>
    <t>Williams, Dakeylie</t>
  </si>
  <si>
    <t>Williams, Emya</t>
  </si>
  <si>
    <t>Williams, Julia</t>
  </si>
  <si>
    <t>Williams, Ketara</t>
  </si>
  <si>
    <t>Williams, Kinteaka</t>
  </si>
  <si>
    <t>Williams, Kirsten</t>
  </si>
  <si>
    <t>Wilson, Kaden</t>
  </si>
  <si>
    <t>Wilson, Meredith</t>
  </si>
  <si>
    <t>Wilson, Paul</t>
  </si>
  <si>
    <t>Wilson, Pinky Atadero</t>
  </si>
  <si>
    <t>Wilson, Shelby</t>
  </si>
  <si>
    <t>Wilson, Valencia</t>
  </si>
  <si>
    <t>Windom, Richard</t>
  </si>
  <si>
    <t>Winfield, Lawrence</t>
  </si>
  <si>
    <t>Wright, Pamela</t>
  </si>
  <si>
    <t>Wyzmen, Jameshriona</t>
  </si>
  <si>
    <t>Zaidi, Ramiz</t>
  </si>
  <si>
    <t>Zamalan, Tanya</t>
  </si>
  <si>
    <t>Zeigler, Dylan</t>
  </si>
  <si>
    <t>Zelaya, Mabely</t>
  </si>
  <si>
    <t>Adams, Noah</t>
  </si>
  <si>
    <t>Mcknight III, Lawrence</t>
  </si>
  <si>
    <t>Peppers, Denise</t>
  </si>
  <si>
    <t>Castillo Delino, Araceli</t>
  </si>
  <si>
    <t>Childs, Tytianna</t>
  </si>
  <si>
    <t>Collins, Lanaria</t>
  </si>
  <si>
    <t>Garcia Gelves, Junior</t>
  </si>
  <si>
    <t>Hernandez, Gabriella</t>
  </si>
  <si>
    <t>jackson, kimaja</t>
  </si>
  <si>
    <t>Pearson, C</t>
  </si>
  <si>
    <t>Ward, Kahlil</t>
  </si>
  <si>
    <t>white, kimberley (Kim)</t>
  </si>
  <si>
    <t>abraha, rahel</t>
  </si>
  <si>
    <t>Abu, Anas</t>
  </si>
  <si>
    <t>Adetunji, Omowumi</t>
  </si>
  <si>
    <t>A Guevara, Ingrid</t>
  </si>
  <si>
    <t>Alexander, Detwonne</t>
  </si>
  <si>
    <t>Amos, Deangelo</t>
  </si>
  <si>
    <t>Avila, Adrian</t>
  </si>
  <si>
    <t>Bamford, Marla</t>
  </si>
  <si>
    <t>Barber, Ja'Resa</t>
  </si>
  <si>
    <t>Beasley, Rashida</t>
  </si>
  <si>
    <t>Beighley, Tessa</t>
  </si>
  <si>
    <t>Bland, Sheresa</t>
  </si>
  <si>
    <t>Bobier, Laila</t>
  </si>
  <si>
    <t>Bonner, Jhade</t>
  </si>
  <si>
    <t>Boone, Majesty</t>
  </si>
  <si>
    <t>Boston, Aviana</t>
  </si>
  <si>
    <t>Boulette, Brett</t>
  </si>
  <si>
    <t>Bowman, Jersaya</t>
  </si>
  <si>
    <t>Brew, Alfred</t>
  </si>
  <si>
    <t>Brown, Kee</t>
  </si>
  <si>
    <t>Burns, Breann</t>
  </si>
  <si>
    <t>Butler, Mia</t>
  </si>
  <si>
    <t>Butler, Savannah</t>
  </si>
  <si>
    <t>Castro, Carlos Eden</t>
  </si>
  <si>
    <t>Childress, Montega</t>
  </si>
  <si>
    <t>Clark, Sierra</t>
  </si>
  <si>
    <t>CoKFgq, Evie</t>
  </si>
  <si>
    <t>Coleman, Anna</t>
  </si>
  <si>
    <t>Contreras, Suzanna</t>
  </si>
  <si>
    <t>Davila, John</t>
  </si>
  <si>
    <t>Davis-Alexander, Xavion</t>
  </si>
  <si>
    <t>Dodd, Elquavia</t>
  </si>
  <si>
    <t>Doke, Beni</t>
  </si>
  <si>
    <t>Douglas, Javon</t>
  </si>
  <si>
    <t>Dubose, Kylon</t>
  </si>
  <si>
    <t>Dunn, Jateja</t>
  </si>
  <si>
    <t>Dye, Priscilla</t>
  </si>
  <si>
    <t>Dykes, Lanisha</t>
  </si>
  <si>
    <t>Edwards, Lameca</t>
  </si>
  <si>
    <t>Fazzari, Yama</t>
  </si>
  <si>
    <t>Futrell, Autumn</t>
  </si>
  <si>
    <t>Galarza, Jocylen</t>
  </si>
  <si>
    <t>Gamez, Chelsea</t>
  </si>
  <si>
    <t>Garcia, Dan</t>
  </si>
  <si>
    <t>Garcia, Miriam</t>
  </si>
  <si>
    <t>Glenn, Willie</t>
  </si>
  <si>
    <t>Gonzales, Jacob</t>
  </si>
  <si>
    <t>Griffin, Lukisha</t>
  </si>
  <si>
    <t>Gutierrez, Cassandra</t>
  </si>
  <si>
    <t>Habtezion, Mewaemel</t>
  </si>
  <si>
    <t>Hall, Melissa</t>
  </si>
  <si>
    <t>Harrison, Tityana</t>
  </si>
  <si>
    <t>Hassaini, Mohammad</t>
  </si>
  <si>
    <t>Hayes, Michelle</t>
  </si>
  <si>
    <t>Hernandez, Fernando</t>
  </si>
  <si>
    <t>Hernandez, Lefky</t>
  </si>
  <si>
    <t>Hewitt, Cameron</t>
  </si>
  <si>
    <t>Heydrick, Amanda</t>
  </si>
  <si>
    <t>Acevedo, Daphney</t>
  </si>
  <si>
    <t>Hudson, Roderick</t>
  </si>
  <si>
    <t>Ingram, Jalay</t>
  </si>
  <si>
    <t>James, Tavi</t>
  </si>
  <si>
    <t>Jegede, Taiwo</t>
  </si>
  <si>
    <t>Johnson, Chanelle</t>
  </si>
  <si>
    <t>Jones, Adayshia</t>
  </si>
  <si>
    <t>Jones, Gabrielle</t>
  </si>
  <si>
    <t>Jones, Shatiqua</t>
  </si>
  <si>
    <t>Kambire, Marie Ines</t>
  </si>
  <si>
    <t>Kenney, Dakota</t>
  </si>
  <si>
    <t>Keogh, Regina</t>
  </si>
  <si>
    <t>Kissi, Amon</t>
  </si>
  <si>
    <t>Knighten, Joycelyn</t>
  </si>
  <si>
    <t>Kone, Mawatta</t>
  </si>
  <si>
    <t>Kowalczyk, Ashlynn</t>
  </si>
  <si>
    <t>Kudadje, Mesan</t>
  </si>
  <si>
    <t>Lagree, Mary</t>
  </si>
  <si>
    <t>Landeros, Jaquelin</t>
  </si>
  <si>
    <t>Lee, Jervhaun</t>
  </si>
  <si>
    <t>Lewis, Brennen</t>
  </si>
  <si>
    <t>Logan, Shylerie</t>
  </si>
  <si>
    <t>Loya, Paul</t>
  </si>
  <si>
    <t>Luxarian, Alessia</t>
  </si>
  <si>
    <t>Mararash, Valeriy</t>
  </si>
  <si>
    <t>MARKETS, PROSTEGE</t>
  </si>
  <si>
    <t>Marquez, Gloria</t>
  </si>
  <si>
    <t>Mccarthy, Tityanna</t>
  </si>
  <si>
    <t>McGraw, Tilah</t>
  </si>
  <si>
    <t>McHale, Amelia</t>
  </si>
  <si>
    <t>McLennon, Zahaile</t>
  </si>
  <si>
    <t>Mendez Munoz, Nikolle</t>
  </si>
  <si>
    <t>Minor, Raven</t>
  </si>
  <si>
    <t>montanez, natalie</t>
  </si>
  <si>
    <t>Montiel, Mayelin</t>
  </si>
  <si>
    <t>Monzon, Cristian</t>
  </si>
  <si>
    <t>Moore, Chonda</t>
  </si>
  <si>
    <t>Muller, Victoria</t>
  </si>
  <si>
    <t>Mulugeta, Ephrata</t>
  </si>
  <si>
    <t>Murcia, Laura</t>
  </si>
  <si>
    <t>Musamam, Sabira</t>
  </si>
  <si>
    <t>Najera, Julia</t>
  </si>
  <si>
    <t>Nambo, Karla</t>
  </si>
  <si>
    <t>Newhouse, Tiera</t>
  </si>
  <si>
    <t>Onanuga, Lateef</t>
  </si>
  <si>
    <t>Padron, Yaneli</t>
  </si>
  <si>
    <t>Parnacher, Durenda</t>
  </si>
  <si>
    <t>Payne, Shirley</t>
  </si>
  <si>
    <t>Perez, Amanda</t>
  </si>
  <si>
    <t>Phillips, Miss</t>
  </si>
  <si>
    <t>Pickens, Daveon</t>
  </si>
  <si>
    <t>Pierce, Joseph</t>
  </si>
  <si>
    <t>Pokharel, Ayusha</t>
  </si>
  <si>
    <t>Portley, Ruben</t>
  </si>
  <si>
    <t>Preak, Jessica</t>
  </si>
  <si>
    <t>Preak, Saron</t>
  </si>
  <si>
    <t>Raj, Zev</t>
  </si>
  <si>
    <t>Ray, Chanise</t>
  </si>
  <si>
    <t>Reed jr, Ronnie</t>
  </si>
  <si>
    <t>Reed, Ronnie</t>
  </si>
  <si>
    <t>Rice, Pactrick</t>
  </si>
  <si>
    <t>Richardson, Tylar</t>
  </si>
  <si>
    <t>Ruiz, Jorge</t>
  </si>
  <si>
    <t>Sandoval Malagon, Lorna</t>
  </si>
  <si>
    <t>Smith, Lakesha</t>
  </si>
  <si>
    <t>Smith, Mikeaira</t>
  </si>
  <si>
    <t>Strong, Alexis</t>
  </si>
  <si>
    <t>Sudar, Marla</t>
  </si>
  <si>
    <t>Supreme, Beefy</t>
  </si>
  <si>
    <t>Sutton, L</t>
  </si>
  <si>
    <t>Swanson, Shakira</t>
  </si>
  <si>
    <t>Thomas, Monica</t>
  </si>
  <si>
    <t>TITUS, CAROLYN</t>
  </si>
  <si>
    <t>Toliver, Denice</t>
  </si>
  <si>
    <t>Torres, Emanuel</t>
  </si>
  <si>
    <t>Tran, Jennifer</t>
  </si>
  <si>
    <t>Trent, Michael</t>
  </si>
  <si>
    <t>Tunda, Joelle</t>
  </si>
  <si>
    <t>Turner, Angela</t>
  </si>
  <si>
    <t>Turner, Shamonique</t>
  </si>
  <si>
    <t>Unknown, Baruch</t>
  </si>
  <si>
    <t>Unknown, Cedric</t>
  </si>
  <si>
    <t>Unknown, Chakrim</t>
  </si>
  <si>
    <t>Unknown, Darren</t>
  </si>
  <si>
    <t>Unknown, Edith</t>
  </si>
  <si>
    <t>Unknown, Eliana</t>
  </si>
  <si>
    <t>Unknown, Estaban</t>
  </si>
  <si>
    <t>Unknown, Heather</t>
  </si>
  <si>
    <t>Unknown, Mary</t>
  </si>
  <si>
    <t>Unknown, Portia</t>
  </si>
  <si>
    <t>Unknown, Raymond</t>
  </si>
  <si>
    <t>Unknown, Remington</t>
  </si>
  <si>
    <t>Unknown, Selvo</t>
  </si>
  <si>
    <t>Unknown, Sonaya</t>
  </si>
  <si>
    <t>Unknown, Tamaris</t>
  </si>
  <si>
    <t>Urges, Bex</t>
  </si>
  <si>
    <t>Use, Andrew</t>
  </si>
  <si>
    <t>Vega, Carmen</t>
  </si>
  <si>
    <t>Walker, Tavyce</t>
  </si>
  <si>
    <t>Wallace, Pyreese</t>
  </si>
  <si>
    <t>Washington, Jeremece</t>
  </si>
  <si>
    <t>Watkins, Legacy</t>
  </si>
  <si>
    <t>watton, jekya</t>
  </si>
  <si>
    <t>Watton, Jekya</t>
  </si>
  <si>
    <t>Wilke, Sam</t>
  </si>
  <si>
    <t>Williams, Annette</t>
  </si>
  <si>
    <t>Willis, Shabrittany</t>
  </si>
  <si>
    <t>Wilson, Lentosha</t>
  </si>
  <si>
    <t>Woods, Kirondria</t>
  </si>
  <si>
    <t>Woods, KirOndria</t>
  </si>
  <si>
    <t>Woods, Tejonnah</t>
  </si>
  <si>
    <t>Hernandez, Aldair</t>
  </si>
  <si>
    <t>‌JPC-26-05430-31</t>
  </si>
  <si>
    <t>‌$2,350.00Judgment Stay: 08/18/2026</t>
  </si>
  <si>
    <t>‌Dismissed  (Tenant PAID)</t>
  </si>
  <si>
    <t>‌$2,766.00Judgment Stay: 08/18/2026</t>
  </si>
  <si>
    <t>‌COC - JOA Pending  (Notes)</t>
  </si>
  <si>
    <t>Reead the log</t>
  </si>
  <si>
    <t>Victor Enriquez &amp; DIANAI DIAZ</t>
  </si>
  <si>
    <t>Anay Carrasco &amp; Leonardo Jerezano</t>
  </si>
  <si>
    <t>Ronald King &amp; LATRINA NEWSOME</t>
  </si>
  <si>
    <t>Miguel Salazar &amp; Luis Ledesma</t>
  </si>
  <si>
    <t>Ludivina Ruiz &amp; Jeronimo Calderon</t>
  </si>
  <si>
    <t>Oluchi Chukwudire &amp; Jerry Esebanme</t>
  </si>
  <si>
    <t>OLUWASOREFUNMI OLUUYEMI &amp; Bin Mazola &amp; Titilope Oluyemi</t>
  </si>
  <si>
    <t>Francisco Suarez &amp; Rodrigo Siman</t>
  </si>
  <si>
    <t>Yanheli Barriga &amp; Ramiro Gabriel</t>
  </si>
  <si>
    <t>Lisa Davila &amp; Alejandro Salazar Lopez</t>
  </si>
  <si>
    <t>VIVIANA MELELNDEZ &amp; Raul Nunez</t>
  </si>
  <si>
    <t>Benito Otoijagha &amp; Rasaq Bisiriyu</t>
  </si>
  <si>
    <t>Angela Nwachukwu &amp; Ronnie Ware</t>
  </si>
  <si>
    <t>EDGAR ESTRADA BARRERA &amp; SUGEILY NIEVES &amp; Danny Enrique</t>
  </si>
  <si>
    <t>Yajaira Cervantes Carrizales &amp; Alvaro Santana</t>
  </si>
  <si>
    <t>Karen Yazmin &amp; FRANCIS PONCE</t>
  </si>
  <si>
    <t>Eric Santini &amp; Mia Smith</t>
  </si>
  <si>
    <t>Sergio Magarin &amp; Iker Magarin &amp; Lesly Gonzales &amp; LILIANA DIAZ &amp; Valeria Magarin</t>
  </si>
  <si>
    <t>Francisco Lagunas &amp; Oscar Reyes Obregon</t>
  </si>
  <si>
    <t>Wole Tanimowo &amp; Fakuade Babatope</t>
  </si>
  <si>
    <t>Maria Fonseca &amp; Fernando Sotelo</t>
  </si>
  <si>
    <t>Elieser Cortez &amp; Cristal Urquiza</t>
  </si>
  <si>
    <t>Brandon Ortega &amp; Keiry Palomino</t>
  </si>
  <si>
    <t>Tytiona Jackson &amp; Leila Butler</t>
  </si>
  <si>
    <t>Marie Lwaboshi &amp; Prince Sunday</t>
  </si>
  <si>
    <t>Bethis Vasquez &amp; Isaac Vasquez</t>
  </si>
  <si>
    <t>EILYN REYES &amp; Nely Susana</t>
  </si>
  <si>
    <t>26-122438</t>
  </si>
  <si>
    <t>Jason Avila &amp; Solaris Rivera</t>
  </si>
  <si>
    <t>8715448824</t>
  </si>
  <si>
    <t>26-122441</t>
  </si>
  <si>
    <t>Rodrigo Orozco &amp; Marlet Garcia</t>
  </si>
  <si>
    <t>8490999044</t>
  </si>
  <si>
    <t>Weekly refresh: update LeaseLock from uploaded claims CSV (Untitled-2026-08-12.csv, 105 claims); same process as last week.</t>
  </si>
  <si>
    <t>Diffed all 105 CSV claims against LeaseLock col A (Item #): 103 matched, applied CSV as source of truth across mapped columns (27 cells updated); appended 2 new claims at rows 206-207 with row-205 formats and live formulas for N/O/T/V/W (26-122438 Jason Avila &amp; Solaris Rivera, 26-122441 Rodrigo Orozco &amp; Marlet Garcia, both status New, reported 8/11/26).</t>
  </si>
  <si>
    <t>All 27 matched-row updates were co-tenant name ordering/separator alignment in col C (standardized to 'A &amp; B' per CSV order); zero status, amount, or date changes among matched claims. Coverage Limit (P) derived as paid + unused_coverage_limit; within-limit validation 0 mismatches. 101 older claims not in CSV left untouched.</t>
  </si>
  <si>
    <t>Verified rows 206-207 render correctly (text/date/currency/% formats, formulas evaluate); zero errors in N:O and T:W across all 206 data rows. Downstream refs use $2:$500 open-ended ranges, rows 206-207 auto-included. LeaseLock now 206 claims (rows 2-207).</t>
  </si>
  <si>
    <t>Weekly Delinquency_Detail_3 validation vs rent roll: no rent-roll resident in Former, every Current resident on rent roll; preserve K/L notes.</t>
  </si>
  <si>
    <t>Cross-checked FULL qualifying population (99 Former / 58 Current qualifying) plus both override lists against RR_Unit_Details occupied+notice residents (637). Added Nwabunor, Stanley (Stanley) to CURRENT OVERRIDE (P10) - on rent roll at W03-1-0301, balance $270.82 on old unit W15-2-3090 (on-site transfer). Added 4 departed residents to MOVED OUT OVERRIDE (N19:N22): Eliuth Gerson ($581.97), Walker Myocsheonia ($2,094.34), Rodriguez Joseph ($3,504.84), Yoryina Emelyn ($232.37). Re-paired all 38 column-L notes after the re-sort; appended dated entry to N1 note.</t>
  </si>
  <si>
    <t>Fuzzy last-name search confirmed the 4 are genuinely off the rent roll (11 other Rodriguezes exist, none Joseph). Rodriguez &amp; Walker's Current-section notes followed them to Former rows 63 and 77; remaining 36 notes re-placed at owners' shifted rows, 0 orphaned, nothing archived. Column K formula-driven, self-adjusted. Section formulas ($2:$460) verified to cover refreshed aged receivable data (ends row 182; used range extends to 719 but rows &gt;182 empty). Nwabunor counted in Current total but below top-43 display cutoff (same caveat as Avila/Rocha).</t>
  </si>
  <si>
    <t>Post-change verification: 0 mismatches both directions across displayed sections, 0 formula errors in A17:L181. Former 102 of 102 qualifying displayed ($562,816); Current 59 accounts, 43 displayed ($106,329 displayed). L notes 13 Former + 25 Current = 38.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</si>
</sst>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6">
    <numFmt numFmtId="6" formatCode="&quot;$&quot;#,##0_);[Red]\(&quot;$&quot;#,##0\)"/>
    <numFmt numFmtId="8" formatCode="&quot;$&quot;#,##0.00_);[Red]\(&quot;$&quot;#,##0.00\)"/>
    <numFmt numFmtId="44" formatCode="_(&quot;$&quot;* #,##0.00_);_(&quot;$&quot;* \(#,##0.00\);_(&quot;$&quot;* &quot;-&quot;??_);_(@_)"/>
    <numFmt numFmtId="164" formatCode="mmmm\ d&quot;, &quot;yyyy"/>
    <numFmt numFmtId="165" formatCode="0.0%"/>
    <numFmt numFmtId="166" formatCode="\$#,##0"/>
    <numFmt numFmtId="167" formatCode="0.0"/>
    <numFmt numFmtId="168" formatCode="m/d/yy"/>
    <numFmt numFmtId="169" formatCode="0.0\x"/>
    <numFmt numFmtId="170" formatCode="\$0.00"/>
    <numFmt numFmtId="171" formatCode="mmm\ dd\,\ yyyy"/>
    <numFmt numFmtId="172" formatCode="\$#,##0.00"/>
    <numFmt numFmtId="173" formatCode="#,##0.00;\(#,##0.00\)"/>
    <numFmt numFmtId="174" formatCode="&quot;$&quot;#,##0"/>
    <numFmt numFmtId="175" formatCode="mm/dd/yyyy"/>
    <numFmt numFmtId="176" formatCode="#,##0.00;[Red]#,##0.00"/>
    <numFmt numFmtId="177" formatCode="&quot;$&quot;#,##0.00"/>
    <numFmt numFmtId="178" formatCode="mmmm\ d\,\ yyyy"/>
    <numFmt numFmtId="179" formatCode="&quot;$&quot;#,##0;\(&quot;$&quot;#,##0\)"/>
    <numFmt numFmtId="180" formatCode="0.0%;\(0.0%\)"/>
    <numFmt numFmtId="181" formatCode="&quot;$&quot;#,##0;\(&quot;$&quot;#,##0\);\-"/>
    <numFmt numFmtId="182" formatCode="&quot;$&quot;#,##0.00;\(&quot;$&quot;#,##0.00\);\-"/>
    <numFmt numFmtId="183" formatCode="yyyy\-mm\-dd"/>
    <numFmt numFmtId="184" formatCode="\+0.0%;\(0.0%\);&quot;-&quot;"/>
    <numFmt numFmtId="185" formatCode="\+#,##0;\(#,##0\);&quot;-&quot;"/>
    <numFmt numFmtId="186" formatCode="\+0.0;\(0.0\);&quot;-&quot;"/>
  </numFmts>
  <fonts count="226">
    <font>
      <sz val="11"/>
      <color theme="1"/>
      <name val="Calibri"/>
      <family val="2"/>
      <charset val="1"/>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8"/>
      <color rgb="FF1F3864"/>
      <name val="Calibri"/>
      <family val="2"/>
    </font>
    <font>
      <sz val="11"/>
      <color rgb="FF666666"/>
      <name val="Calibri"/>
      <family val="2"/>
    </font>
    <font>
      <b/>
      <sz val="10"/>
      <color rgb="FF1F3864"/>
      <name val="Calibri"/>
      <family val="2"/>
    </font>
    <font>
      <b/>
      <sz val="9"/>
      <color rgb="FF0000FF"/>
      <name val="Calibri"/>
      <family val="2"/>
    </font>
    <font>
      <i/>
      <sz val="9"/>
      <color rgb="FF666666"/>
      <name val="Calibri"/>
      <family val="2"/>
    </font>
    <font>
      <b/>
      <sz val="9"/>
      <color rgb="FFFFFFFF"/>
      <name val="Calibri"/>
      <family val="2"/>
    </font>
    <font>
      <sz val="9"/>
      <name val="Calibri"/>
      <family val="2"/>
    </font>
    <font>
      <sz val="9"/>
      <color rgb="FF000000"/>
      <name val="Calibri"/>
      <family val="2"/>
    </font>
    <font>
      <b/>
      <sz val="9"/>
      <color rgb="FF1F3864"/>
      <name val="Calibri"/>
      <family val="2"/>
    </font>
    <font>
      <b/>
      <sz val="9"/>
      <color rgb="FF006100"/>
      <name val="Calibri"/>
      <family val="2"/>
    </font>
    <font>
      <b/>
      <sz val="9"/>
      <color rgb="FF9C0006"/>
      <name val="Calibri"/>
      <family val="2"/>
    </font>
    <font>
      <i/>
      <sz val="8"/>
      <color rgb="FF666666"/>
      <name val="Calibri"/>
      <family val="2"/>
    </font>
    <font>
      <b/>
      <sz val="20"/>
      <color rgb="FF1F3864"/>
      <name val="Calibri"/>
      <family val="2"/>
    </font>
    <font>
      <sz val="12"/>
      <color rgb="FF666666"/>
      <name val="Calibri"/>
      <family val="2"/>
    </font>
    <font>
      <sz val="8"/>
      <color rgb="FF666666"/>
      <name val="Calibri"/>
      <family val="2"/>
    </font>
    <font>
      <b/>
      <sz val="10"/>
      <color rgb="FFFFFFFF"/>
      <name val="Calibri"/>
      <family val="2"/>
    </font>
    <font>
      <sz val="10"/>
      <color rgb="FF000000"/>
      <name val="Calibri"/>
      <family val="2"/>
    </font>
    <font>
      <sz val="14"/>
      <color rgb="FF666666"/>
      <name val="Calibri"/>
      <family val="2"/>
    </font>
    <font>
      <sz val="10"/>
      <name val="Calibri"/>
      <family val="2"/>
    </font>
    <font>
      <b/>
      <sz val="10"/>
      <name val="Calibri"/>
      <family val="2"/>
    </font>
    <font>
      <i/>
      <sz val="10"/>
      <color rgb="FF999999"/>
      <name val="Calibri"/>
      <family val="2"/>
    </font>
    <font>
      <b/>
      <sz val="12"/>
      <color rgb="FF1F3864"/>
      <name val="Calibri"/>
      <family val="2"/>
    </font>
    <font>
      <i/>
      <sz val="10"/>
      <color rgb="FF666666"/>
      <name val="Calibri"/>
      <family val="2"/>
    </font>
    <font>
      <b/>
      <sz val="12"/>
      <color rgb="FF006100"/>
      <name val="Calibri"/>
      <family val="2"/>
    </font>
    <font>
      <b/>
      <sz val="10"/>
      <color rgb="FF1B365D"/>
      <name val="Calibri"/>
      <family val="2"/>
    </font>
    <font>
      <sz val="11"/>
      <color theme="1"/>
      <name val="Calibri"/>
      <family val="2"/>
      <charset val="1"/>
    </font>
    <font>
      <b/>
      <sz val="12"/>
      <color rgb="FF000000"/>
      <name val="Arial"/>
      <family val="2"/>
    </font>
    <font>
      <sz val="10"/>
      <color rgb="FF000000"/>
      <name val="Arial"/>
      <family val="2"/>
    </font>
    <font>
      <sz val="11"/>
      <color rgb="FF000000"/>
      <name val="Calibri"/>
      <family val="2"/>
    </font>
    <font>
      <b/>
      <sz val="10"/>
      <color rgb="FF000000"/>
      <name val="Arial"/>
      <family val="2"/>
    </font>
    <font>
      <b/>
      <sz val="9"/>
      <color indexed="81"/>
      <name val="Tahoma"/>
      <family val="2"/>
    </font>
    <font>
      <sz val="9"/>
      <color indexed="81"/>
      <name val="Tahoma"/>
      <family val="2"/>
    </font>
    <font>
      <sz val="5"/>
      <color theme="0"/>
      <name val="Calibri"/>
      <family val="2"/>
      <charset val="1"/>
    </font>
    <font>
      <sz val="6"/>
      <color theme="1"/>
      <name val="Calibri"/>
      <family val="2"/>
      <charset val="1"/>
    </font>
    <font>
      <sz val="11"/>
      <color rgb="FF000000"/>
      <name val="Aptos Narrow"/>
      <family val="2"/>
    </font>
    <font>
      <sz val="11"/>
      <color rgb="FF000000"/>
      <name val="Calibri"/>
      <family val="2"/>
    </font>
    <font>
      <b/>
      <sz val="8"/>
      <color rgb="FF0000FF"/>
      <name val="Calibri"/>
      <family val="2"/>
    </font>
    <font>
      <i/>
      <sz val="7"/>
      <color rgb="FF666666"/>
      <name val="Calibri"/>
      <family val="2"/>
    </font>
    <font>
      <b/>
      <sz val="9"/>
      <color rgb="FF1B365D"/>
      <name val="Calibri"/>
      <family val="2"/>
    </font>
    <font>
      <b/>
      <sz val="8"/>
      <color rgb="FF1B365D"/>
      <name val="Calibri"/>
      <family val="2"/>
    </font>
    <font>
      <sz val="8"/>
      <color rgb="FF000000"/>
      <name val="Calibri"/>
      <family val="2"/>
    </font>
    <font>
      <b/>
      <sz val="8"/>
      <color rgb="FFFFFFFF"/>
      <name val="Calibri"/>
      <family val="2"/>
    </font>
    <font>
      <b/>
      <sz val="8"/>
      <color rgb="FF000000"/>
      <name val="Calibri"/>
      <family val="2"/>
    </font>
    <font>
      <b/>
      <sz val="22"/>
      <color rgb="FFFFFFFF"/>
      <name val="Calibri"/>
      <family val="2"/>
    </font>
    <font>
      <sz val="13"/>
      <color rgb="FFA8C4E0"/>
      <name val="Calibri"/>
      <family val="2"/>
    </font>
    <font>
      <i/>
      <sz val="9"/>
      <color rgb="FF7BA0C9"/>
      <name val="Calibri"/>
      <family val="2"/>
    </font>
    <font>
      <b/>
      <sz val="11"/>
      <color rgb="FFFFFFFF"/>
      <name val="Calibri"/>
      <family val="2"/>
    </font>
    <font>
      <sz val="10"/>
      <color rgb="FF333333"/>
      <name val="Calibri"/>
      <family val="2"/>
    </font>
    <font>
      <sz val="9"/>
      <color rgb="FF333333"/>
      <name val="Calibri"/>
      <family val="2"/>
    </font>
    <font>
      <sz val="9"/>
      <color rgb="FF666666"/>
      <name val="Calibri"/>
      <family val="2"/>
    </font>
    <font>
      <b/>
      <sz val="10"/>
      <color rgb="FF333333"/>
      <name val="Calibri"/>
      <family val="2"/>
    </font>
    <font>
      <sz val="7"/>
      <color rgb="FFFF0000"/>
      <name val="Calibri"/>
      <family val="2"/>
    </font>
    <font>
      <sz val="11"/>
      <color rgb="FF000000"/>
      <name val="Calibri"/>
      <family val="2"/>
      <charset val="1"/>
    </font>
    <font>
      <sz val="9"/>
      <color theme="1"/>
      <name val="Calibri"/>
      <family val="2"/>
    </font>
    <font>
      <sz val="8"/>
      <color theme="1"/>
      <name val="Calibri"/>
      <family val="2"/>
    </font>
    <font>
      <sz val="8"/>
      <color rgb="FF006100"/>
      <name val="Calibri"/>
      <family val="2"/>
    </font>
    <font>
      <b/>
      <sz val="8"/>
      <color rgb="FF006100"/>
      <name val="Calibri"/>
      <family val="2"/>
    </font>
    <font>
      <sz val="8"/>
      <color rgb="FF9C0006"/>
      <name val="Calibri"/>
      <family val="2"/>
    </font>
    <font>
      <b/>
      <sz val="8"/>
      <color rgb="FF9C0006"/>
      <name val="Calibri"/>
      <family val="2"/>
    </font>
    <font>
      <sz val="8"/>
      <color rgb="FFBF8F00"/>
      <name val="Calibri"/>
      <family val="2"/>
    </font>
    <font>
      <b/>
      <sz val="8"/>
      <color rgb="FFBF8F00"/>
      <name val="Calibri"/>
      <family val="2"/>
    </font>
    <font>
      <sz val="8"/>
      <color rgb="FFC00000"/>
      <name val="Calibri"/>
      <family val="2"/>
    </font>
    <font>
      <b/>
      <sz val="8"/>
      <color rgb="FFC00000"/>
      <name val="Calibri"/>
      <family val="2"/>
    </font>
    <font>
      <sz val="7"/>
      <color rgb="FF006100"/>
      <name val="Calibri"/>
      <family val="2"/>
    </font>
    <font>
      <b/>
      <sz val="8"/>
      <color theme="1"/>
      <name val="Calibri"/>
      <family val="2"/>
    </font>
    <font>
      <sz val="8"/>
      <color theme="1"/>
      <name val="Calibri"/>
      <family val="2"/>
      <charset val="1"/>
    </font>
    <font>
      <sz val="8"/>
      <color rgb="FF006100"/>
      <name val="Calibri"/>
      <family val="2"/>
      <charset val="1"/>
    </font>
    <font>
      <sz val="8"/>
      <color rgb="FF9C0006"/>
      <name val="Calibri"/>
      <family val="2"/>
      <charset val="1"/>
    </font>
    <font>
      <sz val="7"/>
      <color rgb="FFFF0000"/>
      <name val="Calibri"/>
      <family val="2"/>
      <charset val="1"/>
    </font>
    <font>
      <sz val="7"/>
      <color rgb="FF006100"/>
      <name val="Calibri"/>
      <family val="2"/>
      <charset val="1"/>
    </font>
    <font>
      <b/>
      <sz val="8"/>
      <color rgb="FF9C0006"/>
      <name val="Calibri"/>
      <family val="2"/>
      <charset val="1"/>
    </font>
    <font>
      <b/>
      <sz val="7"/>
      <color rgb="FFFF0000"/>
      <name val="Calibri"/>
      <family val="2"/>
      <charset val="1"/>
    </font>
    <font>
      <b/>
      <sz val="8"/>
      <color theme="1"/>
      <name val="Calibri"/>
      <family val="2"/>
      <charset val="1"/>
    </font>
    <font>
      <b/>
      <sz val="8"/>
      <color rgb="FF006100"/>
      <name val="Calibri"/>
      <family val="2"/>
      <charset val="1"/>
    </font>
    <font>
      <sz val="8"/>
      <color rgb="FFBF8F00"/>
      <name val="Calibri"/>
      <family val="2"/>
      <charset val="1"/>
    </font>
    <font>
      <b/>
      <sz val="8"/>
      <color rgb="FFFFFFFF"/>
      <name val="Calibri"/>
      <family val="2"/>
      <charset val="1"/>
    </font>
    <font>
      <b/>
      <sz val="8"/>
      <color rgb="FF1B365D"/>
      <name val="Calibri"/>
      <family val="2"/>
      <charset val="1"/>
    </font>
    <font>
      <b/>
      <sz val="8"/>
      <color rgb="FFC00000"/>
      <name val="Calibri"/>
      <family val="2"/>
      <charset val="1"/>
    </font>
    <font>
      <b/>
      <sz val="7"/>
      <color rgb="FFFFFFFF"/>
      <name val="Calibri"/>
      <family val="2"/>
    </font>
    <font>
      <b/>
      <sz val="7"/>
      <color rgb="FFFF0000"/>
      <name val="Calibri"/>
      <family val="2"/>
    </font>
    <font>
      <b/>
      <sz val="9"/>
      <color rgb="FF1B365D"/>
      <name val="Calibri"/>
      <family val="2"/>
      <charset val="1"/>
    </font>
    <font>
      <sz val="8"/>
      <color rgb="FF000000"/>
      <name val="Calibri"/>
      <family val="2"/>
      <charset val="1"/>
    </font>
    <font>
      <sz val="7"/>
      <color rgb="FFC00000"/>
      <name val="Calibri"/>
      <family val="2"/>
      <charset val="1"/>
    </font>
    <font>
      <b/>
      <sz val="8"/>
      <color rgb="FFBF8F00"/>
      <name val="Calibri"/>
      <family val="2"/>
      <charset val="1"/>
    </font>
    <font>
      <sz val="7"/>
      <color rgb="FFFFFFFF"/>
      <name val="Calibri"/>
      <family val="2"/>
      <charset val="1"/>
    </font>
    <font>
      <sz val="7"/>
      <color rgb="FFBF8F00"/>
      <name val="Calibri"/>
      <family val="2"/>
      <charset val="1"/>
    </font>
    <font>
      <sz val="7"/>
      <color rgb="FF000000"/>
      <name val="Calibri"/>
      <family val="2"/>
      <charset val="1"/>
    </font>
    <font>
      <b/>
      <sz val="8"/>
      <color rgb="FF666666"/>
      <name val="Calibri"/>
      <family val="2"/>
      <charset val="1"/>
    </font>
    <font>
      <b/>
      <sz val="8"/>
      <color rgb="FF000000"/>
      <name val="Calibri"/>
      <family val="2"/>
      <charset val="1"/>
    </font>
    <font>
      <b/>
      <sz val="7"/>
      <color rgb="FFC00000"/>
      <name val="Calibri"/>
      <family val="2"/>
      <charset val="1"/>
    </font>
    <font>
      <sz val="11"/>
      <name val="Calibri"/>
      <family val="2"/>
    </font>
    <font>
      <sz val="8"/>
      <name val="Calibri"/>
      <family val="2"/>
      <charset val="1"/>
    </font>
    <font>
      <b/>
      <sz val="9"/>
      <color rgb="FF333333"/>
      <name val="Calibri"/>
      <family val="2"/>
      <charset val="1"/>
    </font>
    <font>
      <b/>
      <sz val="9"/>
      <color rgb="FF8B0000"/>
      <name val="Calibri"/>
      <family val="2"/>
      <charset val="1"/>
    </font>
    <font>
      <sz val="9"/>
      <color rgb="FFCC5500"/>
      <name val="Calibri"/>
      <family val="2"/>
      <charset val="1"/>
    </font>
    <font>
      <sz val="9"/>
      <color rgb="FF806600"/>
      <name val="Calibri"/>
      <family val="2"/>
      <charset val="1"/>
    </font>
    <font>
      <b/>
      <sz val="10"/>
      <color rgb="FF1F3864"/>
      <name val="Calibri"/>
      <family val="2"/>
      <charset val="1"/>
    </font>
    <font>
      <sz val="9"/>
      <color theme="1"/>
      <name val="Calibri"/>
      <family val="2"/>
      <charset val="1"/>
    </font>
    <font>
      <b/>
      <sz val="9"/>
      <color theme="1"/>
      <name val="Calibri"/>
      <family val="2"/>
      <charset val="1"/>
    </font>
    <font>
      <sz val="9"/>
      <color rgb="FF000000"/>
      <name val="Calibri"/>
      <family val="2"/>
      <charset val="1"/>
    </font>
    <font>
      <sz val="11"/>
      <color rgb="FF006100"/>
      <name val="Calibri"/>
      <family val="2"/>
      <scheme val="minor"/>
    </font>
    <font>
      <sz val="11"/>
      <color rgb="FF9C0006"/>
      <name val="Calibri"/>
      <family val="2"/>
      <scheme val="minor"/>
    </font>
    <font>
      <sz val="11"/>
      <color rgb="FF9C5700"/>
      <name val="Calibri"/>
      <family val="2"/>
      <scheme val="minor"/>
    </font>
    <font>
      <b/>
      <sz val="8"/>
      <color rgb="FF8B0000"/>
      <name val="Calibri"/>
      <family val="2"/>
    </font>
    <font>
      <sz val="8"/>
      <color rgb="FFCC5500"/>
      <name val="Calibri"/>
      <family val="2"/>
    </font>
    <font>
      <sz val="8"/>
      <color rgb="FF806600"/>
      <name val="Calibri"/>
      <family val="2"/>
    </font>
    <font>
      <i/>
      <sz val="7"/>
      <color rgb="FF1B365D"/>
      <name val="Calibri"/>
      <family val="2"/>
    </font>
    <font>
      <sz val="8"/>
      <color rgb="FF242424"/>
      <name val="Aptos Narrow"/>
      <family val="2"/>
    </font>
    <font>
      <b/>
      <sz val="9"/>
      <color rgb="FF000000"/>
      <name val="Calibri"/>
      <family val="2"/>
    </font>
    <font>
      <sz val="11"/>
      <color rgb="FF000000"/>
      <name val="Calibri"/>
      <family val="2"/>
    </font>
    <font>
      <sz val="11"/>
      <color rgb="FF00B050"/>
      <name val="Calibri"/>
      <family val="2"/>
    </font>
    <font>
      <sz val="10"/>
      <color rgb="FF00B050"/>
      <name val="Arial"/>
      <family val="2"/>
    </font>
    <font>
      <b/>
      <sz val="9"/>
      <color rgb="FF525252"/>
      <name val="Inter"/>
      <charset val="1"/>
    </font>
    <font>
      <sz val="11"/>
      <color rgb="FF242424"/>
      <name val="Aptos Narrow"/>
      <family val="2"/>
    </font>
    <font>
      <sz val="11"/>
      <color rgb="FF9C5700"/>
      <name val="Calibri"/>
      <family val="2"/>
      <scheme val="minor"/>
    </font>
    <font>
      <sz val="11"/>
      <color rgb="FF9C0006"/>
      <name val="Calibri"/>
      <family val="2"/>
      <scheme val="minor"/>
    </font>
    <font>
      <b/>
      <sz val="12"/>
      <color rgb="FFFF0000"/>
      <name val="Calibri"/>
      <family val="2"/>
    </font>
    <font>
      <sz val="11"/>
      <color rgb="FF006100"/>
      <name val="Calibri"/>
      <family val="2"/>
      <scheme val="minor"/>
    </font>
    <font>
      <sz val="8"/>
      <color rgb="FFFFFFFF"/>
      <name val="Calibri"/>
      <family val="2"/>
    </font>
    <font>
      <b/>
      <sz val="10"/>
      <color rgb="FFFFFFFF"/>
      <name val="Calibri"/>
      <family val="2"/>
      <charset val="1"/>
    </font>
    <font>
      <sz val="9"/>
      <color rgb="FF1F3864"/>
      <name val="Calibri"/>
      <family val="2"/>
    </font>
    <font>
      <b/>
      <sz val="11"/>
      <color rgb="FF000000"/>
      <name val="Calibri"/>
      <family val="2"/>
    </font>
    <font>
      <sz val="8"/>
      <color rgb="FF375623"/>
      <name val="Calibri"/>
      <family val="2"/>
    </font>
    <font>
      <sz val="9"/>
      <color rgb="FF999999"/>
      <name val="Calibri"/>
      <family val="2"/>
    </font>
    <font>
      <i/>
      <sz val="8"/>
      <color rgb="FF999999"/>
      <name val="Calibri"/>
      <family val="2"/>
    </font>
    <font>
      <sz val="9"/>
      <color rgb="FF9C0006"/>
      <name val="Calibri"/>
      <family val="2"/>
    </font>
    <font>
      <sz val="9"/>
      <color rgb="FFBF8F00"/>
      <name val="Calibri"/>
      <family val="2"/>
    </font>
    <font>
      <b/>
      <sz val="9"/>
      <color rgb="FFBF8F00"/>
      <name val="Calibri"/>
      <family val="2"/>
    </font>
    <font>
      <sz val="9"/>
      <color rgb="FF375623"/>
      <name val="Calibri"/>
      <family val="2"/>
    </font>
    <font>
      <b/>
      <sz val="9"/>
      <color rgb="FF375623"/>
      <name val="Calibri"/>
      <family val="2"/>
    </font>
    <font>
      <b/>
      <sz val="8"/>
      <color rgb="FF375623"/>
      <name val="Calibri"/>
      <family val="2"/>
    </font>
    <font>
      <sz val="8"/>
      <color rgb="FF8B0000"/>
      <name val="Calibri"/>
      <family val="2"/>
    </font>
    <font>
      <b/>
      <sz val="8"/>
      <color rgb="FFCC5500"/>
      <name val="Calibri"/>
      <family val="2"/>
    </font>
    <font>
      <b/>
      <sz val="11"/>
      <color rgb="FFFFFFFF"/>
      <name val="Calibri"/>
      <family val="2"/>
      <charset val="1"/>
    </font>
    <font>
      <sz val="8"/>
      <color rgb="FF808080"/>
      <name val="Calibri"/>
      <family val="2"/>
    </font>
    <font>
      <sz val="8"/>
      <color rgb="FF0000FF"/>
      <name val="Calibri"/>
      <family val="2"/>
    </font>
    <font>
      <i/>
      <sz val="7"/>
      <color rgb="FFC00000"/>
      <name val="Calibri"/>
      <family val="2"/>
    </font>
    <font>
      <b/>
      <i/>
      <sz val="7"/>
      <color rgb="FF1B365D"/>
      <name val="Calibri"/>
      <family val="2"/>
    </font>
    <font>
      <b/>
      <i/>
      <sz val="8"/>
      <color rgb="FF1B365D"/>
      <name val="Calibri"/>
      <family val="2"/>
    </font>
    <font>
      <b/>
      <sz val="11"/>
      <color rgb="FF1B365D"/>
      <name val="Calibri"/>
      <family val="2"/>
      <charset val="1"/>
    </font>
    <font>
      <sz val="8"/>
      <color rgb="FF008000"/>
      <name val="Calibri"/>
      <family val="2"/>
      <charset val="1"/>
    </font>
    <font>
      <b/>
      <u/>
      <sz val="13"/>
      <color rgb="FF000000"/>
      <name val="Calibri"/>
      <family val="2"/>
    </font>
    <font>
      <b/>
      <sz val="14"/>
      <color rgb="FF000000"/>
      <name val="Calibri"/>
      <family val="2"/>
    </font>
    <font>
      <sz val="11"/>
      <name val="Calibri"/>
      <family val="2"/>
    </font>
    <font>
      <sz val="11"/>
      <color rgb="FFFF0000"/>
      <name val="Calibri"/>
      <family val="2"/>
    </font>
    <font>
      <sz val="11"/>
      <color rgb="FFFFC000"/>
      <name val="Calibri"/>
      <family val="2"/>
    </font>
    <font>
      <sz val="10"/>
      <color rgb="FFFFC000"/>
      <name val="Arial"/>
      <family val="2"/>
    </font>
    <font>
      <sz val="11"/>
      <color theme="1"/>
      <name val="Calibri"/>
      <family val="2"/>
    </font>
    <font>
      <sz val="8"/>
      <color rgb="FF9C5700"/>
      <name val="Calibri"/>
      <family val="2"/>
    </font>
    <font>
      <sz val="8"/>
      <color rgb="FF1B365D"/>
      <name val="Calibri"/>
      <family val="2"/>
    </font>
    <font>
      <b/>
      <sz val="8"/>
      <color rgb="FF9C5700"/>
      <name val="Calibri"/>
      <family val="2"/>
    </font>
    <font>
      <b/>
      <sz val="7"/>
      <color rgb="FF000000"/>
      <name val="Calibri"/>
      <family val="2"/>
    </font>
    <font>
      <sz val="7"/>
      <color theme="1"/>
      <name val="Calibri"/>
      <family val="2"/>
    </font>
    <font>
      <i/>
      <sz val="7"/>
      <color rgb="FFC00000"/>
      <name val="Calibri"/>
      <family val="2"/>
      <charset val="1"/>
    </font>
    <font>
      <b/>
      <sz val="8"/>
      <color rgb="FF375623"/>
      <name val="Calibri"/>
      <family val="2"/>
      <charset val="1"/>
    </font>
    <font>
      <b/>
      <i/>
      <sz val="7"/>
      <color rgb="FF375623"/>
      <name val="Calibri"/>
      <family val="2"/>
      <charset val="1"/>
    </font>
    <font>
      <b/>
      <sz val="10"/>
      <color rgb="FFFFFFFF"/>
      <name val="Arial"/>
      <family val="2"/>
    </font>
    <font>
      <sz val="10"/>
      <color rgb="FFF5C431"/>
      <name val="Arial"/>
      <family val="2"/>
    </font>
    <font>
      <sz val="11"/>
      <color rgb="FFF5C431"/>
      <name val="Calibri"/>
      <family val="2"/>
    </font>
    <font>
      <sz val="10"/>
      <color rgb="FFF0C546"/>
      <name val="Arial"/>
      <family val="2"/>
    </font>
    <font>
      <b/>
      <sz val="8"/>
      <color rgb="FF0070C0"/>
      <name val="Calibri"/>
      <family val="2"/>
    </font>
    <font>
      <b/>
      <sz val="9"/>
      <color rgb="FF1F3864"/>
      <name val="Calibri"/>
      <family val="2"/>
      <charset val="1"/>
    </font>
    <font>
      <sz val="8"/>
      <color rgb="FF666666"/>
      <name val="Calibri"/>
      <family val="2"/>
      <charset val="1"/>
    </font>
    <font>
      <i/>
      <sz val="8"/>
      <color rgb="FF666666"/>
      <name val="Calibri"/>
      <family val="2"/>
      <charset val="1"/>
    </font>
    <font>
      <b/>
      <sz val="8"/>
      <color rgb="FF1F3864"/>
      <name val="Calibri"/>
      <family val="2"/>
      <charset val="1"/>
    </font>
    <font>
      <sz val="8"/>
      <color rgb="FFC00000"/>
      <name val="Calibri"/>
      <family val="2"/>
      <charset val="1"/>
    </font>
    <font>
      <sz val="7"/>
      <color rgb="FF666666"/>
      <name val="Calibri"/>
      <family val="2"/>
      <charset val="1"/>
    </font>
    <font>
      <sz val="8"/>
      <color rgb="FFFFC000"/>
      <name val="Calibri"/>
      <family val="2"/>
      <charset val="1"/>
    </font>
    <font>
      <sz val="8"/>
      <color rgb="FF4472C4"/>
      <name val="Calibri"/>
      <family val="2"/>
      <charset val="1"/>
    </font>
    <font>
      <b/>
      <sz val="10"/>
      <color rgb="FF008000"/>
      <name val="Calibri"/>
      <family val="2"/>
      <charset val="1"/>
    </font>
    <font>
      <i/>
      <sz val="9"/>
      <color rgb="FF808080"/>
      <name val="Calibri"/>
      <family val="2"/>
    </font>
    <font>
      <b/>
      <sz val="9"/>
      <color theme="1"/>
      <name val="Calibri"/>
      <family val="2"/>
    </font>
    <font>
      <sz val="9"/>
      <color rgb="FF0000FF"/>
      <name val="Calibri"/>
      <family val="2"/>
    </font>
    <font>
      <sz val="10"/>
      <color rgb="FF000000"/>
      <name val="Calibri"/>
      <family val="2"/>
      <charset val="1"/>
    </font>
    <font>
      <sz val="10"/>
      <color rgb="FF000000"/>
      <name val="Arial"/>
    </font>
    <font>
      <b/>
      <sz val="10"/>
      <color rgb="FF000000"/>
      <name val="Arial"/>
    </font>
    <font>
      <b/>
      <sz val="8"/>
      <color rgb="FFFFFFFF"/>
      <name val="Calibri"/>
    </font>
    <font>
      <sz val="11"/>
      <color rgb="FFFFFFFF"/>
      <name val="Calibri"/>
      <family val="2"/>
      <charset val="1"/>
    </font>
    <font>
      <sz val="8"/>
      <color theme="1"/>
      <name val="Calibri"/>
    </font>
    <font>
      <i/>
      <sz val="7"/>
      <color rgb="FF808080"/>
      <name val="Calibri"/>
      <family val="2"/>
      <charset val="1"/>
    </font>
    <font>
      <sz val="8"/>
      <color rgb="FF000000"/>
      <name val="Calibri"/>
    </font>
    <font>
      <b/>
      <sz val="8"/>
      <color theme="1"/>
      <name val="Calibri"/>
    </font>
    <font>
      <sz val="8"/>
      <color rgb="FFFF0000"/>
      <name val="Calibri"/>
    </font>
    <font>
      <b/>
      <sz val="8"/>
      <color rgb="FFFF0000"/>
      <name val="Calibri"/>
      <family val="2"/>
      <charset val="1"/>
    </font>
    <font>
      <sz val="8"/>
      <color rgb="FFFF0000"/>
      <name val="Calibri"/>
      <family val="2"/>
      <charset val="1"/>
    </font>
    <font>
      <sz val="8"/>
      <color rgb="FF006100"/>
      <name val="Calibri"/>
    </font>
    <font>
      <b/>
      <sz val="8"/>
      <color rgb="FF8B0000"/>
      <name val="Calibri"/>
    </font>
    <font>
      <sz val="9"/>
      <color rgb="FF000000"/>
      <name val="Calibri"/>
    </font>
    <font>
      <b/>
      <sz val="9"/>
      <color rgb="FFBF8F00"/>
      <name val="Calibri"/>
    </font>
    <font>
      <b/>
      <sz val="11"/>
      <color theme="1"/>
      <name val="Calibri"/>
      <family val="2"/>
      <charset val="1"/>
    </font>
    <font>
      <b/>
      <sz val="8"/>
      <color rgb="FF00B0F0"/>
      <name val="Calibri"/>
    </font>
    <font>
      <sz val="9"/>
      <color indexed="81"/>
      <name val="Tahoma"/>
      <charset val="1"/>
    </font>
    <font>
      <b/>
      <sz val="9"/>
      <color indexed="81"/>
      <name val="Tahoma"/>
      <charset val="1"/>
    </font>
    <font>
      <sz val="11"/>
      <color rgb="FF000000"/>
      <name val="Aptos Narrow"/>
    </font>
    <font>
      <b/>
      <sz val="11"/>
      <color rgb="FFFFFFFF"/>
      <name val="Calibri"/>
    </font>
    <font>
      <b/>
      <sz val="11"/>
      <color rgb="FF000000"/>
      <name val="Aptos Narrow"/>
      <family val="2"/>
    </font>
    <font>
      <b/>
      <sz val="9"/>
      <color rgb="FF9C0006"/>
      <name val="Calibri"/>
    </font>
    <font>
      <sz val="8"/>
      <name val="Helvetica"/>
    </font>
    <font>
      <b/>
      <sz val="12"/>
      <color rgb="FF000000"/>
      <name val="Arial"/>
    </font>
    <font>
      <sz val="6"/>
      <name val="Helvetica"/>
    </font>
    <font>
      <sz val="11"/>
      <color theme="1"/>
      <name val="Calibri"/>
    </font>
    <font>
      <sz val="11"/>
      <color rgb="FF000000"/>
      <name val="Calibri"/>
    </font>
    <font>
      <sz val="9"/>
      <color rgb="FFFF0000"/>
      <name val="Calibri"/>
      <family val="2"/>
    </font>
    <font>
      <b/>
      <sz val="8"/>
      <color rgb="FF9C0006"/>
      <name val="Calibri"/>
    </font>
    <font>
      <b/>
      <sz val="8"/>
      <color rgb="FF1B365D"/>
      <name val="Calibri"/>
    </font>
    <font>
      <b/>
      <sz val="11"/>
      <name val="Calibri"/>
    </font>
    <font>
      <sz val="9"/>
      <color rgb="FF666666"/>
      <name val="Calibri"/>
      <family val="2"/>
      <charset val="1"/>
    </font>
    <font>
      <sz val="11"/>
      <color rgb="FF0000FF"/>
      <name val="Calibri"/>
      <family val="2"/>
      <charset val="1"/>
    </font>
    <font>
      <sz val="11"/>
      <color rgb="FF008000"/>
      <name val="Calibri"/>
      <family val="2"/>
      <charset val="1"/>
    </font>
    <font>
      <b/>
      <sz val="14"/>
      <color rgb="FF1F3864"/>
      <name val="Calibri"/>
      <family val="2"/>
      <charset val="1"/>
    </font>
    <font>
      <i/>
      <sz val="9"/>
      <color rgb="FF808080"/>
      <name val="Calibri"/>
      <family val="2"/>
      <charset val="1"/>
    </font>
    <font>
      <sz val="8"/>
      <color rgb="FF808080"/>
      <name val="Calibri"/>
      <family val="2"/>
      <charset val="1"/>
    </font>
    <font>
      <b/>
      <sz val="9"/>
      <color rgb="FF808080"/>
      <name val="Calibri"/>
      <family val="2"/>
      <charset val="1"/>
    </font>
    <font>
      <b/>
      <sz val="8"/>
      <color rgb="FFFF0000"/>
      <name val="Calibri"/>
    </font>
    <font>
      <b/>
      <sz val="8"/>
      <color rgb="FFC00000"/>
      <name val="Calibri"/>
    </font>
    <font>
      <b/>
      <sz val="8"/>
      <color theme="9"/>
      <name val="Calibri"/>
      <family val="2"/>
      <charset val="1"/>
    </font>
    <font>
      <sz val="11"/>
      <name val="Calibri"/>
    </font>
    <font>
      <sz val="10"/>
      <name val="Arial"/>
    </font>
    <font>
      <b/>
      <sz val="10"/>
      <name val="Arial"/>
    </font>
  </fonts>
  <fills count="67">
    <fill>
      <patternFill patternType="none"/>
    </fill>
    <fill>
      <patternFill patternType="gray125"/>
    </fill>
    <fill>
      <patternFill patternType="solid">
        <fgColor rgb="FFDEEAF6"/>
        <bgColor rgb="FFE2EFDA"/>
      </patternFill>
    </fill>
    <fill>
      <patternFill patternType="solid">
        <fgColor rgb="FF1F3864"/>
        <bgColor rgb="FF333333"/>
      </patternFill>
    </fill>
    <fill>
      <patternFill patternType="solid">
        <fgColor rgb="FFF2F2F2"/>
        <bgColor rgb="FFE2EFDA"/>
      </patternFill>
    </fill>
    <fill>
      <patternFill patternType="solid">
        <fgColor rgb="FFC6EFCE"/>
        <bgColor rgb="FFE2EFDA"/>
      </patternFill>
    </fill>
    <fill>
      <patternFill patternType="solid">
        <fgColor rgb="FFFFC7CE"/>
        <bgColor rgb="FFD9D9D9"/>
      </patternFill>
    </fill>
    <fill>
      <patternFill patternType="solid">
        <fgColor rgb="FFE2EFDA"/>
        <bgColor rgb="FFDEEAF6"/>
      </patternFill>
    </fill>
    <fill>
      <patternFill patternType="solid">
        <fgColor rgb="FFF2F2F2"/>
        <bgColor rgb="FFF2F2F2"/>
      </patternFill>
    </fill>
    <fill>
      <patternFill patternType="solid">
        <fgColor rgb="FFFFF2CC"/>
        <bgColor rgb="FFFFF2CC"/>
      </patternFill>
    </fill>
    <fill>
      <patternFill patternType="solid">
        <fgColor rgb="FF1F3864"/>
        <bgColor rgb="FF1F3864"/>
      </patternFill>
    </fill>
    <fill>
      <patternFill patternType="solid">
        <fgColor rgb="FFE2EFDA"/>
        <bgColor rgb="FFE2EFDA"/>
      </patternFill>
    </fill>
    <fill>
      <patternFill patternType="solid">
        <fgColor rgb="FFE8EEF4"/>
        <bgColor rgb="FFE8EEF4"/>
      </patternFill>
    </fill>
    <fill>
      <patternFill patternType="solid">
        <fgColor theme="0" tint="-4.9989318521683403E-2"/>
        <bgColor indexed="64"/>
      </patternFill>
    </fill>
    <fill>
      <patternFill patternType="solid">
        <fgColor theme="0"/>
        <bgColor indexed="64"/>
      </patternFill>
    </fill>
    <fill>
      <patternFill patternType="solid">
        <fgColor rgb="FFC0C0C0"/>
        <bgColor rgb="FF000000"/>
      </patternFill>
    </fill>
    <fill>
      <patternFill patternType="solid">
        <fgColor rgb="FFFFFFFF"/>
        <bgColor indexed="64"/>
      </patternFill>
    </fill>
    <fill>
      <patternFill patternType="solid">
        <fgColor rgb="FFFFFF00"/>
        <bgColor indexed="64"/>
      </patternFill>
    </fill>
    <fill>
      <patternFill patternType="solid">
        <fgColor theme="4" tint="0.79998168889431442"/>
        <bgColor rgb="FFE2EFDA"/>
      </patternFill>
    </fill>
    <fill>
      <patternFill patternType="solid">
        <fgColor rgb="FFDEEAF6"/>
        <bgColor rgb="FFDCE6F2"/>
      </patternFill>
    </fill>
    <fill>
      <patternFill patternType="solid">
        <fgColor rgb="FFE8EEF4"/>
        <bgColor rgb="FFF0F0F0"/>
      </patternFill>
    </fill>
    <fill>
      <patternFill patternType="solid">
        <fgColor rgb="FFFFF2CC"/>
        <bgColor indexed="64"/>
      </patternFill>
    </fill>
    <fill>
      <patternFill patternType="solid">
        <fgColor rgb="FFFFC7CE"/>
        <bgColor indexed="64"/>
      </patternFill>
    </fill>
    <fill>
      <patternFill patternType="solid">
        <fgColor rgb="FF1F3864"/>
        <bgColor indexed="64"/>
      </patternFill>
    </fill>
    <fill>
      <patternFill patternType="solid">
        <fgColor rgb="FF2E5090"/>
        <bgColor indexed="64"/>
      </patternFill>
    </fill>
    <fill>
      <patternFill patternType="solid">
        <fgColor rgb="FFE8EEF4"/>
        <bgColor indexed="64"/>
      </patternFill>
    </fill>
    <fill>
      <patternFill patternType="solid">
        <fgColor rgb="FFDEEAF6"/>
        <bgColor indexed="64"/>
      </patternFill>
    </fill>
    <fill>
      <patternFill patternType="solid">
        <fgColor rgb="FFF2F2F2"/>
        <bgColor indexed="64"/>
      </patternFill>
    </fill>
    <fill>
      <patternFill patternType="solid">
        <fgColor rgb="FFC6EFCE"/>
        <bgColor indexed="64"/>
      </patternFill>
    </fill>
    <fill>
      <patternFill patternType="solid">
        <fgColor rgb="FFC00000"/>
        <bgColor indexed="64"/>
      </patternFill>
    </fill>
    <fill>
      <patternFill patternType="solid">
        <fgColor rgb="FFFFEB9C"/>
        <bgColor indexed="64"/>
      </patternFill>
    </fill>
    <fill>
      <patternFill patternType="solid">
        <fgColor rgb="FFFFFCE6"/>
        <bgColor indexed="64"/>
      </patternFill>
    </fill>
    <fill>
      <patternFill patternType="solid">
        <fgColor rgb="FFFFD2D2"/>
        <bgColor indexed="64"/>
      </patternFill>
    </fill>
    <fill>
      <patternFill patternType="solid">
        <fgColor rgb="FFFFE8CC"/>
        <bgColor indexed="64"/>
      </patternFill>
    </fill>
    <fill>
      <patternFill patternType="solid">
        <fgColor rgb="FFFFF9CC"/>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FF00"/>
        <bgColor rgb="FF000000"/>
      </patternFill>
    </fill>
    <fill>
      <patternFill patternType="solid">
        <fgColor rgb="FFDAEEF3"/>
        <bgColor rgb="FF000000"/>
      </patternFill>
    </fill>
    <fill>
      <patternFill patternType="solid">
        <fgColor rgb="FFD6E4F0"/>
        <bgColor indexed="64"/>
      </patternFill>
    </fill>
    <fill>
      <patternFill patternType="solid">
        <fgColor rgb="FFD9E2F3"/>
        <bgColor indexed="64"/>
      </patternFill>
    </fill>
    <fill>
      <patternFill patternType="solid">
        <fgColor rgb="FF00B0F0"/>
        <bgColor indexed="64"/>
      </patternFill>
    </fill>
    <fill>
      <patternFill patternType="solid">
        <fgColor theme="9"/>
        <bgColor indexed="64"/>
      </patternFill>
    </fill>
    <fill>
      <patternFill patternType="solid">
        <fgColor theme="6" tint="0.59999389629810485"/>
        <bgColor indexed="64"/>
      </patternFill>
    </fill>
    <fill>
      <patternFill patternType="solid">
        <fgColor rgb="FFE2EFDA"/>
        <bgColor indexed="64"/>
      </patternFill>
    </fill>
    <fill>
      <patternFill patternType="solid">
        <fgColor rgb="FFFCE4D6"/>
        <bgColor indexed="64"/>
      </patternFill>
    </fill>
    <fill>
      <patternFill patternType="solid">
        <fgColor rgb="FFD6DCE4"/>
        <bgColor indexed="64"/>
      </patternFill>
    </fill>
    <fill>
      <patternFill patternType="solid">
        <fgColor rgb="FFDAEEF3"/>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9" tint="-0.249977111117893"/>
        <bgColor indexed="64"/>
      </patternFill>
    </fill>
    <fill>
      <patternFill patternType="solid">
        <fgColor theme="7" tint="0.79998168889431442"/>
        <bgColor indexed="64"/>
      </patternFill>
    </fill>
    <fill>
      <patternFill patternType="solid">
        <fgColor rgb="FF102346"/>
        <bgColor rgb="FF003300"/>
      </patternFill>
    </fill>
    <fill>
      <patternFill patternType="solid">
        <fgColor theme="8" tint="0.79998168889431442"/>
        <bgColor indexed="64"/>
      </patternFill>
    </fill>
    <fill>
      <patternFill patternType="solid">
        <fgColor rgb="FFF2F6FA"/>
        <bgColor indexed="64"/>
      </patternFill>
    </fill>
    <fill>
      <patternFill patternType="solid">
        <fgColor rgb="FF4472C4"/>
        <bgColor indexed="64"/>
      </patternFill>
    </fill>
    <fill>
      <patternFill patternType="solid">
        <fgColor rgb="FFDCE6F1"/>
        <bgColor indexed="64"/>
      </patternFill>
    </fill>
    <fill>
      <patternFill patternType="solid">
        <fgColor rgb="FFFFE699"/>
        <bgColor indexed="64"/>
      </patternFill>
    </fill>
    <fill>
      <patternFill patternType="solid">
        <fgColor rgb="FFE7E6E6"/>
        <bgColor indexed="64"/>
      </patternFill>
    </fill>
    <fill>
      <patternFill patternType="solid">
        <fgColor rgb="FF808080"/>
        <bgColor indexed="64"/>
      </patternFill>
    </fill>
    <fill>
      <patternFill patternType="solid">
        <fgColor rgb="FF1F6E6E"/>
        <bgColor indexed="64"/>
      </patternFill>
    </fill>
    <fill>
      <patternFill patternType="solid">
        <fgColor theme="1"/>
        <bgColor indexed="64"/>
      </patternFill>
    </fill>
    <fill>
      <patternFill patternType="solid">
        <fgColor rgb="FFEBF1DE"/>
        <bgColor rgb="FF000000"/>
      </patternFill>
    </fill>
    <fill>
      <patternFill patternType="solid">
        <fgColor rgb="FFFFFFFF"/>
        <bgColor rgb="FF000000"/>
      </patternFill>
    </fill>
    <fill>
      <patternFill patternType="solid">
        <fgColor theme="7" tint="0.59999389629810485"/>
        <bgColor indexed="64"/>
      </patternFill>
    </fill>
    <fill>
      <patternFill patternType="solid">
        <fgColor rgb="FF2E5395"/>
        <bgColor indexed="64"/>
      </patternFill>
    </fill>
  </fills>
  <borders count="80">
    <border>
      <left/>
      <right/>
      <top/>
      <bottom/>
      <diagonal/>
    </border>
    <border>
      <left style="thin">
        <color rgb="FFD9D9D9"/>
      </left>
      <right style="thin">
        <color rgb="FFD9D9D9"/>
      </right>
      <top style="thin">
        <color rgb="FFD9D9D9"/>
      </top>
      <bottom style="thin">
        <color rgb="FFD9D9D9"/>
      </bottom>
      <diagonal/>
    </border>
    <border>
      <left/>
      <right/>
      <top/>
      <bottom/>
      <diagonal/>
    </border>
    <border>
      <left/>
      <right/>
      <top/>
      <bottom style="medium">
        <color rgb="FF2E5090"/>
      </bottom>
      <diagonal/>
    </border>
    <border>
      <left/>
      <right/>
      <top style="thin">
        <color auto="1"/>
      </top>
      <bottom/>
      <diagonal/>
    </border>
    <border>
      <left/>
      <right/>
      <top/>
      <bottom style="double">
        <color indexed="64"/>
      </bottom>
      <diagonal/>
    </border>
    <border>
      <left/>
      <right/>
      <top style="thin">
        <color rgb="FF000000"/>
      </top>
      <bottom/>
      <diagonal/>
    </border>
    <border>
      <left/>
      <right/>
      <top/>
      <bottom style="thin">
        <color rgb="FFD0D0D0"/>
      </bottom>
      <diagonal/>
    </border>
    <border>
      <left/>
      <right/>
      <top style="thin">
        <color rgb="FFD9D9D9"/>
      </top>
      <bottom/>
      <diagonal/>
    </border>
    <border>
      <left/>
      <right style="thin">
        <color rgb="FFD9D9D9"/>
      </right>
      <top style="medium">
        <color rgb="FF2E5090"/>
      </top>
      <bottom/>
      <diagonal/>
    </border>
    <border>
      <left/>
      <right/>
      <top style="thin">
        <color rgb="FFD9D9D9"/>
      </top>
      <bottom style="thin">
        <color rgb="FFD9D9D9"/>
      </bottom>
      <diagonal/>
    </border>
    <border>
      <left/>
      <right style="thin">
        <color rgb="FFD9D9D9"/>
      </right>
      <top style="thin">
        <color rgb="FFD9D9D9"/>
      </top>
      <bottom style="thin">
        <color rgb="FFD9D9D9"/>
      </bottom>
      <diagonal/>
    </border>
    <border>
      <left/>
      <right style="thin">
        <color rgb="FFD9D9D9"/>
      </right>
      <top style="thin">
        <color rgb="FFD9D9D9"/>
      </top>
      <bottom/>
      <diagonal/>
    </border>
    <border>
      <left/>
      <right/>
      <top/>
      <bottom style="thin">
        <color rgb="FFD9D9D9"/>
      </bottom>
      <diagonal/>
    </border>
    <border>
      <left style="thin">
        <color rgb="FFD9D9D9"/>
      </left>
      <right/>
      <top style="thin">
        <color rgb="FFD9D9D9"/>
      </top>
      <bottom/>
      <diagonal/>
    </border>
    <border>
      <left style="thin">
        <color rgb="FFD9D9D9"/>
      </left>
      <right/>
      <top style="thin">
        <color rgb="FFD9D9D9"/>
      </top>
      <bottom style="thin">
        <color rgb="FFD9D9D9"/>
      </bottom>
      <diagonal/>
    </border>
    <border>
      <left style="thin">
        <color rgb="FF1F3864"/>
      </left>
      <right style="thin">
        <color rgb="FF1F3864"/>
      </right>
      <top/>
      <bottom/>
      <diagonal/>
    </border>
    <border>
      <left/>
      <right/>
      <top style="thin">
        <color rgb="FFD0D0D0"/>
      </top>
      <bottom style="thin">
        <color rgb="FFD0D0D0"/>
      </bottom>
      <diagonal/>
    </border>
    <border>
      <left/>
      <right/>
      <top style="thin">
        <color rgb="FFD0D0D0"/>
      </top>
      <bottom/>
      <diagonal/>
    </border>
    <border>
      <left/>
      <right style="thin">
        <color rgb="FFD0D0D0"/>
      </right>
      <top/>
      <bottom style="thin">
        <color rgb="FFD0D0D0"/>
      </bottom>
      <diagonal/>
    </border>
    <border>
      <left style="thin">
        <color rgb="FFD0D0D0"/>
      </left>
      <right style="thin">
        <color rgb="FFD0D0D0"/>
      </right>
      <top/>
      <bottom style="thin">
        <color rgb="FFD0D0D0"/>
      </bottom>
      <diagonal/>
    </border>
    <border>
      <left style="thin">
        <color rgb="FFD0D0D0"/>
      </left>
      <right/>
      <top/>
      <bottom style="thin">
        <color rgb="FFD0D0D0"/>
      </bottom>
      <diagonal/>
    </border>
    <border>
      <left/>
      <right style="thin">
        <color rgb="FFD0D0D0"/>
      </right>
      <top style="thin">
        <color rgb="FFD0D0D0"/>
      </top>
      <bottom style="thin">
        <color rgb="FFD0D0D0"/>
      </bottom>
      <diagonal/>
    </border>
    <border>
      <left style="thin">
        <color rgb="FFD0D0D0"/>
      </left>
      <right style="thin">
        <color rgb="FFD0D0D0"/>
      </right>
      <top style="thin">
        <color rgb="FFD0D0D0"/>
      </top>
      <bottom style="thin">
        <color rgb="FFD0D0D0"/>
      </bottom>
      <diagonal/>
    </border>
    <border>
      <left style="thin">
        <color rgb="FFD0D0D0"/>
      </left>
      <right/>
      <top style="thin">
        <color rgb="FFD0D0D0"/>
      </top>
      <bottom style="thin">
        <color rgb="FFD0D0D0"/>
      </bottom>
      <diagonal/>
    </border>
    <border>
      <left/>
      <right style="thin">
        <color rgb="FFD0D0D0"/>
      </right>
      <top style="thin">
        <color rgb="FFD0D0D0"/>
      </top>
      <bottom/>
      <diagonal/>
    </border>
    <border>
      <left style="thin">
        <color rgb="FFD0D0D0"/>
      </left>
      <right style="thin">
        <color rgb="FFD0D0D0"/>
      </right>
      <top style="thin">
        <color rgb="FFD0D0D0"/>
      </top>
      <bottom/>
      <diagonal/>
    </border>
    <border>
      <left style="thin">
        <color rgb="FFD0D0D0"/>
      </left>
      <right/>
      <top style="thin">
        <color rgb="FFD0D0D0"/>
      </top>
      <bottom/>
      <diagonal/>
    </border>
    <border>
      <left style="thin">
        <color rgb="FFD0D0D0"/>
      </left>
      <right/>
      <top/>
      <bottom/>
      <diagonal/>
    </border>
    <border>
      <left/>
      <right/>
      <top/>
      <bottom style="medium">
        <color rgb="FF1F3864"/>
      </bottom>
      <diagonal/>
    </border>
    <border>
      <left/>
      <right/>
      <top style="medium">
        <color rgb="FF1F3864"/>
      </top>
      <bottom style="thin">
        <color rgb="FFD0D0D0"/>
      </bottom>
      <diagonal/>
    </border>
    <border>
      <left style="thin">
        <color rgb="FFD0D0D0"/>
      </left>
      <right/>
      <top style="medium">
        <color rgb="FF1F3864"/>
      </top>
      <bottom style="thin">
        <color rgb="FFD0D0D0"/>
      </bottom>
      <diagonal/>
    </border>
    <border>
      <left style="thin">
        <color rgb="FFD9D9D9"/>
      </left>
      <right style="thin">
        <color rgb="FFD9D9D9"/>
      </right>
      <top style="thin">
        <color rgb="FFD9D9D9"/>
      </top>
      <bottom/>
      <diagonal/>
    </border>
    <border>
      <left style="thin">
        <color rgb="FFD9D9D9"/>
      </left>
      <right style="thin">
        <color rgb="FFD9D9D9"/>
      </right>
      <top/>
      <bottom/>
      <diagonal/>
    </border>
    <border>
      <left/>
      <right style="thin">
        <color rgb="FFD9D9D9"/>
      </right>
      <top style="hair">
        <color rgb="FF2E5090"/>
      </top>
      <bottom/>
      <diagonal/>
    </border>
    <border>
      <left style="thin">
        <color rgb="FFD9D9D9"/>
      </left>
      <right/>
      <top/>
      <bottom/>
      <diagonal/>
    </border>
    <border>
      <left style="thin">
        <color rgb="FFD9D9D9"/>
      </left>
      <right style="thin">
        <color rgb="FFD9D9D9"/>
      </right>
      <top style="hair">
        <color rgb="FF2E5090"/>
      </top>
      <bottom/>
      <diagonal/>
    </border>
    <border>
      <left style="thin">
        <color rgb="FFD9D9D9"/>
      </left>
      <right/>
      <top style="hair">
        <color rgb="FF2E5090"/>
      </top>
      <bottom/>
      <diagonal/>
    </border>
    <border>
      <left style="thin">
        <color rgb="FFD9D9D9"/>
      </left>
      <right style="thin">
        <color rgb="FFD9D9D9"/>
      </right>
      <top style="medium">
        <color rgb="FF2E5090"/>
      </top>
      <bottom style="thin">
        <color rgb="FFD9D9D9"/>
      </bottom>
      <diagonal/>
    </border>
    <border>
      <left/>
      <right style="thin">
        <color rgb="FFD9D9D9"/>
      </right>
      <top style="medium">
        <color rgb="FF2E5090"/>
      </top>
      <bottom style="thin">
        <color rgb="FFD9D9D9"/>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right style="thin">
        <color rgb="FFD9D9D9"/>
      </right>
      <top/>
      <bottom/>
      <diagonal/>
    </border>
    <border>
      <left style="thin">
        <color rgb="FF000000"/>
      </left>
      <right style="thin">
        <color rgb="FF000000"/>
      </right>
      <top style="thin">
        <color rgb="FF000000"/>
      </top>
      <bottom/>
      <diagonal/>
    </border>
    <border>
      <left/>
      <right/>
      <top style="medium">
        <color rgb="FF1F3864"/>
      </top>
      <bottom/>
      <diagonal/>
    </border>
    <border>
      <left/>
      <right/>
      <top style="thin">
        <color rgb="FFE0E0E0"/>
      </top>
      <bottom style="thin">
        <color rgb="FFE0E0E0"/>
      </bottom>
      <diagonal/>
    </border>
    <border>
      <left/>
      <right/>
      <top style="thin">
        <color rgb="FFE0E0E0"/>
      </top>
      <bottom/>
      <diagonal/>
    </border>
    <border>
      <left/>
      <right/>
      <top/>
      <bottom style="thin">
        <color rgb="FF000000"/>
      </bottom>
      <diagonal/>
    </border>
    <border>
      <left style="thin">
        <color rgb="FF000000"/>
      </left>
      <right style="thin">
        <color rgb="FF000000"/>
      </right>
      <top/>
      <bottom style="thin">
        <color rgb="FF000000"/>
      </bottom>
      <diagonal/>
    </border>
    <border>
      <left/>
      <right/>
      <top/>
      <bottom style="thin">
        <color rgb="FF1F3864"/>
      </bottom>
      <diagonal/>
    </border>
    <border>
      <left/>
      <right/>
      <top style="thin">
        <color rgb="FF1F3864"/>
      </top>
      <bottom/>
      <diagonal/>
    </border>
    <border>
      <left/>
      <right/>
      <top style="thin">
        <color rgb="FF1F3864"/>
      </top>
      <bottom style="thin">
        <color rgb="FF1F3864"/>
      </bottom>
      <diagonal/>
    </border>
    <border>
      <left/>
      <right/>
      <top style="medium">
        <color rgb="FF1F3864"/>
      </top>
      <bottom style="medium">
        <color rgb="FF1F3864"/>
      </bottom>
      <diagonal/>
    </border>
    <border>
      <left style="thin">
        <color rgb="FFD9D9D9"/>
      </left>
      <right/>
      <top style="thin">
        <color rgb="FF2E5090"/>
      </top>
      <bottom style="thin">
        <color rgb="FFD9D9D9"/>
      </bottom>
      <diagonal/>
    </border>
    <border>
      <left/>
      <right/>
      <top style="thin">
        <color rgb="FF2E5090"/>
      </top>
      <bottom style="thin">
        <color rgb="FFD9D9D9"/>
      </bottom>
      <diagonal/>
    </border>
    <border>
      <left/>
      <right style="thin">
        <color rgb="FFD9D9D9"/>
      </right>
      <top style="thin">
        <color rgb="FF2E5090"/>
      </top>
      <bottom style="thin">
        <color rgb="FFD9D9D9"/>
      </bottom>
      <diagonal/>
    </border>
    <border>
      <left style="thin">
        <color rgb="FFD9D9D9"/>
      </left>
      <right/>
      <top style="thin">
        <color rgb="FF2E5090"/>
      </top>
      <bottom/>
      <diagonal/>
    </border>
    <border>
      <left/>
      <right/>
      <top style="thin">
        <color rgb="FF2E5090"/>
      </top>
      <bottom/>
      <diagonal/>
    </border>
    <border>
      <left/>
      <right style="thin">
        <color rgb="FFD9D9D9"/>
      </right>
      <top style="thin">
        <color rgb="FF2E5090"/>
      </top>
      <bottom/>
      <diagonal/>
    </border>
    <border>
      <left/>
      <right/>
      <top style="thin">
        <color rgb="FFD9D9D9"/>
      </top>
      <bottom style="thin">
        <color rgb="FF2E5090"/>
      </bottom>
      <diagonal/>
    </border>
    <border>
      <left style="medium">
        <color rgb="FF2E5090"/>
      </left>
      <right style="thin">
        <color rgb="FFD9D9D9"/>
      </right>
      <top style="medium">
        <color rgb="FF2E5090"/>
      </top>
      <bottom style="thin">
        <color rgb="FFD9D9D9"/>
      </bottom>
      <diagonal/>
    </border>
    <border>
      <left style="thin">
        <color rgb="FFD9D9D9"/>
      </left>
      <right style="medium">
        <color rgb="FF2E5090"/>
      </right>
      <top style="medium">
        <color rgb="FF2E5090"/>
      </top>
      <bottom style="thin">
        <color rgb="FFD9D9D9"/>
      </bottom>
      <diagonal/>
    </border>
    <border>
      <left style="medium">
        <color rgb="FF2E5090"/>
      </left>
      <right style="thin">
        <color rgb="FFD9D9D9"/>
      </right>
      <top style="thin">
        <color rgb="FFD9D9D9"/>
      </top>
      <bottom style="thin">
        <color rgb="FFD9D9D9"/>
      </bottom>
      <diagonal/>
    </border>
    <border>
      <left style="thin">
        <color rgb="FFD9D9D9"/>
      </left>
      <right style="medium">
        <color rgb="FF2E5090"/>
      </right>
      <top style="thin">
        <color rgb="FFD9D9D9"/>
      </top>
      <bottom style="thin">
        <color rgb="FFD9D9D9"/>
      </bottom>
      <diagonal/>
    </border>
    <border>
      <left style="medium">
        <color rgb="FF2E5090"/>
      </left>
      <right style="thin">
        <color rgb="FFD9D9D9"/>
      </right>
      <top style="thin">
        <color rgb="FFD9D9D9"/>
      </top>
      <bottom style="medium">
        <color rgb="FF2E5090"/>
      </bottom>
      <diagonal/>
    </border>
    <border>
      <left style="thin">
        <color rgb="FFD9D9D9"/>
      </left>
      <right style="thin">
        <color rgb="FFD9D9D9"/>
      </right>
      <top style="thin">
        <color rgb="FFD9D9D9"/>
      </top>
      <bottom style="medium">
        <color rgb="FF2E5090"/>
      </bottom>
      <diagonal/>
    </border>
    <border>
      <left style="thin">
        <color rgb="FFD9D9D9"/>
      </left>
      <right style="medium">
        <color rgb="FF2E5090"/>
      </right>
      <top style="thin">
        <color rgb="FFD9D9D9"/>
      </top>
      <bottom style="medium">
        <color rgb="FF2E5090"/>
      </bottom>
      <diagonal/>
    </border>
    <border>
      <left style="thin">
        <color rgb="FFD9D9D9"/>
      </left>
      <right style="thin">
        <color rgb="FFD9D9D9"/>
      </right>
      <top style="thin">
        <color rgb="FF2E5090"/>
      </top>
      <bottom style="thin">
        <color rgb="FFD9D9D9"/>
      </bottom>
      <diagonal/>
    </border>
    <border>
      <left/>
      <right/>
      <top/>
      <bottom style="thin">
        <color auto="1"/>
      </bottom>
      <diagonal/>
    </border>
    <border>
      <left/>
      <right/>
      <top style="medium">
        <color rgb="FF8B0000"/>
      </top>
      <bottom style="thin">
        <color rgb="FFE0E0E0"/>
      </bottom>
      <diagonal/>
    </border>
    <border>
      <left/>
      <right/>
      <top style="thin">
        <color rgb="FF000000"/>
      </top>
      <bottom style="double">
        <color rgb="FF000000"/>
      </bottom>
      <diagonal/>
    </border>
    <border>
      <left style="thin">
        <color rgb="FF8EAADB"/>
      </left>
      <right/>
      <top/>
      <bottom/>
      <diagonal/>
    </border>
    <border>
      <left style="thin">
        <color rgb="FF8EAADB"/>
      </left>
      <right/>
      <top/>
      <bottom style="medium">
        <color rgb="FF1F3864"/>
      </bottom>
      <diagonal/>
    </border>
    <border>
      <left style="thin">
        <color rgb="FF8EAADB"/>
      </left>
      <right/>
      <top/>
      <bottom style="thin">
        <color rgb="FF1F3864"/>
      </bottom>
      <diagonal/>
    </border>
    <border>
      <left/>
      <right style="thin">
        <color rgb="FF8EAADB"/>
      </right>
      <top/>
      <bottom/>
      <diagonal/>
    </border>
  </borders>
  <cellStyleXfs count="21">
    <xf numFmtId="0" fontId="0" fillId="0" borderId="0"/>
    <xf numFmtId="0" fontId="32" fillId="0" borderId="2"/>
    <xf numFmtId="0" fontId="42" fillId="0" borderId="2"/>
    <xf numFmtId="0" fontId="6" fillId="0" borderId="2"/>
    <xf numFmtId="0" fontId="5" fillId="0" borderId="2"/>
    <xf numFmtId="0" fontId="97" fillId="0" borderId="2"/>
    <xf numFmtId="0" fontId="35" fillId="0" borderId="2"/>
    <xf numFmtId="0" fontId="107" fillId="35" borderId="2" applyNumberFormat="0" applyBorder="0" applyAlignment="0" applyProtection="0"/>
    <xf numFmtId="0" fontId="109" fillId="37" borderId="2" applyNumberFormat="0" applyBorder="0" applyAlignment="0" applyProtection="0"/>
    <xf numFmtId="0" fontId="108" fillId="36" borderId="2" applyNumberFormat="0" applyBorder="0" applyAlignment="0" applyProtection="0"/>
    <xf numFmtId="0" fontId="116" fillId="0" borderId="2"/>
    <xf numFmtId="0" fontId="121" fillId="37" borderId="2" applyNumberFormat="0" applyBorder="0" applyAlignment="0" applyProtection="0"/>
    <xf numFmtId="0" fontId="122" fillId="36" borderId="2" applyNumberFormat="0" applyBorder="0" applyAlignment="0" applyProtection="0"/>
    <xf numFmtId="0" fontId="124" fillId="35" borderId="2" applyNumberFormat="0" applyBorder="0" applyAlignment="0" applyProtection="0"/>
    <xf numFmtId="0" fontId="35" fillId="0" borderId="2" applyBorder="0"/>
    <xf numFmtId="0" fontId="150" fillId="0" borderId="2"/>
    <xf numFmtId="0" fontId="4" fillId="0" borderId="2"/>
    <xf numFmtId="0" fontId="3" fillId="0" borderId="2"/>
    <xf numFmtId="0" fontId="2" fillId="0" borderId="2"/>
    <xf numFmtId="0" fontId="223" fillId="0" borderId="2"/>
    <xf numFmtId="0" fontId="1" fillId="0" borderId="2"/>
  </cellStyleXfs>
  <cellXfs count="1279">
    <xf numFmtId="0" fontId="0" fillId="0" borderId="0" xfId="0"/>
    <xf numFmtId="0" fontId="7" fillId="0" borderId="0" xfId="0" applyFont="1"/>
    <xf numFmtId="0" fontId="8" fillId="0" borderId="0" xfId="0" applyFont="1"/>
    <xf numFmtId="0" fontId="9" fillId="0" borderId="0" xfId="0" applyFont="1"/>
    <xf numFmtId="0" fontId="11" fillId="0" borderId="0" xfId="0" applyFont="1"/>
    <xf numFmtId="164" fontId="9" fillId="0" borderId="0" xfId="0" applyNumberFormat="1" applyFont="1"/>
    <xf numFmtId="0" fontId="15" fillId="0" borderId="0" xfId="0" applyFont="1"/>
    <xf numFmtId="0" fontId="16" fillId="5" borderId="0" xfId="0" applyFont="1" applyFill="1"/>
    <xf numFmtId="0" fontId="17" fillId="6" borderId="0" xfId="0" applyFont="1" applyFill="1"/>
    <xf numFmtId="0" fontId="18" fillId="0" borderId="0" xfId="0" applyFont="1"/>
    <xf numFmtId="0" fontId="19" fillId="0" borderId="0" xfId="0" applyFont="1"/>
    <xf numFmtId="0" fontId="20" fillId="0" borderId="0" xfId="0" applyFont="1"/>
    <xf numFmtId="0" fontId="21" fillId="0" borderId="0" xfId="0" applyFont="1" applyAlignment="1">
      <alignment horizontal="center" vertical="center"/>
    </xf>
    <xf numFmtId="0" fontId="22" fillId="3" borderId="0" xfId="0" applyFont="1" applyFill="1"/>
    <xf numFmtId="168" fontId="22" fillId="3" borderId="0" xfId="0" applyNumberFormat="1" applyFont="1" applyFill="1" applyAlignment="1">
      <alignment horizontal="center" vertical="center"/>
    </xf>
    <xf numFmtId="0" fontId="9" fillId="4" borderId="0" xfId="0" applyFont="1" applyFill="1"/>
    <xf numFmtId="0" fontId="0" fillId="4" borderId="0" xfId="0" applyFill="1"/>
    <xf numFmtId="0" fontId="12" fillId="3" borderId="0" xfId="0" applyFont="1" applyFill="1"/>
    <xf numFmtId="17" fontId="12" fillId="3" borderId="0" xfId="0" applyNumberFormat="1" applyFont="1" applyFill="1" applyAlignment="1">
      <alignment horizontal="center" vertical="center"/>
    </xf>
    <xf numFmtId="0" fontId="15" fillId="4" borderId="0" xfId="0" applyFont="1" applyFill="1"/>
    <xf numFmtId="0" fontId="25" fillId="0" borderId="0" xfId="0" applyFont="1"/>
    <xf numFmtId="0" fontId="26" fillId="0" borderId="0" xfId="0" applyFont="1"/>
    <xf numFmtId="0" fontId="27" fillId="0" borderId="0" xfId="0" applyFont="1"/>
    <xf numFmtId="0" fontId="28" fillId="0" borderId="0" xfId="0" applyFont="1"/>
    <xf numFmtId="0" fontId="29" fillId="0" borderId="0" xfId="0" applyFont="1"/>
    <xf numFmtId="0" fontId="0" fillId="8" borderId="0" xfId="0" applyFill="1"/>
    <xf numFmtId="167" fontId="30" fillId="0" borderId="0" xfId="0" applyNumberFormat="1" applyFont="1"/>
    <xf numFmtId="167" fontId="0" fillId="0" borderId="0" xfId="0" applyNumberFormat="1" applyAlignment="1">
      <alignment horizontal="right"/>
    </xf>
    <xf numFmtId="167" fontId="0" fillId="0" borderId="1" xfId="0" applyNumberFormat="1" applyBorder="1" applyAlignment="1">
      <alignment horizontal="center"/>
    </xf>
    <xf numFmtId="167" fontId="0" fillId="11" borderId="1" xfId="0" applyNumberFormat="1" applyFill="1" applyBorder="1" applyAlignment="1">
      <alignment horizontal="center"/>
    </xf>
    <xf numFmtId="0" fontId="0" fillId="0" borderId="2" xfId="0" applyBorder="1"/>
    <xf numFmtId="167" fontId="0" fillId="0" borderId="2" xfId="0" applyNumberFormat="1" applyBorder="1" applyAlignment="1">
      <alignment horizontal="center"/>
    </xf>
    <xf numFmtId="0" fontId="31" fillId="12" borderId="3" xfId="0" applyFont="1" applyFill="1" applyBorder="1" applyAlignment="1">
      <alignment horizontal="left" vertical="center"/>
    </xf>
    <xf numFmtId="0" fontId="0" fillId="12" borderId="3" xfId="0" applyFill="1" applyBorder="1"/>
    <xf numFmtId="10" fontId="0" fillId="2" borderId="1" xfId="0" applyNumberFormat="1" applyFill="1" applyBorder="1" applyAlignment="1">
      <alignment horizontal="center" vertical="center"/>
    </xf>
    <xf numFmtId="3" fontId="0" fillId="2" borderId="1" xfId="0" applyNumberFormat="1" applyFill="1" applyBorder="1" applyAlignment="1">
      <alignment horizontal="center" vertical="center"/>
    </xf>
    <xf numFmtId="166" fontId="0" fillId="2" borderId="1" xfId="0" applyNumberFormat="1" applyFill="1" applyBorder="1" applyAlignment="1">
      <alignment horizontal="center" vertical="center"/>
    </xf>
    <xf numFmtId="165" fontId="0" fillId="2" borderId="1" xfId="0" applyNumberFormat="1" applyFill="1" applyBorder="1" applyAlignment="1">
      <alignment horizontal="center" vertical="center"/>
    </xf>
    <xf numFmtId="167" fontId="0" fillId="2" borderId="1" xfId="0" applyNumberFormat="1" applyFill="1" applyBorder="1" applyAlignment="1">
      <alignment horizontal="center" vertical="center"/>
    </xf>
    <xf numFmtId="0" fontId="39" fillId="0" borderId="0" xfId="0" applyFont="1"/>
    <xf numFmtId="0" fontId="40" fillId="0" borderId="0" xfId="0" applyFont="1"/>
    <xf numFmtId="166" fontId="0" fillId="18" borderId="1" xfId="0" applyNumberFormat="1" applyFill="1" applyBorder="1" applyAlignment="1">
      <alignment horizontal="center" vertical="center"/>
    </xf>
    <xf numFmtId="0" fontId="10" fillId="2" borderId="1" xfId="0" applyFont="1" applyFill="1" applyBorder="1" applyAlignment="1">
      <alignment horizontal="center" vertical="center"/>
    </xf>
    <xf numFmtId="0" fontId="12" fillId="3" borderId="1" xfId="0" applyFont="1" applyFill="1" applyBorder="1" applyAlignment="1">
      <alignment horizontal="center" vertical="center"/>
    </xf>
    <xf numFmtId="0" fontId="13" fillId="0" borderId="1" xfId="0" applyFont="1" applyBorder="1"/>
    <xf numFmtId="165" fontId="14" fillId="4" borderId="1" xfId="0" applyNumberFormat="1" applyFont="1" applyFill="1" applyBorder="1" applyAlignment="1">
      <alignment horizontal="center" vertical="center"/>
    </xf>
    <xf numFmtId="165" fontId="14" fillId="0" borderId="1" xfId="0" applyNumberFormat="1" applyFont="1" applyBorder="1" applyAlignment="1">
      <alignment horizontal="center" vertical="center"/>
    </xf>
    <xf numFmtId="0" fontId="14" fillId="0" borderId="1" xfId="0" applyFont="1" applyBorder="1" applyAlignment="1">
      <alignment horizontal="center" vertical="center"/>
    </xf>
    <xf numFmtId="3" fontId="14" fillId="4" borderId="1" xfId="0" applyNumberFormat="1" applyFont="1" applyFill="1" applyBorder="1" applyAlignment="1">
      <alignment horizontal="center" vertical="center"/>
    </xf>
    <xf numFmtId="3" fontId="14" fillId="0" borderId="1" xfId="0" applyNumberFormat="1" applyFont="1" applyBorder="1" applyAlignment="1">
      <alignment horizontal="center" vertical="center"/>
    </xf>
    <xf numFmtId="166" fontId="14" fillId="4" borderId="1" xfId="0" applyNumberFormat="1" applyFont="1" applyFill="1" applyBorder="1" applyAlignment="1">
      <alignment horizontal="center" vertical="center"/>
    </xf>
    <xf numFmtId="166" fontId="14" fillId="0" borderId="1" xfId="0" applyNumberFormat="1" applyFont="1" applyBorder="1" applyAlignment="1">
      <alignment horizontal="center" vertical="center"/>
    </xf>
    <xf numFmtId="167" fontId="14" fillId="4" borderId="1" xfId="0" applyNumberFormat="1" applyFont="1" applyFill="1" applyBorder="1" applyAlignment="1">
      <alignment horizontal="center"/>
    </xf>
    <xf numFmtId="167" fontId="14" fillId="0" borderId="1" xfId="0" applyNumberFormat="1" applyFont="1" applyBorder="1" applyAlignment="1">
      <alignment horizontal="center"/>
    </xf>
    <xf numFmtId="167" fontId="14" fillId="0" borderId="1" xfId="0" applyNumberFormat="1" applyFont="1" applyBorder="1" applyAlignment="1">
      <alignment horizontal="center" vertical="center"/>
    </xf>
    <xf numFmtId="0" fontId="14" fillId="0" borderId="1" xfId="0" applyFont="1" applyBorder="1" applyAlignment="1">
      <alignment horizontal="center"/>
    </xf>
    <xf numFmtId="0" fontId="22" fillId="10" borderId="1" xfId="0" applyFont="1" applyFill="1" applyBorder="1" applyAlignment="1">
      <alignment horizontal="center" vertical="center" wrapText="1"/>
    </xf>
    <xf numFmtId="0" fontId="26" fillId="0" borderId="1" xfId="0" applyFont="1" applyBorder="1"/>
    <xf numFmtId="171" fontId="0" fillId="0" borderId="1" xfId="0" applyNumberFormat="1" applyBorder="1" applyAlignment="1">
      <alignment horizontal="center"/>
    </xf>
    <xf numFmtId="172" fontId="0" fillId="0" borderId="1" xfId="0" applyNumberFormat="1" applyBorder="1" applyAlignment="1">
      <alignment horizontal="right"/>
    </xf>
    <xf numFmtId="0" fontId="0" fillId="0" borderId="1" xfId="0" applyBorder="1" applyAlignment="1">
      <alignment horizontal="center"/>
    </xf>
    <xf numFmtId="0" fontId="26" fillId="13" borderId="1" xfId="0" applyFont="1" applyFill="1" applyBorder="1"/>
    <xf numFmtId="171" fontId="0" fillId="13" borderId="1" xfId="0" applyNumberFormat="1" applyFill="1" applyBorder="1" applyAlignment="1">
      <alignment horizontal="center"/>
    </xf>
    <xf numFmtId="172" fontId="0" fillId="13" borderId="1" xfId="0" applyNumberFormat="1" applyFill="1" applyBorder="1" applyAlignment="1">
      <alignment horizontal="right"/>
    </xf>
    <xf numFmtId="0" fontId="0" fillId="13" borderId="1" xfId="0" applyFill="1" applyBorder="1" applyAlignment="1">
      <alignment horizontal="center"/>
    </xf>
    <xf numFmtId="167" fontId="0" fillId="13" borderId="1" xfId="0" applyNumberFormat="1" applyFill="1" applyBorder="1" applyAlignment="1">
      <alignment horizontal="center"/>
    </xf>
    <xf numFmtId="0" fontId="25" fillId="0" borderId="0" xfId="0" applyFont="1" applyAlignment="1">
      <alignment horizontal="right"/>
    </xf>
    <xf numFmtId="172" fontId="0" fillId="9" borderId="1" xfId="0" applyNumberFormat="1" applyFill="1" applyBorder="1"/>
    <xf numFmtId="0" fontId="23" fillId="0" borderId="1" xfId="0" applyFont="1" applyBorder="1"/>
    <xf numFmtId="10" fontId="21" fillId="0" borderId="1" xfId="0" applyNumberFormat="1" applyFont="1" applyBorder="1"/>
    <xf numFmtId="10" fontId="0" fillId="18" borderId="1" xfId="0" applyNumberFormat="1" applyFill="1" applyBorder="1" applyAlignment="1">
      <alignment horizontal="center" vertical="center"/>
    </xf>
    <xf numFmtId="0" fontId="21" fillId="0" borderId="1" xfId="0" applyFont="1" applyBorder="1"/>
    <xf numFmtId="3" fontId="0" fillId="18" borderId="1" xfId="0" applyNumberFormat="1" applyFill="1" applyBorder="1" applyAlignment="1">
      <alignment horizontal="center" vertical="center"/>
    </xf>
    <xf numFmtId="165" fontId="0" fillId="18" borderId="1" xfId="0" applyNumberFormat="1" applyFill="1" applyBorder="1" applyAlignment="1">
      <alignment horizontal="center" vertical="center"/>
    </xf>
    <xf numFmtId="169" fontId="0" fillId="18" borderId="1" xfId="0" applyNumberFormat="1" applyFill="1" applyBorder="1" applyAlignment="1">
      <alignment horizontal="center" vertical="center"/>
    </xf>
    <xf numFmtId="167" fontId="0" fillId="18" borderId="1" xfId="0" applyNumberFormat="1" applyFill="1" applyBorder="1" applyAlignment="1">
      <alignment horizontal="center" vertical="center"/>
    </xf>
    <xf numFmtId="0" fontId="22" fillId="3" borderId="1" xfId="0" applyFont="1" applyFill="1" applyBorder="1" applyAlignment="1">
      <alignment horizontal="center" vertical="center"/>
    </xf>
    <xf numFmtId="1" fontId="0" fillId="0" borderId="1" xfId="0" applyNumberFormat="1" applyBorder="1" applyAlignment="1">
      <alignment horizontal="center" vertical="center"/>
    </xf>
    <xf numFmtId="168" fontId="0" fillId="0" borderId="1" xfId="0" applyNumberFormat="1" applyBorder="1" applyAlignment="1">
      <alignment horizontal="center" vertical="center"/>
    </xf>
    <xf numFmtId="165" fontId="0" fillId="0" borderId="1" xfId="0" applyNumberFormat="1" applyBorder="1" applyAlignment="1">
      <alignment horizontal="center" vertical="center"/>
    </xf>
    <xf numFmtId="3" fontId="0" fillId="0" borderId="1" xfId="0" applyNumberFormat="1" applyBorder="1" applyAlignment="1">
      <alignment horizontal="center" vertical="center"/>
    </xf>
    <xf numFmtId="166" fontId="0" fillId="0" borderId="1" xfId="0" applyNumberFormat="1" applyBorder="1" applyAlignment="1">
      <alignment horizontal="center" vertical="center"/>
    </xf>
    <xf numFmtId="1" fontId="0" fillId="7" borderId="1" xfId="0" applyNumberFormat="1" applyFill="1" applyBorder="1" applyAlignment="1">
      <alignment horizontal="center" vertical="center"/>
    </xf>
    <xf numFmtId="168" fontId="0" fillId="7" borderId="1" xfId="0" applyNumberFormat="1" applyFill="1" applyBorder="1" applyAlignment="1">
      <alignment horizontal="center" vertical="center"/>
    </xf>
    <xf numFmtId="165" fontId="0" fillId="7" borderId="1" xfId="0" applyNumberFormat="1" applyFill="1" applyBorder="1" applyAlignment="1">
      <alignment horizontal="center" vertical="center"/>
    </xf>
    <xf numFmtId="3" fontId="0" fillId="7" borderId="1" xfId="0" applyNumberFormat="1" applyFill="1" applyBorder="1" applyAlignment="1">
      <alignment horizontal="center" vertical="center"/>
    </xf>
    <xf numFmtId="166" fontId="0" fillId="7" borderId="1" xfId="0" applyNumberFormat="1" applyFill="1" applyBorder="1" applyAlignment="1">
      <alignment horizontal="center" vertical="center"/>
    </xf>
    <xf numFmtId="169" fontId="0" fillId="0" borderId="1" xfId="0" applyNumberFormat="1" applyBorder="1" applyAlignment="1">
      <alignment horizontal="center" vertical="center"/>
    </xf>
    <xf numFmtId="0" fontId="9" fillId="8" borderId="0" xfId="0" applyFont="1" applyFill="1"/>
    <xf numFmtId="170" fontId="0" fillId="0" borderId="1" xfId="0" applyNumberFormat="1" applyBorder="1" applyAlignment="1">
      <alignment horizontal="center" vertical="center"/>
    </xf>
    <xf numFmtId="0" fontId="41" fillId="0" borderId="2" xfId="0" applyFont="1" applyBorder="1"/>
    <xf numFmtId="4" fontId="41" fillId="0" borderId="2" xfId="0" applyNumberFormat="1" applyFont="1" applyBorder="1"/>
    <xf numFmtId="14" fontId="41" fillId="0" borderId="2" xfId="0" applyNumberFormat="1" applyFont="1" applyBorder="1"/>
    <xf numFmtId="0" fontId="32" fillId="0" borderId="2" xfId="1"/>
    <xf numFmtId="0" fontId="0" fillId="23" borderId="0" xfId="0" applyFill="1"/>
    <xf numFmtId="0" fontId="50" fillId="23" borderId="0" xfId="0" applyFont="1" applyFill="1"/>
    <xf numFmtId="0" fontId="51" fillId="23" borderId="0" xfId="0" applyFont="1" applyFill="1"/>
    <xf numFmtId="0" fontId="52" fillId="23" borderId="0" xfId="0" applyFont="1" applyFill="1"/>
    <xf numFmtId="0" fontId="0" fillId="24" borderId="0" xfId="0" applyFill="1"/>
    <xf numFmtId="0" fontId="53" fillId="24" borderId="0" xfId="0" applyFont="1" applyFill="1"/>
    <xf numFmtId="0" fontId="54" fillId="0" borderId="0" xfId="0" applyFont="1"/>
    <xf numFmtId="0" fontId="0" fillId="25" borderId="0" xfId="0" applyFill="1"/>
    <xf numFmtId="0" fontId="55" fillId="0" borderId="0" xfId="0" applyFont="1"/>
    <xf numFmtId="0" fontId="56" fillId="0" borderId="0" xfId="0" applyFont="1"/>
    <xf numFmtId="0" fontId="57" fillId="0" borderId="0" xfId="0" applyFont="1"/>
    <xf numFmtId="0" fontId="53" fillId="23" borderId="0" xfId="0" applyFont="1" applyFill="1"/>
    <xf numFmtId="0" fontId="0" fillId="0" borderId="3" xfId="0" applyBorder="1"/>
    <xf numFmtId="0" fontId="59" fillId="0" borderId="0" xfId="0" applyFont="1"/>
    <xf numFmtId="0" fontId="0" fillId="16" borderId="0" xfId="0" applyFill="1"/>
    <xf numFmtId="0" fontId="0" fillId="16" borderId="2" xfId="0" applyFill="1" applyBorder="1"/>
    <xf numFmtId="0" fontId="0" fillId="16" borderId="8" xfId="0" applyFill="1" applyBorder="1"/>
    <xf numFmtId="0" fontId="0" fillId="25" borderId="8" xfId="0" applyFill="1" applyBorder="1"/>
    <xf numFmtId="0" fontId="0" fillId="0" borderId="0" xfId="0" applyAlignment="1">
      <alignment wrapText="1"/>
    </xf>
    <xf numFmtId="0" fontId="61" fillId="16" borderId="0" xfId="0" applyFont="1" applyFill="1"/>
    <xf numFmtId="0" fontId="61" fillId="16" borderId="0" xfId="0" applyFont="1" applyFill="1" applyAlignment="1">
      <alignment horizontal="right"/>
    </xf>
    <xf numFmtId="0" fontId="63" fillId="16" borderId="0" xfId="0" applyFont="1" applyFill="1"/>
    <xf numFmtId="0" fontId="62" fillId="16" borderId="0" xfId="0" applyFont="1" applyFill="1" applyAlignment="1">
      <alignment horizontal="right"/>
    </xf>
    <xf numFmtId="0" fontId="65" fillId="16" borderId="0" xfId="0" applyFont="1" applyFill="1"/>
    <xf numFmtId="0" fontId="64" fillId="16" borderId="0" xfId="0" applyFont="1" applyFill="1" applyAlignment="1">
      <alignment horizontal="right"/>
    </xf>
    <xf numFmtId="0" fontId="67" fillId="16" borderId="0" xfId="0" applyFont="1" applyFill="1"/>
    <xf numFmtId="0" fontId="66" fillId="16" borderId="0" xfId="0" applyFont="1" applyFill="1" applyAlignment="1">
      <alignment horizontal="right"/>
    </xf>
    <xf numFmtId="0" fontId="69" fillId="16" borderId="0" xfId="0" applyFont="1" applyFill="1"/>
    <xf numFmtId="0" fontId="68" fillId="16" borderId="0" xfId="0" applyFont="1" applyFill="1" applyAlignment="1">
      <alignment horizontal="right"/>
    </xf>
    <xf numFmtId="0" fontId="61" fillId="16" borderId="17" xfId="0" applyFont="1" applyFill="1" applyBorder="1"/>
    <xf numFmtId="0" fontId="61" fillId="0" borderId="22" xfId="0" applyFont="1" applyBorder="1"/>
    <xf numFmtId="0" fontId="72" fillId="0" borderId="23" xfId="0" applyFont="1" applyBorder="1" applyAlignment="1">
      <alignment horizontal="center"/>
    </xf>
    <xf numFmtId="0" fontId="73" fillId="0" borderId="23" xfId="0" applyFont="1" applyBorder="1" applyAlignment="1">
      <alignment horizontal="center"/>
    </xf>
    <xf numFmtId="0" fontId="74" fillId="0" borderId="23" xfId="0" applyFont="1" applyBorder="1" applyAlignment="1">
      <alignment horizontal="center"/>
    </xf>
    <xf numFmtId="0" fontId="77" fillId="0" borderId="23" xfId="0" applyFont="1" applyBorder="1" applyAlignment="1">
      <alignment horizontal="center"/>
    </xf>
    <xf numFmtId="0" fontId="71" fillId="25" borderId="25" xfId="0" applyFont="1" applyFill="1" applyBorder="1"/>
    <xf numFmtId="0" fontId="79" fillId="25" borderId="26" xfId="0" applyFont="1" applyFill="1" applyBorder="1" applyAlignment="1">
      <alignment horizontal="center"/>
    </xf>
    <xf numFmtId="0" fontId="80" fillId="25" borderId="26" xfId="0" applyFont="1" applyFill="1" applyBorder="1" applyAlignment="1">
      <alignment horizontal="center"/>
    </xf>
    <xf numFmtId="0" fontId="77" fillId="25" borderId="26" xfId="0" applyFont="1" applyFill="1" applyBorder="1" applyAlignment="1">
      <alignment horizontal="center"/>
    </xf>
    <xf numFmtId="0" fontId="72" fillId="0" borderId="22" xfId="0" applyFont="1" applyBorder="1"/>
    <xf numFmtId="0" fontId="77" fillId="0" borderId="22" xfId="0" applyFont="1" applyBorder="1"/>
    <xf numFmtId="0" fontId="72" fillId="0" borderId="24" xfId="0" applyFont="1" applyBorder="1" applyAlignment="1">
      <alignment horizontal="center"/>
    </xf>
    <xf numFmtId="0" fontId="79" fillId="25" borderId="25" xfId="0" applyFont="1" applyFill="1" applyBorder="1"/>
    <xf numFmtId="0" fontId="79" fillId="25" borderId="27" xfId="0" applyFont="1" applyFill="1" applyBorder="1" applyAlignment="1">
      <alignment horizontal="center"/>
    </xf>
    <xf numFmtId="0" fontId="83" fillId="0" borderId="22" xfId="0" applyFont="1" applyBorder="1"/>
    <xf numFmtId="0" fontId="84" fillId="22" borderId="23" xfId="0" applyFont="1" applyFill="1" applyBorder="1" applyAlignment="1">
      <alignment horizontal="center"/>
    </xf>
    <xf numFmtId="0" fontId="74" fillId="22" borderId="23" xfId="0" applyFont="1" applyFill="1" applyBorder="1" applyAlignment="1">
      <alignment horizontal="center"/>
    </xf>
    <xf numFmtId="0" fontId="84" fillId="0" borderId="23" xfId="0" applyFont="1" applyBorder="1" applyAlignment="1">
      <alignment horizontal="center"/>
    </xf>
    <xf numFmtId="0" fontId="83" fillId="0" borderId="25" xfId="0" applyFont="1" applyBorder="1"/>
    <xf numFmtId="0" fontId="72" fillId="0" borderId="26" xfId="0" applyFont="1" applyBorder="1" applyAlignment="1">
      <alignment horizontal="center"/>
    </xf>
    <xf numFmtId="0" fontId="79" fillId="0" borderId="24" xfId="0" applyFont="1" applyBorder="1" applyAlignment="1">
      <alignment horizontal="center"/>
    </xf>
    <xf numFmtId="0" fontId="84" fillId="0" borderId="24" xfId="0" applyFont="1" applyBorder="1" applyAlignment="1">
      <alignment horizontal="center"/>
    </xf>
    <xf numFmtId="0" fontId="73" fillId="28" borderId="24" xfId="0" applyFont="1" applyFill="1" applyBorder="1" applyAlignment="1">
      <alignment horizontal="center"/>
    </xf>
    <xf numFmtId="0" fontId="61" fillId="25" borderId="29" xfId="0" applyFont="1" applyFill="1" applyBorder="1"/>
    <xf numFmtId="0" fontId="0" fillId="25" borderId="29" xfId="0" applyFill="1" applyBorder="1"/>
    <xf numFmtId="0" fontId="75" fillId="31" borderId="24" xfId="0" applyFont="1" applyFill="1" applyBorder="1" applyAlignment="1">
      <alignment wrapText="1"/>
    </xf>
    <xf numFmtId="0" fontId="76" fillId="28" borderId="24" xfId="0" applyFont="1" applyFill="1" applyBorder="1" applyAlignment="1">
      <alignment wrapText="1"/>
    </xf>
    <xf numFmtId="0" fontId="78" fillId="22" borderId="24" xfId="0" applyFont="1" applyFill="1" applyBorder="1" applyAlignment="1">
      <alignment wrapText="1"/>
    </xf>
    <xf numFmtId="0" fontId="0" fillId="25" borderId="27" xfId="0" applyFill="1" applyBorder="1" applyAlignment="1">
      <alignment wrapText="1"/>
    </xf>
    <xf numFmtId="0" fontId="74" fillId="0" borderId="26" xfId="0" applyFont="1" applyBorder="1" applyAlignment="1">
      <alignment horizontal="center"/>
    </xf>
    <xf numFmtId="0" fontId="73" fillId="0" borderId="27" xfId="0" applyFont="1" applyBorder="1" applyAlignment="1">
      <alignment horizontal="center"/>
    </xf>
    <xf numFmtId="0" fontId="79" fillId="0" borderId="27" xfId="0" applyFont="1" applyBorder="1" applyAlignment="1">
      <alignment horizontal="center"/>
    </xf>
    <xf numFmtId="0" fontId="82" fillId="23" borderId="2" xfId="0" applyFont="1" applyFill="1" applyBorder="1" applyAlignment="1">
      <alignment horizontal="left"/>
    </xf>
    <xf numFmtId="0" fontId="84" fillId="16" borderId="18" xfId="0" applyFont="1" applyFill="1" applyBorder="1"/>
    <xf numFmtId="0" fontId="88" fillId="16" borderId="27" xfId="0" applyFont="1" applyFill="1" applyBorder="1" applyAlignment="1">
      <alignment horizontal="center"/>
    </xf>
    <xf numFmtId="0" fontId="84" fillId="16" borderId="27" xfId="0" applyFont="1" applyFill="1" applyBorder="1" applyAlignment="1">
      <alignment horizontal="center"/>
    </xf>
    <xf numFmtId="0" fontId="82" fillId="29" borderId="27" xfId="0" applyFont="1" applyFill="1" applyBorder="1" applyAlignment="1">
      <alignment horizontal="center"/>
    </xf>
    <xf numFmtId="0" fontId="89" fillId="22" borderId="27" xfId="0" applyFont="1" applyFill="1" applyBorder="1"/>
    <xf numFmtId="0" fontId="89" fillId="22" borderId="18" xfId="0" applyFont="1" applyFill="1" applyBorder="1"/>
    <xf numFmtId="0" fontId="90" fillId="16" borderId="18" xfId="0" applyFont="1" applyFill="1" applyBorder="1"/>
    <xf numFmtId="0" fontId="90" fillId="16" borderId="27" xfId="0" applyFont="1" applyFill="1" applyBorder="1" applyAlignment="1">
      <alignment horizontal="center"/>
    </xf>
    <xf numFmtId="0" fontId="91" fillId="29" borderId="27" xfId="0" applyFont="1" applyFill="1" applyBorder="1"/>
    <xf numFmtId="0" fontId="91" fillId="29" borderId="18" xfId="0" applyFont="1" applyFill="1" applyBorder="1"/>
    <xf numFmtId="0" fontId="90" fillId="31" borderId="27" xfId="0" applyFont="1" applyFill="1" applyBorder="1" applyAlignment="1">
      <alignment horizontal="center"/>
    </xf>
    <xf numFmtId="0" fontId="92" fillId="31" borderId="27" xfId="0" applyFont="1" applyFill="1" applyBorder="1"/>
    <xf numFmtId="0" fontId="92" fillId="31" borderId="18" xfId="0" applyFont="1" applyFill="1" applyBorder="1"/>
    <xf numFmtId="0" fontId="83" fillId="16" borderId="18" xfId="0" applyFont="1" applyFill="1" applyBorder="1"/>
    <xf numFmtId="0" fontId="83" fillId="25" borderId="27" xfId="0" applyFont="1" applyFill="1" applyBorder="1" applyAlignment="1">
      <alignment horizontal="center"/>
    </xf>
    <xf numFmtId="0" fontId="94" fillId="16" borderId="18" xfId="0" applyFont="1" applyFill="1" applyBorder="1"/>
    <xf numFmtId="0" fontId="95" fillId="25" borderId="18" xfId="0" applyFont="1" applyFill="1" applyBorder="1"/>
    <xf numFmtId="0" fontId="95" fillId="25" borderId="27" xfId="0" applyFont="1" applyFill="1" applyBorder="1" applyAlignment="1">
      <alignment horizontal="center"/>
    </xf>
    <xf numFmtId="0" fontId="84" fillId="25" borderId="27" xfId="0" applyFont="1" applyFill="1" applyBorder="1" applyAlignment="1">
      <alignment horizontal="center"/>
    </xf>
    <xf numFmtId="9" fontId="95" fillId="25" borderId="27" xfId="0" applyNumberFormat="1" applyFont="1" applyFill="1" applyBorder="1" applyAlignment="1">
      <alignment horizontal="center"/>
    </xf>
    <xf numFmtId="0" fontId="0" fillId="25" borderId="27" xfId="0" applyFill="1" applyBorder="1"/>
    <xf numFmtId="0" fontId="96" fillId="22" borderId="27" xfId="0" applyFont="1" applyFill="1" applyBorder="1"/>
    <xf numFmtId="0" fontId="96" fillId="22" borderId="18" xfId="0" applyFont="1" applyFill="1" applyBorder="1"/>
    <xf numFmtId="0" fontId="88" fillId="0" borderId="18" xfId="0" applyFont="1" applyBorder="1"/>
    <xf numFmtId="0" fontId="88" fillId="0" borderId="27" xfId="0" applyFont="1" applyBorder="1"/>
    <xf numFmtId="0" fontId="84" fillId="0" borderId="27" xfId="0" applyFont="1" applyBorder="1" applyAlignment="1">
      <alignment horizontal="center"/>
    </xf>
    <xf numFmtId="0" fontId="90" fillId="0" borderId="27" xfId="0" applyFont="1" applyBorder="1" applyAlignment="1">
      <alignment horizontal="center"/>
    </xf>
    <xf numFmtId="0" fontId="93" fillId="0" borderId="27" xfId="0" applyFont="1" applyBorder="1"/>
    <xf numFmtId="0" fontId="93" fillId="0" borderId="18" xfId="0" applyFont="1" applyBorder="1"/>
    <xf numFmtId="0" fontId="88" fillId="0" borderId="27" xfId="0" applyFont="1" applyBorder="1" applyAlignment="1">
      <alignment horizontal="center"/>
    </xf>
    <xf numFmtId="0" fontId="89" fillId="0" borderId="27" xfId="0" applyFont="1" applyBorder="1"/>
    <xf numFmtId="0" fontId="89" fillId="0" borderId="18" xfId="0" applyFont="1" applyBorder="1"/>
    <xf numFmtId="0" fontId="95" fillId="0" borderId="27" xfId="0" applyFont="1" applyBorder="1" applyAlignment="1">
      <alignment horizontal="center"/>
    </xf>
    <xf numFmtId="0" fontId="83" fillId="0" borderId="27" xfId="0" applyFont="1" applyBorder="1" applyAlignment="1">
      <alignment horizontal="center"/>
    </xf>
    <xf numFmtId="0" fontId="80" fillId="0" borderId="27" xfId="0" applyFont="1" applyBorder="1" applyAlignment="1">
      <alignment horizontal="center"/>
    </xf>
    <xf numFmtId="0" fontId="0" fillId="16" borderId="18" xfId="0" applyFill="1" applyBorder="1"/>
    <xf numFmtId="0" fontId="82" fillId="23" borderId="28" xfId="0" applyFont="1" applyFill="1" applyBorder="1" applyAlignment="1">
      <alignment horizontal="center"/>
    </xf>
    <xf numFmtId="0" fontId="82" fillId="23" borderId="28" xfId="0" applyFont="1" applyFill="1" applyBorder="1" applyAlignment="1">
      <alignment horizontal="left"/>
    </xf>
    <xf numFmtId="0" fontId="82" fillId="23" borderId="28" xfId="0" applyFont="1" applyFill="1" applyBorder="1"/>
    <xf numFmtId="0" fontId="87" fillId="25" borderId="29" xfId="0" applyFont="1" applyFill="1" applyBorder="1"/>
    <xf numFmtId="0" fontId="93" fillId="16" borderId="27" xfId="0" applyFont="1" applyFill="1" applyBorder="1" applyAlignment="1">
      <alignment horizontal="left"/>
    </xf>
    <xf numFmtId="0" fontId="93" fillId="16" borderId="18" xfId="0" applyFont="1" applyFill="1" applyBorder="1" applyAlignment="1">
      <alignment horizontal="left"/>
    </xf>
    <xf numFmtId="0" fontId="5" fillId="0" borderId="2" xfId="4"/>
    <xf numFmtId="17" fontId="5" fillId="0" borderId="2" xfId="4" applyNumberFormat="1"/>
    <xf numFmtId="0" fontId="61" fillId="0" borderId="23" xfId="0" applyFont="1" applyBorder="1" applyAlignment="1">
      <alignment horizontal="center"/>
    </xf>
    <xf numFmtId="9" fontId="69" fillId="0" borderId="24" xfId="0" applyNumberFormat="1" applyFont="1" applyBorder="1" applyAlignment="1">
      <alignment horizontal="center"/>
    </xf>
    <xf numFmtId="0" fontId="71" fillId="0" borderId="17" xfId="0" applyFont="1" applyBorder="1"/>
    <xf numFmtId="0" fontId="61" fillId="0" borderId="17" xfId="0" applyFont="1" applyBorder="1"/>
    <xf numFmtId="0" fontId="61" fillId="0" borderId="17" xfId="0" applyFont="1" applyBorder="1" applyAlignment="1">
      <alignment horizontal="center"/>
    </xf>
    <xf numFmtId="175" fontId="61" fillId="0" borderId="17" xfId="0" applyNumberFormat="1" applyFont="1" applyBorder="1" applyAlignment="1">
      <alignment horizontal="center"/>
    </xf>
    <xf numFmtId="165" fontId="84" fillId="22" borderId="27" xfId="0" applyNumberFormat="1" applyFont="1" applyFill="1" applyBorder="1" applyAlignment="1">
      <alignment horizontal="center"/>
    </xf>
    <xf numFmtId="165" fontId="82" fillId="29" borderId="27" xfId="0" applyNumberFormat="1" applyFont="1" applyFill="1" applyBorder="1" applyAlignment="1">
      <alignment horizontal="center"/>
    </xf>
    <xf numFmtId="165" fontId="81" fillId="31" borderId="27" xfId="0" applyNumberFormat="1" applyFont="1" applyFill="1" applyBorder="1" applyAlignment="1">
      <alignment horizontal="center"/>
    </xf>
    <xf numFmtId="165" fontId="88" fillId="16" borderId="27" xfId="0" applyNumberFormat="1" applyFont="1" applyFill="1" applyBorder="1" applyAlignment="1">
      <alignment horizontal="center"/>
    </xf>
    <xf numFmtId="165" fontId="72" fillId="0" borderId="23" xfId="0" applyNumberFormat="1" applyFont="1" applyBorder="1" applyAlignment="1">
      <alignment horizontal="center"/>
    </xf>
    <xf numFmtId="165" fontId="79" fillId="25" borderId="26" xfId="0" applyNumberFormat="1" applyFont="1" applyFill="1" applyBorder="1" applyAlignment="1">
      <alignment horizontal="center"/>
    </xf>
    <xf numFmtId="165" fontId="74" fillId="0" borderId="23" xfId="0" applyNumberFormat="1" applyFont="1" applyBorder="1" applyAlignment="1">
      <alignment horizontal="center"/>
    </xf>
    <xf numFmtId="165" fontId="73" fillId="28" borderId="24" xfId="0" applyNumberFormat="1" applyFont="1" applyFill="1" applyBorder="1" applyAlignment="1">
      <alignment horizontal="center"/>
    </xf>
    <xf numFmtId="165" fontId="74" fillId="22" borderId="24" xfId="0" applyNumberFormat="1" applyFont="1" applyFill="1" applyBorder="1" applyAlignment="1">
      <alignment horizontal="center"/>
    </xf>
    <xf numFmtId="165" fontId="81" fillId="30" borderId="24" xfId="0" applyNumberFormat="1" applyFont="1" applyFill="1" applyBorder="1" applyAlignment="1">
      <alignment horizontal="center"/>
    </xf>
    <xf numFmtId="165" fontId="82" fillId="29" borderId="24" xfId="0" applyNumberFormat="1" applyFont="1" applyFill="1" applyBorder="1" applyAlignment="1">
      <alignment horizontal="center"/>
    </xf>
    <xf numFmtId="165" fontId="72" fillId="0" borderId="24" xfId="0" applyNumberFormat="1" applyFont="1" applyBorder="1" applyAlignment="1">
      <alignment horizontal="center"/>
    </xf>
    <xf numFmtId="0" fontId="98" fillId="0" borderId="27" xfId="0" applyFont="1" applyBorder="1" applyAlignment="1">
      <alignment horizontal="center"/>
    </xf>
    <xf numFmtId="0" fontId="99" fillId="16" borderId="2" xfId="0" applyFont="1" applyFill="1" applyBorder="1"/>
    <xf numFmtId="0" fontId="100" fillId="32" borderId="2" xfId="0" applyFont="1" applyFill="1" applyBorder="1"/>
    <xf numFmtId="0" fontId="101" fillId="33" borderId="2" xfId="0" applyFont="1" applyFill="1" applyBorder="1"/>
    <xf numFmtId="0" fontId="102" fillId="34" borderId="2" xfId="0" applyFont="1" applyFill="1" applyBorder="1"/>
    <xf numFmtId="0" fontId="103" fillId="27" borderId="0" xfId="0" applyFont="1" applyFill="1"/>
    <xf numFmtId="0" fontId="35" fillId="27" borderId="2" xfId="0" applyFont="1" applyFill="1" applyBorder="1"/>
    <xf numFmtId="10" fontId="8" fillId="27" borderId="2" xfId="0" applyNumberFormat="1" applyFont="1" applyFill="1" applyBorder="1"/>
    <xf numFmtId="165" fontId="0" fillId="27" borderId="2" xfId="0" applyNumberFormat="1" applyFill="1" applyBorder="1" applyAlignment="1">
      <alignment horizontal="center" vertical="center"/>
    </xf>
    <xf numFmtId="10" fontId="0" fillId="27" borderId="2" xfId="0" applyNumberFormat="1" applyFill="1" applyBorder="1" applyAlignment="1">
      <alignment horizontal="center" vertical="center"/>
    </xf>
    <xf numFmtId="0" fontId="35" fillId="27" borderId="8" xfId="0" applyFont="1" applyFill="1" applyBorder="1"/>
    <xf numFmtId="0" fontId="23" fillId="0" borderId="32" xfId="0" applyFont="1" applyBorder="1"/>
    <xf numFmtId="10" fontId="21" fillId="0" borderId="32" xfId="0" applyNumberFormat="1" applyFont="1" applyBorder="1"/>
    <xf numFmtId="3" fontId="0" fillId="18" borderId="32" xfId="0" applyNumberFormat="1" applyFill="1" applyBorder="1" applyAlignment="1">
      <alignment horizontal="center" vertical="center"/>
    </xf>
    <xf numFmtId="3" fontId="0" fillId="2" borderId="32" xfId="0" applyNumberFormat="1" applyFill="1" applyBorder="1" applyAlignment="1">
      <alignment horizontal="center" vertical="center"/>
    </xf>
    <xf numFmtId="3" fontId="0" fillId="2" borderId="14" xfId="0" applyNumberFormat="1" applyFill="1" applyBorder="1" applyAlignment="1">
      <alignment horizontal="center" vertical="center"/>
    </xf>
    <xf numFmtId="165" fontId="0" fillId="2" borderId="15" xfId="0" applyNumberFormat="1" applyFill="1" applyBorder="1" applyAlignment="1">
      <alignment horizontal="center" vertical="center"/>
    </xf>
    <xf numFmtId="0" fontId="0" fillId="16" borderId="34" xfId="0" applyFill="1" applyBorder="1"/>
    <xf numFmtId="0" fontId="0" fillId="0" borderId="35" xfId="0" applyBorder="1"/>
    <xf numFmtId="0" fontId="104" fillId="27" borderId="36" xfId="0" applyFont="1" applyFill="1" applyBorder="1" applyAlignment="1">
      <alignment horizontal="center"/>
    </xf>
    <xf numFmtId="0" fontId="104" fillId="16" borderId="36" xfId="0" applyFont="1" applyFill="1" applyBorder="1" applyAlignment="1">
      <alignment horizontal="center"/>
    </xf>
    <xf numFmtId="0" fontId="104" fillId="0" borderId="36" xfId="0" applyFont="1" applyBorder="1" applyAlignment="1">
      <alignment horizontal="center"/>
    </xf>
    <xf numFmtId="0" fontId="104" fillId="0" borderId="37" xfId="0" applyFont="1" applyBorder="1" applyAlignment="1">
      <alignment horizontal="center"/>
    </xf>
    <xf numFmtId="0" fontId="106" fillId="16" borderId="1" xfId="0" applyFont="1" applyFill="1" applyBorder="1"/>
    <xf numFmtId="0" fontId="104" fillId="16" borderId="1" xfId="0" applyFont="1" applyFill="1" applyBorder="1" applyAlignment="1">
      <alignment horizontal="center"/>
    </xf>
    <xf numFmtId="0" fontId="106" fillId="16" borderId="32" xfId="0" applyFont="1" applyFill="1" applyBorder="1"/>
    <xf numFmtId="0" fontId="104" fillId="27" borderId="32" xfId="0" applyFont="1" applyFill="1" applyBorder="1" applyAlignment="1">
      <alignment horizontal="center"/>
    </xf>
    <xf numFmtId="0" fontId="104" fillId="16" borderId="32" xfId="0" applyFont="1" applyFill="1" applyBorder="1" applyAlignment="1">
      <alignment horizontal="center"/>
    </xf>
    <xf numFmtId="0" fontId="104" fillId="0" borderId="32" xfId="0" applyFont="1" applyBorder="1" applyAlignment="1">
      <alignment horizontal="center"/>
    </xf>
    <xf numFmtId="0" fontId="104" fillId="0" borderId="14" xfId="0" applyFont="1" applyBorder="1" applyAlignment="1">
      <alignment horizontal="center"/>
    </xf>
    <xf numFmtId="0" fontId="0" fillId="16" borderId="13" xfId="0" applyFill="1" applyBorder="1"/>
    <xf numFmtId="0" fontId="0" fillId="25" borderId="2" xfId="0" applyFill="1" applyBorder="1"/>
    <xf numFmtId="0" fontId="87" fillId="25" borderId="2" xfId="0" applyFont="1" applyFill="1" applyBorder="1" applyAlignment="1">
      <alignment horizontal="left"/>
    </xf>
    <xf numFmtId="0" fontId="104" fillId="25" borderId="2" xfId="0" applyFont="1" applyFill="1" applyBorder="1"/>
    <xf numFmtId="0" fontId="106" fillId="16" borderId="34" xfId="0" applyFont="1" applyFill="1" applyBorder="1"/>
    <xf numFmtId="165" fontId="104" fillId="27" borderId="32" xfId="0" applyNumberFormat="1" applyFont="1" applyFill="1" applyBorder="1" applyAlignment="1">
      <alignment horizontal="center"/>
    </xf>
    <xf numFmtId="165" fontId="104" fillId="16" borderId="32" xfId="0" applyNumberFormat="1" applyFont="1" applyFill="1" applyBorder="1" applyAlignment="1">
      <alignment horizontal="center"/>
    </xf>
    <xf numFmtId="0" fontId="8" fillId="27" borderId="8" xfId="0" applyFont="1" applyFill="1" applyBorder="1"/>
    <xf numFmtId="3" fontId="0" fillId="27" borderId="8" xfId="0" applyNumberFormat="1" applyFill="1" applyBorder="1" applyAlignment="1">
      <alignment horizontal="center" vertical="center"/>
    </xf>
    <xf numFmtId="0" fontId="21" fillId="0" borderId="32" xfId="0" applyFont="1" applyBorder="1"/>
    <xf numFmtId="0" fontId="8" fillId="16" borderId="1" xfId="0" applyFont="1" applyFill="1" applyBorder="1" applyAlignment="1">
      <alignment horizontal="center"/>
    </xf>
    <xf numFmtId="0" fontId="8" fillId="16" borderId="32" xfId="0" applyFont="1" applyFill="1" applyBorder="1" applyAlignment="1">
      <alignment horizontal="center"/>
    </xf>
    <xf numFmtId="165" fontId="0" fillId="18" borderId="32" xfId="0" applyNumberFormat="1" applyFill="1" applyBorder="1" applyAlignment="1">
      <alignment horizontal="center" vertical="center"/>
    </xf>
    <xf numFmtId="165" fontId="0" fillId="2" borderId="32" xfId="0" applyNumberFormat="1" applyFill="1" applyBorder="1" applyAlignment="1">
      <alignment horizontal="center" vertical="center"/>
    </xf>
    <xf numFmtId="0" fontId="13" fillId="0" borderId="32" xfId="0" applyFont="1" applyBorder="1"/>
    <xf numFmtId="3" fontId="14" fillId="4" borderId="32" xfId="0" applyNumberFormat="1" applyFont="1" applyFill="1" applyBorder="1" applyAlignment="1">
      <alignment horizontal="center" vertical="center"/>
    </xf>
    <xf numFmtId="3" fontId="14" fillId="0" borderId="32" xfId="0" applyNumberFormat="1" applyFont="1" applyBorder="1" applyAlignment="1">
      <alignment horizontal="center" vertical="center"/>
    </xf>
    <xf numFmtId="0" fontId="14" fillId="0" borderId="32" xfId="0" applyFont="1" applyBorder="1" applyAlignment="1">
      <alignment horizontal="center" vertical="center"/>
    </xf>
    <xf numFmtId="0" fontId="31" fillId="25" borderId="32" xfId="0" applyFont="1" applyFill="1" applyBorder="1" applyAlignment="1">
      <alignment horizontal="left"/>
    </xf>
    <xf numFmtId="0" fontId="14" fillId="16" borderId="33" xfId="0" applyFont="1" applyFill="1" applyBorder="1"/>
    <xf numFmtId="0" fontId="0" fillId="16" borderId="9" xfId="0" applyFill="1" applyBorder="1"/>
    <xf numFmtId="0" fontId="104" fillId="16" borderId="38" xfId="0" applyFont="1" applyFill="1" applyBorder="1" applyAlignment="1">
      <alignment horizontal="center"/>
    </xf>
    <xf numFmtId="3" fontId="14" fillId="0" borderId="38" xfId="0" applyNumberFormat="1" applyFont="1" applyBorder="1" applyAlignment="1">
      <alignment horizontal="center" vertical="center"/>
    </xf>
    <xf numFmtId="0" fontId="104" fillId="16" borderId="33" xfId="0" applyFont="1" applyFill="1" applyBorder="1" applyAlignment="1">
      <alignment horizontal="center"/>
    </xf>
    <xf numFmtId="3" fontId="14" fillId="0" borderId="33" xfId="0" applyNumberFormat="1" applyFont="1" applyBorder="1" applyAlignment="1">
      <alignment horizontal="center" vertical="center"/>
    </xf>
    <xf numFmtId="0" fontId="14" fillId="16" borderId="39" xfId="0" applyFont="1" applyFill="1" applyBorder="1"/>
    <xf numFmtId="4" fontId="5" fillId="0" borderId="2" xfId="4" applyNumberFormat="1"/>
    <xf numFmtId="14" fontId="5" fillId="0" borderId="2" xfId="4" applyNumberFormat="1"/>
    <xf numFmtId="0" fontId="47" fillId="0" borderId="0" xfId="0" applyFont="1" applyAlignment="1">
      <alignment vertical="center"/>
    </xf>
    <xf numFmtId="0" fontId="7" fillId="0" borderId="0" xfId="0" applyFont="1" applyAlignment="1">
      <alignment vertical="center"/>
    </xf>
    <xf numFmtId="0" fontId="8" fillId="0" borderId="0" xfId="0" applyFont="1" applyAlignment="1">
      <alignment vertical="center"/>
    </xf>
    <xf numFmtId="0" fontId="15" fillId="0" borderId="0" xfId="0" applyFont="1" applyAlignment="1">
      <alignment vertical="center"/>
    </xf>
    <xf numFmtId="0" fontId="44" fillId="0" borderId="0" xfId="0" applyFont="1" applyAlignment="1">
      <alignment vertical="center"/>
    </xf>
    <xf numFmtId="0" fontId="45" fillId="25" borderId="29" xfId="0" applyFont="1" applyFill="1" applyBorder="1" applyAlignment="1">
      <alignment vertical="center"/>
    </xf>
    <xf numFmtId="0" fontId="47" fillId="25" borderId="29" xfId="0" applyFont="1" applyFill="1" applyBorder="1" applyAlignment="1">
      <alignment vertical="center"/>
    </xf>
    <xf numFmtId="0" fontId="48" fillId="23" borderId="2" xfId="0" applyFont="1" applyFill="1" applyBorder="1" applyAlignment="1">
      <alignment horizontal="left" vertical="center"/>
    </xf>
    <xf numFmtId="0" fontId="48" fillId="23" borderId="2" xfId="0" applyFont="1" applyFill="1" applyBorder="1" applyAlignment="1">
      <alignment horizontal="center" vertical="center"/>
    </xf>
    <xf numFmtId="0" fontId="113" fillId="25" borderId="29" xfId="0" applyFont="1" applyFill="1" applyBorder="1" applyAlignment="1">
      <alignment vertical="center"/>
    </xf>
    <xf numFmtId="0" fontId="0" fillId="0" borderId="0" xfId="0" applyAlignment="1">
      <alignment vertical="center"/>
    </xf>
    <xf numFmtId="0" fontId="110" fillId="32" borderId="29" xfId="0" applyFont="1" applyFill="1" applyBorder="1" applyAlignment="1">
      <alignment vertical="center"/>
    </xf>
    <xf numFmtId="0" fontId="111" fillId="33" borderId="29" xfId="0" applyFont="1" applyFill="1" applyBorder="1" applyAlignment="1">
      <alignment vertical="center"/>
    </xf>
    <xf numFmtId="0" fontId="112" fillId="34" borderId="29" xfId="0" applyFont="1" applyFill="1" applyBorder="1" applyAlignment="1">
      <alignment vertical="center"/>
    </xf>
    <xf numFmtId="0" fontId="0" fillId="25" borderId="0" xfId="0" applyFill="1" applyAlignment="1">
      <alignment vertical="center"/>
    </xf>
    <xf numFmtId="0" fontId="9" fillId="25" borderId="0" xfId="0" applyFont="1" applyFill="1"/>
    <xf numFmtId="0" fontId="17" fillId="0" borderId="0" xfId="0" applyFont="1"/>
    <xf numFmtId="0" fontId="15" fillId="25" borderId="0" xfId="0" applyFont="1" applyFill="1"/>
    <xf numFmtId="0" fontId="7" fillId="16" borderId="0" xfId="0" applyFont="1" applyFill="1"/>
    <xf numFmtId="0" fontId="8" fillId="16" borderId="0" xfId="0" applyFont="1" applyFill="1"/>
    <xf numFmtId="0" fontId="15" fillId="16" borderId="0" xfId="0" applyFont="1" applyFill="1"/>
    <xf numFmtId="175" fontId="10" fillId="16" borderId="0" xfId="0" applyNumberFormat="1" applyFont="1" applyFill="1"/>
    <xf numFmtId="0" fontId="44" fillId="16" borderId="0" xfId="0" applyFont="1" applyFill="1"/>
    <xf numFmtId="0" fontId="45" fillId="25" borderId="29" xfId="0" applyFont="1" applyFill="1" applyBorder="1"/>
    <xf numFmtId="0" fontId="46" fillId="16" borderId="0" xfId="0" applyFont="1" applyFill="1"/>
    <xf numFmtId="0" fontId="48" fillId="23" borderId="19" xfId="0" applyFont="1" applyFill="1" applyBorder="1" applyAlignment="1">
      <alignment horizontal="left"/>
    </xf>
    <xf numFmtId="0" fontId="48" fillId="23" borderId="20" xfId="0" applyFont="1" applyFill="1" applyBorder="1" applyAlignment="1">
      <alignment horizontal="center"/>
    </xf>
    <xf numFmtId="0" fontId="48" fillId="23" borderId="21" xfId="0" applyFont="1" applyFill="1" applyBorder="1" applyAlignment="1">
      <alignment horizontal="center"/>
    </xf>
    <xf numFmtId="0" fontId="48" fillId="23" borderId="2" xfId="0" applyFont="1" applyFill="1" applyBorder="1" applyAlignment="1">
      <alignment horizontal="center"/>
    </xf>
    <xf numFmtId="0" fontId="48" fillId="23" borderId="21" xfId="0" applyFont="1" applyFill="1" applyBorder="1" applyAlignment="1">
      <alignment horizontal="left"/>
    </xf>
    <xf numFmtId="0" fontId="48" fillId="23" borderId="2" xfId="0" applyFont="1" applyFill="1" applyBorder="1" applyAlignment="1">
      <alignment horizontal="left"/>
    </xf>
    <xf numFmtId="0" fontId="8" fillId="16" borderId="2" xfId="0" applyFont="1" applyFill="1" applyBorder="1"/>
    <xf numFmtId="0" fontId="9" fillId="16" borderId="8" xfId="0" applyFont="1" applyFill="1" applyBorder="1"/>
    <xf numFmtId="0" fontId="10" fillId="26" borderId="14" xfId="0" applyFont="1" applyFill="1" applyBorder="1" applyAlignment="1">
      <alignment horizontal="center"/>
    </xf>
    <xf numFmtId="0" fontId="11" fillId="16" borderId="0" xfId="0" applyFont="1" applyFill="1"/>
    <xf numFmtId="0" fontId="33" fillId="0" borderId="0" xfId="0" applyFont="1"/>
    <xf numFmtId="0" fontId="34" fillId="0" borderId="0" xfId="0" applyFont="1"/>
    <xf numFmtId="4" fontId="34" fillId="0" borderId="2" xfId="0" applyNumberFormat="1" applyFont="1" applyBorder="1"/>
    <xf numFmtId="0" fontId="34" fillId="0" borderId="2" xfId="0" applyFont="1" applyBorder="1"/>
    <xf numFmtId="10" fontId="0" fillId="27" borderId="0" xfId="0" applyNumberFormat="1" applyFill="1" applyAlignment="1">
      <alignment horizontal="center" vertical="center"/>
    </xf>
    <xf numFmtId="14" fontId="114" fillId="0" borderId="0" xfId="0" applyNumberFormat="1" applyFont="1" applyAlignment="1">
      <alignment horizontal="left"/>
    </xf>
    <xf numFmtId="14" fontId="72" fillId="0" borderId="0" xfId="0" applyNumberFormat="1" applyFont="1" applyAlignment="1">
      <alignment horizontal="left"/>
    </xf>
    <xf numFmtId="0" fontId="0" fillId="27" borderId="0" xfId="0" applyFill="1"/>
    <xf numFmtId="0" fontId="0" fillId="27" borderId="8" xfId="0" applyFill="1" applyBorder="1"/>
    <xf numFmtId="0" fontId="0" fillId="27" borderId="10" xfId="0" applyFill="1" applyBorder="1"/>
    <xf numFmtId="165" fontId="0" fillId="2" borderId="14" xfId="0" applyNumberFormat="1" applyFill="1" applyBorder="1" applyAlignment="1">
      <alignment horizontal="center" vertical="center"/>
    </xf>
    <xf numFmtId="3" fontId="0" fillId="26" borderId="1" xfId="0" applyNumberFormat="1" applyFill="1" applyBorder="1" applyAlignment="1">
      <alignment horizontal="center"/>
    </xf>
    <xf numFmtId="0" fontId="115" fillId="16" borderId="15" xfId="0" applyFont="1" applyFill="1" applyBorder="1"/>
    <xf numFmtId="0" fontId="0" fillId="16" borderId="35" xfId="0" applyFill="1" applyBorder="1"/>
    <xf numFmtId="0" fontId="116" fillId="0" borderId="2" xfId="10"/>
    <xf numFmtId="0" fontId="116" fillId="0" borderId="2" xfId="10" applyAlignment="1">
      <alignment horizontal="center" vertical="center"/>
    </xf>
    <xf numFmtId="0" fontId="116" fillId="0" borderId="2" xfId="10" applyAlignment="1">
      <alignment horizontal="left" vertical="center"/>
    </xf>
    <xf numFmtId="0" fontId="116" fillId="0" borderId="2" xfId="10" applyAlignment="1">
      <alignment horizontal="center"/>
    </xf>
    <xf numFmtId="0" fontId="116" fillId="14" borderId="40" xfId="10" applyFill="1" applyBorder="1"/>
    <xf numFmtId="0" fontId="116" fillId="14" borderId="40" xfId="10" applyFill="1" applyBorder="1" applyAlignment="1">
      <alignment wrapText="1"/>
    </xf>
    <xf numFmtId="0" fontId="116" fillId="42" borderId="40" xfId="10" applyFill="1" applyBorder="1"/>
    <xf numFmtId="0" fontId="116" fillId="0" borderId="40" xfId="10" applyBorder="1"/>
    <xf numFmtId="0" fontId="116" fillId="44" borderId="2" xfId="10" applyFill="1"/>
    <xf numFmtId="0" fontId="116" fillId="42" borderId="2" xfId="10" applyFill="1"/>
    <xf numFmtId="0" fontId="116" fillId="39" borderId="40" xfId="10" applyFill="1" applyBorder="1"/>
    <xf numFmtId="49" fontId="124" fillId="35" borderId="2" xfId="13" applyNumberFormat="1" applyAlignment="1">
      <alignment horizontal="left" vertical="center"/>
    </xf>
    <xf numFmtId="0" fontId="116" fillId="43" borderId="2" xfId="10" applyFill="1"/>
    <xf numFmtId="49" fontId="121" fillId="37" borderId="2" xfId="11" applyNumberFormat="1" applyAlignment="1">
      <alignment horizontal="left" vertical="center"/>
    </xf>
    <xf numFmtId="49" fontId="122" fillId="36" borderId="2" xfId="12" applyNumberFormat="1" applyAlignment="1">
      <alignment horizontal="left" vertical="center"/>
    </xf>
    <xf numFmtId="0" fontId="61" fillId="0" borderId="18" xfId="0" applyFont="1" applyBorder="1"/>
    <xf numFmtId="0" fontId="125" fillId="29" borderId="0" xfId="0" applyFont="1" applyFill="1" applyAlignment="1">
      <alignment horizontal="right"/>
    </xf>
    <xf numFmtId="3" fontId="0" fillId="2" borderId="2" xfId="0" applyNumberFormat="1" applyFill="1" applyBorder="1" applyAlignment="1">
      <alignment horizontal="center" vertical="center"/>
    </xf>
    <xf numFmtId="0" fontId="0" fillId="0" borderId="1" xfId="0" applyBorder="1"/>
    <xf numFmtId="3" fontId="0" fillId="0" borderId="1" xfId="0" applyNumberFormat="1" applyBorder="1" applyAlignment="1">
      <alignment horizontal="center"/>
    </xf>
    <xf numFmtId="3" fontId="0" fillId="45" borderId="1" xfId="0" applyNumberFormat="1" applyFill="1" applyBorder="1" applyAlignment="1">
      <alignment horizontal="center"/>
    </xf>
    <xf numFmtId="165" fontId="0" fillId="45" borderId="1" xfId="0" applyNumberFormat="1" applyFill="1" applyBorder="1" applyAlignment="1">
      <alignment horizontal="center"/>
    </xf>
    <xf numFmtId="0" fontId="126" fillId="23" borderId="1" xfId="0" applyFont="1" applyFill="1" applyBorder="1" applyAlignment="1">
      <alignment horizontal="center"/>
    </xf>
    <xf numFmtId="0" fontId="22" fillId="23" borderId="1" xfId="0" applyFont="1" applyFill="1" applyBorder="1" applyAlignment="1">
      <alignment horizontal="center" vertical="center"/>
    </xf>
    <xf numFmtId="167" fontId="0" fillId="45" borderId="1" xfId="0" applyNumberFormat="1" applyFill="1" applyBorder="1" applyAlignment="1">
      <alignment horizontal="center"/>
    </xf>
    <xf numFmtId="3" fontId="104" fillId="27" borderId="38" xfId="0" applyNumberFormat="1" applyFont="1" applyFill="1" applyBorder="1" applyAlignment="1">
      <alignment horizontal="center"/>
    </xf>
    <xf numFmtId="3" fontId="104" fillId="27" borderId="33" xfId="0" applyNumberFormat="1" applyFont="1" applyFill="1" applyBorder="1" applyAlignment="1">
      <alignment horizontal="center"/>
    </xf>
    <xf numFmtId="3" fontId="104" fillId="27" borderId="32" xfId="0" applyNumberFormat="1" applyFont="1" applyFill="1" applyBorder="1" applyAlignment="1">
      <alignment horizontal="center"/>
    </xf>
    <xf numFmtId="167" fontId="104" fillId="27" borderId="1" xfId="0" applyNumberFormat="1" applyFont="1" applyFill="1" applyBorder="1" applyAlignment="1">
      <alignment horizontal="center"/>
    </xf>
    <xf numFmtId="3" fontId="104" fillId="16" borderId="38" xfId="0" applyNumberFormat="1" applyFont="1" applyFill="1" applyBorder="1" applyAlignment="1">
      <alignment horizontal="center"/>
    </xf>
    <xf numFmtId="3" fontId="104" fillId="16" borderId="33" xfId="0" applyNumberFormat="1" applyFont="1" applyFill="1" applyBorder="1" applyAlignment="1">
      <alignment horizontal="center"/>
    </xf>
    <xf numFmtId="3" fontId="104" fillId="16" borderId="32" xfId="0" applyNumberFormat="1" applyFont="1" applyFill="1" applyBorder="1" applyAlignment="1">
      <alignment horizontal="center"/>
    </xf>
    <xf numFmtId="167" fontId="104" fillId="16" borderId="1" xfId="0" applyNumberFormat="1" applyFont="1" applyFill="1" applyBorder="1" applyAlignment="1">
      <alignment horizontal="center"/>
    </xf>
    <xf numFmtId="165" fontId="14" fillId="0" borderId="32" xfId="0" applyNumberFormat="1" applyFont="1" applyBorder="1" applyAlignment="1">
      <alignment horizontal="center" vertical="center"/>
    </xf>
    <xf numFmtId="165" fontId="0" fillId="0" borderId="1" xfId="0" applyNumberFormat="1" applyBorder="1" applyAlignment="1">
      <alignment horizontal="center"/>
    </xf>
    <xf numFmtId="0" fontId="22" fillId="3" borderId="15" xfId="0" applyFont="1" applyFill="1" applyBorder="1" applyAlignment="1">
      <alignment horizontal="center" vertical="center"/>
    </xf>
    <xf numFmtId="166" fontId="0" fillId="0" borderId="15" xfId="0" applyNumberFormat="1" applyBorder="1" applyAlignment="1">
      <alignment horizontal="center" vertical="center"/>
    </xf>
    <xf numFmtId="166" fontId="0" fillId="7" borderId="15" xfId="0" applyNumberFormat="1" applyFill="1" applyBorder="1" applyAlignment="1">
      <alignment horizontal="center" vertical="center"/>
    </xf>
    <xf numFmtId="0" fontId="0" fillId="22" borderId="0" xfId="0" applyFill="1"/>
    <xf numFmtId="0" fontId="128" fillId="16" borderId="0" xfId="0" applyFont="1" applyFill="1" applyAlignment="1">
      <alignment horizontal="center"/>
    </xf>
    <xf numFmtId="177" fontId="128" fillId="21" borderId="0" xfId="0" applyNumberFormat="1" applyFont="1" applyFill="1" applyAlignment="1">
      <alignment horizontal="center"/>
    </xf>
    <xf numFmtId="0" fontId="127" fillId="16" borderId="0" xfId="0" applyFont="1" applyFill="1"/>
    <xf numFmtId="0" fontId="129" fillId="45" borderId="51" xfId="0" applyFont="1" applyFill="1" applyBorder="1" applyAlignment="1">
      <alignment horizontal="center"/>
    </xf>
    <xf numFmtId="0" fontId="129" fillId="45" borderId="50" xfId="0" applyFont="1" applyFill="1" applyBorder="1" applyAlignment="1">
      <alignment horizontal="center"/>
    </xf>
    <xf numFmtId="0" fontId="131" fillId="16" borderId="0" xfId="0" applyFont="1" applyFill="1"/>
    <xf numFmtId="177" fontId="131" fillId="16" borderId="0" xfId="0" applyNumberFormat="1" applyFont="1" applyFill="1" applyAlignment="1">
      <alignment horizontal="center"/>
    </xf>
    <xf numFmtId="177" fontId="133" fillId="46" borderId="0" xfId="0" applyNumberFormat="1" applyFont="1" applyFill="1" applyAlignment="1">
      <alignment horizontal="right"/>
    </xf>
    <xf numFmtId="0" fontId="134" fillId="46" borderId="0" xfId="0" applyFont="1" applyFill="1" applyAlignment="1">
      <alignment horizontal="center"/>
    </xf>
    <xf numFmtId="177" fontId="134" fillId="46" borderId="0" xfId="0" applyNumberFormat="1" applyFont="1" applyFill="1" applyAlignment="1">
      <alignment horizontal="right"/>
    </xf>
    <xf numFmtId="177" fontId="135" fillId="45" borderId="0" xfId="0" applyNumberFormat="1" applyFont="1" applyFill="1" applyAlignment="1">
      <alignment horizontal="right"/>
    </xf>
    <xf numFmtId="0" fontId="136" fillId="45" borderId="0" xfId="0" applyFont="1" applyFill="1" applyAlignment="1">
      <alignment horizontal="center"/>
    </xf>
    <xf numFmtId="177" fontId="136" fillId="45" borderId="0" xfId="0" applyNumberFormat="1" applyFont="1" applyFill="1" applyAlignment="1">
      <alignment horizontal="right"/>
    </xf>
    <xf numFmtId="0" fontId="0" fillId="47" borderId="0" xfId="0" applyFill="1"/>
    <xf numFmtId="0" fontId="0" fillId="46" borderId="0" xfId="0" applyFill="1"/>
    <xf numFmtId="0" fontId="0" fillId="45" borderId="0" xfId="0" applyFill="1"/>
    <xf numFmtId="0" fontId="137" fillId="45" borderId="51" xfId="0" applyFont="1" applyFill="1" applyBorder="1" applyAlignment="1">
      <alignment horizontal="center"/>
    </xf>
    <xf numFmtId="0" fontId="0" fillId="29" borderId="0" xfId="0" applyFill="1"/>
    <xf numFmtId="0" fontId="0" fillId="24" borderId="29" xfId="0" applyFill="1" applyBorder="1"/>
    <xf numFmtId="0" fontId="115" fillId="16" borderId="0" xfId="0" applyFont="1" applyFill="1"/>
    <xf numFmtId="177" fontId="115" fillId="16" borderId="0" xfId="0" applyNumberFormat="1" applyFont="1" applyFill="1" applyAlignment="1">
      <alignment horizontal="center"/>
    </xf>
    <xf numFmtId="0" fontId="130" fillId="16" borderId="0" xfId="0" applyFont="1" applyFill="1" applyAlignment="1">
      <alignment horizontal="center"/>
    </xf>
    <xf numFmtId="0" fontId="138" fillId="32" borderId="18" xfId="0" applyFont="1" applyFill="1" applyBorder="1" applyAlignment="1">
      <alignment horizontal="center"/>
    </xf>
    <xf numFmtId="0" fontId="45" fillId="0" borderId="0" xfId="0" applyFont="1" applyAlignment="1">
      <alignment vertical="center"/>
    </xf>
    <xf numFmtId="0" fontId="49" fillId="0" borderId="0" xfId="0" applyFont="1" applyAlignment="1">
      <alignment horizontal="center" vertical="center"/>
    </xf>
    <xf numFmtId="0" fontId="69" fillId="0" borderId="0" xfId="0" applyFont="1" applyAlignment="1">
      <alignment horizontal="center" vertical="center"/>
    </xf>
    <xf numFmtId="165" fontId="141" fillId="0" borderId="18" xfId="0" applyNumberFormat="1" applyFont="1" applyBorder="1" applyAlignment="1">
      <alignment horizontal="center"/>
    </xf>
    <xf numFmtId="0" fontId="0" fillId="0" borderId="17" xfId="0" applyBorder="1"/>
    <xf numFmtId="0" fontId="0" fillId="0" borderId="18" xfId="0" applyBorder="1"/>
    <xf numFmtId="0" fontId="144" fillId="25" borderId="17" xfId="0" applyFont="1" applyFill="1" applyBorder="1"/>
    <xf numFmtId="0" fontId="146" fillId="25" borderId="17" xfId="0" applyFont="1" applyFill="1" applyBorder="1"/>
    <xf numFmtId="0" fontId="145" fillId="25" borderId="2" xfId="0" applyFont="1" applyFill="1" applyBorder="1"/>
    <xf numFmtId="0" fontId="0" fillId="0" borderId="30" xfId="0" applyBorder="1"/>
    <xf numFmtId="0" fontId="143" fillId="0" borderId="49" xfId="0" applyFont="1" applyBorder="1"/>
    <xf numFmtId="0" fontId="0" fillId="0" borderId="49" xfId="0" applyBorder="1"/>
    <xf numFmtId="0" fontId="140" fillId="23" borderId="2" xfId="0" applyFont="1" applyFill="1" applyBorder="1"/>
    <xf numFmtId="174" fontId="142" fillId="26" borderId="18" xfId="0" applyNumberFormat="1" applyFont="1" applyFill="1" applyBorder="1" applyAlignment="1">
      <alignment horizontal="center"/>
    </xf>
    <xf numFmtId="0" fontId="35" fillId="0" borderId="2" xfId="14"/>
    <xf numFmtId="0" fontId="148" fillId="0" borderId="52" xfId="14" applyFont="1" applyBorder="1"/>
    <xf numFmtId="14" fontId="148" fillId="0" borderId="52" xfId="14" applyNumberFormat="1" applyFont="1" applyBorder="1"/>
    <xf numFmtId="0" fontId="149" fillId="0" borderId="40" xfId="14" applyFont="1" applyBorder="1" applyAlignment="1">
      <alignment horizontal="center"/>
    </xf>
    <xf numFmtId="0" fontId="150" fillId="0" borderId="2" xfId="15"/>
    <xf numFmtId="0" fontId="150" fillId="0" borderId="2" xfId="15" applyAlignment="1">
      <alignment wrapText="1"/>
    </xf>
    <xf numFmtId="22" fontId="150" fillId="0" borderId="2" xfId="15" applyNumberFormat="1"/>
    <xf numFmtId="0" fontId="150" fillId="49" borderId="2" xfId="15" applyFill="1"/>
    <xf numFmtId="2" fontId="0" fillId="0" borderId="0" xfId="0" applyNumberFormat="1"/>
    <xf numFmtId="0" fontId="116" fillId="0" borderId="40" xfId="10" applyBorder="1" applyAlignment="1">
      <alignment wrapText="1"/>
    </xf>
    <xf numFmtId="0" fontId="116" fillId="0" borderId="40" xfId="10" applyBorder="1" applyAlignment="1">
      <alignment horizontal="center" vertical="center"/>
    </xf>
    <xf numFmtId="14" fontId="116" fillId="0" borderId="40" xfId="10" applyNumberFormat="1" applyBorder="1" applyAlignment="1">
      <alignment horizontal="center" vertical="center"/>
    </xf>
    <xf numFmtId="8" fontId="116" fillId="0" borderId="40" xfId="10" applyNumberFormat="1" applyBorder="1" applyAlignment="1">
      <alignment horizontal="center"/>
    </xf>
    <xf numFmtId="0" fontId="116" fillId="0" borderId="40" xfId="10" applyBorder="1">
      <extLst>
        <ext xmlns:xfpb="http://schemas.microsoft.com/office/spreadsheetml/2022/featurepropertybag" uri="{C7286773-470A-42A8-94C5-96B5CB345126}">
          <xfpb:xfComplement i="0"/>
        </ext>
      </extLst>
    </xf>
    <xf numFmtId="0" fontId="151" fillId="0" borderId="40" xfId="10" applyFont="1" applyBorder="1" applyAlignment="1">
      <alignment horizontal="center"/>
    </xf>
    <xf numFmtId="0" fontId="116" fillId="0" borderId="48" xfId="10" applyBorder="1"/>
    <xf numFmtId="0" fontId="116" fillId="0" borderId="48" xfId="10" applyBorder="1" applyAlignment="1">
      <alignment horizontal="center" vertical="center"/>
    </xf>
    <xf numFmtId="14" fontId="116" fillId="0" borderId="48" xfId="10" applyNumberFormat="1" applyBorder="1" applyAlignment="1">
      <alignment horizontal="center" vertical="center"/>
    </xf>
    <xf numFmtId="0" fontId="116" fillId="0" borderId="48" xfId="10" applyBorder="1">
      <extLst>
        <ext xmlns:xfpb="http://schemas.microsoft.com/office/spreadsheetml/2022/featurepropertybag" uri="{C7286773-470A-42A8-94C5-96B5CB345126}">
          <xfpb:xfComplement i="0"/>
        </ext>
      </extLst>
    </xf>
    <xf numFmtId="0" fontId="152" fillId="0" borderId="40" xfId="10" applyFont="1" applyBorder="1" applyAlignment="1">
      <alignment horizontal="center"/>
    </xf>
    <xf numFmtId="0" fontId="116" fillId="0" borderId="48" xfId="10" applyBorder="1" applyAlignment="1">
      <alignment horizontal="center"/>
    </xf>
    <xf numFmtId="0" fontId="117" fillId="0" borderId="48" xfId="10" applyFont="1" applyBorder="1" applyAlignment="1">
      <alignment horizontal="center"/>
    </xf>
    <xf numFmtId="0" fontId="116" fillId="0" borderId="48" xfId="10" applyBorder="1" applyAlignment="1">
      <alignment horizontal="left" vertical="center"/>
    </xf>
    <xf numFmtId="0" fontId="116" fillId="51" borderId="40" xfId="10" applyFill="1" applyBorder="1"/>
    <xf numFmtId="0" fontId="116" fillId="52" borderId="40" xfId="10" applyFill="1" applyBorder="1" applyAlignment="1">
      <alignment wrapText="1"/>
    </xf>
    <xf numFmtId="14" fontId="118" fillId="52" borderId="40" xfId="10" applyNumberFormat="1" applyFont="1" applyFill="1" applyBorder="1" applyAlignment="1">
      <alignment horizontal="center" vertical="center"/>
    </xf>
    <xf numFmtId="14" fontId="153" fillId="14" borderId="40" xfId="10" applyNumberFormat="1" applyFont="1" applyFill="1" applyBorder="1" applyAlignment="1">
      <alignment horizontal="center"/>
    </xf>
    <xf numFmtId="0" fontId="116" fillId="42" borderId="40" xfId="10" applyFill="1" applyBorder="1" applyAlignment="1">
      <alignment wrapText="1"/>
    </xf>
    <xf numFmtId="8" fontId="119" fillId="42" borderId="2" xfId="10" applyNumberFormat="1" applyFont="1" applyFill="1" applyAlignment="1">
      <alignment horizontal="center"/>
    </xf>
    <xf numFmtId="0" fontId="116" fillId="52" borderId="2" xfId="10" applyFill="1"/>
    <xf numFmtId="0" fontId="116" fillId="50" borderId="2" xfId="10" applyFill="1"/>
    <xf numFmtId="0" fontId="154" fillId="25" borderId="0" xfId="0" applyFont="1" applyFill="1"/>
    <xf numFmtId="0" fontId="154" fillId="25" borderId="2" xfId="0" applyFont="1" applyFill="1" applyBorder="1"/>
    <xf numFmtId="0" fontId="138" fillId="32" borderId="18" xfId="0" applyFont="1" applyFill="1" applyBorder="1" applyAlignment="1">
      <alignment horizontal="left"/>
    </xf>
    <xf numFmtId="14" fontId="138" fillId="32" borderId="18" xfId="0" applyNumberFormat="1" applyFont="1" applyFill="1" applyBorder="1" applyAlignment="1">
      <alignment horizontal="center"/>
    </xf>
    <xf numFmtId="0" fontId="139" fillId="33" borderId="18" xfId="0" applyFont="1" applyFill="1" applyBorder="1" applyAlignment="1">
      <alignment horizontal="center"/>
    </xf>
    <xf numFmtId="0" fontId="155" fillId="30" borderId="2" xfId="0" applyFont="1" applyFill="1" applyBorder="1"/>
    <xf numFmtId="0" fontId="156" fillId="40" borderId="2" xfId="0" applyFont="1" applyFill="1" applyBorder="1"/>
    <xf numFmtId="0" fontId="157" fillId="30" borderId="18" xfId="0" applyFont="1" applyFill="1" applyBorder="1" applyAlignment="1">
      <alignment horizontal="center"/>
    </xf>
    <xf numFmtId="0" fontId="158" fillId="41" borderId="0" xfId="0" applyFont="1" applyFill="1" applyAlignment="1">
      <alignment vertical="center"/>
    </xf>
    <xf numFmtId="0" fontId="159" fillId="0" borderId="0" xfId="0" applyFont="1"/>
    <xf numFmtId="0" fontId="160" fillId="21" borderId="0" xfId="0" applyFont="1" applyFill="1"/>
    <xf numFmtId="0" fontId="87" fillId="0" borderId="0" xfId="0" applyFont="1"/>
    <xf numFmtId="0" fontId="79" fillId="0" borderId="0" xfId="0" applyFont="1" applyAlignment="1">
      <alignment horizontal="center"/>
    </xf>
    <xf numFmtId="0" fontId="84" fillId="0" borderId="0" xfId="0" applyFont="1" applyAlignment="1">
      <alignment horizontal="center"/>
    </xf>
    <xf numFmtId="0" fontId="94" fillId="0" borderId="0" xfId="0" applyFont="1" applyAlignment="1">
      <alignment horizontal="center"/>
    </xf>
    <xf numFmtId="0" fontId="87" fillId="45" borderId="0" xfId="0" applyFont="1" applyFill="1"/>
    <xf numFmtId="0" fontId="161" fillId="45" borderId="0" xfId="0" applyFont="1" applyFill="1" applyAlignment="1">
      <alignment horizontal="center"/>
    </xf>
    <xf numFmtId="0" fontId="162" fillId="45" borderId="0" xfId="0" applyFont="1" applyFill="1"/>
    <xf numFmtId="0" fontId="12" fillId="23" borderId="29" xfId="0" applyFont="1" applyFill="1" applyBorder="1" applyAlignment="1">
      <alignment vertical="center"/>
    </xf>
    <xf numFmtId="0" fontId="0" fillId="23" borderId="29" xfId="0" applyFill="1" applyBorder="1"/>
    <xf numFmtId="0" fontId="41" fillId="0" borderId="0" xfId="0" applyFont="1"/>
    <xf numFmtId="17" fontId="0" fillId="0" borderId="0" xfId="0" applyNumberFormat="1"/>
    <xf numFmtId="14" fontId="0" fillId="0" borderId="0" xfId="0" applyNumberFormat="1"/>
    <xf numFmtId="4" fontId="0" fillId="0" borderId="0" xfId="0" applyNumberFormat="1"/>
    <xf numFmtId="0" fontId="163" fillId="53" borderId="0" xfId="0" applyFont="1" applyFill="1" applyAlignment="1">
      <alignment horizontal="center" vertical="center"/>
    </xf>
    <xf numFmtId="0" fontId="34" fillId="14" borderId="40" xfId="10" applyFont="1" applyFill="1" applyBorder="1" applyAlignment="1">
      <alignment horizontal="center"/>
    </xf>
    <xf numFmtId="0" fontId="164" fillId="14" borderId="40" xfId="10" applyFont="1" applyFill="1" applyBorder="1"/>
    <xf numFmtId="0" fontId="34" fillId="14" borderId="40" xfId="10" applyFont="1" applyFill="1" applyBorder="1"/>
    <xf numFmtId="0" fontId="34" fillId="17" borderId="40" xfId="10" applyFont="1" applyFill="1" applyBorder="1"/>
    <xf numFmtId="0" fontId="116" fillId="0" borderId="2" xfId="10" applyAlignment="1">
      <alignment vertical="center"/>
    </xf>
    <xf numFmtId="0" fontId="116" fillId="0" borderId="40" xfId="10" applyBorder="1" applyAlignment="1">
      <alignment vertical="center"/>
    </xf>
    <xf numFmtId="0" fontId="116" fillId="0" borderId="40" xfId="10" applyBorder="1" applyAlignment="1">
      <alignment vertical="center" wrapText="1"/>
    </xf>
    <xf numFmtId="8" fontId="116" fillId="0" borderId="40" xfId="10" applyNumberFormat="1" applyBorder="1" applyAlignment="1">
      <alignment horizontal="center" vertical="center"/>
    </xf>
    <xf numFmtId="0" fontId="116" fillId="0" borderId="40" xfId="10" applyBorder="1" applyAlignment="1">
      <alignment vertical="center"/>
      <extLst>
        <ext xmlns:xfpb="http://schemas.microsoft.com/office/spreadsheetml/2022/featurepropertybag" uri="{C7286773-470A-42A8-94C5-96B5CB345126}">
          <xfpb:xfComplement i="0"/>
        </ext>
      </extLst>
    </xf>
    <xf numFmtId="0" fontId="117" fillId="14" borderId="40" xfId="10" applyFont="1" applyFill="1" applyBorder="1" applyAlignment="1">
      <alignment horizontal="center" vertical="center"/>
    </xf>
    <xf numFmtId="0" fontId="35" fillId="0" borderId="40" xfId="10" applyFont="1" applyBorder="1" applyAlignment="1">
      <alignment wrapText="1"/>
    </xf>
    <xf numFmtId="0" fontId="117" fillId="14" borderId="40" xfId="10" applyFont="1" applyFill="1" applyBorder="1" applyAlignment="1">
      <alignment horizontal="center"/>
    </xf>
    <xf numFmtId="0" fontId="116" fillId="0" borderId="53" xfId="10" applyBorder="1"/>
    <xf numFmtId="0" fontId="116" fillId="0" borderId="53" xfId="10" applyBorder="1" applyAlignment="1">
      <alignment wrapText="1"/>
    </xf>
    <xf numFmtId="0" fontId="116" fillId="0" borderId="53" xfId="10" applyBorder="1" applyAlignment="1">
      <alignment horizontal="center" vertical="center"/>
    </xf>
    <xf numFmtId="14" fontId="116" fillId="0" borderId="53" xfId="10" applyNumberFormat="1" applyBorder="1" applyAlignment="1">
      <alignment horizontal="center" vertical="center"/>
    </xf>
    <xf numFmtId="8" fontId="116" fillId="0" borderId="53" xfId="10" applyNumberFormat="1" applyBorder="1" applyAlignment="1">
      <alignment horizontal="center"/>
    </xf>
    <xf numFmtId="0" fontId="116" fillId="0" borderId="53" xfId="10" applyBorder="1">
      <extLst>
        <ext xmlns:xfpb="http://schemas.microsoft.com/office/spreadsheetml/2022/featurepropertybag" uri="{C7286773-470A-42A8-94C5-96B5CB345126}">
          <xfpb:xfComplement i="0"/>
        </ext>
      </extLst>
    </xf>
    <xf numFmtId="0" fontId="165" fillId="14" borderId="48" xfId="10" applyFont="1" applyFill="1" applyBorder="1" applyAlignment="1">
      <alignment horizontal="center"/>
    </xf>
    <xf numFmtId="0" fontId="116" fillId="43" borderId="40" xfId="10" applyFill="1" applyBorder="1"/>
    <xf numFmtId="0" fontId="116" fillId="52" borderId="40" xfId="10" applyFill="1" applyBorder="1"/>
    <xf numFmtId="0" fontId="116" fillId="52" borderId="40" xfId="10" applyFill="1" applyBorder="1" applyAlignment="1">
      <alignment horizontal="center" vertical="center"/>
    </xf>
    <xf numFmtId="14" fontId="116" fillId="52" borderId="40" xfId="10" applyNumberFormat="1" applyFill="1" applyBorder="1" applyAlignment="1">
      <alignment horizontal="center" vertical="center"/>
    </xf>
    <xf numFmtId="0" fontId="116" fillId="52" borderId="40" xfId="10" applyFill="1" applyBorder="1" applyAlignment="1">
      <alignment horizontal="center"/>
    </xf>
    <xf numFmtId="0" fontId="116" fillId="52" borderId="40" xfId="10" applyFill="1" applyBorder="1">
      <extLst>
        <ext xmlns:xfpb="http://schemas.microsoft.com/office/spreadsheetml/2022/featurepropertybag" uri="{C7286773-470A-42A8-94C5-96B5CB345126}">
          <xfpb:xfComplement i="0"/>
        </ext>
      </extLst>
    </xf>
    <xf numFmtId="0" fontId="116" fillId="52" borderId="44" xfId="10" applyFill="1" applyBorder="1">
      <extLst>
        <ext xmlns:xfpb="http://schemas.microsoft.com/office/spreadsheetml/2022/featurepropertybag" uri="{C7286773-470A-42A8-94C5-96B5CB345126}">
          <xfpb:xfComplement i="0"/>
        </ext>
      </extLst>
    </xf>
    <xf numFmtId="0" fontId="116" fillId="52" borderId="45" xfId="10" applyFill="1" applyBorder="1">
      <extLst>
        <ext xmlns:xfpb="http://schemas.microsoft.com/office/spreadsheetml/2022/featurepropertybag" uri="{C7286773-470A-42A8-94C5-96B5CB345126}">
          <xfpb:xfComplement i="0"/>
        </ext>
      </extLst>
    </xf>
    <xf numFmtId="14" fontId="116" fillId="52" borderId="40" xfId="10" applyNumberFormat="1" applyFill="1" applyBorder="1" applyAlignment="1">
      <alignment horizontal="center"/>
    </xf>
    <xf numFmtId="0" fontId="116" fillId="52" borderId="40" xfId="10" applyFill="1" applyBorder="1" applyAlignment="1">
      <alignment horizontal="left" vertical="center"/>
    </xf>
    <xf numFmtId="0" fontId="116" fillId="17" borderId="40" xfId="10" applyFill="1" applyBorder="1"/>
    <xf numFmtId="0" fontId="116" fillId="43" borderId="48" xfId="10" applyFill="1" applyBorder="1"/>
    <xf numFmtId="0" fontId="116" fillId="42" borderId="48" xfId="10" applyFill="1" applyBorder="1"/>
    <xf numFmtId="0" fontId="116" fillId="42" borderId="48" xfId="10" applyFill="1" applyBorder="1" applyAlignment="1">
      <alignment wrapText="1"/>
    </xf>
    <xf numFmtId="0" fontId="116" fillId="42" borderId="48" xfId="10" applyFill="1" applyBorder="1" applyAlignment="1">
      <alignment horizontal="center" vertical="center"/>
    </xf>
    <xf numFmtId="14" fontId="116" fillId="42" borderId="48" xfId="10" applyNumberFormat="1" applyFill="1" applyBorder="1" applyAlignment="1">
      <alignment horizontal="center" vertical="center"/>
    </xf>
    <xf numFmtId="8" fontId="116" fillId="42" borderId="48" xfId="10" applyNumberFormat="1" applyFill="1" applyBorder="1" applyAlignment="1">
      <alignment horizontal="center"/>
    </xf>
    <xf numFmtId="0" fontId="116" fillId="42" borderId="48" xfId="10" applyFill="1" applyBorder="1">
      <extLst>
        <ext xmlns:xfpb="http://schemas.microsoft.com/office/spreadsheetml/2022/featurepropertybag" uri="{C7286773-470A-42A8-94C5-96B5CB345126}">
          <xfpb:xfComplement i="0"/>
        </ext>
      </extLst>
    </xf>
    <xf numFmtId="0" fontId="116" fillId="42" borderId="40" xfId="10" applyFill="1" applyBorder="1">
      <extLst>
        <ext xmlns:xfpb="http://schemas.microsoft.com/office/spreadsheetml/2022/featurepropertybag" uri="{C7286773-470A-42A8-94C5-96B5CB345126}">
          <xfpb:xfComplement i="0"/>
        </ext>
      </extLst>
    </xf>
    <xf numFmtId="0" fontId="165" fillId="42" borderId="48" xfId="10" applyFont="1" applyFill="1" applyBorder="1" applyAlignment="1">
      <alignment horizontal="center"/>
    </xf>
    <xf numFmtId="0" fontId="116" fillId="42" borderId="40" xfId="10" applyFill="1" applyBorder="1" applyAlignment="1">
      <alignment horizontal="center" vertical="center"/>
    </xf>
    <xf numFmtId="14" fontId="116" fillId="42" borderId="40" xfId="10" applyNumberFormat="1" applyFill="1" applyBorder="1" applyAlignment="1">
      <alignment horizontal="center" vertical="center"/>
    </xf>
    <xf numFmtId="8" fontId="116" fillId="42" borderId="40" xfId="10" applyNumberFormat="1" applyFill="1" applyBorder="1" applyAlignment="1">
      <alignment horizontal="center"/>
    </xf>
    <xf numFmtId="0" fontId="165" fillId="42" borderId="40" xfId="10" applyFont="1" applyFill="1" applyBorder="1" applyAlignment="1">
      <alignment horizontal="center"/>
    </xf>
    <xf numFmtId="0" fontId="117" fillId="42" borderId="45" xfId="10" applyFont="1" applyFill="1" applyBorder="1" applyAlignment="1">
      <alignment horizontal="center"/>
    </xf>
    <xf numFmtId="0" fontId="116" fillId="54" borderId="2" xfId="10" applyFill="1"/>
    <xf numFmtId="0" fontId="116" fillId="54" borderId="48" xfId="10" applyFill="1" applyBorder="1"/>
    <xf numFmtId="0" fontId="116" fillId="54" borderId="48" xfId="10" applyFill="1" applyBorder="1" applyAlignment="1">
      <alignment wrapText="1"/>
    </xf>
    <xf numFmtId="0" fontId="116" fillId="54" borderId="48" xfId="10" applyFill="1" applyBorder="1" applyAlignment="1">
      <alignment horizontal="center" vertical="center"/>
    </xf>
    <xf numFmtId="14" fontId="116" fillId="54" borderId="48" xfId="10" applyNumberFormat="1" applyFill="1" applyBorder="1" applyAlignment="1">
      <alignment horizontal="center" vertical="center"/>
    </xf>
    <xf numFmtId="8" fontId="116" fillId="54" borderId="48" xfId="10" applyNumberFormat="1" applyFill="1" applyBorder="1" applyAlignment="1">
      <alignment horizontal="center"/>
    </xf>
    <xf numFmtId="0" fontId="116" fillId="54" borderId="48" xfId="10" applyFill="1" applyBorder="1">
      <extLst>
        <ext xmlns:xfpb="http://schemas.microsoft.com/office/spreadsheetml/2022/featurepropertybag" uri="{C7286773-470A-42A8-94C5-96B5CB345126}">
          <xfpb:xfComplement i="0"/>
        </ext>
      </extLst>
    </xf>
    <xf numFmtId="0" fontId="152" fillId="54" borderId="46" xfId="10" applyFont="1" applyFill="1" applyBorder="1" applyAlignment="1">
      <alignment horizontal="center"/>
    </xf>
    <xf numFmtId="44" fontId="116" fillId="0" borderId="48" xfId="10" applyNumberFormat="1" applyBorder="1" applyAlignment="1">
      <alignment horizontal="center"/>
    </xf>
    <xf numFmtId="0" fontId="116" fillId="17" borderId="48" xfId="10" applyFill="1" applyBorder="1"/>
    <xf numFmtId="49" fontId="34" fillId="17" borderId="40" xfId="10" applyNumberFormat="1" applyFont="1" applyFill="1" applyBorder="1" applyAlignment="1">
      <alignment horizontal="left" vertical="center"/>
    </xf>
    <xf numFmtId="0" fontId="35" fillId="52" borderId="40" xfId="10" applyFont="1" applyFill="1" applyBorder="1" applyAlignment="1">
      <alignment wrapText="1"/>
    </xf>
    <xf numFmtId="14" fontId="118" fillId="52" borderId="40" xfId="10" applyNumberFormat="1" applyFont="1" applyFill="1" applyBorder="1" applyAlignment="1">
      <alignment horizontal="center"/>
    </xf>
    <xf numFmtId="14" fontId="166" fillId="42" borderId="40" xfId="10" applyNumberFormat="1" applyFont="1" applyFill="1" applyBorder="1" applyAlignment="1">
      <alignment horizontal="center"/>
    </xf>
    <xf numFmtId="0" fontId="116" fillId="43" borderId="48" xfId="10" applyFill="1" applyBorder="1" applyAlignment="1">
      <alignment wrapText="1"/>
    </xf>
    <xf numFmtId="14" fontId="118" fillId="43" borderId="48" xfId="10" applyNumberFormat="1" applyFont="1" applyFill="1" applyBorder="1" applyAlignment="1">
      <alignment horizontal="center"/>
    </xf>
    <xf numFmtId="0" fontId="116" fillId="52" borderId="48" xfId="10" applyFill="1" applyBorder="1" applyAlignment="1">
      <alignment wrapText="1"/>
    </xf>
    <xf numFmtId="14" fontId="118" fillId="52" borderId="48" xfId="10" applyNumberFormat="1" applyFont="1" applyFill="1" applyBorder="1" applyAlignment="1">
      <alignment horizontal="center" vertical="center"/>
    </xf>
    <xf numFmtId="49" fontId="34" fillId="52" borderId="48" xfId="10" applyNumberFormat="1" applyFont="1" applyFill="1" applyBorder="1" applyAlignment="1">
      <alignment horizontal="left" vertical="center"/>
    </xf>
    <xf numFmtId="0" fontId="116" fillId="14" borderId="2" xfId="10" applyFill="1"/>
    <xf numFmtId="0" fontId="120" fillId="14" borderId="2" xfId="10" applyFont="1" applyFill="1" applyAlignment="1">
      <alignment wrapText="1"/>
    </xf>
    <xf numFmtId="14" fontId="153" fillId="14" borderId="40" xfId="10" applyNumberFormat="1" applyFont="1" applyFill="1" applyBorder="1" applyAlignment="1">
      <alignment horizontal="center" vertical="center"/>
    </xf>
    <xf numFmtId="0" fontId="34" fillId="14" borderId="45" xfId="10" applyFont="1" applyFill="1" applyBorder="1" applyAlignment="1">
      <alignment horizontal="left" vertical="center"/>
    </xf>
    <xf numFmtId="0" fontId="167" fillId="0" borderId="22" xfId="0" applyFont="1" applyBorder="1"/>
    <xf numFmtId="0" fontId="167" fillId="0" borderId="23" xfId="0" applyFont="1" applyBorder="1" applyAlignment="1">
      <alignment horizontal="center"/>
    </xf>
    <xf numFmtId="165" fontId="167" fillId="0" borderId="23" xfId="0" applyNumberFormat="1" applyFont="1" applyBorder="1" applyAlignment="1">
      <alignment horizontal="center"/>
    </xf>
    <xf numFmtId="0" fontId="35" fillId="16" borderId="2" xfId="0" applyFont="1" applyFill="1" applyBorder="1"/>
    <xf numFmtId="0" fontId="14" fillId="16" borderId="2" xfId="0" applyFont="1" applyFill="1" applyBorder="1"/>
    <xf numFmtId="0" fontId="14" fillId="16" borderId="17" xfId="0" applyFont="1" applyFill="1" applyBorder="1"/>
    <xf numFmtId="0" fontId="168" fillId="25" borderId="0" xfId="0" applyFont="1" applyFill="1"/>
    <xf numFmtId="0" fontId="104" fillId="16" borderId="0" xfId="0" applyFont="1" applyFill="1"/>
    <xf numFmtId="0" fontId="104" fillId="55" borderId="0" xfId="0" applyFont="1" applyFill="1"/>
    <xf numFmtId="0" fontId="104" fillId="16" borderId="2" xfId="0" applyFont="1" applyFill="1" applyBorder="1"/>
    <xf numFmtId="0" fontId="104" fillId="55" borderId="18" xfId="0" applyFont="1" applyFill="1" applyBorder="1"/>
    <xf numFmtId="0" fontId="104" fillId="16" borderId="2" xfId="0" applyFont="1" applyFill="1" applyBorder="1" applyAlignment="1">
      <alignment horizontal="center"/>
    </xf>
    <xf numFmtId="177" fontId="104" fillId="16" borderId="2" xfId="0" applyNumberFormat="1" applyFont="1" applyFill="1" applyBorder="1" applyAlignment="1">
      <alignment horizontal="center"/>
    </xf>
    <xf numFmtId="165" fontId="104" fillId="16" borderId="2" xfId="0" applyNumberFormat="1" applyFont="1" applyFill="1" applyBorder="1" applyAlignment="1">
      <alignment horizontal="center"/>
    </xf>
    <xf numFmtId="0" fontId="104" fillId="55" borderId="18" xfId="0" applyFont="1" applyFill="1" applyBorder="1" applyAlignment="1">
      <alignment horizontal="center"/>
    </xf>
    <xf numFmtId="177" fontId="104" fillId="55" borderId="18" xfId="0" applyNumberFormat="1" applyFont="1" applyFill="1" applyBorder="1" applyAlignment="1">
      <alignment horizontal="center"/>
    </xf>
    <xf numFmtId="165" fontId="104" fillId="55" borderId="18" xfId="0" applyNumberFormat="1" applyFont="1" applyFill="1" applyBorder="1" applyAlignment="1">
      <alignment horizontal="center"/>
    </xf>
    <xf numFmtId="0" fontId="15" fillId="16" borderId="2" xfId="0" applyFont="1" applyFill="1" applyBorder="1" applyAlignment="1">
      <alignment horizontal="center"/>
    </xf>
    <xf numFmtId="0" fontId="10" fillId="16" borderId="2" xfId="0" applyFont="1" applyFill="1" applyBorder="1" applyAlignment="1">
      <alignment horizontal="center"/>
    </xf>
    <xf numFmtId="0" fontId="35" fillId="16" borderId="2" xfId="0" applyFont="1" applyFill="1" applyBorder="1" applyAlignment="1">
      <alignment horizontal="center"/>
    </xf>
    <xf numFmtId="0" fontId="14" fillId="16" borderId="2" xfId="0" applyFont="1" applyFill="1" applyBorder="1" applyAlignment="1">
      <alignment horizontal="center"/>
    </xf>
    <xf numFmtId="0" fontId="171" fillId="0" borderId="0" xfId="0" applyFont="1"/>
    <xf numFmtId="0" fontId="171" fillId="40" borderId="54" xfId="0" applyFont="1" applyFill="1" applyBorder="1"/>
    <xf numFmtId="0" fontId="72" fillId="0" borderId="0" xfId="0" applyFont="1"/>
    <xf numFmtId="0" fontId="147" fillId="0" borderId="0" xfId="0" applyFont="1"/>
    <xf numFmtId="0" fontId="172" fillId="0" borderId="0" xfId="0" applyFont="1"/>
    <xf numFmtId="0" fontId="172" fillId="0" borderId="55" xfId="0" applyFont="1" applyBorder="1"/>
    <xf numFmtId="0" fontId="173" fillId="0" borderId="0" xfId="0" applyFont="1"/>
    <xf numFmtId="0" fontId="174" fillId="0" borderId="0" xfId="0" applyFont="1"/>
    <xf numFmtId="0" fontId="175" fillId="0" borderId="0" xfId="0" applyFont="1"/>
    <xf numFmtId="0" fontId="169" fillId="0" borderId="0" xfId="0" applyFont="1"/>
    <xf numFmtId="0" fontId="79" fillId="0" borderId="55" xfId="0" applyFont="1" applyBorder="1"/>
    <xf numFmtId="0" fontId="0" fillId="0" borderId="55" xfId="0" applyBorder="1"/>
    <xf numFmtId="0" fontId="169" fillId="0" borderId="54" xfId="0" applyFont="1" applyBorder="1"/>
    <xf numFmtId="165" fontId="72" fillId="0" borderId="0" xfId="0" applyNumberFormat="1" applyFont="1"/>
    <xf numFmtId="165" fontId="147" fillId="0" borderId="0" xfId="0" applyNumberFormat="1" applyFont="1"/>
    <xf numFmtId="165" fontId="172" fillId="0" borderId="55" xfId="0" applyNumberFormat="1" applyFont="1" applyBorder="1"/>
    <xf numFmtId="165" fontId="79" fillId="0" borderId="55" xfId="0" applyNumberFormat="1" applyFont="1" applyBorder="1"/>
    <xf numFmtId="165" fontId="175" fillId="0" borderId="0" xfId="0" applyNumberFormat="1" applyFont="1"/>
    <xf numFmtId="165" fontId="172" fillId="0" borderId="0" xfId="0" applyNumberFormat="1" applyFont="1"/>
    <xf numFmtId="165" fontId="169" fillId="0" borderId="54" xfId="0" applyNumberFormat="1" applyFont="1" applyBorder="1"/>
    <xf numFmtId="165" fontId="176" fillId="0" borderId="0" xfId="0" applyNumberFormat="1" applyFont="1"/>
    <xf numFmtId="174" fontId="72" fillId="0" borderId="0" xfId="0" applyNumberFormat="1" applyFont="1"/>
    <xf numFmtId="174" fontId="147" fillId="0" borderId="0" xfId="0" applyNumberFormat="1" applyFont="1"/>
    <xf numFmtId="174" fontId="172" fillId="0" borderId="55" xfId="0" applyNumberFormat="1" applyFont="1" applyBorder="1"/>
    <xf numFmtId="174" fontId="79" fillId="0" borderId="55" xfId="0" applyNumberFormat="1" applyFont="1" applyBorder="1"/>
    <xf numFmtId="174" fontId="175" fillId="0" borderId="0" xfId="0" applyNumberFormat="1" applyFont="1"/>
    <xf numFmtId="174" fontId="172" fillId="0" borderId="0" xfId="0" applyNumberFormat="1" applyFont="1"/>
    <xf numFmtId="174" fontId="169" fillId="0" borderId="54" xfId="0" applyNumberFormat="1" applyFont="1" applyBorder="1"/>
    <xf numFmtId="0" fontId="14" fillId="16" borderId="17" xfId="0" applyFont="1" applyFill="1" applyBorder="1" applyAlignment="1">
      <alignment horizontal="center"/>
    </xf>
    <xf numFmtId="177" fontId="15" fillId="16" borderId="17" xfId="0" applyNumberFormat="1" applyFont="1" applyFill="1" applyBorder="1" applyAlignment="1">
      <alignment horizontal="center"/>
    </xf>
    <xf numFmtId="0" fontId="14" fillId="25" borderId="2" xfId="0" applyFont="1" applyFill="1" applyBorder="1" applyAlignment="1">
      <alignment horizontal="center"/>
    </xf>
    <xf numFmtId="0" fontId="14" fillId="25" borderId="2" xfId="0" applyFont="1" applyFill="1" applyBorder="1"/>
    <xf numFmtId="0" fontId="104" fillId="25" borderId="0" xfId="0" applyFont="1" applyFill="1"/>
    <xf numFmtId="0" fontId="72" fillId="23" borderId="0" xfId="0" applyFont="1" applyFill="1"/>
    <xf numFmtId="0" fontId="82" fillId="23" borderId="54" xfId="0" applyFont="1" applyFill="1" applyBorder="1"/>
    <xf numFmtId="0" fontId="82" fillId="23" borderId="54" xfId="0" applyFont="1" applyFill="1" applyBorder="1" applyAlignment="1">
      <alignment horizontal="center"/>
    </xf>
    <xf numFmtId="0" fontId="105" fillId="25" borderId="56" xfId="0" applyFont="1" applyFill="1" applyBorder="1"/>
    <xf numFmtId="0" fontId="105" fillId="25" borderId="56" xfId="0" applyFont="1" applyFill="1" applyBorder="1" applyAlignment="1">
      <alignment horizontal="center"/>
    </xf>
    <xf numFmtId="177" fontId="105" fillId="25" borderId="56" xfId="0" applyNumberFormat="1" applyFont="1" applyFill="1" applyBorder="1" applyAlignment="1">
      <alignment horizontal="center"/>
    </xf>
    <xf numFmtId="165" fontId="105" fillId="25" borderId="56" xfId="0" applyNumberFormat="1" applyFont="1" applyFill="1" applyBorder="1" applyAlignment="1">
      <alignment horizontal="center"/>
    </xf>
    <xf numFmtId="0" fontId="82" fillId="23" borderId="2" xfId="0" applyFont="1" applyFill="1" applyBorder="1"/>
    <xf numFmtId="0" fontId="61" fillId="16" borderId="51" xfId="0" applyFont="1" applyFill="1" applyBorder="1"/>
    <xf numFmtId="177" fontId="61" fillId="16" borderId="51" xfId="0" applyNumberFormat="1" applyFont="1" applyFill="1" applyBorder="1"/>
    <xf numFmtId="0" fontId="171" fillId="40" borderId="57" xfId="0" applyFont="1" applyFill="1" applyBorder="1"/>
    <xf numFmtId="177" fontId="171" fillId="40" borderId="57" xfId="0" applyNumberFormat="1" applyFont="1" applyFill="1" applyBorder="1"/>
    <xf numFmtId="0" fontId="72" fillId="16" borderId="0" xfId="0" applyFont="1" applyFill="1"/>
    <xf numFmtId="174" fontId="72" fillId="16" borderId="0" xfId="0" applyNumberFormat="1" applyFont="1" applyFill="1"/>
    <xf numFmtId="165" fontId="72" fillId="16" borderId="0" xfId="0" applyNumberFormat="1" applyFont="1" applyFill="1"/>
    <xf numFmtId="0" fontId="79" fillId="0" borderId="56" xfId="0" applyFont="1" applyBorder="1"/>
    <xf numFmtId="174" fontId="79" fillId="0" borderId="56" xfId="0" applyNumberFormat="1" applyFont="1" applyBorder="1"/>
    <xf numFmtId="165" fontId="79" fillId="0" borderId="56" xfId="0" applyNumberFormat="1" applyFont="1" applyBorder="1"/>
    <xf numFmtId="0" fontId="0" fillId="0" borderId="56" xfId="0" applyBorder="1"/>
    <xf numFmtId="0" fontId="61" fillId="16" borderId="55" xfId="0" applyFont="1" applyFill="1" applyBorder="1"/>
    <xf numFmtId="177" fontId="61" fillId="16" borderId="55" xfId="0" applyNumberFormat="1" applyFont="1" applyFill="1" applyBorder="1"/>
    <xf numFmtId="0" fontId="61" fillId="40" borderId="51" xfId="0" applyFont="1" applyFill="1" applyBorder="1"/>
    <xf numFmtId="177" fontId="61" fillId="40" borderId="51" xfId="0" applyNumberFormat="1" applyFont="1" applyFill="1" applyBorder="1"/>
    <xf numFmtId="0" fontId="140" fillId="56" borderId="0" xfId="0" applyFont="1" applyFill="1"/>
    <xf numFmtId="177" fontId="0" fillId="0" borderId="0" xfId="0" applyNumberFormat="1"/>
    <xf numFmtId="165" fontId="0" fillId="0" borderId="0" xfId="0" applyNumberFormat="1"/>
    <xf numFmtId="175" fontId="0" fillId="0" borderId="0" xfId="0" applyNumberFormat="1"/>
    <xf numFmtId="49" fontId="0" fillId="0" borderId="0" xfId="0" applyNumberFormat="1"/>
    <xf numFmtId="0" fontId="140" fillId="23" borderId="0" xfId="0" applyFont="1" applyFill="1"/>
    <xf numFmtId="0" fontId="31" fillId="25" borderId="55" xfId="0" applyFont="1" applyFill="1" applyBorder="1" applyAlignment="1">
      <alignment horizontal="left"/>
    </xf>
    <xf numFmtId="0" fontId="35" fillId="25" borderId="55" xfId="0" applyFont="1" applyFill="1" applyBorder="1"/>
    <xf numFmtId="0" fontId="12" fillId="23" borderId="16" xfId="0" applyFont="1" applyFill="1" applyBorder="1" applyAlignment="1">
      <alignment horizontal="center" wrapText="1"/>
    </xf>
    <xf numFmtId="0" fontId="35" fillId="25" borderId="2" xfId="0" applyFont="1" applyFill="1" applyBorder="1"/>
    <xf numFmtId="0" fontId="14" fillId="16" borderId="47" xfId="0" applyFont="1" applyFill="1" applyBorder="1" applyAlignment="1">
      <alignment horizontal="center"/>
    </xf>
    <xf numFmtId="0" fontId="130" fillId="26" borderId="8" xfId="0" applyFont="1" applyFill="1" applyBorder="1" applyAlignment="1">
      <alignment horizontal="center"/>
    </xf>
    <xf numFmtId="0" fontId="16" fillId="28" borderId="8" xfId="0" applyFont="1" applyFill="1" applyBorder="1" applyAlignment="1">
      <alignment horizontal="center"/>
    </xf>
    <xf numFmtId="0" fontId="130" fillId="26" borderId="10" xfId="0" applyFont="1" applyFill="1" applyBorder="1" applyAlignment="1">
      <alignment horizontal="center"/>
    </xf>
    <xf numFmtId="0" fontId="16" fillId="28" borderId="10" xfId="0" applyFont="1" applyFill="1" applyBorder="1" applyAlignment="1">
      <alignment horizontal="center"/>
    </xf>
    <xf numFmtId="0" fontId="130" fillId="26" borderId="11" xfId="0" applyFont="1" applyFill="1" applyBorder="1" applyAlignment="1">
      <alignment horizontal="center"/>
    </xf>
    <xf numFmtId="0" fontId="130" fillId="26" borderId="12" xfId="0" applyFont="1" applyFill="1" applyBorder="1" applyAlignment="1">
      <alignment horizontal="center"/>
    </xf>
    <xf numFmtId="0" fontId="130" fillId="16" borderId="8" xfId="0" applyFont="1" applyFill="1" applyBorder="1" applyAlignment="1">
      <alignment horizontal="center"/>
    </xf>
    <xf numFmtId="0" fontId="130" fillId="16" borderId="12" xfId="0" applyFont="1" applyFill="1" applyBorder="1" applyAlignment="1">
      <alignment horizontal="center"/>
    </xf>
    <xf numFmtId="0" fontId="14" fillId="16" borderId="2" xfId="0" applyFont="1" applyFill="1" applyBorder="1" applyAlignment="1">
      <alignment vertical="top" wrapText="1"/>
    </xf>
    <xf numFmtId="0" fontId="130" fillId="26" borderId="14" xfId="0" applyFont="1" applyFill="1" applyBorder="1" applyAlignment="1">
      <alignment vertical="top" wrapText="1"/>
    </xf>
    <xf numFmtId="0" fontId="130" fillId="26" borderId="8" xfId="0" applyFont="1" applyFill="1" applyBorder="1" applyAlignment="1">
      <alignment vertical="top" wrapText="1"/>
    </xf>
    <xf numFmtId="0" fontId="130" fillId="16" borderId="14" xfId="0" applyFont="1" applyFill="1" applyBorder="1" applyAlignment="1">
      <alignment vertical="top" wrapText="1"/>
    </xf>
    <xf numFmtId="0" fontId="130" fillId="16" borderId="8" xfId="0" applyFont="1" applyFill="1" applyBorder="1" applyAlignment="1">
      <alignment vertical="top" wrapText="1"/>
    </xf>
    <xf numFmtId="0" fontId="130" fillId="26" borderId="15" xfId="0" applyFont="1" applyFill="1" applyBorder="1" applyAlignment="1">
      <alignment vertical="top" wrapText="1"/>
    </xf>
    <xf numFmtId="0" fontId="130" fillId="26" borderId="10" xfId="0" applyFont="1" applyFill="1" applyBorder="1" applyAlignment="1">
      <alignment vertical="top" wrapText="1"/>
    </xf>
    <xf numFmtId="0" fontId="62" fillId="28" borderId="17" xfId="0" applyFont="1" applyFill="1" applyBorder="1"/>
    <xf numFmtId="0" fontId="62" fillId="28" borderId="17" xfId="0" applyFont="1" applyFill="1" applyBorder="1" applyAlignment="1">
      <alignment horizontal="center"/>
    </xf>
    <xf numFmtId="0" fontId="62" fillId="28" borderId="18" xfId="0" applyFont="1" applyFill="1" applyBorder="1"/>
    <xf numFmtId="0" fontId="62" fillId="28" borderId="18" xfId="0" applyFont="1" applyFill="1" applyBorder="1" applyAlignment="1">
      <alignment horizontal="center"/>
    </xf>
    <xf numFmtId="0" fontId="110" fillId="32" borderId="17" xfId="0" applyFont="1" applyFill="1" applyBorder="1"/>
    <xf numFmtId="0" fontId="110" fillId="32" borderId="18" xfId="0" applyFont="1" applyFill="1" applyBorder="1"/>
    <xf numFmtId="0" fontId="110" fillId="32" borderId="18" xfId="0" applyFont="1" applyFill="1" applyBorder="1" applyAlignment="1">
      <alignment horizontal="center"/>
    </xf>
    <xf numFmtId="0" fontId="62" fillId="28" borderId="2" xfId="0" applyFont="1" applyFill="1" applyBorder="1"/>
    <xf numFmtId="0" fontId="14" fillId="27" borderId="15" xfId="0" applyFont="1" applyFill="1" applyBorder="1" applyAlignment="1">
      <alignment horizontal="center"/>
    </xf>
    <xf numFmtId="3" fontId="14" fillId="16" borderId="15" xfId="0" applyNumberFormat="1" applyFont="1" applyFill="1" applyBorder="1" applyAlignment="1">
      <alignment horizontal="center"/>
    </xf>
    <xf numFmtId="0" fontId="14" fillId="16" borderId="15" xfId="0" applyFont="1" applyFill="1" applyBorder="1" applyAlignment="1">
      <alignment horizontal="center"/>
    </xf>
    <xf numFmtId="3" fontId="14" fillId="28" borderId="15" xfId="0" applyNumberFormat="1" applyFont="1" applyFill="1" applyBorder="1" applyAlignment="1">
      <alignment horizontal="center"/>
    </xf>
    <xf numFmtId="0" fontId="9" fillId="27" borderId="0" xfId="0" applyFont="1" applyFill="1"/>
    <xf numFmtId="0" fontId="23" fillId="16" borderId="15" xfId="0" applyFont="1" applyFill="1" applyBorder="1"/>
    <xf numFmtId="10" fontId="21" fillId="16" borderId="1" xfId="0" applyNumberFormat="1" applyFont="1" applyFill="1" applyBorder="1"/>
    <xf numFmtId="0" fontId="48" fillId="29" borderId="0" xfId="0" applyFont="1" applyFill="1"/>
    <xf numFmtId="0" fontId="58" fillId="31" borderId="24" xfId="0" applyFont="1" applyFill="1" applyBorder="1" applyAlignment="1">
      <alignment wrapText="1"/>
    </xf>
    <xf numFmtId="0" fontId="111" fillId="33" borderId="17" xfId="0" applyFont="1" applyFill="1" applyBorder="1"/>
    <xf numFmtId="0" fontId="111" fillId="33" borderId="17" xfId="0" applyFont="1" applyFill="1" applyBorder="1" applyAlignment="1">
      <alignment horizontal="center"/>
    </xf>
    <xf numFmtId="0" fontId="112" fillId="34" borderId="17" xfId="0" applyFont="1" applyFill="1" applyBorder="1"/>
    <xf numFmtId="0" fontId="47" fillId="16" borderId="17" xfId="0" applyFont="1" applyFill="1" applyBorder="1"/>
    <xf numFmtId="0" fontId="47" fillId="16" borderId="17" xfId="0" applyFont="1" applyFill="1" applyBorder="1" applyAlignment="1">
      <alignment horizontal="center"/>
    </xf>
    <xf numFmtId="0" fontId="7" fillId="0" borderId="2" xfId="0" applyFont="1" applyBorder="1"/>
    <xf numFmtId="0" fontId="47" fillId="0" borderId="2" xfId="0" applyFont="1" applyBorder="1"/>
    <xf numFmtId="0" fontId="8" fillId="0" borderId="2" xfId="0" applyFont="1" applyBorder="1"/>
    <xf numFmtId="0" fontId="15" fillId="0" borderId="2" xfId="0" applyFont="1" applyBorder="1"/>
    <xf numFmtId="175" fontId="10" fillId="0" borderId="2" xfId="0" applyNumberFormat="1" applyFont="1" applyBorder="1"/>
    <xf numFmtId="0" fontId="44" fillId="0" borderId="2" xfId="0" applyFont="1" applyBorder="1"/>
    <xf numFmtId="0" fontId="47" fillId="25" borderId="29" xfId="0" applyFont="1" applyFill="1" applyBorder="1"/>
    <xf numFmtId="0" fontId="48" fillId="23" borderId="2" xfId="0" applyFont="1" applyFill="1" applyBorder="1"/>
    <xf numFmtId="0" fontId="49" fillId="0" borderId="2" xfId="0" applyFont="1" applyBorder="1"/>
    <xf numFmtId="0" fontId="47" fillId="0" borderId="2" xfId="0" applyFont="1" applyBorder="1" applyAlignment="1">
      <alignment horizontal="center"/>
    </xf>
    <xf numFmtId="0" fontId="69" fillId="0" borderId="2" xfId="0" applyFont="1" applyBorder="1"/>
    <xf numFmtId="165" fontId="69" fillId="0" borderId="2" xfId="0" applyNumberFormat="1" applyFont="1" applyBorder="1" applyAlignment="1">
      <alignment horizontal="center"/>
    </xf>
    <xf numFmtId="0" fontId="47" fillId="0" borderId="18" xfId="0" applyFont="1" applyBorder="1"/>
    <xf numFmtId="0" fontId="47" fillId="0" borderId="18" xfId="0" applyFont="1" applyBorder="1" applyAlignment="1">
      <alignment horizontal="center"/>
    </xf>
    <xf numFmtId="165" fontId="47" fillId="0" borderId="18" xfId="0" applyNumberFormat="1" applyFont="1" applyBorder="1" applyAlignment="1">
      <alignment horizontal="center"/>
    </xf>
    <xf numFmtId="165" fontId="69" fillId="0" borderId="18" xfId="0" applyNumberFormat="1" applyFont="1" applyBorder="1" applyAlignment="1">
      <alignment horizontal="center"/>
    </xf>
    <xf numFmtId="0" fontId="69" fillId="0" borderId="18" xfId="0" applyFont="1" applyBorder="1"/>
    <xf numFmtId="0" fontId="69" fillId="0" borderId="18" xfId="0" applyFont="1" applyBorder="1" applyAlignment="1">
      <alignment horizontal="center"/>
    </xf>
    <xf numFmtId="165" fontId="66" fillId="0" borderId="18" xfId="0" applyNumberFormat="1" applyFont="1" applyBorder="1" applyAlignment="1">
      <alignment horizontal="center"/>
    </xf>
    <xf numFmtId="0" fontId="63" fillId="0" borderId="18" xfId="0" applyFont="1" applyBorder="1"/>
    <xf numFmtId="0" fontId="63" fillId="0" borderId="18" xfId="0" applyFont="1" applyBorder="1" applyAlignment="1">
      <alignment horizontal="center"/>
    </xf>
    <xf numFmtId="165" fontId="63" fillId="0" borderId="18" xfId="0" applyNumberFormat="1" applyFont="1" applyBorder="1" applyAlignment="1">
      <alignment horizontal="center"/>
    </xf>
    <xf numFmtId="0" fontId="49" fillId="0" borderId="18" xfId="0" applyFont="1" applyBorder="1"/>
    <xf numFmtId="0" fontId="49" fillId="0" borderId="17" xfId="0" applyFont="1" applyBorder="1"/>
    <xf numFmtId="165" fontId="47" fillId="0" borderId="17" xfId="0" applyNumberFormat="1" applyFont="1" applyBorder="1" applyAlignment="1">
      <alignment horizontal="center"/>
    </xf>
    <xf numFmtId="0" fontId="47" fillId="0" borderId="17" xfId="0" applyFont="1" applyBorder="1"/>
    <xf numFmtId="0" fontId="69" fillId="0" borderId="17" xfId="0" applyFont="1" applyBorder="1"/>
    <xf numFmtId="0" fontId="47" fillId="0" borderId="17" xfId="0" applyFont="1" applyBorder="1" applyAlignment="1">
      <alignment horizontal="center"/>
    </xf>
    <xf numFmtId="0" fontId="44" fillId="0" borderId="17" xfId="0" applyFont="1" applyBorder="1"/>
    <xf numFmtId="174" fontId="47" fillId="0" borderId="2" xfId="0" applyNumberFormat="1" applyFont="1" applyBorder="1" applyAlignment="1">
      <alignment horizontal="center"/>
    </xf>
    <xf numFmtId="174" fontId="47" fillId="0" borderId="18" xfId="0" applyNumberFormat="1" applyFont="1" applyBorder="1" applyAlignment="1">
      <alignment horizontal="center"/>
    </xf>
    <xf numFmtId="0" fontId="44" fillId="0" borderId="18" xfId="0" applyFont="1" applyBorder="1"/>
    <xf numFmtId="0" fontId="46" fillId="25" borderId="17" xfId="0" applyFont="1" applyFill="1" applyBorder="1"/>
    <xf numFmtId="0" fontId="46" fillId="25" borderId="17" xfId="0" applyFont="1" applyFill="1" applyBorder="1" applyAlignment="1">
      <alignment horizontal="center"/>
    </xf>
    <xf numFmtId="174" fontId="46" fillId="25" borderId="17" xfId="0" applyNumberFormat="1" applyFont="1" applyFill="1" applyBorder="1" applyAlignment="1">
      <alignment horizontal="center"/>
    </xf>
    <xf numFmtId="0" fontId="46" fillId="25" borderId="2" xfId="0" applyFont="1" applyFill="1" applyBorder="1"/>
    <xf numFmtId="174" fontId="46" fillId="25" borderId="2" xfId="0" applyNumberFormat="1" applyFont="1" applyFill="1" applyBorder="1" applyAlignment="1">
      <alignment horizontal="center"/>
    </xf>
    <xf numFmtId="0" fontId="47" fillId="0" borderId="49" xfId="0" applyFont="1" applyBorder="1"/>
    <xf numFmtId="174" fontId="47" fillId="0" borderId="17" xfId="0" applyNumberFormat="1" applyFont="1" applyBorder="1" applyAlignment="1">
      <alignment horizontal="center"/>
    </xf>
    <xf numFmtId="0" fontId="45" fillId="25" borderId="2" xfId="0" applyFont="1" applyFill="1" applyBorder="1"/>
    <xf numFmtId="0" fontId="47" fillId="25" borderId="2" xfId="0" applyFont="1" applyFill="1" applyBorder="1"/>
    <xf numFmtId="0" fontId="44" fillId="0" borderId="30" xfId="0" applyFont="1" applyBorder="1"/>
    <xf numFmtId="0" fontId="47" fillId="0" borderId="30" xfId="0" applyFont="1" applyBorder="1"/>
    <xf numFmtId="0" fontId="47" fillId="23" borderId="2" xfId="0" applyFont="1" applyFill="1" applyBorder="1"/>
    <xf numFmtId="174" fontId="48" fillId="23" borderId="2" xfId="0" applyNumberFormat="1" applyFont="1" applyFill="1" applyBorder="1" applyAlignment="1">
      <alignment horizontal="center"/>
    </xf>
    <xf numFmtId="165" fontId="47" fillId="0" borderId="2" xfId="0" applyNumberFormat="1" applyFont="1" applyBorder="1" applyAlignment="1">
      <alignment horizontal="center"/>
    </xf>
    <xf numFmtId="169" fontId="47" fillId="0" borderId="18" xfId="0" applyNumberFormat="1" applyFont="1" applyBorder="1" applyAlignment="1">
      <alignment horizontal="center"/>
    </xf>
    <xf numFmtId="169" fontId="47" fillId="0" borderId="17" xfId="0" applyNumberFormat="1" applyFont="1" applyBorder="1" applyAlignment="1">
      <alignment horizontal="center"/>
    </xf>
    <xf numFmtId="179" fontId="47" fillId="0" borderId="17" xfId="0" applyNumberFormat="1" applyFont="1" applyBorder="1" applyAlignment="1">
      <alignment horizontal="center"/>
    </xf>
    <xf numFmtId="180" fontId="47" fillId="0" borderId="17" xfId="0" applyNumberFormat="1" applyFont="1" applyBorder="1" applyAlignment="1">
      <alignment horizontal="center"/>
    </xf>
    <xf numFmtId="167" fontId="47" fillId="0" borderId="2" xfId="0" applyNumberFormat="1" applyFont="1" applyBorder="1" applyAlignment="1">
      <alignment horizontal="center"/>
    </xf>
    <xf numFmtId="167" fontId="47" fillId="0" borderId="18" xfId="0" applyNumberFormat="1" applyFont="1" applyBorder="1" applyAlignment="1">
      <alignment horizontal="center"/>
    </xf>
    <xf numFmtId="167" fontId="69" fillId="0" borderId="17" xfId="0" applyNumberFormat="1" applyFont="1" applyBorder="1" applyAlignment="1">
      <alignment horizontal="center"/>
    </xf>
    <xf numFmtId="0" fontId="48" fillId="23" borderId="7" xfId="0" applyFont="1" applyFill="1" applyBorder="1"/>
    <xf numFmtId="0" fontId="127" fillId="16" borderId="2" xfId="0" applyFont="1" applyFill="1" applyBorder="1" applyAlignment="1">
      <alignment horizontal="left"/>
    </xf>
    <xf numFmtId="0" fontId="127" fillId="16" borderId="17" xfId="0" applyFont="1" applyFill="1" applyBorder="1" applyAlignment="1">
      <alignment horizontal="left"/>
    </xf>
    <xf numFmtId="49" fontId="33" fillId="0" borderId="2" xfId="10" applyNumberFormat="1" applyFont="1" applyAlignment="1">
      <alignment horizontal="left" vertical="center"/>
    </xf>
    <xf numFmtId="49" fontId="33" fillId="0" borderId="2" xfId="10" applyNumberFormat="1" applyFont="1" applyAlignment="1">
      <alignment horizontal="center" vertical="center"/>
    </xf>
    <xf numFmtId="49" fontId="34" fillId="0" borderId="2" xfId="10" applyNumberFormat="1" applyFont="1" applyAlignment="1">
      <alignment horizontal="left" vertical="center"/>
    </xf>
    <xf numFmtId="49" fontId="34" fillId="0" borderId="2" xfId="10" applyNumberFormat="1" applyFont="1" applyAlignment="1">
      <alignment horizontal="center" vertical="center"/>
    </xf>
    <xf numFmtId="49" fontId="34" fillId="0" borderId="2" xfId="10" applyNumberFormat="1" applyFont="1" applyAlignment="1">
      <alignment horizontal="left" vertical="center" wrapText="1"/>
    </xf>
    <xf numFmtId="49" fontId="36" fillId="15" borderId="2" xfId="10" applyNumberFormat="1" applyFont="1" applyFill="1" applyAlignment="1">
      <alignment horizontal="center" vertical="center" wrapText="1"/>
    </xf>
    <xf numFmtId="49" fontId="36" fillId="15" borderId="2" xfId="10" applyNumberFormat="1" applyFont="1" applyFill="1" applyAlignment="1">
      <alignment horizontal="left" vertical="center" wrapText="1"/>
    </xf>
    <xf numFmtId="176" fontId="36" fillId="15" borderId="2" xfId="10" applyNumberFormat="1" applyFont="1" applyFill="1" applyAlignment="1">
      <alignment horizontal="center" vertical="center" wrapText="1"/>
    </xf>
    <xf numFmtId="173" fontId="36" fillId="15" borderId="2" xfId="10" applyNumberFormat="1" applyFont="1" applyFill="1" applyAlignment="1">
      <alignment horizontal="center" vertical="center" wrapText="1"/>
    </xf>
    <xf numFmtId="14" fontId="36" fillId="15" borderId="2" xfId="10" applyNumberFormat="1" applyFont="1" applyFill="1" applyAlignment="1">
      <alignment horizontal="center" vertical="center" wrapText="1"/>
    </xf>
    <xf numFmtId="49" fontId="36" fillId="15" borderId="2" xfId="10" applyNumberFormat="1" applyFont="1" applyFill="1" applyAlignment="1">
      <alignment horizontal="left" vertical="center"/>
    </xf>
    <xf numFmtId="176" fontId="36" fillId="15" borderId="2" xfId="10" applyNumberFormat="1" applyFont="1" applyFill="1" applyAlignment="1">
      <alignment horizontal="right" vertical="center"/>
    </xf>
    <xf numFmtId="14" fontId="34" fillId="14" borderId="44" xfId="10" applyNumberFormat="1" applyFont="1" applyFill="1" applyBorder="1" applyAlignment="1">
      <alignment horizontal="center" vertical="center"/>
    </xf>
    <xf numFmtId="49" fontId="34" fillId="14" borderId="43" xfId="10" applyNumberFormat="1" applyFont="1" applyFill="1" applyBorder="1" applyAlignment="1">
      <alignment horizontal="center" vertical="center"/>
      <extLst>
        <ext xmlns:xfpb="http://schemas.microsoft.com/office/spreadsheetml/2022/featurepropertybag" uri="{C7286773-470A-42A8-94C5-96B5CB345126}">
          <xfpb:xfComplement i="0"/>
        </ext>
      </extLst>
    </xf>
    <xf numFmtId="49" fontId="34" fillId="14" borderId="42" xfId="10" applyNumberFormat="1" applyFont="1" applyFill="1" applyBorder="1" applyAlignment="1">
      <alignment horizontal="center" vertical="center"/>
      <extLst>
        <ext xmlns:xfpb="http://schemas.microsoft.com/office/spreadsheetml/2022/featurepropertybag" uri="{C7286773-470A-42A8-94C5-96B5CB345126}">
          <xfpb:xfComplement i="0"/>
        </ext>
      </extLst>
    </xf>
    <xf numFmtId="49" fontId="34" fillId="14" borderId="41" xfId="10" applyNumberFormat="1" applyFont="1" applyFill="1" applyBorder="1" applyAlignment="1">
      <alignment horizontal="center" vertical="center"/>
      <extLst>
        <ext xmlns:xfpb="http://schemas.microsoft.com/office/spreadsheetml/2022/featurepropertybag" uri="{C7286773-470A-42A8-94C5-96B5CB345126}">
          <xfpb:xfComplement i="0"/>
        </ext>
      </extLst>
    </xf>
    <xf numFmtId="177" fontId="34" fillId="14" borderId="40" xfId="10" applyNumberFormat="1" applyFont="1" applyFill="1" applyBorder="1" applyAlignment="1">
      <alignment horizontal="center" vertical="center"/>
    </xf>
    <xf numFmtId="14" fontId="34" fillId="14" borderId="45" xfId="10" applyNumberFormat="1" applyFont="1" applyFill="1" applyBorder="1" applyAlignment="1">
      <alignment horizontal="center" vertical="center"/>
    </xf>
    <xf numFmtId="0" fontId="34" fillId="14" borderId="40" xfId="10" applyFont="1" applyFill="1" applyBorder="1" applyAlignment="1">
      <alignment horizontal="center" vertical="center"/>
    </xf>
    <xf numFmtId="49" fontId="34" fillId="14" borderId="40" xfId="10" applyNumberFormat="1" applyFont="1" applyFill="1" applyBorder="1" applyAlignment="1">
      <alignment horizontal="left" vertical="center"/>
    </xf>
    <xf numFmtId="49" fontId="34" fillId="17" borderId="48" xfId="10" applyNumberFormat="1" applyFont="1" applyFill="1" applyBorder="1" applyAlignment="1">
      <alignment horizontal="left" vertical="center"/>
    </xf>
    <xf numFmtId="14" fontId="34" fillId="52" borderId="48" xfId="10" applyNumberFormat="1" applyFont="1" applyFill="1" applyBorder="1" applyAlignment="1">
      <alignment horizontal="center"/>
    </xf>
    <xf numFmtId="49" fontId="34" fillId="52" borderId="48" xfId="10" applyNumberFormat="1" applyFont="1" applyFill="1" applyBorder="1" applyAlignment="1">
      <alignment horizontal="center" vertical="center"/>
      <extLst>
        <ext xmlns:xfpb="http://schemas.microsoft.com/office/spreadsheetml/2022/featurepropertybag" uri="{C7286773-470A-42A8-94C5-96B5CB345126}">
          <xfpb:xfComplement i="0"/>
        </ext>
      </extLst>
    </xf>
    <xf numFmtId="177" fontId="34" fillId="52" borderId="48" xfId="10" applyNumberFormat="1" applyFont="1" applyFill="1" applyBorder="1" applyAlignment="1">
      <alignment horizontal="center" vertical="center"/>
    </xf>
    <xf numFmtId="49" fontId="34" fillId="52" borderId="48" xfId="10" applyNumberFormat="1" applyFont="1" applyFill="1" applyBorder="1" applyAlignment="1">
      <alignment horizontal="center" vertical="center"/>
    </xf>
    <xf numFmtId="49" fontId="34" fillId="43" borderId="48" xfId="10" applyNumberFormat="1" applyFont="1" applyFill="1" applyBorder="1" applyAlignment="1">
      <alignment horizontal="left" vertical="center"/>
    </xf>
    <xf numFmtId="14" fontId="34" fillId="43" borderId="48" xfId="10" applyNumberFormat="1" applyFont="1" applyFill="1" applyBorder="1" applyAlignment="1">
      <alignment horizontal="center"/>
    </xf>
    <xf numFmtId="49" fontId="34" fillId="43" borderId="48" xfId="10" applyNumberFormat="1" applyFont="1" applyFill="1" applyBorder="1" applyAlignment="1">
      <alignment horizontal="center" vertical="center"/>
      <extLst>
        <ext xmlns:xfpb="http://schemas.microsoft.com/office/spreadsheetml/2022/featurepropertybag" uri="{C7286773-470A-42A8-94C5-96B5CB345126}">
          <xfpb:xfComplement i="0"/>
        </ext>
      </extLst>
    </xf>
    <xf numFmtId="177" fontId="34" fillId="43" borderId="48" xfId="10" applyNumberFormat="1" applyFont="1" applyFill="1" applyBorder="1" applyAlignment="1">
      <alignment horizontal="center" vertical="center"/>
    </xf>
    <xf numFmtId="49" fontId="34" fillId="43" borderId="48" xfId="10" applyNumberFormat="1" applyFont="1" applyFill="1" applyBorder="1" applyAlignment="1">
      <alignment horizontal="center" vertical="center"/>
    </xf>
    <xf numFmtId="49" fontId="34" fillId="42" borderId="40" xfId="10" applyNumberFormat="1" applyFont="1" applyFill="1" applyBorder="1" applyAlignment="1">
      <alignment horizontal="left" vertical="center"/>
    </xf>
    <xf numFmtId="14" fontId="34" fillId="42" borderId="40" xfId="10" applyNumberFormat="1" applyFont="1" applyFill="1" applyBorder="1" applyAlignment="1">
      <alignment horizontal="center"/>
    </xf>
    <xf numFmtId="49" fontId="34" fillId="42" borderId="40" xfId="10" applyNumberFormat="1" applyFont="1" applyFill="1" applyBorder="1" applyAlignment="1">
      <alignment horizontal="center" vertical="center"/>
      <extLst>
        <ext xmlns:xfpb="http://schemas.microsoft.com/office/spreadsheetml/2022/featurepropertybag" uri="{C7286773-470A-42A8-94C5-96B5CB345126}">
          <xfpb:xfComplement i="0"/>
        </ext>
      </extLst>
    </xf>
    <xf numFmtId="49" fontId="34" fillId="42" borderId="40" xfId="10" applyNumberFormat="1" applyFont="1" applyFill="1" applyBorder="1" applyAlignment="1">
      <alignment horizontal="center" vertical="center"/>
    </xf>
    <xf numFmtId="49" fontId="34" fillId="52" borderId="40" xfId="10" applyNumberFormat="1" applyFont="1" applyFill="1" applyBorder="1" applyAlignment="1">
      <alignment horizontal="left" vertical="center"/>
    </xf>
    <xf numFmtId="14" fontId="34" fillId="52" borderId="40" xfId="10" applyNumberFormat="1" applyFont="1" applyFill="1" applyBorder="1" applyAlignment="1">
      <alignment horizontal="center"/>
    </xf>
    <xf numFmtId="49" fontId="34" fillId="52" borderId="40" xfId="10" applyNumberFormat="1" applyFont="1" applyFill="1" applyBorder="1" applyAlignment="1">
      <alignment horizontal="center" vertical="center"/>
      <extLst>
        <ext xmlns:xfpb="http://schemas.microsoft.com/office/spreadsheetml/2022/featurepropertybag" uri="{C7286773-470A-42A8-94C5-96B5CB345126}">
          <xfpb:xfComplement i="0"/>
        </ext>
      </extLst>
    </xf>
    <xf numFmtId="177" fontId="34" fillId="52" borderId="40" xfId="10" applyNumberFormat="1" applyFont="1" applyFill="1" applyBorder="1" applyAlignment="1">
      <alignment horizontal="center" vertical="center"/>
    </xf>
    <xf numFmtId="49" fontId="34" fillId="52" borderId="40" xfId="10" applyNumberFormat="1" applyFont="1" applyFill="1" applyBorder="1" applyAlignment="1">
      <alignment horizontal="center" vertical="center"/>
    </xf>
    <xf numFmtId="14" fontId="34" fillId="14" borderId="40" xfId="10" applyNumberFormat="1" applyFont="1" applyFill="1" applyBorder="1" applyAlignment="1">
      <alignment horizontal="center"/>
    </xf>
    <xf numFmtId="49" fontId="34" fillId="14" borderId="40" xfId="10" applyNumberFormat="1" applyFont="1" applyFill="1" applyBorder="1" applyAlignment="1">
      <alignment horizontal="center" vertical="center"/>
      <extLst>
        <ext xmlns:xfpb="http://schemas.microsoft.com/office/spreadsheetml/2022/featurepropertybag" uri="{C7286773-470A-42A8-94C5-96B5CB345126}">
          <xfpb:xfComplement i="0"/>
        </ext>
      </extLst>
    </xf>
    <xf numFmtId="49" fontId="34" fillId="14" borderId="40" xfId="10" applyNumberFormat="1" applyFont="1" applyFill="1" applyBorder="1" applyAlignment="1">
      <alignment horizontal="center" vertical="center"/>
    </xf>
    <xf numFmtId="14" fontId="34" fillId="52" borderId="40" xfId="10" applyNumberFormat="1" applyFont="1" applyFill="1" applyBorder="1" applyAlignment="1">
      <alignment horizontal="center" vertical="center"/>
    </xf>
    <xf numFmtId="0" fontId="34" fillId="17" borderId="44" xfId="10" applyFont="1" applyFill="1" applyBorder="1"/>
    <xf numFmtId="0" fontId="34" fillId="54" borderId="40" xfId="10" applyFont="1" applyFill="1" applyBorder="1"/>
    <xf numFmtId="14" fontId="34" fillId="54" borderId="45" xfId="10" applyNumberFormat="1" applyFont="1" applyFill="1" applyBorder="1" applyAlignment="1">
      <alignment horizontal="center"/>
    </xf>
    <xf numFmtId="0" fontId="34" fillId="42" borderId="40" xfId="10" applyFont="1" applyFill="1" applyBorder="1"/>
    <xf numFmtId="14" fontId="34" fillId="42" borderId="45" xfId="10" applyNumberFormat="1" applyFont="1" applyFill="1" applyBorder="1" applyAlignment="1">
      <alignment horizontal="center"/>
    </xf>
    <xf numFmtId="0" fontId="34" fillId="0" borderId="40" xfId="10" applyFont="1" applyBorder="1"/>
    <xf numFmtId="14" fontId="34" fillId="0" borderId="40" xfId="10" applyNumberFormat="1" applyFont="1" applyBorder="1" applyAlignment="1">
      <alignment horizontal="center"/>
    </xf>
    <xf numFmtId="0" fontId="34" fillId="17" borderId="48" xfId="10" applyFont="1" applyFill="1" applyBorder="1"/>
    <xf numFmtId="0" fontId="34" fillId="42" borderId="48" xfId="10" applyFont="1" applyFill="1" applyBorder="1"/>
    <xf numFmtId="14" fontId="34" fillId="42" borderId="48" xfId="10" applyNumberFormat="1" applyFont="1" applyFill="1" applyBorder="1" applyAlignment="1">
      <alignment horizontal="center"/>
    </xf>
    <xf numFmtId="0" fontId="34" fillId="17" borderId="53" xfId="10" applyFont="1" applyFill="1" applyBorder="1"/>
    <xf numFmtId="0" fontId="34" fillId="0" borderId="53" xfId="10" applyFont="1" applyBorder="1"/>
    <xf numFmtId="14" fontId="34" fillId="0" borderId="53" xfId="10" applyNumberFormat="1" applyFont="1" applyBorder="1" applyAlignment="1">
      <alignment horizontal="center"/>
    </xf>
    <xf numFmtId="0" fontId="34" fillId="17" borderId="40" xfId="10" applyFont="1" applyFill="1" applyBorder="1" applyAlignment="1">
      <alignment vertical="center"/>
    </xf>
    <xf numFmtId="0" fontId="34" fillId="0" borderId="40" xfId="10" applyFont="1" applyBorder="1" applyAlignment="1">
      <alignment vertical="center"/>
    </xf>
    <xf numFmtId="14" fontId="34" fillId="0" borderId="40" xfId="10" applyNumberFormat="1" applyFont="1" applyBorder="1" applyAlignment="1">
      <alignment horizontal="center" vertical="center"/>
    </xf>
    <xf numFmtId="14" fontId="34" fillId="14" borderId="40" xfId="10" applyNumberFormat="1" applyFont="1" applyFill="1" applyBorder="1" applyAlignment="1">
      <alignment horizontal="center" vertical="center"/>
    </xf>
    <xf numFmtId="0" fontId="34" fillId="0" borderId="2" xfId="10" applyFont="1"/>
    <xf numFmtId="178" fontId="10" fillId="16" borderId="0" xfId="0" applyNumberFormat="1" applyFont="1" applyFill="1"/>
    <xf numFmtId="0" fontId="47" fillId="16" borderId="18" xfId="0" applyFont="1" applyFill="1" applyBorder="1" applyAlignment="1">
      <alignment horizontal="left" vertical="center"/>
    </xf>
    <xf numFmtId="0" fontId="47" fillId="16" borderId="18" xfId="0" applyFont="1" applyFill="1" applyBorder="1" applyAlignment="1">
      <alignment horizontal="center" vertical="center"/>
    </xf>
    <xf numFmtId="0" fontId="47" fillId="16" borderId="18" xfId="0" applyFont="1" applyFill="1" applyBorder="1" applyAlignment="1">
      <alignment vertical="center"/>
    </xf>
    <xf numFmtId="0" fontId="64" fillId="16" borderId="18" xfId="0" applyFont="1" applyFill="1" applyBorder="1" applyAlignment="1">
      <alignment vertical="center" wrapText="1"/>
    </xf>
    <xf numFmtId="0" fontId="47" fillId="16" borderId="17" xfId="0" applyFont="1" applyFill="1" applyBorder="1" applyAlignment="1">
      <alignment horizontal="center" vertical="center"/>
    </xf>
    <xf numFmtId="0" fontId="47" fillId="25" borderId="0" xfId="0" applyFont="1" applyFill="1"/>
    <xf numFmtId="0" fontId="110" fillId="32" borderId="2" xfId="0" applyFont="1" applyFill="1" applyBorder="1"/>
    <xf numFmtId="0" fontId="111" fillId="33" borderId="2" xfId="0" applyFont="1" applyFill="1" applyBorder="1"/>
    <xf numFmtId="0" fontId="112" fillId="34" borderId="2" xfId="0" applyFont="1" applyFill="1" applyBorder="1"/>
    <xf numFmtId="0" fontId="48" fillId="23" borderId="49" xfId="0" applyFont="1" applyFill="1" applyBorder="1" applyAlignment="1">
      <alignment horizontal="center"/>
    </xf>
    <xf numFmtId="0" fontId="111" fillId="33" borderId="18" xfId="0" applyFont="1" applyFill="1" applyBorder="1" applyAlignment="1">
      <alignment horizontal="left"/>
    </xf>
    <xf numFmtId="0" fontId="111" fillId="33" borderId="18" xfId="0" applyFont="1" applyFill="1" applyBorder="1" applyAlignment="1">
      <alignment horizontal="center"/>
    </xf>
    <xf numFmtId="14" fontId="111" fillId="33" borderId="18" xfId="0" applyNumberFormat="1" applyFont="1" applyFill="1" applyBorder="1" applyAlignment="1">
      <alignment horizontal="center"/>
    </xf>
    <xf numFmtId="0" fontId="112" fillId="34" borderId="18" xfId="0" applyFont="1" applyFill="1" applyBorder="1" applyAlignment="1">
      <alignment horizontal="left"/>
    </xf>
    <xf numFmtId="0" fontId="112" fillId="34" borderId="18" xfId="0" applyFont="1" applyFill="1" applyBorder="1" applyAlignment="1">
      <alignment horizontal="center"/>
    </xf>
    <xf numFmtId="14" fontId="112" fillId="34" borderId="18" xfId="0" applyNumberFormat="1" applyFont="1" applyFill="1" applyBorder="1" applyAlignment="1">
      <alignment horizontal="center"/>
    </xf>
    <xf numFmtId="0" fontId="47" fillId="16" borderId="18" xfId="0" applyFont="1" applyFill="1" applyBorder="1" applyAlignment="1">
      <alignment horizontal="left"/>
    </xf>
    <xf numFmtId="0" fontId="47" fillId="16" borderId="18" xfId="0" applyFont="1" applyFill="1" applyBorder="1" applyAlignment="1">
      <alignment horizontal="center"/>
    </xf>
    <xf numFmtId="14" fontId="47" fillId="16" borderId="18" xfId="0" applyNumberFormat="1" applyFont="1" applyFill="1" applyBorder="1" applyAlignment="1">
      <alignment horizontal="center"/>
    </xf>
    <xf numFmtId="0" fontId="47" fillId="16" borderId="17" xfId="0" applyFont="1" applyFill="1" applyBorder="1" applyAlignment="1">
      <alignment horizontal="left"/>
    </xf>
    <xf numFmtId="14" fontId="47" fillId="16" borderId="17" xfId="0" applyNumberFormat="1" applyFont="1" applyFill="1" applyBorder="1" applyAlignment="1">
      <alignment horizontal="center"/>
    </xf>
    <xf numFmtId="0" fontId="47" fillId="16" borderId="2" xfId="0" applyFont="1" applyFill="1" applyBorder="1" applyAlignment="1">
      <alignment horizontal="left"/>
    </xf>
    <xf numFmtId="0" fontId="47" fillId="16" borderId="2" xfId="0" applyFont="1" applyFill="1" applyBorder="1" applyAlignment="1">
      <alignment horizontal="center"/>
    </xf>
    <xf numFmtId="14" fontId="47" fillId="16" borderId="2" xfId="0" applyNumberFormat="1" applyFont="1" applyFill="1" applyBorder="1" applyAlignment="1">
      <alignment horizontal="center"/>
    </xf>
    <xf numFmtId="0" fontId="61" fillId="25" borderId="0" xfId="0" applyFont="1" applyFill="1"/>
    <xf numFmtId="0" fontId="46" fillId="25" borderId="2" xfId="0" applyFont="1" applyFill="1" applyBorder="1" applyAlignment="1">
      <alignment horizontal="left"/>
    </xf>
    <xf numFmtId="0" fontId="61" fillId="25" borderId="2" xfId="0" applyFont="1" applyFill="1" applyBorder="1"/>
    <xf numFmtId="0" fontId="48" fillId="23" borderId="49" xfId="0" applyFont="1" applyFill="1" applyBorder="1" applyAlignment="1">
      <alignment horizontal="left"/>
    </xf>
    <xf numFmtId="0" fontId="111" fillId="33" borderId="17" xfId="0" applyFont="1" applyFill="1" applyBorder="1" applyAlignment="1">
      <alignment horizontal="left"/>
    </xf>
    <xf numFmtId="0" fontId="65" fillId="22" borderId="2" xfId="0" applyFont="1" applyFill="1" applyBorder="1"/>
    <xf numFmtId="0" fontId="65" fillId="22" borderId="18" xfId="0" applyFont="1" applyFill="1" applyBorder="1" applyAlignment="1">
      <alignment horizontal="center"/>
    </xf>
    <xf numFmtId="0" fontId="62" fillId="28" borderId="2" xfId="0" applyFont="1" applyFill="1" applyBorder="1" applyAlignment="1">
      <alignment horizontal="center"/>
    </xf>
    <xf numFmtId="0" fontId="48" fillId="29" borderId="2" xfId="0" applyFont="1" applyFill="1" applyBorder="1"/>
    <xf numFmtId="0" fontId="69" fillId="22" borderId="2" xfId="0" applyFont="1" applyFill="1" applyBorder="1"/>
    <xf numFmtId="0" fontId="69" fillId="22" borderId="18" xfId="0" applyFont="1" applyFill="1" applyBorder="1" applyAlignment="1">
      <alignment horizontal="center"/>
    </xf>
    <xf numFmtId="0" fontId="47" fillId="16" borderId="18" xfId="0" applyFont="1" applyFill="1" applyBorder="1" applyAlignment="1">
      <alignment horizontal="left" wrapText="1"/>
    </xf>
    <xf numFmtId="0" fontId="47" fillId="16" borderId="18" xfId="0" applyFont="1" applyFill="1" applyBorder="1" applyAlignment="1">
      <alignment horizontal="center" wrapText="1"/>
    </xf>
    <xf numFmtId="0" fontId="46" fillId="40" borderId="17" xfId="0" applyFont="1" applyFill="1" applyBorder="1" applyAlignment="1">
      <alignment horizontal="center"/>
    </xf>
    <xf numFmtId="0" fontId="47" fillId="16" borderId="17" xfId="0" applyFont="1" applyFill="1" applyBorder="1" applyAlignment="1">
      <alignment horizontal="center" wrapText="1"/>
    </xf>
    <xf numFmtId="17" fontId="10" fillId="26" borderId="0" xfId="0" applyNumberFormat="1" applyFont="1" applyFill="1" applyAlignment="1">
      <alignment horizontal="center"/>
    </xf>
    <xf numFmtId="178" fontId="10" fillId="26" borderId="0" xfId="0" applyNumberFormat="1" applyFont="1" applyFill="1" applyAlignment="1">
      <alignment horizontal="center"/>
    </xf>
    <xf numFmtId="0" fontId="18" fillId="16" borderId="0" xfId="0" applyFont="1" applyFill="1"/>
    <xf numFmtId="0" fontId="22" fillId="23" borderId="0" xfId="0" applyFont="1" applyFill="1"/>
    <xf numFmtId="0" fontId="12" fillId="23" borderId="0" xfId="0" applyFont="1" applyFill="1"/>
    <xf numFmtId="0" fontId="48" fillId="23" borderId="0" xfId="0" applyFont="1" applyFill="1" applyAlignment="1">
      <alignment horizontal="center"/>
    </xf>
    <xf numFmtId="0" fontId="48" fillId="23" borderId="0" xfId="0" applyFont="1" applyFill="1" applyAlignment="1">
      <alignment horizontal="right"/>
    </xf>
    <xf numFmtId="0" fontId="21" fillId="16" borderId="0" xfId="0" applyFont="1" applyFill="1" applyAlignment="1">
      <alignment horizontal="center"/>
    </xf>
    <xf numFmtId="0" fontId="14" fillId="16" borderId="0" xfId="0" applyFont="1" applyFill="1" applyAlignment="1">
      <alignment horizontal="center"/>
    </xf>
    <xf numFmtId="0" fontId="17" fillId="22" borderId="0" xfId="0" applyFont="1" applyFill="1" applyAlignment="1">
      <alignment horizontal="center"/>
    </xf>
    <xf numFmtId="177" fontId="17" fillId="22" borderId="0" xfId="0" applyNumberFormat="1" applyFont="1" applyFill="1" applyAlignment="1">
      <alignment horizontal="right"/>
    </xf>
    <xf numFmtId="177" fontId="14" fillId="16" borderId="0" xfId="0" applyNumberFormat="1" applyFont="1" applyFill="1" applyAlignment="1">
      <alignment horizontal="center"/>
    </xf>
    <xf numFmtId="177" fontId="15" fillId="47" borderId="0" xfId="0" applyNumberFormat="1" applyFont="1" applyFill="1" applyAlignment="1">
      <alignment horizontal="right"/>
    </xf>
    <xf numFmtId="0" fontId="15" fillId="47" borderId="0" xfId="0" applyFont="1" applyFill="1" applyAlignment="1">
      <alignment horizontal="center"/>
    </xf>
    <xf numFmtId="0" fontId="48" fillId="24" borderId="2" xfId="0" applyFont="1" applyFill="1" applyBorder="1" applyAlignment="1">
      <alignment horizontal="left"/>
    </xf>
    <xf numFmtId="0" fontId="48" fillId="24" borderId="2" xfId="0" applyFont="1" applyFill="1" applyBorder="1" applyAlignment="1">
      <alignment horizontal="center"/>
    </xf>
    <xf numFmtId="0" fontId="48" fillId="24" borderId="2" xfId="0" applyFont="1" applyFill="1" applyBorder="1" applyAlignment="1">
      <alignment horizontal="center" wrapText="1"/>
    </xf>
    <xf numFmtId="0" fontId="48" fillId="29" borderId="2" xfId="0" applyFont="1" applyFill="1" applyBorder="1" applyAlignment="1">
      <alignment horizontal="center" wrapText="1"/>
    </xf>
    <xf numFmtId="0" fontId="61" fillId="16" borderId="49" xfId="0" applyFont="1" applyFill="1" applyBorder="1" applyAlignment="1">
      <alignment horizontal="left"/>
    </xf>
    <xf numFmtId="0" fontId="61" fillId="16" borderId="49" xfId="0" applyFont="1" applyFill="1" applyBorder="1" applyAlignment="1">
      <alignment horizontal="center"/>
    </xf>
    <xf numFmtId="0" fontId="66" fillId="46" borderId="49" xfId="0" applyFont="1" applyFill="1" applyBorder="1" applyAlignment="1">
      <alignment horizontal="center"/>
    </xf>
    <xf numFmtId="3" fontId="71" fillId="16" borderId="49" xfId="0" applyNumberFormat="1" applyFont="1" applyFill="1" applyBorder="1" applyAlignment="1">
      <alignment horizontal="center"/>
    </xf>
    <xf numFmtId="0" fontId="61" fillId="31" borderId="49" xfId="0" applyFont="1" applyFill="1" applyBorder="1" applyAlignment="1">
      <alignment horizontal="left"/>
    </xf>
    <xf numFmtId="0" fontId="61" fillId="31" borderId="49" xfId="0" applyFont="1" applyFill="1" applyBorder="1" applyAlignment="1">
      <alignment horizontal="center"/>
    </xf>
    <xf numFmtId="0" fontId="61" fillId="16" borderId="51" xfId="0" applyFont="1" applyFill="1" applyBorder="1" applyAlignment="1">
      <alignment horizontal="left"/>
    </xf>
    <xf numFmtId="0" fontId="61" fillId="16" borderId="51" xfId="0" applyFont="1" applyFill="1" applyBorder="1" applyAlignment="1">
      <alignment horizontal="center"/>
    </xf>
    <xf numFmtId="0" fontId="64" fillId="22" borderId="51" xfId="0" applyFont="1" applyFill="1" applyBorder="1" applyAlignment="1">
      <alignment horizontal="center"/>
    </xf>
    <xf numFmtId="3" fontId="71" fillId="16" borderId="51" xfId="0" applyNumberFormat="1" applyFont="1" applyFill="1" applyBorder="1" applyAlignment="1">
      <alignment horizontal="center"/>
    </xf>
    <xf numFmtId="0" fontId="61" fillId="31" borderId="51" xfId="0" applyFont="1" applyFill="1" applyBorder="1" applyAlignment="1">
      <alignment horizontal="left"/>
    </xf>
    <xf numFmtId="0" fontId="61" fillId="31" borderId="51" xfId="0" applyFont="1" applyFill="1" applyBorder="1" applyAlignment="1">
      <alignment horizontal="center"/>
    </xf>
    <xf numFmtId="0" fontId="66" fillId="46" borderId="51" xfId="0" applyFont="1" applyFill="1" applyBorder="1" applyAlignment="1">
      <alignment horizontal="center"/>
    </xf>
    <xf numFmtId="0" fontId="61" fillId="48" borderId="51" xfId="0" applyFont="1" applyFill="1" applyBorder="1" applyAlignment="1">
      <alignment horizontal="left"/>
    </xf>
    <xf numFmtId="0" fontId="61" fillId="48" borderId="51" xfId="0" applyFont="1" applyFill="1" applyBorder="1" applyAlignment="1">
      <alignment horizontal="center"/>
    </xf>
    <xf numFmtId="3" fontId="71" fillId="48" borderId="51" xfId="0" applyNumberFormat="1" applyFont="1" applyFill="1" applyBorder="1" applyAlignment="1">
      <alignment horizontal="center"/>
    </xf>
    <xf numFmtId="0" fontId="62" fillId="28" borderId="51" xfId="0" applyFont="1" applyFill="1" applyBorder="1" applyAlignment="1">
      <alignment horizontal="center"/>
    </xf>
    <xf numFmtId="0" fontId="61" fillId="16" borderId="50" xfId="0" applyFont="1" applyFill="1" applyBorder="1" applyAlignment="1">
      <alignment horizontal="left"/>
    </xf>
    <xf numFmtId="0" fontId="61" fillId="16" borderId="50" xfId="0" applyFont="1" applyFill="1" applyBorder="1" applyAlignment="1">
      <alignment horizontal="center"/>
    </xf>
    <xf numFmtId="3" fontId="71" fillId="16" borderId="50" xfId="0" applyNumberFormat="1" applyFont="1" applyFill="1" applyBorder="1" applyAlignment="1">
      <alignment horizontal="center"/>
    </xf>
    <xf numFmtId="0" fontId="61" fillId="31" borderId="50" xfId="0" applyFont="1" applyFill="1" applyBorder="1" applyAlignment="1">
      <alignment horizontal="left"/>
    </xf>
    <xf numFmtId="0" fontId="61" fillId="31" borderId="50" xfId="0" applyFont="1" applyFill="1" applyBorder="1" applyAlignment="1">
      <alignment horizontal="center"/>
    </xf>
    <xf numFmtId="0" fontId="53" fillId="29" borderId="2" xfId="0" applyFont="1" applyFill="1" applyBorder="1" applyAlignment="1">
      <alignment horizontal="left"/>
    </xf>
    <xf numFmtId="0" fontId="48" fillId="29" borderId="2" xfId="0" applyFont="1" applyFill="1" applyBorder="1" applyAlignment="1">
      <alignment horizontal="center"/>
    </xf>
    <xf numFmtId="0" fontId="48" fillId="29" borderId="2" xfId="0" applyFont="1" applyFill="1" applyBorder="1" applyAlignment="1">
      <alignment horizontal="left"/>
    </xf>
    <xf numFmtId="0" fontId="48" fillId="24" borderId="29" xfId="0" applyFont="1" applyFill="1" applyBorder="1" applyAlignment="1">
      <alignment horizontal="left"/>
    </xf>
    <xf numFmtId="0" fontId="48" fillId="24" borderId="29" xfId="0" applyFont="1" applyFill="1" applyBorder="1" applyAlignment="1">
      <alignment horizontal="center"/>
    </xf>
    <xf numFmtId="0" fontId="21" fillId="16" borderId="0" xfId="0" applyFont="1" applyFill="1"/>
    <xf numFmtId="0" fontId="15" fillId="47" borderId="0" xfId="0" applyFont="1" applyFill="1" applyAlignment="1">
      <alignment horizontal="right"/>
    </xf>
    <xf numFmtId="177" fontId="15" fillId="47" borderId="49" xfId="0" applyNumberFormat="1" applyFont="1" applyFill="1" applyBorder="1" applyAlignment="1">
      <alignment horizontal="center"/>
    </xf>
    <xf numFmtId="14" fontId="41" fillId="0" borderId="0" xfId="0" applyNumberFormat="1" applyFont="1"/>
    <xf numFmtId="0" fontId="36" fillId="15" borderId="0" xfId="0" applyFont="1" applyFill="1" applyAlignment="1">
      <alignment wrapText="1"/>
    </xf>
    <xf numFmtId="14" fontId="34" fillId="0" borderId="0" xfId="0" applyNumberFormat="1" applyFont="1"/>
    <xf numFmtId="4" fontId="34" fillId="0" borderId="0" xfId="0" applyNumberFormat="1" applyFont="1"/>
    <xf numFmtId="10" fontId="34" fillId="0" borderId="0" xfId="0" applyNumberFormat="1" applyFont="1"/>
    <xf numFmtId="14" fontId="34" fillId="0" borderId="2" xfId="0" applyNumberFormat="1" applyFont="1" applyBorder="1"/>
    <xf numFmtId="10" fontId="34" fillId="0" borderId="2" xfId="0" applyNumberFormat="1" applyFont="1" applyBorder="1"/>
    <xf numFmtId="4" fontId="41" fillId="0" borderId="0" xfId="0" applyNumberFormat="1" applyFont="1"/>
    <xf numFmtId="0" fontId="128" fillId="0" borderId="2" xfId="14" applyFont="1"/>
    <xf numFmtId="14" fontId="128" fillId="0" borderId="2" xfId="14" applyNumberFormat="1" applyFont="1"/>
    <xf numFmtId="0" fontId="130" fillId="26" borderId="35" xfId="0" applyFont="1" applyFill="1" applyBorder="1" applyAlignment="1">
      <alignment vertical="top" wrapText="1"/>
    </xf>
    <xf numFmtId="0" fontId="130" fillId="26" borderId="2" xfId="0" applyFont="1" applyFill="1" applyBorder="1" applyAlignment="1">
      <alignment vertical="top" wrapText="1"/>
    </xf>
    <xf numFmtId="0" fontId="130" fillId="26" borderId="2" xfId="0" applyFont="1" applyFill="1" applyBorder="1" applyAlignment="1">
      <alignment horizontal="center"/>
    </xf>
    <xf numFmtId="0" fontId="16" fillId="28" borderId="2" xfId="0" applyFont="1" applyFill="1" applyBorder="1" applyAlignment="1">
      <alignment horizontal="center"/>
    </xf>
    <xf numFmtId="0" fontId="130" fillId="26" borderId="47" xfId="0" applyFont="1" applyFill="1" applyBorder="1" applyAlignment="1">
      <alignment horizontal="center"/>
    </xf>
    <xf numFmtId="0" fontId="14" fillId="26" borderId="61" xfId="0" applyFont="1" applyFill="1" applyBorder="1" applyAlignment="1">
      <alignment vertical="top" wrapText="1"/>
    </xf>
    <xf numFmtId="0" fontId="14" fillId="26" borderId="62" xfId="0" applyFont="1" applyFill="1" applyBorder="1" applyAlignment="1">
      <alignment vertical="top" wrapText="1"/>
    </xf>
    <xf numFmtId="0" fontId="14" fillId="26" borderId="62" xfId="0" applyFont="1" applyFill="1" applyBorder="1" applyAlignment="1">
      <alignment horizontal="center"/>
    </xf>
    <xf numFmtId="14" fontId="14" fillId="26" borderId="62" xfId="0" applyNumberFormat="1" applyFont="1" applyFill="1" applyBorder="1" applyAlignment="1">
      <alignment horizontal="center"/>
    </xf>
    <xf numFmtId="0" fontId="134" fillId="21" borderId="62" xfId="0" applyFont="1" applyFill="1" applyBorder="1" applyAlignment="1">
      <alignment horizontal="center"/>
    </xf>
    <xf numFmtId="0" fontId="14" fillId="26" borderId="63" xfId="0" applyFont="1" applyFill="1" applyBorder="1" applyAlignment="1">
      <alignment horizontal="center"/>
    </xf>
    <xf numFmtId="0" fontId="31" fillId="25" borderId="8" xfId="0" applyFont="1" applyFill="1" applyBorder="1" applyAlignment="1">
      <alignment horizontal="left" vertical="top" wrapText="1"/>
    </xf>
    <xf numFmtId="0" fontId="35" fillId="25" borderId="8" xfId="0" applyFont="1" applyFill="1" applyBorder="1" applyAlignment="1">
      <alignment vertical="top" wrapText="1"/>
    </xf>
    <xf numFmtId="0" fontId="35" fillId="25" borderId="8" xfId="0" applyFont="1" applyFill="1" applyBorder="1"/>
    <xf numFmtId="0" fontId="31" fillId="25" borderId="64" xfId="0" applyFont="1" applyFill="1" applyBorder="1" applyAlignment="1">
      <alignment horizontal="left" vertical="top" wrapText="1"/>
    </xf>
    <xf numFmtId="0" fontId="35" fillId="25" borderId="64" xfId="0" applyFont="1" applyFill="1" applyBorder="1" applyAlignment="1">
      <alignment vertical="top" wrapText="1"/>
    </xf>
    <xf numFmtId="0" fontId="35" fillId="25" borderId="64" xfId="0" applyFont="1" applyFill="1" applyBorder="1"/>
    <xf numFmtId="0" fontId="14" fillId="14" borderId="61" xfId="0" applyFont="1" applyFill="1" applyBorder="1" applyAlignment="1">
      <alignment vertical="top" wrapText="1"/>
    </xf>
    <xf numFmtId="0" fontId="14" fillId="14" borderId="62" xfId="0" applyFont="1" applyFill="1" applyBorder="1" applyAlignment="1">
      <alignment vertical="top" wrapText="1"/>
    </xf>
    <xf numFmtId="0" fontId="14" fillId="14" borderId="62" xfId="0" applyFont="1" applyFill="1" applyBorder="1" applyAlignment="1">
      <alignment horizontal="center"/>
    </xf>
    <xf numFmtId="0" fontId="14" fillId="14" borderId="63" xfId="0" applyFont="1" applyFill="1" applyBorder="1" applyAlignment="1">
      <alignment horizontal="center"/>
    </xf>
    <xf numFmtId="0" fontId="14" fillId="16" borderId="35" xfId="0" applyFont="1" applyFill="1" applyBorder="1" applyAlignment="1">
      <alignment vertical="top" wrapText="1"/>
    </xf>
    <xf numFmtId="0" fontId="73" fillId="28" borderId="18" xfId="0" applyFont="1" applyFill="1" applyBorder="1"/>
    <xf numFmtId="0" fontId="73" fillId="28" borderId="17" xfId="0" applyFont="1" applyFill="1" applyBorder="1"/>
    <xf numFmtId="0" fontId="59" fillId="17" borderId="0" xfId="0" applyFont="1" applyFill="1"/>
    <xf numFmtId="2" fontId="0" fillId="2" borderId="1" xfId="0" applyNumberFormat="1" applyFill="1" applyBorder="1" applyAlignment="1">
      <alignment horizontal="center" vertical="center"/>
    </xf>
    <xf numFmtId="0" fontId="177" fillId="0" borderId="2" xfId="1" applyFont="1"/>
    <xf numFmtId="0" fontId="32" fillId="23" borderId="33" xfId="1" applyFill="1" applyBorder="1"/>
    <xf numFmtId="0" fontId="32" fillId="23" borderId="35" xfId="1" applyFill="1" applyBorder="1"/>
    <xf numFmtId="0" fontId="32" fillId="47" borderId="66" xfId="1" applyFill="1" applyBorder="1"/>
    <xf numFmtId="0" fontId="178" fillId="0" borderId="67" xfId="1" applyFont="1" applyBorder="1"/>
    <xf numFmtId="174" fontId="178" fillId="0" borderId="1" xfId="1" applyNumberFormat="1" applyFont="1" applyBorder="1" applyAlignment="1">
      <alignment horizontal="center"/>
    </xf>
    <xf numFmtId="0" fontId="32" fillId="0" borderId="68" xfId="1" applyBorder="1"/>
    <xf numFmtId="0" fontId="32" fillId="27" borderId="70" xfId="1" applyFill="1" applyBorder="1"/>
    <xf numFmtId="174" fontId="178" fillId="27" borderId="70" xfId="1" applyNumberFormat="1" applyFont="1" applyFill="1" applyBorder="1" applyAlignment="1">
      <alignment horizontal="center"/>
    </xf>
    <xf numFmtId="0" fontId="32" fillId="27" borderId="71" xfId="1" applyFill="1" applyBorder="1"/>
    <xf numFmtId="165" fontId="179" fillId="57" borderId="72" xfId="1" applyNumberFormat="1" applyFont="1" applyFill="1" applyBorder="1" applyAlignment="1">
      <alignment horizontal="center"/>
    </xf>
    <xf numFmtId="0" fontId="178" fillId="0" borderId="72" xfId="1" applyFont="1" applyBorder="1" applyAlignment="1">
      <alignment horizontal="center"/>
    </xf>
    <xf numFmtId="174" fontId="178" fillId="0" borderId="58" xfId="1" applyNumberFormat="1" applyFont="1" applyBorder="1" applyAlignment="1">
      <alignment horizontal="center"/>
    </xf>
    <xf numFmtId="165" fontId="179" fillId="57" borderId="32" xfId="1" applyNumberFormat="1" applyFont="1" applyFill="1" applyBorder="1" applyAlignment="1">
      <alignment horizontal="center"/>
    </xf>
    <xf numFmtId="0" fontId="178" fillId="0" borderId="32" xfId="1" applyFont="1" applyBorder="1" applyAlignment="1">
      <alignment horizontal="center"/>
    </xf>
    <xf numFmtId="174" fontId="178" fillId="0" borderId="14" xfId="1" applyNumberFormat="1" applyFont="1" applyBorder="1" applyAlignment="1">
      <alignment horizontal="center"/>
    </xf>
    <xf numFmtId="9" fontId="178" fillId="27" borderId="62" xfId="1" applyNumberFormat="1" applyFont="1" applyFill="1" applyBorder="1" applyAlignment="1">
      <alignment horizontal="center"/>
    </xf>
    <xf numFmtId="0" fontId="32" fillId="27" borderId="62" xfId="1" applyFill="1" applyBorder="1"/>
    <xf numFmtId="174" fontId="178" fillId="27" borderId="62" xfId="1" applyNumberFormat="1" applyFont="1" applyFill="1" applyBorder="1" applyAlignment="1">
      <alignment horizontal="center"/>
    </xf>
    <xf numFmtId="0" fontId="60" fillId="0" borderId="72" xfId="1" applyFont="1" applyBorder="1" applyAlignment="1">
      <alignment horizontal="center"/>
    </xf>
    <xf numFmtId="165" fontId="179" fillId="57" borderId="1" xfId="1" applyNumberFormat="1" applyFont="1" applyFill="1" applyBorder="1" applyAlignment="1">
      <alignment horizontal="center"/>
    </xf>
    <xf numFmtId="0" fontId="178" fillId="0" borderId="1" xfId="1" applyFont="1" applyBorder="1" applyAlignment="1">
      <alignment horizontal="center"/>
    </xf>
    <xf numFmtId="174" fontId="178" fillId="0" borderId="15" xfId="1" applyNumberFormat="1" applyFont="1" applyBorder="1" applyAlignment="1">
      <alignment horizontal="center"/>
    </xf>
    <xf numFmtId="174" fontId="179" fillId="57" borderId="72" xfId="1" applyNumberFormat="1" applyFont="1" applyFill="1" applyBorder="1" applyAlignment="1">
      <alignment horizontal="center"/>
    </xf>
    <xf numFmtId="174" fontId="179" fillId="57" borderId="1" xfId="1" applyNumberFormat="1" applyFont="1" applyFill="1" applyBorder="1" applyAlignment="1">
      <alignment horizontal="center"/>
    </xf>
    <xf numFmtId="0" fontId="32" fillId="23" borderId="2" xfId="1" applyFill="1"/>
    <xf numFmtId="0" fontId="0" fillId="0" borderId="0" xfId="0" applyAlignment="1">
      <alignment vertical="top" wrapText="1"/>
    </xf>
    <xf numFmtId="14" fontId="0" fillId="0" borderId="0" xfId="0" applyNumberFormat="1" applyAlignment="1">
      <alignment vertical="top" wrapText="1"/>
    </xf>
    <xf numFmtId="166" fontId="0" fillId="0" borderId="0" xfId="0" applyNumberFormat="1"/>
    <xf numFmtId="0" fontId="28" fillId="16" borderId="2" xfId="1" applyFont="1" applyFill="1"/>
    <xf numFmtId="0" fontId="22" fillId="23" borderId="47" xfId="1" applyFont="1" applyFill="1" applyBorder="1"/>
    <xf numFmtId="0" fontId="15" fillId="47" borderId="65" xfId="1" applyFont="1" applyFill="1" applyBorder="1"/>
    <xf numFmtId="0" fontId="15" fillId="47" borderId="38" xfId="1" applyFont="1" applyFill="1" applyBorder="1"/>
    <xf numFmtId="0" fontId="15" fillId="47" borderId="38" xfId="1" applyFont="1" applyFill="1" applyBorder="1" applyAlignment="1">
      <alignment horizontal="center"/>
    </xf>
    <xf numFmtId="0" fontId="60" fillId="0" borderId="1" xfId="1" applyFont="1" applyBorder="1"/>
    <xf numFmtId="174" fontId="60" fillId="0" borderId="1" xfId="1" applyNumberFormat="1" applyFont="1" applyBorder="1" applyAlignment="1">
      <alignment horizontal="center"/>
    </xf>
    <xf numFmtId="0" fontId="15" fillId="27" borderId="69" xfId="1" applyFont="1" applyFill="1" applyBorder="1"/>
    <xf numFmtId="0" fontId="9" fillId="0" borderId="2" xfId="1" applyFont="1"/>
    <xf numFmtId="0" fontId="15" fillId="0" borderId="2" xfId="1" applyFont="1" applyAlignment="1">
      <alignment horizontal="right"/>
    </xf>
    <xf numFmtId="0" fontId="15" fillId="47" borderId="47" xfId="1" applyFont="1" applyFill="1" applyBorder="1"/>
    <xf numFmtId="0" fontId="15" fillId="47" borderId="33" xfId="1" applyFont="1" applyFill="1" applyBorder="1" applyAlignment="1">
      <alignment horizontal="center"/>
    </xf>
    <xf numFmtId="0" fontId="15" fillId="47" borderId="35" xfId="1" applyFont="1" applyFill="1" applyBorder="1" applyAlignment="1">
      <alignment horizontal="center"/>
    </xf>
    <xf numFmtId="0" fontId="60" fillId="0" borderId="60" xfId="1" applyFont="1" applyBorder="1"/>
    <xf numFmtId="9" fontId="60" fillId="0" borderId="72" xfId="1" applyNumberFormat="1" applyFont="1" applyBorder="1" applyAlignment="1">
      <alignment horizontal="center"/>
    </xf>
    <xf numFmtId="0" fontId="60" fillId="14" borderId="12" xfId="1" applyFont="1" applyFill="1" applyBorder="1"/>
    <xf numFmtId="9" fontId="60" fillId="0" borderId="32" xfId="1" applyNumberFormat="1" applyFont="1" applyBorder="1" applyAlignment="1">
      <alignment horizontal="center"/>
    </xf>
    <xf numFmtId="0" fontId="60" fillId="0" borderId="32" xfId="1" applyFont="1" applyBorder="1" applyAlignment="1">
      <alignment horizontal="center"/>
    </xf>
    <xf numFmtId="0" fontId="60" fillId="27" borderId="62" xfId="1" applyFont="1" applyFill="1" applyBorder="1"/>
    <xf numFmtId="0" fontId="15" fillId="27" borderId="62" xfId="1" applyFont="1" applyFill="1" applyBorder="1" applyAlignment="1">
      <alignment horizontal="right"/>
    </xf>
    <xf numFmtId="165" fontId="10" fillId="57" borderId="72" xfId="1" applyNumberFormat="1" applyFont="1" applyFill="1" applyBorder="1" applyAlignment="1">
      <alignment horizontal="center"/>
    </xf>
    <xf numFmtId="0" fontId="60" fillId="0" borderId="11" xfId="1" applyFont="1" applyBorder="1"/>
    <xf numFmtId="9" fontId="60" fillId="0" borderId="1" xfId="1" applyNumberFormat="1" applyFont="1" applyBorder="1" applyAlignment="1">
      <alignment horizontal="center"/>
    </xf>
    <xf numFmtId="0" fontId="60" fillId="14" borderId="1" xfId="1" applyFont="1" applyFill="1" applyBorder="1" applyAlignment="1">
      <alignment horizontal="center"/>
    </xf>
    <xf numFmtId="0" fontId="60" fillId="0" borderId="1" xfId="1" applyFont="1" applyBorder="1" applyAlignment="1">
      <alignment horizontal="center"/>
    </xf>
    <xf numFmtId="0" fontId="22" fillId="23" borderId="2" xfId="1" applyFont="1" applyFill="1"/>
    <xf numFmtId="0" fontId="55" fillId="0" borderId="2" xfId="1" applyFont="1"/>
    <xf numFmtId="0" fontId="14" fillId="26" borderId="14" xfId="0" applyFont="1" applyFill="1" applyBorder="1" applyAlignment="1">
      <alignment vertical="top" wrapText="1"/>
    </xf>
    <xf numFmtId="0" fontId="14" fillId="26" borderId="8" xfId="0" applyFont="1" applyFill="1" applyBorder="1" applyAlignment="1">
      <alignment vertical="top" wrapText="1"/>
    </xf>
    <xf numFmtId="0" fontId="14" fillId="26" borderId="8" xfId="0" applyFont="1" applyFill="1" applyBorder="1" applyAlignment="1">
      <alignment horizontal="center"/>
    </xf>
    <xf numFmtId="0" fontId="14" fillId="26" borderId="12" xfId="0" applyFont="1" applyFill="1" applyBorder="1" applyAlignment="1">
      <alignment horizontal="center"/>
    </xf>
    <xf numFmtId="0" fontId="130" fillId="26" borderId="58" xfId="0" applyFont="1" applyFill="1" applyBorder="1" applyAlignment="1">
      <alignment horizontal="left" vertical="top" wrapText="1"/>
    </xf>
    <xf numFmtId="0" fontId="130" fillId="26" borderId="59" xfId="0" applyFont="1" applyFill="1" applyBorder="1" applyAlignment="1">
      <alignment vertical="top" wrapText="1"/>
    </xf>
    <xf numFmtId="0" fontId="130" fillId="26" borderId="59" xfId="0" applyFont="1" applyFill="1" applyBorder="1" applyAlignment="1">
      <alignment horizontal="center"/>
    </xf>
    <xf numFmtId="0" fontId="16" fillId="28" borderId="59" xfId="0" applyFont="1" applyFill="1" applyBorder="1" applyAlignment="1">
      <alignment horizontal="center"/>
    </xf>
    <xf numFmtId="0" fontId="130" fillId="26" borderId="60" xfId="0" applyFont="1" applyFill="1" applyBorder="1" applyAlignment="1">
      <alignment horizontal="center"/>
    </xf>
    <xf numFmtId="0" fontId="130" fillId="16" borderId="35" xfId="0" applyFont="1" applyFill="1" applyBorder="1" applyAlignment="1">
      <alignment horizontal="left" vertical="top" wrapText="1"/>
    </xf>
    <xf numFmtId="0" fontId="130" fillId="16" borderId="2" xfId="0" applyFont="1" applyFill="1" applyBorder="1" applyAlignment="1">
      <alignment vertical="top" wrapText="1"/>
    </xf>
    <xf numFmtId="0" fontId="130" fillId="16" borderId="2" xfId="0" applyFont="1" applyFill="1" applyBorder="1" applyAlignment="1">
      <alignment horizontal="center"/>
    </xf>
    <xf numFmtId="14" fontId="130" fillId="16" borderId="2" xfId="0" applyNumberFormat="1" applyFont="1" applyFill="1" applyBorder="1" applyAlignment="1">
      <alignment horizontal="center"/>
    </xf>
    <xf numFmtId="0" fontId="130" fillId="16" borderId="47" xfId="0" applyFont="1" applyFill="1" applyBorder="1" applyAlignment="1">
      <alignment horizontal="center"/>
    </xf>
    <xf numFmtId="0" fontId="130" fillId="26" borderId="15" xfId="0" applyFont="1" applyFill="1" applyBorder="1" applyAlignment="1">
      <alignment horizontal="left" vertical="top" wrapText="1"/>
    </xf>
    <xf numFmtId="0" fontId="180" fillId="0" borderId="1" xfId="0" applyFont="1" applyBorder="1"/>
    <xf numFmtId="0" fontId="181" fillId="0" borderId="2" xfId="0" applyFont="1" applyBorder="1"/>
    <xf numFmtId="14" fontId="181" fillId="0" borderId="2" xfId="0" applyNumberFormat="1" applyFont="1" applyBorder="1"/>
    <xf numFmtId="4" fontId="181" fillId="0" borderId="2" xfId="0" applyNumberFormat="1" applyFont="1" applyBorder="1"/>
    <xf numFmtId="10" fontId="181" fillId="0" borderId="2" xfId="0" applyNumberFormat="1" applyFont="1" applyBorder="1"/>
    <xf numFmtId="0" fontId="41" fillId="0" borderId="2" xfId="0" applyFont="1" applyBorder="1" applyAlignment="1">
      <alignment wrapText="1"/>
    </xf>
    <xf numFmtId="0" fontId="59" fillId="0" borderId="2" xfId="0" applyFont="1" applyBorder="1"/>
    <xf numFmtId="0" fontId="59" fillId="0" borderId="2" xfId="0" applyFont="1" applyBorder="1" applyAlignment="1">
      <alignment wrapText="1"/>
    </xf>
    <xf numFmtId="4" fontId="59" fillId="0" borderId="2" xfId="0" applyNumberFormat="1" applyFont="1" applyBorder="1"/>
    <xf numFmtId="3" fontId="47" fillId="0" borderId="2" xfId="0" applyNumberFormat="1" applyFont="1" applyBorder="1" applyAlignment="1">
      <alignment horizontal="center"/>
    </xf>
    <xf numFmtId="3" fontId="47" fillId="0" borderId="18" xfId="0" applyNumberFormat="1" applyFont="1" applyBorder="1" applyAlignment="1">
      <alignment horizontal="center"/>
    </xf>
    <xf numFmtId="0" fontId="32" fillId="0" borderId="2" xfId="1" applyProtection="1">
      <protection locked="0"/>
    </xf>
    <xf numFmtId="0" fontId="79" fillId="58" borderId="2" xfId="1" applyFont="1" applyFill="1" applyProtection="1">
      <protection locked="0"/>
    </xf>
    <xf numFmtId="0" fontId="80" fillId="28" borderId="0" xfId="0" applyFont="1" applyFill="1" applyProtection="1">
      <protection locked="0"/>
    </xf>
    <xf numFmtId="0" fontId="186" fillId="0" borderId="2" xfId="1" applyFont="1" applyProtection="1">
      <protection locked="0"/>
    </xf>
    <xf numFmtId="0" fontId="186" fillId="0" borderId="0" xfId="0" applyFont="1" applyProtection="1">
      <protection locked="0"/>
    </xf>
    <xf numFmtId="0" fontId="15" fillId="0" borderId="2" xfId="1" applyFont="1" applyProtection="1">
      <protection locked="0"/>
    </xf>
    <xf numFmtId="164" fontId="10" fillId="0" borderId="2" xfId="1" applyNumberFormat="1" applyFont="1" applyProtection="1">
      <protection locked="0"/>
    </xf>
    <xf numFmtId="0" fontId="21" fillId="0" borderId="2" xfId="1" applyFont="1" applyProtection="1">
      <protection locked="0"/>
    </xf>
    <xf numFmtId="166" fontId="43" fillId="19" borderId="2" xfId="1" applyNumberFormat="1" applyFont="1" applyFill="1" applyAlignment="1" applyProtection="1">
      <alignment horizontal="center" vertical="center"/>
      <protection locked="0"/>
    </xf>
    <xf numFmtId="0" fontId="44" fillId="0" borderId="2" xfId="1" applyFont="1" applyProtection="1">
      <protection locked="0"/>
    </xf>
    <xf numFmtId="0" fontId="72" fillId="21" borderId="2" xfId="1" applyFont="1" applyFill="1" applyProtection="1">
      <protection locked="0"/>
    </xf>
    <xf numFmtId="0" fontId="72" fillId="45" borderId="2" xfId="1" applyFont="1" applyFill="1" applyProtection="1">
      <protection locked="0"/>
    </xf>
    <xf numFmtId="0" fontId="45" fillId="20" borderId="2" xfId="1" applyFont="1" applyFill="1" applyProtection="1">
      <protection locked="0"/>
    </xf>
    <xf numFmtId="0" fontId="32" fillId="20" borderId="2" xfId="1" applyFill="1" applyProtection="1">
      <protection locked="0"/>
    </xf>
    <xf numFmtId="0" fontId="32" fillId="25" borderId="2" xfId="1" applyFill="1" applyProtection="1">
      <protection locked="0"/>
    </xf>
    <xf numFmtId="0" fontId="0" fillId="25" borderId="2" xfId="1" applyFont="1" applyFill="1" applyProtection="1">
      <protection locked="0"/>
    </xf>
    <xf numFmtId="0" fontId="46" fillId="0" borderId="2" xfId="1" applyFont="1" applyAlignment="1" applyProtection="1">
      <alignment horizontal="left" vertical="center"/>
      <protection locked="0"/>
    </xf>
    <xf numFmtId="166" fontId="47" fillId="0" borderId="2" xfId="1" applyNumberFormat="1" applyFont="1" applyAlignment="1" applyProtection="1">
      <alignment horizontal="right" vertical="center"/>
      <protection locked="0"/>
    </xf>
    <xf numFmtId="3" fontId="47" fillId="0" borderId="2" xfId="1" applyNumberFormat="1" applyFont="1" applyAlignment="1" applyProtection="1">
      <alignment horizontal="right" vertical="center"/>
      <protection locked="0"/>
    </xf>
    <xf numFmtId="0" fontId="0" fillId="0" borderId="0" xfId="0" applyProtection="1">
      <protection locked="0"/>
    </xf>
    <xf numFmtId="0" fontId="183" fillId="23" borderId="2" xfId="1" applyFont="1" applyFill="1" applyAlignment="1" applyProtection="1">
      <alignment horizontal="center" vertical="center"/>
      <protection locked="0"/>
    </xf>
    <xf numFmtId="0" fontId="183" fillId="23" borderId="0" xfId="0" applyFont="1" applyFill="1" applyAlignment="1" applyProtection="1">
      <alignment horizontal="center"/>
      <protection locked="0"/>
    </xf>
    <xf numFmtId="0" fontId="183" fillId="23" borderId="2" xfId="1" applyFont="1" applyFill="1" applyAlignment="1" applyProtection="1">
      <alignment horizontal="center"/>
      <protection locked="0"/>
    </xf>
    <xf numFmtId="0" fontId="184" fillId="0" borderId="0" xfId="0" applyFont="1" applyProtection="1">
      <protection locked="0"/>
    </xf>
    <xf numFmtId="0" fontId="185" fillId="0" borderId="0" xfId="0" applyFont="1" applyProtection="1">
      <protection locked="0"/>
    </xf>
    <xf numFmtId="14" fontId="185" fillId="0" borderId="0" xfId="0" applyNumberFormat="1" applyFont="1" applyAlignment="1" applyProtection="1">
      <alignment horizontal="center"/>
      <protection locked="0"/>
    </xf>
    <xf numFmtId="0" fontId="185" fillId="0" borderId="0" xfId="0" applyFont="1" applyAlignment="1" applyProtection="1">
      <alignment horizontal="center"/>
      <protection locked="0"/>
    </xf>
    <xf numFmtId="0" fontId="188" fillId="0" borderId="0" xfId="0" applyFont="1" applyAlignment="1" applyProtection="1">
      <alignment horizontal="center"/>
      <protection locked="0"/>
    </xf>
    <xf numFmtId="181" fontId="185" fillId="0" borderId="0" xfId="0" applyNumberFormat="1" applyFont="1" applyAlignment="1" applyProtection="1">
      <alignment horizontal="center"/>
      <protection locked="0"/>
    </xf>
    <xf numFmtId="0" fontId="187" fillId="21" borderId="2" xfId="1" applyFont="1" applyFill="1" applyAlignment="1" applyProtection="1">
      <alignment vertical="top" wrapText="1"/>
      <protection locked="0"/>
    </xf>
    <xf numFmtId="0" fontId="187" fillId="21" borderId="2" xfId="1" applyFont="1" applyFill="1" applyAlignment="1" applyProtection="1">
      <alignment vertical="top"/>
      <protection locked="0"/>
    </xf>
    <xf numFmtId="0" fontId="0" fillId="0" borderId="2" xfId="0" applyBorder="1" applyProtection="1">
      <protection locked="0"/>
    </xf>
    <xf numFmtId="0" fontId="187" fillId="21" borderId="0" xfId="0" applyFont="1" applyFill="1" applyAlignment="1" applyProtection="1">
      <alignment vertical="top" wrapText="1"/>
      <protection locked="0"/>
    </xf>
    <xf numFmtId="0" fontId="183" fillId="23" borderId="0" xfId="0" applyFont="1" applyFill="1" applyProtection="1">
      <protection locked="0"/>
    </xf>
    <xf numFmtId="0" fontId="82" fillId="23" borderId="0" xfId="0" applyFont="1" applyFill="1" applyProtection="1">
      <protection locked="0"/>
    </xf>
    <xf numFmtId="181" fontId="183" fillId="23" borderId="0" xfId="0" applyNumberFormat="1" applyFont="1" applyFill="1" applyAlignment="1" applyProtection="1">
      <alignment horizontal="center"/>
      <protection locked="0"/>
    </xf>
    <xf numFmtId="0" fontId="140" fillId="23" borderId="0" xfId="0" applyFont="1" applyFill="1" applyProtection="1">
      <protection locked="0"/>
    </xf>
    <xf numFmtId="181" fontId="185" fillId="0" borderId="0" xfId="0" applyNumberFormat="1" applyFont="1" applyProtection="1">
      <protection locked="0"/>
    </xf>
    <xf numFmtId="181" fontId="183" fillId="23" borderId="0" xfId="0" applyNumberFormat="1" applyFont="1" applyFill="1" applyProtection="1">
      <protection locked="0"/>
    </xf>
    <xf numFmtId="0" fontId="105" fillId="0" borderId="0" xfId="0" applyFont="1" applyAlignment="1" applyProtection="1">
      <alignment horizontal="left"/>
      <protection locked="0"/>
    </xf>
    <xf numFmtId="0" fontId="183" fillId="29" borderId="0" xfId="0" applyFont="1" applyFill="1" applyAlignment="1" applyProtection="1">
      <alignment horizontal="center"/>
      <protection locked="0"/>
    </xf>
    <xf numFmtId="0" fontId="187" fillId="0" borderId="0" xfId="0" applyFont="1" applyProtection="1">
      <protection locked="0"/>
    </xf>
    <xf numFmtId="0" fontId="183" fillId="61" borderId="0" xfId="0" applyFont="1" applyFill="1" applyAlignment="1" applyProtection="1">
      <alignment horizontal="center"/>
      <protection locked="0"/>
    </xf>
    <xf numFmtId="0" fontId="183" fillId="60" borderId="0" xfId="0" applyFont="1" applyFill="1" applyAlignment="1" applyProtection="1">
      <alignment horizontal="center"/>
      <protection locked="0"/>
    </xf>
    <xf numFmtId="0" fontId="88" fillId="0" borderId="0" xfId="0" applyFont="1" applyProtection="1">
      <protection locked="0"/>
    </xf>
    <xf numFmtId="0" fontId="88" fillId="0" borderId="51" xfId="0" applyFont="1" applyBorder="1" applyAlignment="1" applyProtection="1">
      <alignment horizontal="left"/>
      <protection locked="0"/>
    </xf>
    <xf numFmtId="0" fontId="88" fillId="0" borderId="50" xfId="0" applyFont="1" applyBorder="1" applyProtection="1">
      <protection locked="0"/>
    </xf>
    <xf numFmtId="0" fontId="189" fillId="59" borderId="0" xfId="0" applyFont="1" applyFill="1" applyAlignment="1">
      <alignment vertical="top" wrapText="1"/>
    </xf>
    <xf numFmtId="0" fontId="45" fillId="25" borderId="2" xfId="1" applyFont="1" applyFill="1" applyAlignment="1" applyProtection="1">
      <alignment horizontal="left" vertical="center"/>
      <protection locked="0"/>
    </xf>
    <xf numFmtId="0" fontId="82" fillId="23" borderId="0" xfId="0" applyFont="1" applyFill="1" applyAlignment="1">
      <alignment vertical="top" wrapText="1"/>
    </xf>
    <xf numFmtId="0" fontId="0" fillId="25" borderId="0" xfId="0" applyFill="1" applyProtection="1">
      <protection locked="0"/>
    </xf>
    <xf numFmtId="174" fontId="88" fillId="0" borderId="0" xfId="0" applyNumberFormat="1" applyFont="1" applyAlignment="1" applyProtection="1">
      <alignment horizontal="right"/>
      <protection locked="0"/>
    </xf>
    <xf numFmtId="0" fontId="83" fillId="0" borderId="0" xfId="0" applyFont="1" applyAlignment="1" applyProtection="1">
      <alignment horizontal="left"/>
      <protection locked="0"/>
    </xf>
    <xf numFmtId="3" fontId="88" fillId="0" borderId="0" xfId="0" applyNumberFormat="1" applyFont="1" applyAlignment="1" applyProtection="1">
      <alignment horizontal="right"/>
      <protection locked="0"/>
    </xf>
    <xf numFmtId="165" fontId="88" fillId="0" borderId="0" xfId="0" applyNumberFormat="1" applyFont="1" applyAlignment="1" applyProtection="1">
      <alignment horizontal="right"/>
      <protection locked="0"/>
    </xf>
    <xf numFmtId="0" fontId="190" fillId="0" borderId="0" xfId="0" applyFont="1" applyAlignment="1" applyProtection="1">
      <alignment horizontal="left"/>
      <protection locked="0"/>
    </xf>
    <xf numFmtId="3" fontId="191" fillId="0" borderId="0" xfId="0" applyNumberFormat="1" applyFont="1" applyAlignment="1" applyProtection="1">
      <alignment horizontal="right"/>
      <protection locked="0"/>
    </xf>
    <xf numFmtId="174" fontId="191" fillId="0" borderId="0" xfId="0" applyNumberFormat="1" applyFont="1" applyAlignment="1" applyProtection="1">
      <alignment horizontal="right"/>
      <protection locked="0"/>
    </xf>
    <xf numFmtId="0" fontId="88" fillId="0" borderId="0" xfId="0" applyFont="1" applyAlignment="1" applyProtection="1">
      <alignment horizontal="right"/>
      <protection locked="0"/>
    </xf>
    <xf numFmtId="174" fontId="95" fillId="0" borderId="0" xfId="0" applyNumberFormat="1" applyFont="1" applyAlignment="1" applyProtection="1">
      <alignment horizontal="right"/>
      <protection locked="0"/>
    </xf>
    <xf numFmtId="0" fontId="192" fillId="28" borderId="18" xfId="0" applyFont="1" applyFill="1" applyBorder="1"/>
    <xf numFmtId="0" fontId="193" fillId="32" borderId="18" xfId="0" applyFont="1" applyFill="1" applyBorder="1"/>
    <xf numFmtId="0" fontId="194" fillId="26" borderId="8" xfId="0" applyFont="1" applyFill="1" applyBorder="1" applyAlignment="1">
      <alignment vertical="center" wrapText="1"/>
    </xf>
    <xf numFmtId="0" fontId="194" fillId="26" borderId="8" xfId="0" applyFont="1" applyFill="1" applyBorder="1" applyAlignment="1">
      <alignment horizontal="center" vertical="center"/>
    </xf>
    <xf numFmtId="0" fontId="195" fillId="21" borderId="8" xfId="0" applyFont="1" applyFill="1" applyBorder="1" applyAlignment="1">
      <alignment horizontal="center" vertical="center"/>
    </xf>
    <xf numFmtId="0" fontId="195" fillId="21" borderId="10" xfId="0" applyFont="1" applyFill="1" applyBorder="1" applyAlignment="1">
      <alignment horizontal="center" vertical="center"/>
    </xf>
    <xf numFmtId="0" fontId="31" fillId="25" borderId="2" xfId="0" applyFont="1" applyFill="1" applyBorder="1" applyAlignment="1">
      <alignment horizontal="left" vertical="top" wrapText="1"/>
    </xf>
    <xf numFmtId="0" fontId="35" fillId="25" borderId="2" xfId="0" applyFont="1" applyFill="1" applyBorder="1" applyAlignment="1">
      <alignment vertical="top" wrapText="1"/>
    </xf>
    <xf numFmtId="0" fontId="194" fillId="16" borderId="10" xfId="0" applyFont="1" applyFill="1" applyBorder="1" applyAlignment="1">
      <alignment vertical="center" wrapText="1"/>
    </xf>
    <xf numFmtId="0" fontId="194" fillId="16" borderId="10" xfId="0" applyFont="1" applyFill="1" applyBorder="1" applyAlignment="1">
      <alignment horizontal="center" vertical="center"/>
    </xf>
    <xf numFmtId="0" fontId="132" fillId="22" borderId="0" xfId="0" applyFont="1" applyFill="1" applyAlignment="1">
      <alignment horizontal="right"/>
    </xf>
    <xf numFmtId="14" fontId="61" fillId="16" borderId="49" xfId="0" applyNumberFormat="1" applyFont="1" applyFill="1" applyBorder="1" applyAlignment="1">
      <alignment horizontal="center"/>
    </xf>
    <xf numFmtId="182" fontId="61" fillId="16" borderId="49" xfId="0" applyNumberFormat="1" applyFont="1" applyFill="1" applyBorder="1" applyAlignment="1">
      <alignment horizontal="center"/>
    </xf>
    <xf numFmtId="182" fontId="71" fillId="21" borderId="49" xfId="0" applyNumberFormat="1" applyFont="1" applyFill="1" applyBorder="1" applyAlignment="1">
      <alignment horizontal="center"/>
    </xf>
    <xf numFmtId="14" fontId="61" fillId="16" borderId="51" xfId="0" applyNumberFormat="1" applyFont="1" applyFill="1" applyBorder="1" applyAlignment="1">
      <alignment horizontal="center"/>
    </xf>
    <xf numFmtId="182" fontId="61" fillId="16" borderId="51" xfId="0" applyNumberFormat="1" applyFont="1" applyFill="1" applyBorder="1" applyAlignment="1">
      <alignment horizontal="center"/>
    </xf>
    <xf numFmtId="182" fontId="71" fillId="21" borderId="51" xfId="0" applyNumberFormat="1" applyFont="1" applyFill="1" applyBorder="1" applyAlignment="1">
      <alignment horizontal="center"/>
    </xf>
    <xf numFmtId="14" fontId="61" fillId="48" borderId="51" xfId="0" applyNumberFormat="1" applyFont="1" applyFill="1" applyBorder="1" applyAlignment="1">
      <alignment horizontal="center"/>
    </xf>
    <xf numFmtId="182" fontId="61" fillId="48" borderId="51" xfId="0" applyNumberFormat="1" applyFont="1" applyFill="1" applyBorder="1" applyAlignment="1">
      <alignment horizontal="center"/>
    </xf>
    <xf numFmtId="182" fontId="137" fillId="45" borderId="51" xfId="0" applyNumberFormat="1" applyFont="1" applyFill="1" applyBorder="1" applyAlignment="1">
      <alignment horizontal="center"/>
    </xf>
    <xf numFmtId="14" fontId="61" fillId="16" borderId="50" xfId="0" applyNumberFormat="1" applyFont="1" applyFill="1" applyBorder="1" applyAlignment="1">
      <alignment horizontal="center"/>
    </xf>
    <xf numFmtId="182" fontId="61" fillId="16" borderId="50" xfId="0" applyNumberFormat="1" applyFont="1" applyFill="1" applyBorder="1" applyAlignment="1">
      <alignment horizontal="center"/>
    </xf>
    <xf numFmtId="182" fontId="71" fillId="21" borderId="50" xfId="0" applyNumberFormat="1" applyFont="1" applyFill="1" applyBorder="1" applyAlignment="1">
      <alignment horizontal="center"/>
    </xf>
    <xf numFmtId="182" fontId="0" fillId="0" borderId="0" xfId="0" applyNumberFormat="1"/>
    <xf numFmtId="0" fontId="196" fillId="0" borderId="4" xfId="0" applyFont="1" applyBorder="1"/>
    <xf numFmtId="182" fontId="196" fillId="0" borderId="4" xfId="0" applyNumberFormat="1" applyFont="1" applyBorder="1"/>
    <xf numFmtId="178" fontId="21" fillId="16" borderId="0" xfId="0" applyNumberFormat="1" applyFont="1" applyFill="1"/>
    <xf numFmtId="0" fontId="196" fillId="0" borderId="73" xfId="0" applyFont="1" applyBorder="1"/>
    <xf numFmtId="0" fontId="88" fillId="21" borderId="2" xfId="1" applyFont="1" applyFill="1" applyAlignment="1" applyProtection="1">
      <alignment vertical="top"/>
      <protection locked="0"/>
    </xf>
    <xf numFmtId="0" fontId="46" fillId="17" borderId="2" xfId="1" applyFont="1" applyFill="1" applyAlignment="1" applyProtection="1">
      <alignment horizontal="left" vertical="center"/>
      <protection locked="0"/>
    </xf>
    <xf numFmtId="0" fontId="197" fillId="21" borderId="2" xfId="1" applyFont="1" applyFill="1" applyAlignment="1" applyProtection="1">
      <alignment vertical="top" wrapText="1"/>
      <protection locked="0"/>
    </xf>
    <xf numFmtId="0" fontId="182" fillId="0" borderId="0" xfId="0" applyFont="1"/>
    <xf numFmtId="183" fontId="0" fillId="0" borderId="0" xfId="0" applyNumberFormat="1"/>
    <xf numFmtId="0" fontId="200" fillId="0" borderId="0" xfId="0" applyFont="1"/>
    <xf numFmtId="4" fontId="200" fillId="0" borderId="0" xfId="0" applyNumberFormat="1" applyFont="1"/>
    <xf numFmtId="14" fontId="200" fillId="0" borderId="0" xfId="0" applyNumberFormat="1" applyFont="1"/>
    <xf numFmtId="17" fontId="182" fillId="15" borderId="0" xfId="0" applyNumberFormat="1" applyFont="1" applyFill="1" applyAlignment="1">
      <alignment wrapText="1"/>
    </xf>
    <xf numFmtId="0" fontId="201" fillId="23" borderId="0" xfId="0" applyFont="1" applyFill="1" applyAlignment="1">
      <alignment vertical="top" wrapText="1"/>
    </xf>
    <xf numFmtId="0" fontId="201" fillId="23" borderId="0" xfId="0" applyFont="1" applyFill="1" applyAlignment="1">
      <alignment horizontal="center" vertical="top" wrapText="1"/>
    </xf>
    <xf numFmtId="0" fontId="183" fillId="23" borderId="0" xfId="0" applyFont="1" applyFill="1" applyAlignment="1">
      <alignment horizontal="center" vertical="top" wrapText="1"/>
    </xf>
    <xf numFmtId="0" fontId="202" fillId="21" borderId="2" xfId="0" applyFont="1" applyFill="1" applyBorder="1"/>
    <xf numFmtId="166" fontId="14" fillId="14" borderId="1" xfId="0" applyNumberFormat="1" applyFont="1" applyFill="1" applyBorder="1" applyAlignment="1">
      <alignment horizontal="center" vertical="center"/>
    </xf>
    <xf numFmtId="0" fontId="194" fillId="27" borderId="32" xfId="0" applyFont="1" applyFill="1" applyBorder="1" applyAlignment="1">
      <alignment horizontal="center"/>
    </xf>
    <xf numFmtId="165" fontId="194" fillId="16" borderId="32" xfId="0" applyNumberFormat="1" applyFont="1" applyFill="1" applyBorder="1" applyAlignment="1">
      <alignment horizontal="center"/>
    </xf>
    <xf numFmtId="3" fontId="194" fillId="16" borderId="32" xfId="0" applyNumberFormat="1" applyFont="1" applyFill="1" applyBorder="1" applyAlignment="1">
      <alignment horizontal="center"/>
    </xf>
    <xf numFmtId="165" fontId="194" fillId="27" borderId="32" xfId="0" applyNumberFormat="1" applyFont="1" applyFill="1" applyBorder="1" applyAlignment="1">
      <alignment horizontal="center"/>
    </xf>
    <xf numFmtId="165" fontId="194" fillId="22" borderId="32" xfId="0" applyNumberFormat="1" applyFont="1" applyFill="1" applyBorder="1" applyAlignment="1">
      <alignment horizontal="center"/>
    </xf>
    <xf numFmtId="165" fontId="194" fillId="28" borderId="32" xfId="0" applyNumberFormat="1" applyFont="1" applyFill="1" applyBorder="1" applyAlignment="1">
      <alignment horizontal="center"/>
    </xf>
    <xf numFmtId="0" fontId="203" fillId="22" borderId="14" xfId="0" applyFont="1" applyFill="1" applyBorder="1" applyAlignment="1">
      <alignment horizontal="center"/>
    </xf>
    <xf numFmtId="0" fontId="194" fillId="27" borderId="1" xfId="0" applyFont="1" applyFill="1" applyBorder="1" applyAlignment="1">
      <alignment horizontal="center"/>
    </xf>
    <xf numFmtId="165" fontId="194" fillId="16" borderId="1" xfId="0" applyNumberFormat="1" applyFont="1" applyFill="1" applyBorder="1" applyAlignment="1">
      <alignment horizontal="center"/>
    </xf>
    <xf numFmtId="0" fontId="194" fillId="16" borderId="1" xfId="0" applyFont="1" applyFill="1" applyBorder="1" applyAlignment="1">
      <alignment horizontal="center"/>
    </xf>
    <xf numFmtId="0" fontId="194" fillId="16" borderId="15" xfId="0" applyFont="1" applyFill="1" applyBorder="1" applyAlignment="1">
      <alignment horizontal="center"/>
    </xf>
    <xf numFmtId="0" fontId="194" fillId="16" borderId="32" xfId="0" applyFont="1" applyFill="1" applyBorder="1" applyAlignment="1">
      <alignment horizontal="center"/>
    </xf>
    <xf numFmtId="0" fontId="194" fillId="16" borderId="14" xfId="0" applyFont="1" applyFill="1" applyBorder="1" applyAlignment="1">
      <alignment horizontal="center"/>
    </xf>
    <xf numFmtId="166" fontId="14" fillId="62" borderId="1" xfId="0" applyNumberFormat="1" applyFont="1" applyFill="1" applyBorder="1" applyAlignment="1">
      <alignment horizontal="center" vertical="center"/>
    </xf>
    <xf numFmtId="0" fontId="182" fillId="15" borderId="0" xfId="0" applyFont="1" applyFill="1" applyAlignment="1">
      <alignment wrapText="1"/>
    </xf>
    <xf numFmtId="0" fontId="181" fillId="0" borderId="0" xfId="0" applyFont="1"/>
    <xf numFmtId="4" fontId="181" fillId="0" borderId="0" xfId="0" applyNumberFormat="1" applyFont="1"/>
    <xf numFmtId="0" fontId="204" fillId="63" borderId="0" xfId="0" applyFont="1" applyFill="1"/>
    <xf numFmtId="10" fontId="204" fillId="63" borderId="0" xfId="0" applyNumberFormat="1" applyFont="1" applyFill="1"/>
    <xf numFmtId="0" fontId="204" fillId="64" borderId="0" xfId="0" applyFont="1" applyFill="1"/>
    <xf numFmtId="6" fontId="204" fillId="64" borderId="0" xfId="0" applyNumberFormat="1" applyFont="1" applyFill="1"/>
    <xf numFmtId="0" fontId="204" fillId="64" borderId="5" xfId="0" applyFont="1" applyFill="1" applyBorder="1"/>
    <xf numFmtId="0" fontId="204" fillId="38" borderId="0" xfId="0" applyFont="1" applyFill="1"/>
    <xf numFmtId="6" fontId="204" fillId="38" borderId="0" xfId="0" applyNumberFormat="1" applyFont="1" applyFill="1"/>
    <xf numFmtId="10" fontId="204" fillId="64" borderId="0" xfId="0" applyNumberFormat="1" applyFont="1" applyFill="1"/>
    <xf numFmtId="0" fontId="205" fillId="0" borderId="0" xfId="0" applyFont="1"/>
    <xf numFmtId="16" fontId="182" fillId="15" borderId="0" xfId="0" applyNumberFormat="1" applyFont="1" applyFill="1" applyAlignment="1">
      <alignment wrapText="1"/>
    </xf>
    <xf numFmtId="0" fontId="206" fillId="64" borderId="0" xfId="0" applyFont="1" applyFill="1"/>
    <xf numFmtId="0" fontId="204" fillId="64" borderId="4" xfId="0" applyFont="1" applyFill="1" applyBorder="1"/>
    <xf numFmtId="0" fontId="59" fillId="64" borderId="0" xfId="0" applyFont="1" applyFill="1"/>
    <xf numFmtId="1" fontId="204" fillId="64" borderId="0" xfId="0" applyNumberFormat="1" applyFont="1" applyFill="1"/>
    <xf numFmtId="1" fontId="204" fillId="64" borderId="5" xfId="0" applyNumberFormat="1" applyFont="1" applyFill="1" applyBorder="1"/>
    <xf numFmtId="0" fontId="181" fillId="0" borderId="0" xfId="0" applyFont="1" applyAlignment="1">
      <alignment wrapText="1"/>
    </xf>
    <xf numFmtId="49" fontId="207" fillId="0" borderId="0" xfId="0" applyNumberFormat="1" applyFont="1"/>
    <xf numFmtId="0" fontId="207" fillId="0" borderId="0" xfId="0" applyFont="1"/>
    <xf numFmtId="175" fontId="207" fillId="0" borderId="0" xfId="0" applyNumberFormat="1" applyFont="1"/>
    <xf numFmtId="177" fontId="207" fillId="0" borderId="0" xfId="0" applyNumberFormat="1" applyFont="1"/>
    <xf numFmtId="165" fontId="207" fillId="0" borderId="0" xfId="0" applyNumberFormat="1" applyFont="1"/>
    <xf numFmtId="14" fontId="181" fillId="0" borderId="0" xfId="0" applyNumberFormat="1" applyFont="1"/>
    <xf numFmtId="10" fontId="181" fillId="0" borderId="0" xfId="0" applyNumberFormat="1" applyFont="1"/>
    <xf numFmtId="0" fontId="208" fillId="0" borderId="2" xfId="0" applyFont="1" applyBorder="1"/>
    <xf numFmtId="0" fontId="182" fillId="0" borderId="2" xfId="0" applyFont="1" applyBorder="1"/>
    <xf numFmtId="0" fontId="209" fillId="0" borderId="72" xfId="1" applyFont="1" applyBorder="1" applyAlignment="1">
      <alignment horizontal="center"/>
    </xf>
    <xf numFmtId="0" fontId="187" fillId="16" borderId="50" xfId="0" applyFont="1" applyFill="1" applyBorder="1" applyAlignment="1">
      <alignment horizontal="center" vertical="center"/>
    </xf>
    <xf numFmtId="0" fontId="187" fillId="16" borderId="50" xfId="0" applyFont="1" applyFill="1" applyBorder="1" applyAlignment="1">
      <alignment horizontal="left" vertical="center"/>
    </xf>
    <xf numFmtId="14" fontId="187" fillId="16" borderId="50" xfId="0" applyNumberFormat="1" applyFont="1" applyFill="1" applyBorder="1" applyAlignment="1">
      <alignment horizontal="center" vertical="center"/>
    </xf>
    <xf numFmtId="182" fontId="187" fillId="16" borderId="50" xfId="0" applyNumberFormat="1" applyFont="1" applyFill="1" applyBorder="1" applyAlignment="1">
      <alignment horizontal="center" vertical="center"/>
    </xf>
    <xf numFmtId="3" fontId="210" fillId="22" borderId="50" xfId="0" applyNumberFormat="1" applyFont="1" applyFill="1" applyBorder="1" applyAlignment="1">
      <alignment horizontal="center" vertical="center"/>
    </xf>
    <xf numFmtId="182" fontId="210" fillId="21" borderId="50" xfId="0" applyNumberFormat="1" applyFont="1" applyFill="1" applyBorder="1" applyAlignment="1">
      <alignment horizontal="center" vertical="center"/>
    </xf>
    <xf numFmtId="0" fontId="187" fillId="16" borderId="74" xfId="0" applyFont="1" applyFill="1" applyBorder="1" applyAlignment="1">
      <alignment horizontal="center" vertical="center"/>
    </xf>
    <xf numFmtId="0" fontId="187" fillId="16" borderId="74" xfId="0" applyFont="1" applyFill="1" applyBorder="1" applyAlignment="1">
      <alignment horizontal="left" vertical="center"/>
    </xf>
    <xf numFmtId="14" fontId="187" fillId="16" borderId="74" xfId="0" applyNumberFormat="1" applyFont="1" applyFill="1" applyBorder="1" applyAlignment="1">
      <alignment horizontal="center" vertical="center"/>
    </xf>
    <xf numFmtId="3" fontId="210" fillId="22" borderId="74" xfId="0" applyNumberFormat="1" applyFont="1" applyFill="1" applyBorder="1" applyAlignment="1">
      <alignment horizontal="center" vertical="center"/>
    </xf>
    <xf numFmtId="182" fontId="187" fillId="16" borderId="74" xfId="0" applyNumberFormat="1" applyFont="1" applyFill="1" applyBorder="1" applyAlignment="1">
      <alignment horizontal="center" vertical="center"/>
    </xf>
    <xf numFmtId="182" fontId="210" fillId="21" borderId="74" xfId="0" applyNumberFormat="1" applyFont="1" applyFill="1" applyBorder="1" applyAlignment="1">
      <alignment horizontal="center" vertical="center"/>
    </xf>
    <xf numFmtId="0" fontId="196" fillId="0" borderId="2" xfId="0" applyFont="1" applyBorder="1"/>
    <xf numFmtId="182" fontId="196" fillId="0" borderId="2" xfId="0" applyNumberFormat="1" applyFont="1" applyBorder="1"/>
    <xf numFmtId="178" fontId="187" fillId="16" borderId="50" xfId="0" applyNumberFormat="1" applyFont="1" applyFill="1" applyBorder="1" applyAlignment="1">
      <alignment horizontal="left" vertical="center"/>
    </xf>
    <xf numFmtId="0" fontId="182" fillId="0" borderId="6" xfId="0" applyFont="1" applyBorder="1"/>
    <xf numFmtId="4" fontId="182" fillId="0" borderId="6" xfId="0" applyNumberFormat="1" applyFont="1" applyBorder="1"/>
    <xf numFmtId="4" fontId="182" fillId="0" borderId="2" xfId="0" applyNumberFormat="1" applyFont="1" applyBorder="1"/>
    <xf numFmtId="0" fontId="211" fillId="0" borderId="0" xfId="0" applyFont="1" applyAlignment="1" applyProtection="1">
      <alignment horizontal="left"/>
      <protection locked="0"/>
    </xf>
    <xf numFmtId="165" fontId="187" fillId="0" borderId="0" xfId="0" applyNumberFormat="1" applyFont="1" applyAlignment="1">
      <alignment horizontal="left"/>
    </xf>
    <xf numFmtId="0" fontId="23" fillId="0" borderId="2" xfId="0" applyFont="1" applyBorder="1"/>
    <xf numFmtId="10" fontId="21" fillId="0" borderId="2" xfId="0" applyNumberFormat="1" applyFont="1" applyBorder="1"/>
    <xf numFmtId="165" fontId="0" fillId="18" borderId="8" xfId="0" applyNumberFormat="1" applyFill="1" applyBorder="1" applyAlignment="1">
      <alignment horizontal="center" vertical="center"/>
    </xf>
    <xf numFmtId="165" fontId="0" fillId="2" borderId="8" xfId="0" applyNumberFormat="1" applyFill="1" applyBorder="1" applyAlignment="1">
      <alignment horizontal="center" vertical="center"/>
    </xf>
    <xf numFmtId="165" fontId="0" fillId="18" borderId="2" xfId="0" applyNumberFormat="1" applyFill="1" applyBorder="1" applyAlignment="1">
      <alignment horizontal="center" vertical="center"/>
    </xf>
    <xf numFmtId="165" fontId="0" fillId="2" borderId="2" xfId="0" applyNumberFormat="1" applyFill="1" applyBorder="1" applyAlignment="1">
      <alignment horizontal="center" vertical="center"/>
    </xf>
    <xf numFmtId="3" fontId="0" fillId="18" borderId="2" xfId="0" applyNumberFormat="1" applyFill="1" applyBorder="1" applyAlignment="1">
      <alignment horizontal="center" vertical="center"/>
    </xf>
    <xf numFmtId="3" fontId="0" fillId="18" borderId="8" xfId="0" applyNumberFormat="1" applyFill="1" applyBorder="1" applyAlignment="1">
      <alignment horizontal="center" vertical="center"/>
    </xf>
    <xf numFmtId="3" fontId="0" fillId="2" borderId="8" xfId="0" applyNumberFormat="1" applyFill="1" applyBorder="1" applyAlignment="1">
      <alignment horizontal="center" vertical="center"/>
    </xf>
    <xf numFmtId="1" fontId="0" fillId="2" borderId="8" xfId="0" applyNumberFormat="1" applyFill="1" applyBorder="1" applyAlignment="1">
      <alignment horizontal="center" vertical="center"/>
    </xf>
    <xf numFmtId="0" fontId="196" fillId="0" borderId="0" xfId="0" applyFont="1"/>
    <xf numFmtId="0" fontId="105" fillId="0" borderId="0" xfId="0" applyFont="1"/>
    <xf numFmtId="1" fontId="0" fillId="45" borderId="1" xfId="0" applyNumberFormat="1" applyFill="1" applyBorder="1" applyAlignment="1">
      <alignment horizontal="center" vertical="center"/>
    </xf>
    <xf numFmtId="168" fontId="0" fillId="45" borderId="1" xfId="0" applyNumberFormat="1" applyFill="1" applyBorder="1" applyAlignment="1">
      <alignment horizontal="center" vertical="center"/>
    </xf>
    <xf numFmtId="165" fontId="0" fillId="45" borderId="1" xfId="0" applyNumberFormat="1" applyFill="1" applyBorder="1" applyAlignment="1">
      <alignment horizontal="center" vertical="center"/>
    </xf>
    <xf numFmtId="3" fontId="0" fillId="45" borderId="1" xfId="0" applyNumberFormat="1" applyFill="1" applyBorder="1" applyAlignment="1">
      <alignment horizontal="center" vertical="center"/>
    </xf>
    <xf numFmtId="166" fontId="0" fillId="45" borderId="1" xfId="0" applyNumberFormat="1" applyFill="1" applyBorder="1" applyAlignment="1">
      <alignment horizontal="center" vertical="center"/>
    </xf>
    <xf numFmtId="166" fontId="0" fillId="45" borderId="15" xfId="0" applyNumberFormat="1" applyFill="1" applyBorder="1" applyAlignment="1">
      <alignment horizontal="center" vertical="center"/>
    </xf>
    <xf numFmtId="0" fontId="103" fillId="0" borderId="0" xfId="0" applyFont="1"/>
    <xf numFmtId="0" fontId="213" fillId="0" borderId="0" xfId="0" applyFont="1"/>
    <xf numFmtId="0" fontId="214" fillId="0" borderId="0" xfId="0" applyFont="1"/>
    <xf numFmtId="168" fontId="214" fillId="0" borderId="0" xfId="0" applyNumberFormat="1" applyFont="1"/>
    <xf numFmtId="168" fontId="0" fillId="0" borderId="0" xfId="0" applyNumberFormat="1"/>
    <xf numFmtId="165" fontId="214" fillId="0" borderId="0" xfId="0" applyNumberFormat="1" applyFont="1"/>
    <xf numFmtId="174" fontId="214" fillId="0" borderId="0" xfId="0" applyNumberFormat="1" applyFont="1"/>
    <xf numFmtId="174" fontId="0" fillId="0" borderId="0" xfId="0" applyNumberFormat="1"/>
    <xf numFmtId="2" fontId="214" fillId="0" borderId="0" xfId="0" applyNumberFormat="1" applyFont="1"/>
    <xf numFmtId="3" fontId="214" fillId="0" borderId="0" xfId="0" applyNumberFormat="1" applyFont="1"/>
    <xf numFmtId="0" fontId="21" fillId="0" borderId="2" xfId="0" applyFont="1" applyBorder="1"/>
    <xf numFmtId="167" fontId="0" fillId="18" borderId="2" xfId="0" applyNumberFormat="1" applyFill="1" applyBorder="1" applyAlignment="1">
      <alignment horizontal="center" vertical="center"/>
    </xf>
    <xf numFmtId="4" fontId="0" fillId="18" borderId="1" xfId="0" applyNumberFormat="1" applyFill="1" applyBorder="1" applyAlignment="1">
      <alignment horizontal="center" vertical="center"/>
    </xf>
    <xf numFmtId="4" fontId="0" fillId="2" borderId="1" xfId="0" applyNumberFormat="1" applyFill="1" applyBorder="1" applyAlignment="1">
      <alignment horizontal="center" vertical="center"/>
    </xf>
    <xf numFmtId="166" fontId="14" fillId="28" borderId="1" xfId="0" applyNumberFormat="1" applyFont="1" applyFill="1" applyBorder="1" applyAlignment="1">
      <alignment horizontal="center" vertical="center"/>
    </xf>
    <xf numFmtId="0" fontId="14" fillId="16" borderId="1" xfId="0" applyFont="1" applyFill="1" applyBorder="1" applyAlignment="1">
      <alignment horizontal="center" vertical="center"/>
    </xf>
    <xf numFmtId="0" fontId="0" fillId="65" borderId="0" xfId="0" applyFill="1"/>
    <xf numFmtId="3" fontId="59" fillId="0" borderId="0" xfId="0" applyNumberFormat="1" applyFont="1"/>
    <xf numFmtId="168" fontId="59" fillId="0" borderId="0" xfId="0" applyNumberFormat="1" applyFont="1"/>
    <xf numFmtId="168" fontId="215" fillId="0" borderId="0" xfId="0" applyNumberFormat="1" applyFont="1"/>
    <xf numFmtId="3" fontId="215" fillId="0" borderId="0" xfId="0" applyNumberFormat="1" applyFont="1"/>
    <xf numFmtId="165" fontId="215" fillId="0" borderId="0" xfId="0" applyNumberFormat="1" applyFont="1"/>
    <xf numFmtId="0" fontId="216" fillId="0" borderId="0" xfId="0" applyFont="1"/>
    <xf numFmtId="0" fontId="217" fillId="0" borderId="0" xfId="0" applyFont="1"/>
    <xf numFmtId="0" fontId="105" fillId="41" borderId="29" xfId="0" applyFont="1" applyFill="1" applyBorder="1" applyAlignment="1">
      <alignment horizontal="center"/>
    </xf>
    <xf numFmtId="1" fontId="59" fillId="0" borderId="0" xfId="0" applyNumberFormat="1" applyFont="1" applyAlignment="1">
      <alignment horizontal="center"/>
    </xf>
    <xf numFmtId="184" fontId="59" fillId="0" borderId="0" xfId="0" applyNumberFormat="1" applyFont="1"/>
    <xf numFmtId="185" fontId="59" fillId="0" borderId="0" xfId="0" applyNumberFormat="1" applyFont="1"/>
    <xf numFmtId="167" fontId="215" fillId="0" borderId="0" xfId="0" applyNumberFormat="1" applyFont="1"/>
    <xf numFmtId="186" fontId="59" fillId="0" borderId="0" xfId="0" applyNumberFormat="1" applyFont="1"/>
    <xf numFmtId="0" fontId="105" fillId="41" borderId="77" xfId="0" applyFont="1" applyFill="1" applyBorder="1" applyAlignment="1">
      <alignment horizontal="center"/>
    </xf>
    <xf numFmtId="165" fontId="215" fillId="0" borderId="76" xfId="0" applyNumberFormat="1" applyFont="1" applyBorder="1"/>
    <xf numFmtId="3" fontId="215" fillId="0" borderId="76" xfId="0" applyNumberFormat="1" applyFont="1" applyBorder="1"/>
    <xf numFmtId="167" fontId="215" fillId="0" borderId="76" xfId="0" applyNumberFormat="1" applyFont="1" applyBorder="1"/>
    <xf numFmtId="0" fontId="0" fillId="0" borderId="76" xfId="0" applyBorder="1"/>
    <xf numFmtId="0" fontId="219" fillId="41" borderId="77" xfId="0" applyFont="1" applyFill="1" applyBorder="1" applyAlignment="1">
      <alignment horizontal="center"/>
    </xf>
    <xf numFmtId="1" fontId="218" fillId="0" borderId="76" xfId="0" applyNumberFormat="1" applyFont="1" applyBorder="1" applyAlignment="1">
      <alignment horizontal="center"/>
    </xf>
    <xf numFmtId="1" fontId="59" fillId="0" borderId="54" xfId="0" applyNumberFormat="1" applyFont="1" applyBorder="1" applyAlignment="1">
      <alignment horizontal="center"/>
    </xf>
    <xf numFmtId="168" fontId="215" fillId="0" borderId="54" xfId="0" applyNumberFormat="1" applyFont="1" applyBorder="1"/>
    <xf numFmtId="165" fontId="215" fillId="0" borderId="78" xfId="0" applyNumberFormat="1" applyFont="1" applyBorder="1"/>
    <xf numFmtId="165" fontId="215" fillId="0" borderId="54" xfId="0" applyNumberFormat="1" applyFont="1" applyBorder="1"/>
    <xf numFmtId="184" fontId="59" fillId="0" borderId="54" xfId="0" applyNumberFormat="1" applyFont="1" applyBorder="1"/>
    <xf numFmtId="3" fontId="215" fillId="0" borderId="78" xfId="0" applyNumberFormat="1" applyFont="1" applyBorder="1"/>
    <xf numFmtId="3" fontId="215" fillId="0" borderId="54" xfId="0" applyNumberFormat="1" applyFont="1" applyBorder="1"/>
    <xf numFmtId="185" fontId="59" fillId="0" borderId="54" xfId="0" applyNumberFormat="1" applyFont="1" applyBorder="1"/>
    <xf numFmtId="167" fontId="215" fillId="0" borderId="78" xfId="0" applyNumberFormat="1" applyFont="1" applyBorder="1"/>
    <xf numFmtId="167" fontId="215" fillId="0" borderId="54" xfId="0" applyNumberFormat="1" applyFont="1" applyBorder="1"/>
    <xf numFmtId="186" fontId="59" fillId="0" borderId="54" xfId="0" applyNumberFormat="1" applyFont="1" applyBorder="1"/>
    <xf numFmtId="1" fontId="218" fillId="0" borderId="78" xfId="0" applyNumberFormat="1" applyFont="1" applyBorder="1" applyAlignment="1">
      <alignment horizontal="center"/>
    </xf>
    <xf numFmtId="165" fontId="10" fillId="57" borderId="32" xfId="1" applyNumberFormat="1" applyFont="1" applyFill="1" applyBorder="1" applyAlignment="1">
      <alignment horizontal="center"/>
    </xf>
    <xf numFmtId="165" fontId="10" fillId="57" borderId="1" xfId="1" applyNumberFormat="1" applyFont="1" applyFill="1" applyBorder="1" applyAlignment="1">
      <alignment horizontal="center"/>
    </xf>
    <xf numFmtId="174" fontId="10" fillId="57" borderId="1" xfId="1" applyNumberFormat="1" applyFont="1" applyFill="1" applyBorder="1" applyAlignment="1">
      <alignment horizontal="center"/>
    </xf>
    <xf numFmtId="4" fontId="182" fillId="0" borderId="75" xfId="0" applyNumberFormat="1" applyFont="1" applyBorder="1"/>
    <xf numFmtId="0" fontId="220" fillId="21" borderId="2" xfId="1" applyFont="1" applyFill="1" applyAlignment="1" applyProtection="1">
      <alignment vertical="top" wrapText="1"/>
      <protection locked="0"/>
    </xf>
    <xf numFmtId="0" fontId="221" fillId="21" borderId="2" xfId="1" applyFont="1" applyFill="1" applyAlignment="1" applyProtection="1">
      <alignment vertical="top" wrapText="1"/>
      <protection locked="0"/>
    </xf>
    <xf numFmtId="0" fontId="222" fillId="21" borderId="2" xfId="1" applyFont="1" applyFill="1" applyAlignment="1" applyProtection="1">
      <alignment vertical="top" wrapText="1"/>
      <protection locked="0"/>
    </xf>
    <xf numFmtId="0" fontId="212" fillId="0" borderId="0" xfId="0" applyFont="1"/>
    <xf numFmtId="174" fontId="179" fillId="57" borderId="32" xfId="1" applyNumberFormat="1" applyFont="1" applyFill="1" applyBorder="1" applyAlignment="1">
      <alignment horizontal="center"/>
    </xf>
    <xf numFmtId="174" fontId="10" fillId="57" borderId="32" xfId="1" applyNumberFormat="1" applyFont="1" applyFill="1" applyBorder="1" applyAlignment="1">
      <alignment horizontal="center"/>
    </xf>
    <xf numFmtId="1" fontId="179" fillId="57" borderId="72" xfId="1" applyNumberFormat="1" applyFont="1" applyFill="1" applyBorder="1" applyAlignment="1">
      <alignment horizontal="center"/>
    </xf>
    <xf numFmtId="167" fontId="10" fillId="57" borderId="72" xfId="1" applyNumberFormat="1" applyFont="1" applyFill="1" applyBorder="1" applyAlignment="1">
      <alignment horizontal="center"/>
    </xf>
    <xf numFmtId="1" fontId="179" fillId="57" borderId="32" xfId="1" applyNumberFormat="1" applyFont="1" applyFill="1" applyBorder="1" applyAlignment="1">
      <alignment horizontal="center"/>
    </xf>
    <xf numFmtId="167" fontId="10" fillId="57" borderId="32" xfId="1" applyNumberFormat="1" applyFont="1" applyFill="1" applyBorder="1" applyAlignment="1">
      <alignment horizontal="center"/>
    </xf>
    <xf numFmtId="0" fontId="115" fillId="0" borderId="72" xfId="1" applyFont="1" applyBorder="1" applyAlignment="1">
      <alignment horizontal="center"/>
    </xf>
    <xf numFmtId="0" fontId="115" fillId="0" borderId="32" xfId="1" applyFont="1" applyBorder="1" applyAlignment="1">
      <alignment horizontal="center"/>
    </xf>
    <xf numFmtId="0" fontId="14" fillId="0" borderId="72" xfId="1" applyFont="1" applyBorder="1" applyAlignment="1">
      <alignment horizontal="center"/>
    </xf>
    <xf numFmtId="0" fontId="13" fillId="14" borderId="72" xfId="1" applyFont="1" applyFill="1" applyBorder="1" applyAlignment="1">
      <alignment horizontal="center"/>
    </xf>
    <xf numFmtId="0" fontId="13" fillId="14" borderId="32" xfId="1" applyFont="1" applyFill="1" applyBorder="1" applyAlignment="1">
      <alignment horizontal="center"/>
    </xf>
    <xf numFmtId="0" fontId="14" fillId="14" borderId="72" xfId="1" applyFont="1" applyFill="1" applyBorder="1" applyAlignment="1">
      <alignment horizontal="center"/>
    </xf>
    <xf numFmtId="0" fontId="60" fillId="14" borderId="32" xfId="1" applyFont="1" applyFill="1" applyBorder="1" applyAlignment="1">
      <alignment horizontal="center"/>
    </xf>
    <xf numFmtId="0" fontId="13" fillId="0" borderId="72" xfId="1" applyFont="1" applyBorder="1" applyAlignment="1">
      <alignment horizontal="center"/>
    </xf>
    <xf numFmtId="0" fontId="23" fillId="27" borderId="2" xfId="0" applyFont="1" applyFill="1" applyBorder="1"/>
    <xf numFmtId="10" fontId="21" fillId="27" borderId="2" xfId="0" applyNumberFormat="1" applyFont="1" applyFill="1" applyBorder="1"/>
    <xf numFmtId="0" fontId="104" fillId="12" borderId="3" xfId="0" applyFont="1" applyFill="1" applyBorder="1"/>
    <xf numFmtId="0" fontId="104" fillId="16" borderId="15" xfId="0" applyFont="1" applyFill="1" applyBorder="1"/>
    <xf numFmtId="14" fontId="0" fillId="65" borderId="0" xfId="0" applyNumberFormat="1" applyFill="1"/>
    <xf numFmtId="4" fontId="0" fillId="65" borderId="0" xfId="0" applyNumberFormat="1" applyFill="1"/>
    <xf numFmtId="173" fontId="224" fillId="0" borderId="0" xfId="0" applyNumberFormat="1" applyFont="1" applyAlignment="1">
      <alignment horizontal="right" vertical="center"/>
    </xf>
    <xf numFmtId="173" fontId="225" fillId="0" borderId="6" xfId="0" applyNumberFormat="1" applyFont="1" applyBorder="1" applyAlignment="1">
      <alignment horizontal="right" vertical="center"/>
    </xf>
    <xf numFmtId="49" fontId="225" fillId="0" borderId="0" xfId="0" applyNumberFormat="1" applyFont="1" applyAlignment="1">
      <alignment horizontal="left" vertical="center" indent="1"/>
    </xf>
    <xf numFmtId="49" fontId="225" fillId="0" borderId="0" xfId="0" applyNumberFormat="1" applyFont="1" applyAlignment="1">
      <alignment horizontal="left" vertical="center"/>
    </xf>
    <xf numFmtId="49" fontId="225" fillId="0" borderId="0" xfId="0" applyNumberFormat="1" applyFont="1" applyAlignment="1">
      <alignment horizontal="left" vertical="center" indent="2"/>
    </xf>
    <xf numFmtId="173" fontId="225" fillId="0" borderId="75" xfId="0" applyNumberFormat="1" applyFont="1" applyBorder="1" applyAlignment="1">
      <alignment horizontal="right" vertical="center"/>
    </xf>
    <xf numFmtId="0" fontId="7" fillId="0" borderId="0" xfId="0" applyFont="1"/>
    <xf numFmtId="0" fontId="0" fillId="0" borderId="0" xfId="0"/>
    <xf numFmtId="0" fontId="8" fillId="0" borderId="0" xfId="0" applyFont="1"/>
    <xf numFmtId="0" fontId="7" fillId="0" borderId="2" xfId="1" applyFont="1" applyProtection="1">
      <protection locked="0"/>
    </xf>
    <xf numFmtId="0" fontId="8" fillId="0" borderId="2" xfId="1" applyFont="1" applyProtection="1">
      <protection locked="0"/>
    </xf>
    <xf numFmtId="0" fontId="82" fillId="23" borderId="31" xfId="0" applyFont="1" applyFill="1" applyBorder="1" applyAlignment="1">
      <alignment horizontal="center"/>
    </xf>
    <xf numFmtId="0" fontId="82" fillId="23" borderId="30" xfId="0" applyFont="1" applyFill="1" applyBorder="1" applyAlignment="1">
      <alignment horizontal="center"/>
    </xf>
    <xf numFmtId="0" fontId="86" fillId="31" borderId="24" xfId="0" applyFont="1" applyFill="1" applyBorder="1" applyAlignment="1">
      <alignment horizontal="left" wrapText="1"/>
    </xf>
    <xf numFmtId="0" fontId="86" fillId="31" borderId="17" xfId="0" applyFont="1" applyFill="1" applyBorder="1" applyAlignment="1">
      <alignment horizontal="left" wrapText="1"/>
    </xf>
    <xf numFmtId="0" fontId="48" fillId="23" borderId="28" xfId="0" applyFont="1" applyFill="1" applyBorder="1" applyAlignment="1">
      <alignment horizontal="center"/>
    </xf>
    <xf numFmtId="0" fontId="48" fillId="23" borderId="2" xfId="0" applyFont="1" applyFill="1" applyBorder="1" applyAlignment="1">
      <alignment horizontal="center"/>
    </xf>
    <xf numFmtId="0" fontId="70" fillId="28" borderId="27" xfId="0" applyFont="1" applyFill="1" applyBorder="1" applyAlignment="1">
      <alignment horizontal="left" wrapText="1"/>
    </xf>
    <xf numFmtId="0" fontId="70" fillId="28" borderId="18" xfId="0" applyFont="1" applyFill="1" applyBorder="1" applyAlignment="1">
      <alignment horizontal="left" wrapText="1"/>
    </xf>
    <xf numFmtId="0" fontId="85" fillId="29" borderId="27" xfId="0" applyFont="1" applyFill="1" applyBorder="1" applyAlignment="1">
      <alignment horizontal="left" wrapText="1"/>
    </xf>
    <xf numFmtId="0" fontId="85" fillId="29" borderId="18" xfId="0" applyFont="1" applyFill="1" applyBorder="1" applyAlignment="1">
      <alignment horizontal="left" wrapText="1"/>
    </xf>
    <xf numFmtId="0" fontId="58" fillId="31" borderId="27" xfId="0" applyFont="1" applyFill="1" applyBorder="1" applyAlignment="1">
      <alignment horizontal="left" wrapText="1"/>
    </xf>
    <xf numFmtId="0" fontId="58" fillId="31" borderId="18" xfId="0" applyFont="1" applyFill="1" applyBorder="1" applyAlignment="1">
      <alignment horizontal="left" wrapText="1"/>
    </xf>
    <xf numFmtId="0" fontId="7" fillId="16" borderId="2" xfId="0" applyFont="1" applyFill="1" applyBorder="1"/>
    <xf numFmtId="0" fontId="8" fillId="16" borderId="2" xfId="0" applyFont="1" applyFill="1" applyBorder="1"/>
    <xf numFmtId="0" fontId="35" fillId="16" borderId="2" xfId="0" applyFont="1" applyFill="1" applyBorder="1"/>
    <xf numFmtId="0" fontId="15" fillId="25" borderId="2" xfId="0" applyFont="1" applyFill="1" applyBorder="1" applyAlignment="1">
      <alignment horizontal="center"/>
    </xf>
    <xf numFmtId="0" fontId="14" fillId="25" borderId="2" xfId="0" applyFont="1" applyFill="1" applyBorder="1" applyAlignment="1">
      <alignment horizontal="center"/>
    </xf>
    <xf numFmtId="0" fontId="168" fillId="25" borderId="2" xfId="0" applyFont="1" applyFill="1" applyBorder="1"/>
    <xf numFmtId="0" fontId="0" fillId="0" borderId="2" xfId="0" applyBorder="1"/>
    <xf numFmtId="0" fontId="126" fillId="23" borderId="2" xfId="0" applyFont="1" applyFill="1" applyBorder="1" applyAlignment="1">
      <alignment horizontal="left"/>
    </xf>
    <xf numFmtId="0" fontId="170" fillId="0" borderId="2" xfId="0" applyFont="1" applyBorder="1"/>
    <xf numFmtId="0" fontId="126" fillId="23" borderId="2" xfId="0" applyFont="1" applyFill="1" applyBorder="1"/>
    <xf numFmtId="0" fontId="169" fillId="0" borderId="2" xfId="0" applyFont="1" applyBorder="1"/>
    <xf numFmtId="0" fontId="126" fillId="66" borderId="76" xfId="0" applyFont="1" applyFill="1" applyBorder="1" applyAlignment="1">
      <alignment horizontal="center" vertical="center"/>
    </xf>
    <xf numFmtId="0" fontId="126" fillId="66" borderId="2" xfId="0" applyFont="1" applyFill="1" applyBorder="1" applyAlignment="1">
      <alignment horizontal="center" vertical="center"/>
    </xf>
    <xf numFmtId="0" fontId="126" fillId="66" borderId="79" xfId="0" applyFont="1" applyFill="1" applyBorder="1" applyAlignment="1">
      <alignment horizontal="center" vertical="center"/>
    </xf>
    <xf numFmtId="0" fontId="126" fillId="23" borderId="76" xfId="0" applyFont="1" applyFill="1" applyBorder="1" applyAlignment="1">
      <alignment horizontal="center" vertical="center"/>
    </xf>
    <xf numFmtId="0" fontId="126" fillId="23" borderId="2" xfId="0" applyFont="1" applyFill="1" applyBorder="1" applyAlignment="1">
      <alignment horizontal="center" vertical="center"/>
    </xf>
    <xf numFmtId="0" fontId="126" fillId="23" borderId="79" xfId="0" applyFont="1" applyFill="1" applyBorder="1" applyAlignment="1">
      <alignment horizontal="center" vertical="center"/>
    </xf>
    <xf numFmtId="0" fontId="123" fillId="38" borderId="2" xfId="10" applyFont="1" applyFill="1" applyAlignment="1">
      <alignment horizontal="center" vertical="center" wrapText="1"/>
    </xf>
    <xf numFmtId="0" fontId="28" fillId="8" borderId="0" xfId="0" applyFont="1" applyFill="1"/>
    <xf numFmtId="0" fontId="25" fillId="0" borderId="0" xfId="0" applyFont="1"/>
    <xf numFmtId="0" fontId="28" fillId="11" borderId="0" xfId="0" applyFont="1" applyFill="1"/>
    <xf numFmtId="0" fontId="24" fillId="0" borderId="0" xfId="0" applyFont="1"/>
    <xf numFmtId="0" fontId="0" fillId="0" borderId="0" xfId="0" applyAlignment="1">
      <alignment horizontal="center"/>
    </xf>
  </cellXfs>
  <cellStyles count="21">
    <cellStyle name="Bad 2" xfId="9" xr:uid="{CF90C9F9-8DDA-4058-8942-38561CBDC30C}"/>
    <cellStyle name="Bad 3" xfId="12" xr:uid="{257C876C-9652-45AA-BF7D-407ADAEF3037}"/>
    <cellStyle name="Good 2" xfId="7" xr:uid="{50848384-319C-472A-A9E0-8920E503B697}"/>
    <cellStyle name="Good 3" xfId="13" xr:uid="{05085FE9-8711-4323-A7B4-88AEB296A79D}"/>
    <cellStyle name="Neutral 2" xfId="8" xr:uid="{BA738AD7-362E-43E4-8A46-290BE75EB6B9}"/>
    <cellStyle name="Neutral 3" xfId="11" xr:uid="{2A931C57-971D-48F7-AA02-4168C9A31CC0}"/>
    <cellStyle name="Normal" xfId="0" builtinId="0"/>
    <cellStyle name="Normal 10" xfId="15" xr:uid="{FED5FCCD-5150-4323-B367-0745C26C9C25}"/>
    <cellStyle name="Normal 11" xfId="16" xr:uid="{2DB776CF-54AA-4726-9EAF-6DE7ABBCF7EA}"/>
    <cellStyle name="Normal 12" xfId="17" xr:uid="{18D2CE96-26B5-4F93-B0BD-81BFF7637209}"/>
    <cellStyle name="Normal 13" xfId="18" xr:uid="{1C231429-ADA2-4B05-8C1E-ABFF7179593A}"/>
    <cellStyle name="Normal 14" xfId="19" xr:uid="{17EC2994-80D1-458C-B1FD-45DA40724E13}"/>
    <cellStyle name="Normal 15" xfId="20" xr:uid="{EC98F218-B024-4242-B5F8-42547302ED7B}"/>
    <cellStyle name="Normal 2" xfId="1" xr:uid="{3286682D-F96E-4B13-BA95-B2F4825FA00A}"/>
    <cellStyle name="Normal 3" xfId="2" xr:uid="{2DE30171-1A5C-4547-BD52-E293822E2DA6}"/>
    <cellStyle name="Normal 4" xfId="3" xr:uid="{DBE2CB27-0549-43BC-BAEA-B22723E6F196}"/>
    <cellStyle name="Normal 5" xfId="4" xr:uid="{DF79D2EF-2A48-4FCC-9B6D-94C7F6CBFCBE}"/>
    <cellStyle name="Normal 6" xfId="5" xr:uid="{0EB93240-C315-4551-9E91-20132A86373E}"/>
    <cellStyle name="Normal 7" xfId="6" xr:uid="{FDD1B3D4-F748-4ADE-83D7-E8CF4DEBFB8F}"/>
    <cellStyle name="Normal 8" xfId="10" xr:uid="{10E9A60A-A05C-4370-A970-0360BEFA20ED}"/>
    <cellStyle name="Normal 9" xfId="14" xr:uid="{9E5755E6-740C-4BC0-AE24-D8690D1B5F64}"/>
  </cellStyles>
  <dxfs count="116">
    <dxf>
      <font>
        <color rgb="FF9C0006"/>
      </font>
      <fill>
        <patternFill>
          <bgColor rgb="FFFFC7CE"/>
        </patternFill>
      </fill>
    </dxf>
    <dxf>
      <font>
        <color rgb="FF9C5700"/>
      </font>
      <fill>
        <patternFill>
          <bgColor rgb="FFFFEB9C"/>
        </patternFill>
      </fill>
    </dxf>
    <dxf>
      <fill>
        <patternFill>
          <bgColor theme="5" tint="0.79998168889431442"/>
        </patternFill>
      </fill>
    </dxf>
    <dxf>
      <font>
        <color rgb="FFBF8F00"/>
      </font>
      <fill>
        <patternFill patternType="solid">
          <fgColor indexed="64"/>
          <bgColor rgb="FFFCE4D6"/>
        </patternFill>
      </fill>
    </dxf>
    <dxf>
      <font>
        <color rgb="FF9C0006"/>
      </font>
      <fill>
        <patternFill patternType="solid">
          <fgColor indexed="64"/>
          <bgColor rgb="FFFFC7CE"/>
        </patternFill>
      </fill>
    </dxf>
    <dxf>
      <font>
        <color rgb="FF806600"/>
      </font>
      <fill>
        <patternFill patternType="solid">
          <fgColor indexed="64"/>
          <bgColor rgb="FFFFF9CC"/>
        </patternFill>
      </fill>
    </dxf>
    <dxf>
      <font>
        <color rgb="FFCC5500"/>
      </font>
      <fill>
        <patternFill patternType="solid">
          <fgColor indexed="64"/>
          <bgColor rgb="FFFFE8CC"/>
        </patternFill>
      </fill>
    </dxf>
    <dxf>
      <font>
        <color rgb="FF8B0000"/>
      </font>
      <fill>
        <patternFill patternType="solid">
          <fgColor indexed="64"/>
          <bgColor rgb="FFFFD2D2"/>
        </patternFill>
      </fill>
    </dxf>
    <dxf>
      <font>
        <color rgb="FF9C0006"/>
      </font>
      <fill>
        <patternFill>
          <bgColor rgb="FFFFC7CE"/>
        </patternFill>
      </fill>
    </dxf>
    <dxf>
      <font>
        <color rgb="FF9C0006"/>
      </font>
      <fill>
        <patternFill>
          <bgColor rgb="FFFFC7CE"/>
        </patternFill>
      </fill>
    </dxf>
    <dxf>
      <font>
        <color rgb="FF9C0006"/>
      </font>
      <fill>
        <patternFill patternType="solid">
          <fgColor indexed="64"/>
          <bgColor rgb="FFFCE4E4"/>
        </patternFill>
      </fill>
    </dxf>
    <dxf>
      <font>
        <color rgb="FF375623"/>
      </font>
      <fill>
        <patternFill patternType="solid">
          <fgColor indexed="64"/>
          <bgColor rgb="FFE2EFDA"/>
        </patternFill>
      </fill>
    </dxf>
    <dxf>
      <font>
        <color rgb="FF9C0006"/>
      </font>
      <fill>
        <patternFill patternType="solid">
          <fgColor indexed="64"/>
          <bgColor rgb="FFFCE4E4"/>
        </patternFill>
      </fill>
    </dxf>
    <dxf>
      <font>
        <color rgb="FF375623"/>
      </font>
      <fill>
        <patternFill patternType="solid">
          <fgColor indexed="64"/>
          <bgColor rgb="FFE2EFDA"/>
        </patternFill>
      </fill>
    </dxf>
    <dxf>
      <font>
        <color rgb="FF9C0006"/>
      </font>
      <fill>
        <patternFill patternType="solid">
          <fgColor indexed="64"/>
          <bgColor rgb="FFFCE4E4"/>
        </patternFill>
      </fill>
    </dxf>
    <dxf>
      <font>
        <color rgb="FF375623"/>
      </font>
      <fill>
        <patternFill patternType="solid">
          <fgColor indexed="64"/>
          <bgColor rgb="FFE2EFDA"/>
        </patternFill>
      </fill>
    </dxf>
    <dxf>
      <font>
        <color rgb="FF9C0006"/>
      </font>
      <fill>
        <patternFill patternType="solid">
          <fgColor indexed="64"/>
          <bgColor rgb="FFFCE4E4"/>
        </patternFill>
      </fill>
    </dxf>
    <dxf>
      <font>
        <color rgb="FF375623"/>
      </font>
      <fill>
        <patternFill patternType="solid">
          <fgColor indexed="64"/>
          <bgColor rgb="FFE2EFDA"/>
        </patternFill>
      </fill>
    </dxf>
    <dxf>
      <font>
        <color rgb="FF9C0006"/>
      </font>
      <fill>
        <patternFill patternType="solid">
          <fgColor indexed="64"/>
          <bgColor rgb="FFFCE4E4"/>
        </patternFill>
      </fill>
    </dxf>
    <dxf>
      <font>
        <color rgb="FF375623"/>
      </font>
      <fill>
        <patternFill patternType="solid">
          <fgColor indexed="64"/>
          <bgColor rgb="FFE2EFDA"/>
        </patternFill>
      </fill>
    </dxf>
    <dxf>
      <font>
        <color rgb="FF9C0006"/>
      </font>
      <fill>
        <patternFill patternType="solid">
          <fgColor indexed="64"/>
          <bgColor rgb="FFFCE4E4"/>
        </patternFill>
      </fill>
    </dxf>
    <dxf>
      <font>
        <color rgb="FF375623"/>
      </font>
      <fill>
        <patternFill patternType="solid">
          <fgColor indexed="64"/>
          <bgColor rgb="FFE2EFDA"/>
        </patternFill>
      </fill>
    </dxf>
    <dxf>
      <font>
        <color rgb="FF9C0006"/>
      </font>
      <fill>
        <patternFill patternType="solid">
          <fgColor indexed="64"/>
          <bgColor rgb="FFFCE4E4"/>
        </patternFill>
      </fill>
    </dxf>
    <dxf>
      <font>
        <color rgb="FF375623"/>
      </font>
      <fill>
        <patternFill patternType="solid">
          <fgColor indexed="64"/>
          <bgColor rgb="FFE2EFDA"/>
        </patternFill>
      </fill>
    </dxf>
    <dxf>
      <font>
        <color rgb="FF9C0006"/>
      </font>
      <fill>
        <patternFill patternType="solid">
          <fgColor indexed="64"/>
          <bgColor rgb="FFFCE4E4"/>
        </patternFill>
      </fill>
    </dxf>
    <dxf>
      <font>
        <color rgb="FF375623"/>
      </font>
      <fill>
        <patternFill patternType="solid">
          <fgColor indexed="64"/>
          <bgColor rgb="FFE2EFDA"/>
        </patternFill>
      </fill>
    </dxf>
    <dxf>
      <font>
        <color rgb="FF9C0006"/>
      </font>
      <fill>
        <patternFill patternType="solid">
          <fgColor indexed="64"/>
          <bgColor rgb="FFFCE4E4"/>
        </patternFill>
      </fill>
    </dxf>
    <dxf>
      <font>
        <color rgb="FF375623"/>
      </font>
      <fill>
        <patternFill patternType="solid">
          <fgColor indexed="64"/>
          <bgColor rgb="FFE2EFDA"/>
        </patternFill>
      </fill>
    </dxf>
    <dxf>
      <font>
        <color rgb="FF9C0006"/>
      </font>
      <fill>
        <patternFill patternType="solid">
          <fgColor indexed="64"/>
          <bgColor rgb="FFFCE4E4"/>
        </patternFill>
      </fill>
    </dxf>
    <dxf>
      <font>
        <color rgb="FF375623"/>
      </font>
      <fill>
        <patternFill patternType="solid">
          <fgColor indexed="64"/>
          <bgColor rgb="FFE2EFDA"/>
        </patternFill>
      </fill>
    </dxf>
    <dxf>
      <font>
        <color rgb="FF9C0006"/>
      </font>
      <fill>
        <patternFill patternType="solid">
          <fgColor indexed="64"/>
          <bgColor rgb="FFFCE4E4"/>
        </patternFill>
      </fill>
    </dxf>
    <dxf>
      <font>
        <color rgb="FF375623"/>
      </font>
      <fill>
        <patternFill patternType="solid">
          <fgColor indexed="64"/>
          <bgColor rgb="FFE2EFDA"/>
        </patternFill>
      </fill>
    </dxf>
    <dxf>
      <fill>
        <patternFill patternType="solid">
          <fgColor indexed="64"/>
          <bgColor rgb="FFF2F5FB"/>
        </patternFill>
      </fill>
    </dxf>
    <dxf>
      <font>
        <color rgb="FF806600"/>
      </font>
      <fill>
        <patternFill patternType="solid">
          <fgColor indexed="64"/>
          <bgColor rgb="FFFFF9CC"/>
        </patternFill>
      </fill>
    </dxf>
    <dxf>
      <font>
        <color rgb="FFCC5500"/>
      </font>
      <fill>
        <patternFill patternType="solid">
          <fgColor indexed="64"/>
          <bgColor rgb="FFFFE8CC"/>
        </patternFill>
      </fill>
    </dxf>
    <dxf>
      <font>
        <b/>
        <i val="0"/>
        <color rgb="FF8B0000"/>
      </font>
      <fill>
        <patternFill patternType="solid">
          <fgColor indexed="64"/>
          <bgColor rgb="FFFFD2D2"/>
        </patternFill>
      </fill>
    </dxf>
    <dxf>
      <font>
        <b/>
        <i val="0"/>
        <color rgb="FFFFFFFF"/>
      </font>
      <fill>
        <patternFill patternType="solid">
          <fgColor indexed="64"/>
          <bgColor rgb="FF808080"/>
        </patternFill>
      </fill>
    </dxf>
    <dxf>
      <font>
        <b/>
        <i val="0"/>
        <color rgb="FFFFFFFF"/>
      </font>
      <fill>
        <patternFill patternType="solid">
          <fgColor indexed="64"/>
          <bgColor rgb="FF1F6E6E"/>
        </patternFill>
      </fill>
    </dxf>
    <dxf>
      <font>
        <b/>
        <i val="0"/>
        <color rgb="FFFFFFFF"/>
      </font>
      <fill>
        <patternFill patternType="solid">
          <fgColor indexed="64"/>
          <bgColor rgb="FFC00000"/>
        </patternFill>
      </fill>
    </dxf>
    <dxf>
      <font>
        <b/>
        <i val="0"/>
        <color rgb="FFFFFFFF"/>
      </font>
      <fill>
        <patternFill patternType="solid">
          <fgColor indexed="64"/>
          <bgColor rgb="FF808080"/>
        </patternFill>
      </fill>
    </dxf>
    <dxf>
      <font>
        <b/>
        <i val="0"/>
        <color rgb="FFFFFFFF"/>
      </font>
      <fill>
        <patternFill patternType="solid">
          <fgColor indexed="64"/>
          <bgColor rgb="FF1F6E6E"/>
        </patternFill>
      </fill>
    </dxf>
    <dxf>
      <font>
        <b/>
        <i val="0"/>
        <color rgb="FFFFFFFF"/>
      </font>
      <fill>
        <patternFill patternType="solid">
          <fgColor indexed="64"/>
          <bgColor rgb="FFC00000"/>
        </patternFill>
      </fill>
    </dxf>
    <dxf>
      <font>
        <b/>
        <i val="0"/>
        <color rgb="FF0070C0"/>
      </font>
    </dxf>
    <dxf>
      <font>
        <b/>
        <i val="0"/>
        <color rgb="FFC00000"/>
      </font>
    </dxf>
    <dxf>
      <font>
        <color rgb="FF9C0006"/>
      </font>
      <fill>
        <patternFill>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color rgb="FF9C0006"/>
      </font>
      <fill>
        <patternFill>
          <bgColor rgb="FFFFC7CE"/>
        </patternFill>
      </fill>
    </dxf>
    <dxf>
      <font>
        <b/>
        <color rgb="FF006100"/>
      </font>
      <fill>
        <patternFill>
          <bgColor rgb="FFC6EFCE"/>
        </patternFill>
      </fill>
    </dxf>
    <dxf>
      <fill>
        <patternFill patternType="solid">
          <fgColor indexed="64"/>
          <bgColor rgb="FFC6EFCE"/>
        </patternFill>
      </fill>
    </dxf>
    <dxf>
      <fill>
        <patternFill patternType="solid">
          <fgColor indexed="64"/>
          <bgColor rgb="FFFFC7CE"/>
        </patternFill>
      </fill>
    </dxf>
    <dxf>
      <fill>
        <patternFill patternType="solid">
          <fgColor indexed="64"/>
          <bgColor rgb="FFFFC7CE"/>
        </patternFill>
      </fill>
    </dxf>
    <dxf>
      <fill>
        <patternFill patternType="solid">
          <fgColor indexed="64"/>
          <bgColor rgb="FFC6EFCE"/>
        </patternFill>
      </fill>
    </dxf>
    <dxf>
      <fill>
        <patternFill patternType="solid">
          <fgColor indexed="64"/>
          <bgColor rgb="FFC6EFCE"/>
        </patternFill>
      </fill>
    </dxf>
    <dxf>
      <fill>
        <patternFill patternType="solid">
          <fgColor indexed="64"/>
          <bgColor rgb="FFFFC7CE"/>
        </patternFill>
      </fill>
    </dxf>
    <dxf>
      <fill>
        <patternFill patternType="solid">
          <fgColor indexed="64"/>
          <bgColor rgb="FFFFC7CE"/>
        </patternFill>
      </fill>
    </dxf>
    <dxf>
      <fill>
        <patternFill patternType="solid">
          <fgColor indexed="64"/>
          <bgColor rgb="FFC6EFCE"/>
        </patternFill>
      </fill>
    </dxf>
    <dxf>
      <fill>
        <patternFill patternType="solid">
          <fgColor indexed="64"/>
          <bgColor rgb="FFC6EFCE"/>
        </patternFill>
      </fill>
    </dxf>
    <dxf>
      <fill>
        <patternFill patternType="solid">
          <fgColor indexed="64"/>
          <bgColor rgb="FFFFC7CE"/>
        </patternFill>
      </fill>
    </dxf>
    <dxf>
      <fill>
        <patternFill patternType="solid">
          <fgColor indexed="64"/>
          <bgColor rgb="FFFFC7CE"/>
        </patternFill>
      </fill>
    </dxf>
    <dxf>
      <fill>
        <patternFill patternType="solid">
          <fgColor indexed="64"/>
          <bgColor rgb="FFC6EFCE"/>
        </patternFill>
      </fill>
    </dxf>
    <dxf>
      <fill>
        <patternFill patternType="solid">
          <fgColor indexed="64"/>
          <bgColor rgb="FFFFC7CE"/>
        </patternFill>
      </fill>
    </dxf>
    <dxf>
      <fill>
        <patternFill patternType="solid">
          <fgColor indexed="64"/>
          <bgColor rgb="FFC6EFCE"/>
        </patternFill>
      </fill>
    </dxf>
    <dxf>
      <fill>
        <patternFill patternType="solid">
          <fgColor indexed="64"/>
          <bgColor rgb="FFC6EFCE"/>
        </patternFill>
      </fill>
    </dxf>
    <dxf>
      <fill>
        <patternFill patternType="solid">
          <fgColor indexed="64"/>
          <bgColor rgb="FFFFC7CE"/>
        </patternFill>
      </fill>
    </dxf>
    <dxf>
      <font>
        <color rgb="FF9C0006"/>
      </font>
      <fill>
        <patternFill patternType="solid">
          <fgColor indexed="64"/>
          <bgColor rgb="FFFFC7CE"/>
        </patternFill>
      </fill>
    </dxf>
    <dxf>
      <font>
        <color rgb="FF006100"/>
      </font>
      <fill>
        <patternFill patternType="solid">
          <fgColor indexed="64"/>
          <bgColor rgb="FFC6EFCE"/>
        </patternFill>
      </fill>
    </dxf>
    <dxf>
      <fill>
        <patternFill patternType="solid">
          <fgColor indexed="64"/>
          <bgColor rgb="FFC6EFCE"/>
        </patternFill>
      </fill>
    </dxf>
    <dxf>
      <fill>
        <patternFill patternType="solid">
          <fgColor indexed="64"/>
          <bgColor rgb="FFFFC7CE"/>
        </patternFill>
      </fill>
    </dxf>
    <dxf>
      <fill>
        <patternFill>
          <bgColor rgb="FFFFC7CE"/>
        </patternFill>
      </fill>
    </dxf>
    <dxf>
      <fill>
        <patternFill>
          <bgColor rgb="FFC6EFCE"/>
        </patternFill>
      </fill>
    </dxf>
    <dxf>
      <fill>
        <patternFill patternType="solid">
          <fgColor indexed="64"/>
          <bgColor rgb="FFFFC7CE"/>
        </patternFill>
      </fill>
    </dxf>
    <dxf>
      <fill>
        <patternFill patternType="solid">
          <fgColor indexed="64"/>
          <bgColor rgb="FFC6EFCE"/>
        </patternFill>
      </fill>
    </dxf>
    <dxf>
      <fill>
        <patternFill patternType="solid">
          <fgColor indexed="64"/>
          <bgColor rgb="FFFFC7CE"/>
        </patternFill>
      </fill>
    </dxf>
    <dxf>
      <fill>
        <patternFill patternType="solid">
          <fgColor indexed="64"/>
          <bgColor rgb="FFC6EFCE"/>
        </patternFill>
      </fill>
    </dxf>
    <dxf>
      <fill>
        <patternFill patternType="solid">
          <fgColor indexed="64"/>
          <bgColor rgb="FFFFC7CE"/>
        </patternFill>
      </fill>
    </dxf>
    <dxf>
      <fill>
        <patternFill patternType="solid">
          <fgColor indexed="64"/>
          <bgColor rgb="FFC6EFCE"/>
        </patternFill>
      </fill>
    </dxf>
    <dxf>
      <font>
        <color rgb="FF006100"/>
      </font>
      <fill>
        <patternFill patternType="solid">
          <fgColor indexed="64"/>
          <bgColor rgb="FFC6EFCE"/>
        </patternFill>
      </fill>
    </dxf>
    <dxf>
      <font>
        <color rgb="FF9C0006"/>
      </font>
      <fill>
        <patternFill patternType="solid">
          <fgColor indexed="64"/>
          <bgColor rgb="FFFFC7CE"/>
        </patternFill>
      </fill>
    </dxf>
    <dxf>
      <fill>
        <patternFill>
          <bgColor rgb="FFFFC7CE"/>
        </patternFill>
      </fill>
    </dxf>
    <dxf>
      <fill>
        <patternFill>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ill>
        <patternFill patternType="solid">
          <fgColor rgb="FFFFEB9C"/>
          <bgColor rgb="FF000000"/>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C0C0C0"/>
      <rgbColor rgb="FF808080"/>
      <rgbColor rgb="FF9999FF"/>
      <rgbColor rgb="FF993366"/>
      <rgbColor rgb="FFF2F2F2"/>
      <rgbColor rgb="FFDEEAF6"/>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E2EFDA"/>
      <rgbColor rgb="FFC6EFCE"/>
      <rgbColor rgb="FFFFFF99"/>
      <rgbColor rgb="FF99CCFF"/>
      <rgbColor rgb="FFFF99CC"/>
      <rgbColor rgb="FFCC99FF"/>
      <rgbColor rgb="FFFFC7CE"/>
      <rgbColor rgb="FF3366FF"/>
      <rgbColor rgb="FF33CCCC"/>
      <rgbColor rgb="FF99CC00"/>
      <rgbColor rgb="FFFFCC00"/>
      <rgbColor rgb="FFFF9900"/>
      <rgbColor rgb="FFFF6600"/>
      <rgbColor rgb="FF666666"/>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mruColors>
      <color rgb="FFDA969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styles" Target="styles.xml"/><Relationship Id="rId55"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microsoft.com/office/2017/10/relationships/person" Target="persons/person.xml"/><Relationship Id="rId58" Type="http://schemas.openxmlformats.org/officeDocument/2006/relationships/customXml" Target="../customXml/item3.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customXml" Target="../customXml/item1.xml"/><Relationship Id="rId8" Type="http://schemas.openxmlformats.org/officeDocument/2006/relationships/worksheet" Target="worksheets/sheet8.xml"/><Relationship Id="rId51"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microsoft.com/office/2022/11/relationships/FeaturePropertyBag" Target="featurePropertyBag/featurePropertyBag.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theme" Target="theme/theme1.xml"/><Relationship Id="rId57" Type="http://schemas.openxmlformats.org/officeDocument/2006/relationships/customXml" Target="../customXml/item2.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4711700</xdr:colOff>
      <xdr:row>1</xdr:row>
      <xdr:rowOff>196850</xdr:rowOff>
    </xdr:from>
    <xdr:to>
      <xdr:col>2</xdr:col>
      <xdr:colOff>5925659</xdr:colOff>
      <xdr:row>2</xdr:row>
      <xdr:rowOff>190500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duotone>
            <a:schemeClr val="bg2">
              <a:shade val="45000"/>
              <a:satMod val="135000"/>
            </a:schemeClr>
            <a:prstClr val="white"/>
          </a:duotone>
        </a:blip>
        <a:stretch>
          <a:fillRect/>
        </a:stretch>
      </xdr:blipFill>
      <xdr:spPr>
        <a:xfrm>
          <a:off x="5067300" y="298450"/>
          <a:ext cx="1213959" cy="374650"/>
        </a:xfrm>
        <a:prstGeom prst="rect">
          <a:avLst/>
        </a:prstGeom>
        <a:ln>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110016</xdr:colOff>
      <xdr:row>0</xdr:row>
      <xdr:rowOff>50800</xdr:rowOff>
    </xdr:from>
    <xdr:to>
      <xdr:col>8</xdr:col>
      <xdr:colOff>3175</xdr:colOff>
      <xdr:row>1</xdr:row>
      <xdr:rowOff>152400</xdr:rowOff>
    </xdr:to>
    <xdr:pic>
      <xdr:nvPicPr>
        <xdr:cNvPr id="3" name="Picture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cstate="print"/>
        <a:stretch>
          <a:fillRect/>
        </a:stretch>
      </xdr:blipFill>
      <xdr:spPr>
        <a:xfrm>
          <a:off x="5393216" y="50800"/>
          <a:ext cx="1267934" cy="374650"/>
        </a:xfrm>
        <a:prstGeom prst="rect">
          <a:avLst/>
        </a:prstGeom>
        <a:ln>
          <a:prstDash val="soli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31749</xdr:colOff>
      <xdr:row>0</xdr:row>
      <xdr:rowOff>133350</xdr:rowOff>
    </xdr:from>
    <xdr:to>
      <xdr:col>0</xdr:col>
      <xdr:colOff>1034813</xdr:colOff>
      <xdr:row>1</xdr:row>
      <xdr:rowOff>120015</xdr:rowOff>
    </xdr:to>
    <xdr:pic>
      <xdr:nvPicPr>
        <xdr:cNvPr id="3" name="Picture 2">
          <a:extLst>
            <a:ext uri="{FF2B5EF4-FFF2-40B4-BE49-F238E27FC236}">
              <a16:creationId xmlns:a16="http://schemas.microsoft.com/office/drawing/2014/main" id="{3AD510C8-ABB8-46F5-85EE-948BF7A805CE}"/>
            </a:ext>
          </a:extLst>
        </xdr:cNvPr>
        <xdr:cNvPicPr>
          <a:picLocks noChangeAspect="1"/>
        </xdr:cNvPicPr>
      </xdr:nvPicPr>
      <xdr:blipFill>
        <a:blip xmlns:r="http://schemas.openxmlformats.org/officeDocument/2006/relationships" r:embed="rId1" cstate="print"/>
        <a:stretch>
          <a:fillRect/>
        </a:stretch>
      </xdr:blipFill>
      <xdr:spPr>
        <a:xfrm>
          <a:off x="31749" y="133350"/>
          <a:ext cx="1010049" cy="298450"/>
        </a:xfrm>
        <a:prstGeom prst="rect">
          <a:avLst/>
        </a:prstGeom>
        <a:ln>
          <a:prstDash val="soli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10</xdr:col>
      <xdr:colOff>2697338</xdr:colOff>
      <xdr:row>0</xdr:row>
      <xdr:rowOff>107244</xdr:rowOff>
    </xdr:from>
    <xdr:to>
      <xdr:col>11</xdr:col>
      <xdr:colOff>1122306</xdr:colOff>
      <xdr:row>2</xdr:row>
      <xdr:rowOff>75141</xdr:rowOff>
    </xdr:to>
    <xdr:pic>
      <xdr:nvPicPr>
        <xdr:cNvPr id="3" name="Picture 1">
          <a:extLst>
            <a:ext uri="{FF2B5EF4-FFF2-40B4-BE49-F238E27FC236}">
              <a16:creationId xmlns:a16="http://schemas.microsoft.com/office/drawing/2014/main" id="{DF927836-4D89-4A06-8394-1FBA088641CD}"/>
            </a:ext>
          </a:extLst>
        </xdr:cNvPr>
        <xdr:cNvPicPr>
          <a:picLocks noChangeAspect="1"/>
        </xdr:cNvPicPr>
      </xdr:nvPicPr>
      <xdr:blipFill>
        <a:blip xmlns:r="http://schemas.openxmlformats.org/officeDocument/2006/relationships" r:embed="rId1" cstate="print"/>
        <a:stretch>
          <a:fillRect/>
        </a:stretch>
      </xdr:blipFill>
      <xdr:spPr>
        <a:xfrm>
          <a:off x="9625894" y="107244"/>
          <a:ext cx="1133879" cy="377472"/>
        </a:xfrm>
        <a:prstGeom prst="rect">
          <a:avLst/>
        </a:prstGeom>
        <a:ln>
          <a:prstDash val="soli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6</xdr:col>
      <xdr:colOff>1623786</xdr:colOff>
      <xdr:row>0</xdr:row>
      <xdr:rowOff>172357</xdr:rowOff>
    </xdr:from>
    <xdr:to>
      <xdr:col>6</xdr:col>
      <xdr:colOff>2918179</xdr:colOff>
      <xdr:row>2</xdr:row>
      <xdr:rowOff>64407</xdr:rowOff>
    </xdr:to>
    <xdr:pic>
      <xdr:nvPicPr>
        <xdr:cNvPr id="3" name="Picture 1">
          <a:extLst>
            <a:ext uri="{FF2B5EF4-FFF2-40B4-BE49-F238E27FC236}">
              <a16:creationId xmlns:a16="http://schemas.microsoft.com/office/drawing/2014/main" id="{444DE8EF-2ABE-4CF9-8D98-CBCC369E2838}"/>
            </a:ext>
          </a:extLst>
        </xdr:cNvPr>
        <xdr:cNvPicPr>
          <a:picLocks noChangeAspect="1"/>
        </xdr:cNvPicPr>
      </xdr:nvPicPr>
      <xdr:blipFill>
        <a:blip xmlns:r="http://schemas.openxmlformats.org/officeDocument/2006/relationships" r:embed="rId1" cstate="print"/>
        <a:stretch>
          <a:fillRect/>
        </a:stretch>
      </xdr:blipFill>
      <xdr:spPr>
        <a:xfrm>
          <a:off x="11647715" y="172357"/>
          <a:ext cx="1294393" cy="368300"/>
        </a:xfrm>
        <a:prstGeom prst="rect">
          <a:avLst/>
        </a:prstGeom>
        <a:ln>
          <a:prstDash val="soli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13</xdr:col>
      <xdr:colOff>25400</xdr:colOff>
      <xdr:row>0</xdr:row>
      <xdr:rowOff>82550</xdr:rowOff>
    </xdr:from>
    <xdr:to>
      <xdr:col>15</xdr:col>
      <xdr:colOff>1109</xdr:colOff>
      <xdr:row>1</xdr:row>
      <xdr:rowOff>152400</xdr:rowOff>
    </xdr:to>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cstate="print"/>
        <a:stretch>
          <a:fillRect/>
        </a:stretch>
      </xdr:blipFill>
      <xdr:spPr>
        <a:xfrm>
          <a:off x="8128000" y="82550"/>
          <a:ext cx="1267934" cy="374650"/>
        </a:xfrm>
        <a:prstGeom prst="rect">
          <a:avLst/>
        </a:prstGeom>
        <a:ln>
          <a:prstDash val="soli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6</xdr:col>
      <xdr:colOff>819150</xdr:colOff>
      <xdr:row>0</xdr:row>
      <xdr:rowOff>114300</xdr:rowOff>
    </xdr:from>
    <xdr:to>
      <xdr:col>7</xdr:col>
      <xdr:colOff>931384</xdr:colOff>
      <xdr:row>1</xdr:row>
      <xdr:rowOff>190500</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7702550" y="114300"/>
          <a:ext cx="1267934" cy="374650"/>
        </a:xfrm>
        <a:prstGeom prst="rect">
          <a:avLst/>
        </a:prstGeom>
        <a:ln>
          <a:prstDash val="solid"/>
        </a:ln>
      </xdr:spPr>
    </xdr:pic>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ersons/person.xml><?xml version="1.0" encoding="utf-8"?>
<personList xmlns="http://schemas.microsoft.com/office/spreadsheetml/2018/threadedcomments" xmlns:x="http://schemas.openxmlformats.org/spreadsheetml/2006/main">
  <person displayName="Sergio Chidichimo" id="{62D7E5C9-AA3E-4EBC-9482-3743049E4D61}" userId="S::sergio@arlast.com::3b3bb5f9-d888-4b58-a88d-2d4f79871482" providerId="AD"/>
</personList>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K11" dT="2026-06-18T13:52:08.03" personId="{62D7E5C9-AA3E-4EBC-9482-3743049E4D61}" id="{1B69C1AD-40A3-4E6B-A161-26538F876C3C}">
    <text>Avery's Recovery % = Total Paid (LeaseLock col M) / Claimed Within Limit (LeaseLock col W). Each claim is capped at its coverage limit ($750/$1,000, LeaseLock col P) so the team isn't penalized for amounts claimed above the cap. The standard Recovery Rate (H11) divides by Total Claimed.</text>
  </threadedComment>
</ThreadedComments>
</file>

<file path=xl/threadedComments/threadedComment2.xml><?xml version="1.0" encoding="utf-8"?>
<ThreadedComments xmlns="http://schemas.microsoft.com/office/spreadsheetml/2018/threadedcomments" xmlns:x="http://schemas.openxmlformats.org/spreadsheetml/2006/main">
  <threadedComment ref="B5" dT="2026-03-25T19:21:40.34" personId="{62D7E5C9-AA3E-4EBC-9482-3743049E4D61}" id="{606F71D6-CE33-4881-82AE-6CBD7E723D22}">
    <text>Source: ResMan Aged Receivables CSV, 12/14/2025. Count of all accounts with any balance (Dec/Nov/Oct/Older &gt; 0). External data — update manually if baseline changes.</text>
  </threadedComment>
  <threadedComment ref="B6" dT="2026-03-25T19:21:40.35" personId="{62D7E5C9-AA3E-4EBC-9482-3743049E4D61}" id="{5FD13FFD-3711-4856-9EFB-8089C7A9C816}">
    <text>Source: ResMan Aged Receivables CSV, 12/14/2025. Sum of Total Balance column for all 144 accounts. External data — update manually if baseline changes.</text>
  </threadedComment>
  <threadedComment ref="B128" dT="2026-03-25T19:21:40.37" personId="{62D7E5C9-AA3E-4EBC-9482-3743049E4D61}" id="{FBB46EAC-B627-4802-8EAB-DC906B5E5EA8}">
    <text>Manually classified from Delinquency_Detail_3 RSI Notes &amp; CAF Notes columns. Update when case statuses change.</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1" width="350"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31DC3BAF-5E64-4F00-AC62-DE7A0C03F937}">
  <we:reference id="WA200009404" version="1.0.0.4" store="Omex" storeType="OMEX"/>
  <we:alternateReferences>
    <we:reference id="WA200009404" version="1.0.0.4" store="WA200009404" storeType="OMEX"/>
  </we:alternateReferences>
  <we:properties>
    <we:property name="claude.fileId" value="&quot;025cb816-43b0-4af6-ab30-61743aef8989&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4.bin"/><Relationship Id="rId4" Type="http://schemas.openxmlformats.org/officeDocument/2006/relationships/comments" Target="../comments3.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3.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4.xml"/><Relationship Id="rId1" Type="http://schemas.openxmlformats.org/officeDocument/2006/relationships/printerSettings" Target="../printerSettings/printerSettings6.bin"/><Relationship Id="rId5" Type="http://schemas.microsoft.com/office/2017/10/relationships/threadedComment" Target="../threadedComments/threadedComment1.xml"/><Relationship Id="rId4" Type="http://schemas.openxmlformats.org/officeDocument/2006/relationships/comments" Target="../comments5.xml"/></Relationships>
</file>

<file path=xl/worksheets/_rels/sheet8.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0.bin"/><Relationship Id="rId4" Type="http://schemas.microsoft.com/office/2017/10/relationships/threadedComment" Target="../threadedComments/threadedComment2.x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6.xml"/><Relationship Id="rId1" Type="http://schemas.openxmlformats.org/officeDocument/2006/relationships/printerSettings" Target="../printerSettings/printerSettings11.bin"/><Relationship Id="rId4" Type="http://schemas.openxmlformats.org/officeDocument/2006/relationships/comments" Target="../comments9.xml"/></Relationships>
</file>

<file path=xl/worksheets/_rels/sheet13.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drawing" Target="../drawings/drawing7.xm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6BEF29-BD23-4AD7-8E39-65CF3A6E5DD9}">
  <dimension ref="A1:F197"/>
  <sheetViews>
    <sheetView workbookViewId="0"/>
  </sheetViews>
  <sheetFormatPr defaultRowHeight="14.4"/>
  <cols>
    <col min="1" max="1" width="9.109375" customWidth="1"/>
    <col min="2" max="2" width="14.5546875" customWidth="1"/>
    <col min="3" max="4" width="36.44140625" customWidth="1"/>
    <col min="5" max="5" width="45.44140625" customWidth="1"/>
    <col min="6" max="6" width="36.44140625" customWidth="1"/>
  </cols>
  <sheetData>
    <row r="1" spans="1:6">
      <c r="A1" s="602" t="s">
        <v>0</v>
      </c>
      <c r="B1" s="602" t="s">
        <v>1</v>
      </c>
      <c r="C1" s="602" t="s">
        <v>2</v>
      </c>
      <c r="D1" s="602" t="s">
        <v>3</v>
      </c>
      <c r="E1" s="602" t="s">
        <v>4</v>
      </c>
      <c r="F1" s="602" t="s">
        <v>5</v>
      </c>
    </row>
    <row r="2" spans="1:6">
      <c r="A2">
        <v>1</v>
      </c>
      <c r="B2" s="455">
        <v>46112</v>
      </c>
      <c r="C2" t="s">
        <v>6</v>
      </c>
      <c r="D2" t="s">
        <v>7</v>
      </c>
      <c r="E2" t="s">
        <v>8</v>
      </c>
      <c r="F2" t="s">
        <v>9</v>
      </c>
    </row>
    <row r="3" spans="1:6">
      <c r="A3">
        <v>2</v>
      </c>
      <c r="B3" s="455">
        <v>46112</v>
      </c>
      <c r="C3" t="s">
        <v>10</v>
      </c>
      <c r="D3" t="s">
        <v>11</v>
      </c>
      <c r="E3" t="s">
        <v>12</v>
      </c>
      <c r="F3" t="s">
        <v>13</v>
      </c>
    </row>
    <row r="4" spans="1:6">
      <c r="A4">
        <v>3</v>
      </c>
      <c r="B4" s="455">
        <v>46112</v>
      </c>
      <c r="C4" t="s">
        <v>14</v>
      </c>
      <c r="D4" t="s">
        <v>15</v>
      </c>
      <c r="E4" t="s">
        <v>16</v>
      </c>
      <c r="F4" t="s">
        <v>17</v>
      </c>
    </row>
    <row r="5" spans="1:6">
      <c r="A5">
        <v>4</v>
      </c>
      <c r="B5" s="455">
        <v>46112</v>
      </c>
      <c r="C5" t="s">
        <v>18</v>
      </c>
      <c r="D5" t="s">
        <v>19</v>
      </c>
      <c r="E5" t="s">
        <v>20</v>
      </c>
      <c r="F5" t="s">
        <v>21</v>
      </c>
    </row>
    <row r="6" spans="1:6">
      <c r="A6">
        <v>5</v>
      </c>
      <c r="B6" s="455">
        <v>46131</v>
      </c>
      <c r="C6" t="s">
        <v>22</v>
      </c>
      <c r="D6" t="s">
        <v>23</v>
      </c>
      <c r="E6" t="s">
        <v>24</v>
      </c>
      <c r="F6" t="s">
        <v>25</v>
      </c>
    </row>
    <row r="7" spans="1:6">
      <c r="A7">
        <v>6</v>
      </c>
      <c r="B7" s="455">
        <v>46131</v>
      </c>
      <c r="C7" t="s">
        <v>26</v>
      </c>
      <c r="D7" t="s">
        <v>27</v>
      </c>
      <c r="E7" t="s">
        <v>28</v>
      </c>
      <c r="F7" t="s">
        <v>29</v>
      </c>
    </row>
    <row r="8" spans="1:6">
      <c r="A8">
        <v>7</v>
      </c>
      <c r="B8" s="455">
        <v>46131</v>
      </c>
      <c r="C8" t="s">
        <v>30</v>
      </c>
      <c r="D8" t="s">
        <v>31</v>
      </c>
      <c r="E8" t="s">
        <v>32</v>
      </c>
      <c r="F8" t="s">
        <v>33</v>
      </c>
    </row>
    <row r="9" spans="1:6">
      <c r="A9">
        <v>8</v>
      </c>
      <c r="B9" s="455">
        <v>46131</v>
      </c>
      <c r="C9" t="s">
        <v>34</v>
      </c>
      <c r="D9" t="s">
        <v>35</v>
      </c>
      <c r="E9" t="s">
        <v>36</v>
      </c>
      <c r="F9" t="s">
        <v>37</v>
      </c>
    </row>
    <row r="10" spans="1:6">
      <c r="A10">
        <v>9</v>
      </c>
      <c r="B10" s="455">
        <v>46131</v>
      </c>
      <c r="C10" t="s">
        <v>38</v>
      </c>
      <c r="D10" t="s">
        <v>39</v>
      </c>
      <c r="E10" t="s">
        <v>40</v>
      </c>
      <c r="F10" t="s">
        <v>41</v>
      </c>
    </row>
    <row r="11" spans="1:6">
      <c r="A11">
        <v>10</v>
      </c>
      <c r="B11" s="455">
        <v>46131</v>
      </c>
      <c r="C11" t="s">
        <v>42</v>
      </c>
      <c r="D11" t="s">
        <v>43</v>
      </c>
      <c r="E11" t="s">
        <v>44</v>
      </c>
      <c r="F11" t="s">
        <v>45</v>
      </c>
    </row>
    <row r="12" spans="1:6">
      <c r="A12">
        <v>11</v>
      </c>
      <c r="B12" s="455">
        <v>46131</v>
      </c>
      <c r="C12" t="s">
        <v>46</v>
      </c>
      <c r="D12" t="s">
        <v>47</v>
      </c>
      <c r="E12" t="s">
        <v>48</v>
      </c>
      <c r="F12" t="s">
        <v>49</v>
      </c>
    </row>
    <row r="13" spans="1:6">
      <c r="A13">
        <v>12</v>
      </c>
      <c r="B13" s="455">
        <v>46131</v>
      </c>
      <c r="C13" t="s">
        <v>50</v>
      </c>
      <c r="D13" t="s">
        <v>51</v>
      </c>
      <c r="E13" t="s">
        <v>52</v>
      </c>
      <c r="F13" t="s">
        <v>53</v>
      </c>
    </row>
    <row r="14" spans="1:6">
      <c r="A14">
        <v>13</v>
      </c>
      <c r="B14" s="455">
        <v>46131</v>
      </c>
      <c r="C14" t="s">
        <v>54</v>
      </c>
      <c r="D14" t="s">
        <v>55</v>
      </c>
      <c r="E14" t="s">
        <v>56</v>
      </c>
      <c r="F14" t="s">
        <v>57</v>
      </c>
    </row>
    <row r="15" spans="1:6">
      <c r="A15">
        <v>14</v>
      </c>
      <c r="B15" s="455">
        <v>46131</v>
      </c>
      <c r="C15" t="s">
        <v>58</v>
      </c>
      <c r="D15" t="s">
        <v>59</v>
      </c>
      <c r="E15" t="s">
        <v>60</v>
      </c>
      <c r="F15" t="s">
        <v>61</v>
      </c>
    </row>
    <row r="16" spans="1:6">
      <c r="A16">
        <v>16</v>
      </c>
      <c r="B16" s="455">
        <v>46113</v>
      </c>
      <c r="C16" t="s">
        <v>62</v>
      </c>
      <c r="D16" t="s">
        <v>63</v>
      </c>
      <c r="E16" t="s">
        <v>64</v>
      </c>
      <c r="F16" t="s">
        <v>65</v>
      </c>
    </row>
    <row r="17" spans="1:6">
      <c r="A17">
        <v>16</v>
      </c>
      <c r="B17" s="455">
        <v>46120</v>
      </c>
      <c r="C17" t="s">
        <v>66</v>
      </c>
      <c r="D17" t="s">
        <v>67</v>
      </c>
      <c r="E17" t="s">
        <v>68</v>
      </c>
      <c r="F17" t="s">
        <v>69</v>
      </c>
    </row>
    <row r="18" spans="1:6">
      <c r="A18">
        <v>17</v>
      </c>
      <c r="B18" s="455">
        <v>46120</v>
      </c>
      <c r="C18" t="s">
        <v>70</v>
      </c>
      <c r="D18" t="s">
        <v>71</v>
      </c>
      <c r="E18" t="s">
        <v>72</v>
      </c>
      <c r="F18" t="s">
        <v>73</v>
      </c>
    </row>
    <row r="19" spans="1:6">
      <c r="A19">
        <v>18</v>
      </c>
      <c r="B19" s="455">
        <v>46120</v>
      </c>
      <c r="C19" t="s">
        <v>74</v>
      </c>
      <c r="D19" t="s">
        <v>75</v>
      </c>
      <c r="E19" t="s">
        <v>76</v>
      </c>
      <c r="F19" t="s">
        <v>77</v>
      </c>
    </row>
    <row r="20" spans="1:6">
      <c r="A20">
        <v>19</v>
      </c>
      <c r="B20" s="455">
        <v>46120</v>
      </c>
      <c r="C20" t="s">
        <v>78</v>
      </c>
      <c r="D20" t="s">
        <v>79</v>
      </c>
      <c r="E20" t="s">
        <v>80</v>
      </c>
      <c r="F20" t="s">
        <v>81</v>
      </c>
    </row>
    <row r="21" spans="1:6">
      <c r="A21">
        <v>20</v>
      </c>
      <c r="B21" s="455">
        <v>46120</v>
      </c>
      <c r="C21" t="s">
        <v>82</v>
      </c>
      <c r="D21" t="s">
        <v>83</v>
      </c>
      <c r="E21" t="s">
        <v>84</v>
      </c>
      <c r="F21" t="s">
        <v>85</v>
      </c>
    </row>
    <row r="22" spans="1:6">
      <c r="A22">
        <v>21</v>
      </c>
      <c r="B22" s="455">
        <v>46121</v>
      </c>
      <c r="C22" t="s">
        <v>86</v>
      </c>
      <c r="D22" t="s">
        <v>87</v>
      </c>
      <c r="E22" t="s">
        <v>88</v>
      </c>
      <c r="F22" t="s">
        <v>89</v>
      </c>
    </row>
    <row r="23" spans="1:6">
      <c r="A23">
        <v>22</v>
      </c>
      <c r="B23" s="455">
        <v>46121</v>
      </c>
      <c r="C23" t="s">
        <v>90</v>
      </c>
      <c r="D23" t="s">
        <v>91</v>
      </c>
      <c r="E23" t="s">
        <v>92</v>
      </c>
      <c r="F23" t="s">
        <v>93</v>
      </c>
    </row>
    <row r="24" spans="1:6">
      <c r="A24">
        <v>23</v>
      </c>
      <c r="B24" s="455">
        <v>46121</v>
      </c>
      <c r="C24" t="s">
        <v>94</v>
      </c>
      <c r="D24" t="s">
        <v>95</v>
      </c>
      <c r="E24" t="s">
        <v>96</v>
      </c>
      <c r="F24" t="s">
        <v>97</v>
      </c>
    </row>
    <row r="25" spans="1:6">
      <c r="A25">
        <v>24</v>
      </c>
      <c r="B25" s="455">
        <v>46121</v>
      </c>
      <c r="C25" t="s">
        <v>98</v>
      </c>
      <c r="D25" t="s">
        <v>99</v>
      </c>
      <c r="E25" t="s">
        <v>100</v>
      </c>
      <c r="F25" t="s">
        <v>101</v>
      </c>
    </row>
    <row r="26" spans="1:6">
      <c r="A26">
        <v>25</v>
      </c>
      <c r="B26" s="455">
        <v>46121</v>
      </c>
      <c r="C26" t="s">
        <v>102</v>
      </c>
      <c r="D26" t="s">
        <v>103</v>
      </c>
      <c r="E26" t="s">
        <v>104</v>
      </c>
      <c r="F26" t="s">
        <v>105</v>
      </c>
    </row>
    <row r="27" spans="1:6">
      <c r="A27">
        <v>26</v>
      </c>
      <c r="B27" s="455">
        <v>46121</v>
      </c>
      <c r="C27" t="s">
        <v>106</v>
      </c>
      <c r="D27" t="s">
        <v>107</v>
      </c>
      <c r="E27" t="s">
        <v>108</v>
      </c>
      <c r="F27" t="s">
        <v>109</v>
      </c>
    </row>
    <row r="28" spans="1:6">
      <c r="A28">
        <v>27</v>
      </c>
      <c r="B28" s="455">
        <v>46121</v>
      </c>
      <c r="C28" t="s">
        <v>110</v>
      </c>
      <c r="D28" t="s">
        <v>111</v>
      </c>
      <c r="E28" t="s">
        <v>112</v>
      </c>
      <c r="F28" t="s">
        <v>113</v>
      </c>
    </row>
    <row r="29" spans="1:6">
      <c r="A29">
        <v>28</v>
      </c>
      <c r="B29" s="455">
        <v>46121</v>
      </c>
      <c r="C29" t="s">
        <v>114</v>
      </c>
      <c r="D29" t="s">
        <v>115</v>
      </c>
      <c r="E29" t="s">
        <v>116</v>
      </c>
      <c r="F29" t="s">
        <v>117</v>
      </c>
    </row>
    <row r="30" spans="1:6">
      <c r="A30">
        <v>29</v>
      </c>
      <c r="B30" s="455">
        <v>46121</v>
      </c>
      <c r="C30" t="s">
        <v>118</v>
      </c>
      <c r="D30" t="s">
        <v>119</v>
      </c>
      <c r="E30" t="s">
        <v>120</v>
      </c>
      <c r="F30" t="s">
        <v>121</v>
      </c>
    </row>
    <row r="31" spans="1:6">
      <c r="A31">
        <v>30</v>
      </c>
      <c r="B31" s="455">
        <v>46125</v>
      </c>
      <c r="C31" t="s">
        <v>122</v>
      </c>
      <c r="D31" t="s">
        <v>123</v>
      </c>
      <c r="E31" t="s">
        <v>124</v>
      </c>
      <c r="F31" t="s">
        <v>125</v>
      </c>
    </row>
    <row r="32" spans="1:6">
      <c r="A32">
        <v>31</v>
      </c>
      <c r="B32" s="455">
        <v>46126</v>
      </c>
      <c r="C32" t="s">
        <v>126</v>
      </c>
      <c r="D32" t="s">
        <v>127</v>
      </c>
      <c r="E32" t="s">
        <v>128</v>
      </c>
      <c r="F32" t="s">
        <v>129</v>
      </c>
    </row>
    <row r="33" spans="1:6">
      <c r="A33">
        <v>32</v>
      </c>
      <c r="B33" s="455">
        <v>46126</v>
      </c>
      <c r="C33" t="s">
        <v>130</v>
      </c>
      <c r="D33" t="s">
        <v>131</v>
      </c>
      <c r="E33" t="s">
        <v>132</v>
      </c>
      <c r="F33" t="s">
        <v>133</v>
      </c>
    </row>
    <row r="34" spans="1:6">
      <c r="A34">
        <v>33</v>
      </c>
      <c r="B34" s="455">
        <v>46126</v>
      </c>
      <c r="C34" t="s">
        <v>134</v>
      </c>
      <c r="D34" t="s">
        <v>135</v>
      </c>
      <c r="E34" t="s">
        <v>136</v>
      </c>
      <c r="F34" t="s">
        <v>137</v>
      </c>
    </row>
    <row r="35" spans="1:6">
      <c r="A35">
        <v>34</v>
      </c>
      <c r="B35" s="455">
        <v>46126</v>
      </c>
      <c r="C35" t="s">
        <v>138</v>
      </c>
      <c r="D35" t="s">
        <v>139</v>
      </c>
      <c r="E35" t="s">
        <v>140</v>
      </c>
      <c r="F35" t="s">
        <v>141</v>
      </c>
    </row>
    <row r="36" spans="1:6">
      <c r="A36">
        <v>35</v>
      </c>
      <c r="B36" s="455">
        <v>46126</v>
      </c>
      <c r="C36" t="s">
        <v>142</v>
      </c>
      <c r="D36" t="s">
        <v>143</v>
      </c>
      <c r="E36" t="s">
        <v>144</v>
      </c>
      <c r="F36" t="s">
        <v>145</v>
      </c>
    </row>
    <row r="37" spans="1:6">
      <c r="A37">
        <v>37</v>
      </c>
      <c r="B37" s="455">
        <v>46126</v>
      </c>
      <c r="C37" t="s">
        <v>146</v>
      </c>
      <c r="D37" t="s">
        <v>147</v>
      </c>
      <c r="E37" t="s">
        <v>148</v>
      </c>
      <c r="F37" t="s">
        <v>149</v>
      </c>
    </row>
    <row r="38" spans="1:6">
      <c r="A38">
        <v>38</v>
      </c>
      <c r="B38" s="455">
        <v>46126</v>
      </c>
      <c r="C38" t="s">
        <v>150</v>
      </c>
      <c r="D38" t="s">
        <v>151</v>
      </c>
      <c r="E38" t="s">
        <v>152</v>
      </c>
      <c r="F38" t="s">
        <v>153</v>
      </c>
    </row>
    <row r="39" spans="1:6">
      <c r="A39">
        <v>39</v>
      </c>
      <c r="B39" s="455">
        <v>46126</v>
      </c>
      <c r="C39" t="s">
        <v>154</v>
      </c>
      <c r="D39" t="s">
        <v>155</v>
      </c>
      <c r="E39" t="s">
        <v>156</v>
      </c>
      <c r="F39" t="s">
        <v>157</v>
      </c>
    </row>
    <row r="40" spans="1:6">
      <c r="A40">
        <v>40</v>
      </c>
      <c r="B40" s="455">
        <v>46126</v>
      </c>
      <c r="C40" t="s">
        <v>158</v>
      </c>
      <c r="D40" t="s">
        <v>159</v>
      </c>
      <c r="E40" t="s">
        <v>160</v>
      </c>
      <c r="F40" t="s">
        <v>161</v>
      </c>
    </row>
    <row r="41" spans="1:6">
      <c r="A41">
        <v>41</v>
      </c>
      <c r="B41" s="455">
        <v>46126</v>
      </c>
      <c r="C41" t="s">
        <v>162</v>
      </c>
      <c r="D41" t="s">
        <v>163</v>
      </c>
      <c r="E41" t="s">
        <v>164</v>
      </c>
      <c r="F41" t="s">
        <v>165</v>
      </c>
    </row>
    <row r="42" spans="1:6" ht="100.8">
      <c r="A42" s="917">
        <v>41</v>
      </c>
      <c r="B42" s="918">
        <v>46126</v>
      </c>
      <c r="C42" s="917" t="s">
        <v>166</v>
      </c>
      <c r="D42" s="917" t="s">
        <v>167</v>
      </c>
      <c r="E42" s="917" t="s">
        <v>168</v>
      </c>
      <c r="F42" s="917" t="s">
        <v>169</v>
      </c>
    </row>
    <row r="43" spans="1:6">
      <c r="A43">
        <v>42</v>
      </c>
      <c r="B43" s="455">
        <v>46127</v>
      </c>
      <c r="C43" t="s">
        <v>170</v>
      </c>
      <c r="D43" t="s">
        <v>171</v>
      </c>
      <c r="E43" t="s">
        <v>172</v>
      </c>
      <c r="F43" t="s">
        <v>173</v>
      </c>
    </row>
    <row r="44" spans="1:6">
      <c r="A44">
        <v>43</v>
      </c>
      <c r="B44" s="455">
        <v>46127</v>
      </c>
      <c r="C44" t="s">
        <v>174</v>
      </c>
      <c r="D44" t="s">
        <v>175</v>
      </c>
      <c r="E44" t="s">
        <v>176</v>
      </c>
      <c r="F44" t="s">
        <v>177</v>
      </c>
    </row>
    <row r="45" spans="1:6">
      <c r="A45">
        <v>4</v>
      </c>
      <c r="B45" s="455">
        <v>46132</v>
      </c>
      <c r="C45" t="s">
        <v>178</v>
      </c>
      <c r="D45" t="s">
        <v>179</v>
      </c>
      <c r="E45" t="s">
        <v>180</v>
      </c>
      <c r="F45" t="s">
        <v>181</v>
      </c>
    </row>
    <row r="46" spans="1:6">
      <c r="A46">
        <v>5</v>
      </c>
      <c r="B46" s="455">
        <v>46132</v>
      </c>
      <c r="C46" t="s">
        <v>182</v>
      </c>
      <c r="D46" t="s">
        <v>183</v>
      </c>
      <c r="E46" t="s">
        <v>184</v>
      </c>
      <c r="F46" t="s">
        <v>185</v>
      </c>
    </row>
    <row r="47" spans="1:6">
      <c r="A47">
        <v>46</v>
      </c>
      <c r="B47" s="455">
        <v>46136</v>
      </c>
      <c r="C47" t="s">
        <v>186</v>
      </c>
      <c r="D47" t="s">
        <v>187</v>
      </c>
      <c r="E47" t="s">
        <v>188</v>
      </c>
      <c r="F47" t="s">
        <v>189</v>
      </c>
    </row>
    <row r="48" spans="1:6">
      <c r="A48">
        <v>47</v>
      </c>
      <c r="B48" s="455">
        <v>46136</v>
      </c>
      <c r="C48" t="s">
        <v>190</v>
      </c>
      <c r="D48" t="s">
        <v>191</v>
      </c>
      <c r="E48" t="s">
        <v>192</v>
      </c>
      <c r="F48" t="s">
        <v>193</v>
      </c>
    </row>
    <row r="49" spans="1:6">
      <c r="A49">
        <v>48</v>
      </c>
      <c r="B49" s="455">
        <v>46136</v>
      </c>
      <c r="C49" t="s">
        <v>194</v>
      </c>
      <c r="D49" t="s">
        <v>195</v>
      </c>
      <c r="E49" t="s">
        <v>196</v>
      </c>
      <c r="F49" t="s">
        <v>197</v>
      </c>
    </row>
    <row r="50" spans="1:6">
      <c r="A50">
        <v>49</v>
      </c>
      <c r="B50" s="455">
        <v>46136</v>
      </c>
      <c r="C50" t="s">
        <v>198</v>
      </c>
      <c r="D50" t="s">
        <v>199</v>
      </c>
      <c r="E50" t="s">
        <v>200</v>
      </c>
      <c r="F50" t="s">
        <v>201</v>
      </c>
    </row>
    <row r="51" spans="1:6">
      <c r="A51">
        <v>50</v>
      </c>
      <c r="B51" s="455">
        <v>46136</v>
      </c>
      <c r="C51" t="s">
        <v>202</v>
      </c>
      <c r="D51" t="s">
        <v>203</v>
      </c>
      <c r="E51" t="s">
        <v>204</v>
      </c>
      <c r="F51" t="s">
        <v>205</v>
      </c>
    </row>
    <row r="52" spans="1:6">
      <c r="A52">
        <v>51</v>
      </c>
      <c r="B52" s="455">
        <v>46136</v>
      </c>
      <c r="C52" t="s">
        <v>206</v>
      </c>
      <c r="D52" t="s">
        <v>207</v>
      </c>
      <c r="E52" t="s">
        <v>208</v>
      </c>
      <c r="F52" t="s">
        <v>209</v>
      </c>
    </row>
    <row r="53" spans="1:6">
      <c r="A53">
        <v>52</v>
      </c>
      <c r="B53" s="455">
        <v>46136</v>
      </c>
      <c r="C53" t="s">
        <v>210</v>
      </c>
      <c r="D53" t="s">
        <v>211</v>
      </c>
      <c r="E53" t="s">
        <v>212</v>
      </c>
      <c r="F53" t="s">
        <v>213</v>
      </c>
    </row>
    <row r="54" spans="1:6">
      <c r="A54">
        <v>15</v>
      </c>
      <c r="B54" s="455">
        <v>46136</v>
      </c>
      <c r="C54" t="s">
        <v>214</v>
      </c>
      <c r="D54" t="s">
        <v>215</v>
      </c>
      <c r="E54" t="s">
        <v>216</v>
      </c>
      <c r="F54" t="s">
        <v>217</v>
      </c>
    </row>
    <row r="55" spans="1:6">
      <c r="A55">
        <v>54</v>
      </c>
      <c r="B55" s="455">
        <v>46140</v>
      </c>
      <c r="C55" t="s">
        <v>218</v>
      </c>
      <c r="D55" t="s">
        <v>219</v>
      </c>
      <c r="E55" t="s">
        <v>220</v>
      </c>
      <c r="F55" t="s">
        <v>221</v>
      </c>
    </row>
    <row r="56" spans="1:6">
      <c r="A56">
        <v>55</v>
      </c>
      <c r="B56" s="455">
        <v>46140</v>
      </c>
      <c r="C56" t="s">
        <v>222</v>
      </c>
      <c r="D56" t="s">
        <v>223</v>
      </c>
      <c r="E56" t="s">
        <v>224</v>
      </c>
      <c r="F56" t="s">
        <v>225</v>
      </c>
    </row>
    <row r="57" spans="1:6">
      <c r="A57">
        <v>56</v>
      </c>
      <c r="B57" s="455">
        <v>46140</v>
      </c>
      <c r="C57" t="s">
        <v>226</v>
      </c>
      <c r="D57" t="s">
        <v>227</v>
      </c>
      <c r="E57" t="s">
        <v>228</v>
      </c>
      <c r="F57" t="s">
        <v>229</v>
      </c>
    </row>
    <row r="58" spans="1:6">
      <c r="A58">
        <v>57</v>
      </c>
      <c r="B58" s="455">
        <v>46140</v>
      </c>
      <c r="C58" t="s">
        <v>230</v>
      </c>
      <c r="D58" t="s">
        <v>231</v>
      </c>
      <c r="E58" t="s">
        <v>232</v>
      </c>
      <c r="F58" t="s">
        <v>233</v>
      </c>
    </row>
    <row r="59" spans="1:6">
      <c r="A59">
        <v>58</v>
      </c>
      <c r="B59" s="455">
        <v>46140</v>
      </c>
      <c r="C59" t="s">
        <v>234</v>
      </c>
      <c r="D59" t="s">
        <v>235</v>
      </c>
      <c r="E59" t="s">
        <v>236</v>
      </c>
      <c r="F59" t="s">
        <v>237</v>
      </c>
    </row>
    <row r="60" spans="1:6">
      <c r="A60">
        <v>59</v>
      </c>
      <c r="B60" s="455">
        <v>46140</v>
      </c>
      <c r="C60" t="s">
        <v>238</v>
      </c>
      <c r="D60" t="s">
        <v>239</v>
      </c>
      <c r="E60" t="s">
        <v>240</v>
      </c>
      <c r="F60" t="s">
        <v>241</v>
      </c>
    </row>
    <row r="61" spans="1:6">
      <c r="A61">
        <v>60</v>
      </c>
      <c r="B61" s="455">
        <v>46140</v>
      </c>
      <c r="C61" t="s">
        <v>242</v>
      </c>
      <c r="D61" t="s">
        <v>243</v>
      </c>
      <c r="E61" t="s">
        <v>244</v>
      </c>
      <c r="F61" t="s">
        <v>245</v>
      </c>
    </row>
    <row r="62" spans="1:6">
      <c r="A62">
        <v>61</v>
      </c>
      <c r="B62" s="455">
        <v>46140</v>
      </c>
      <c r="C62" t="s">
        <v>246</v>
      </c>
      <c r="D62" t="s">
        <v>247</v>
      </c>
      <c r="E62" t="s">
        <v>248</v>
      </c>
      <c r="F62" t="s">
        <v>249</v>
      </c>
    </row>
    <row r="63" spans="1:6">
      <c r="A63">
        <v>62</v>
      </c>
      <c r="B63" s="455">
        <v>46140</v>
      </c>
      <c r="C63" t="s">
        <v>250</v>
      </c>
      <c r="D63" t="s">
        <v>251</v>
      </c>
      <c r="E63" t="s">
        <v>252</v>
      </c>
      <c r="F63" t="s">
        <v>253</v>
      </c>
    </row>
    <row r="64" spans="1:6">
      <c r="A64">
        <v>63</v>
      </c>
      <c r="B64" s="455">
        <v>46140</v>
      </c>
      <c r="C64" t="s">
        <v>254</v>
      </c>
      <c r="D64" t="s">
        <v>255</v>
      </c>
      <c r="E64" t="s">
        <v>256</v>
      </c>
      <c r="F64" t="s">
        <v>257</v>
      </c>
    </row>
    <row r="65" spans="1:6">
      <c r="A65">
        <v>64</v>
      </c>
      <c r="B65" s="455">
        <v>46140</v>
      </c>
      <c r="C65" t="s">
        <v>258</v>
      </c>
      <c r="D65" t="s">
        <v>259</v>
      </c>
      <c r="E65" t="s">
        <v>260</v>
      </c>
      <c r="F65" t="s">
        <v>261</v>
      </c>
    </row>
    <row r="66" spans="1:6">
      <c r="A66">
        <v>65</v>
      </c>
      <c r="B66" s="455">
        <v>46140</v>
      </c>
      <c r="C66" t="s">
        <v>262</v>
      </c>
      <c r="D66" t="s">
        <v>263</v>
      </c>
      <c r="E66" t="s">
        <v>264</v>
      </c>
      <c r="F66" t="s">
        <v>265</v>
      </c>
    </row>
    <row r="67" spans="1:6">
      <c r="A67">
        <v>66</v>
      </c>
      <c r="B67" s="455">
        <v>46140</v>
      </c>
      <c r="C67" t="s">
        <v>266</v>
      </c>
      <c r="D67" t="s">
        <v>267</v>
      </c>
      <c r="E67" t="s">
        <v>268</v>
      </c>
      <c r="F67" t="s">
        <v>269</v>
      </c>
    </row>
    <row r="68" spans="1:6">
      <c r="A68">
        <v>67</v>
      </c>
      <c r="B68" s="455">
        <v>46140</v>
      </c>
      <c r="C68" t="s">
        <v>270</v>
      </c>
      <c r="D68" t="s">
        <v>271</v>
      </c>
      <c r="E68" t="s">
        <v>272</v>
      </c>
      <c r="F68" t="s">
        <v>273</v>
      </c>
    </row>
    <row r="69" spans="1:6">
      <c r="A69">
        <v>29</v>
      </c>
      <c r="B69" s="455">
        <v>46140</v>
      </c>
      <c r="C69" t="s">
        <v>274</v>
      </c>
      <c r="D69" t="s">
        <v>275</v>
      </c>
      <c r="E69" t="s">
        <v>276</v>
      </c>
      <c r="F69" t="s">
        <v>277</v>
      </c>
    </row>
    <row r="70" spans="1:6">
      <c r="A70">
        <v>30</v>
      </c>
      <c r="B70" s="455">
        <v>46140</v>
      </c>
      <c r="C70" t="s">
        <v>278</v>
      </c>
      <c r="D70" t="s">
        <v>279</v>
      </c>
      <c r="E70" t="s">
        <v>280</v>
      </c>
      <c r="F70" t="s">
        <v>281</v>
      </c>
    </row>
    <row r="71" spans="1:6">
      <c r="A71">
        <v>31</v>
      </c>
      <c r="B71" s="455">
        <v>46140</v>
      </c>
      <c r="C71" t="s">
        <v>282</v>
      </c>
      <c r="D71" t="s">
        <v>283</v>
      </c>
      <c r="E71" t="s">
        <v>284</v>
      </c>
      <c r="F71" t="s">
        <v>285</v>
      </c>
    </row>
    <row r="72" spans="1:6">
      <c r="A72">
        <v>32</v>
      </c>
      <c r="B72" s="455">
        <v>46140</v>
      </c>
      <c r="C72" t="s">
        <v>286</v>
      </c>
      <c r="D72" t="s">
        <v>287</v>
      </c>
      <c r="E72" t="s">
        <v>288</v>
      </c>
      <c r="F72" t="s">
        <v>289</v>
      </c>
    </row>
    <row r="73" spans="1:6">
      <c r="A73">
        <v>33</v>
      </c>
      <c r="B73" s="455">
        <v>46140</v>
      </c>
      <c r="C73" t="s">
        <v>290</v>
      </c>
      <c r="D73" t="s">
        <v>291</v>
      </c>
      <c r="E73" t="s">
        <v>292</v>
      </c>
      <c r="F73" t="s">
        <v>293</v>
      </c>
    </row>
    <row r="74" spans="1:6">
      <c r="A74">
        <v>34</v>
      </c>
      <c r="B74" s="455">
        <v>46140</v>
      </c>
      <c r="C74" t="s">
        <v>294</v>
      </c>
      <c r="D74" t="s">
        <v>295</v>
      </c>
      <c r="E74" t="s">
        <v>296</v>
      </c>
      <c r="F74" t="s">
        <v>297</v>
      </c>
    </row>
    <row r="75" spans="1:6">
      <c r="A75">
        <v>35</v>
      </c>
      <c r="B75" s="455">
        <v>46140</v>
      </c>
      <c r="C75" t="s">
        <v>298</v>
      </c>
      <c r="D75" t="s">
        <v>299</v>
      </c>
      <c r="E75" t="s">
        <v>300</v>
      </c>
      <c r="F75" t="s">
        <v>301</v>
      </c>
    </row>
    <row r="76" spans="1:6">
      <c r="A76">
        <v>36</v>
      </c>
      <c r="B76" s="455">
        <v>46140</v>
      </c>
      <c r="C76" t="s">
        <v>302</v>
      </c>
      <c r="D76" t="s">
        <v>303</v>
      </c>
      <c r="E76" t="s">
        <v>304</v>
      </c>
      <c r="F76" t="s">
        <v>305</v>
      </c>
    </row>
    <row r="77" spans="1:6">
      <c r="A77">
        <v>37</v>
      </c>
      <c r="B77" s="455">
        <v>46140</v>
      </c>
      <c r="C77" t="s">
        <v>306</v>
      </c>
      <c r="D77" t="s">
        <v>307</v>
      </c>
      <c r="E77" t="s">
        <v>308</v>
      </c>
      <c r="F77" t="s">
        <v>309</v>
      </c>
    </row>
    <row r="78" spans="1:6">
      <c r="A78">
        <v>38</v>
      </c>
      <c r="B78" s="455">
        <v>46140</v>
      </c>
      <c r="C78" t="s">
        <v>310</v>
      </c>
      <c r="D78" t="s">
        <v>311</v>
      </c>
      <c r="E78" t="s">
        <v>312</v>
      </c>
      <c r="F78" t="s">
        <v>313</v>
      </c>
    </row>
    <row r="79" spans="1:6">
      <c r="A79">
        <v>39</v>
      </c>
      <c r="B79" s="455">
        <v>46140</v>
      </c>
      <c r="C79" t="s">
        <v>314</v>
      </c>
      <c r="D79" t="s">
        <v>315</v>
      </c>
      <c r="E79" t="s">
        <v>316</v>
      </c>
      <c r="F79" t="s">
        <v>317</v>
      </c>
    </row>
    <row r="80" spans="1:6">
      <c r="A80">
        <v>40</v>
      </c>
      <c r="B80" s="455">
        <v>46140</v>
      </c>
      <c r="C80" t="s">
        <v>318</v>
      </c>
      <c r="D80" t="s">
        <v>319</v>
      </c>
      <c r="E80" t="s">
        <v>320</v>
      </c>
      <c r="F80" t="s">
        <v>321</v>
      </c>
    </row>
    <row r="81" spans="1:6">
      <c r="A81">
        <v>41</v>
      </c>
      <c r="B81" s="455">
        <v>46140</v>
      </c>
      <c r="C81" t="s">
        <v>322</v>
      </c>
      <c r="D81" t="s">
        <v>323</v>
      </c>
      <c r="E81" t="s">
        <v>324</v>
      </c>
      <c r="F81" t="s">
        <v>325</v>
      </c>
    </row>
    <row r="82" spans="1:6">
      <c r="A82">
        <v>42</v>
      </c>
      <c r="B82" s="455">
        <v>46140</v>
      </c>
      <c r="C82" t="s">
        <v>326</v>
      </c>
      <c r="D82" t="s">
        <v>327</v>
      </c>
      <c r="E82" t="s">
        <v>328</v>
      </c>
      <c r="F82" t="s">
        <v>329</v>
      </c>
    </row>
    <row r="83" spans="1:6">
      <c r="A83">
        <v>43</v>
      </c>
      <c r="B83" s="455">
        <v>46140</v>
      </c>
      <c r="C83" t="s">
        <v>330</v>
      </c>
      <c r="D83" t="s">
        <v>331</v>
      </c>
      <c r="E83" t="s">
        <v>332</v>
      </c>
      <c r="F83" t="s">
        <v>333</v>
      </c>
    </row>
    <row r="84" spans="1:6">
      <c r="A84">
        <v>44</v>
      </c>
      <c r="B84" s="455">
        <v>46140</v>
      </c>
      <c r="C84" t="s">
        <v>334</v>
      </c>
      <c r="D84" t="s">
        <v>335</v>
      </c>
      <c r="E84" t="s">
        <v>336</v>
      </c>
      <c r="F84" t="s">
        <v>337</v>
      </c>
    </row>
    <row r="85" spans="1:6">
      <c r="A85" t="s">
        <v>338</v>
      </c>
      <c r="B85" s="455">
        <v>46141</v>
      </c>
      <c r="C85" t="s">
        <v>339</v>
      </c>
      <c r="D85" t="s">
        <v>340</v>
      </c>
      <c r="E85" t="s">
        <v>341</v>
      </c>
      <c r="F85" t="s">
        <v>342</v>
      </c>
    </row>
    <row r="86" spans="1:6">
      <c r="A86">
        <v>2</v>
      </c>
      <c r="B86" s="455">
        <v>46147</v>
      </c>
      <c r="C86" t="s">
        <v>343</v>
      </c>
      <c r="D86" t="s">
        <v>344</v>
      </c>
      <c r="E86" t="s">
        <v>345</v>
      </c>
      <c r="F86" t="s">
        <v>346</v>
      </c>
    </row>
    <row r="87" spans="1:6">
      <c r="A87">
        <v>1</v>
      </c>
      <c r="B87" s="455">
        <v>46147</v>
      </c>
      <c r="C87" t="s">
        <v>347</v>
      </c>
      <c r="D87" t="s">
        <v>348</v>
      </c>
      <c r="E87" t="s">
        <v>349</v>
      </c>
      <c r="F87" t="s">
        <v>350</v>
      </c>
    </row>
    <row r="88" spans="1:6">
      <c r="A88">
        <v>10</v>
      </c>
      <c r="B88" s="1065">
        <v>46147</v>
      </c>
      <c r="C88" t="s">
        <v>351</v>
      </c>
      <c r="D88" t="s">
        <v>352</v>
      </c>
      <c r="E88" t="s">
        <v>353</v>
      </c>
      <c r="F88" t="s">
        <v>354</v>
      </c>
    </row>
    <row r="89" spans="1:6">
      <c r="A89">
        <v>1</v>
      </c>
      <c r="B89" s="455">
        <v>46147</v>
      </c>
      <c r="C89" t="s">
        <v>355</v>
      </c>
      <c r="D89" t="s">
        <v>356</v>
      </c>
      <c r="E89" t="s">
        <v>357</v>
      </c>
      <c r="F89" t="s">
        <v>358</v>
      </c>
    </row>
    <row r="90" spans="1:6">
      <c r="A90">
        <v>2</v>
      </c>
      <c r="B90" s="455">
        <v>46147</v>
      </c>
      <c r="C90" t="s">
        <v>359</v>
      </c>
      <c r="D90" t="s">
        <v>360</v>
      </c>
      <c r="E90" t="s">
        <v>361</v>
      </c>
      <c r="F90" t="s">
        <v>362</v>
      </c>
    </row>
    <row r="91" spans="1:6">
      <c r="A91">
        <v>3</v>
      </c>
      <c r="B91" s="455">
        <v>46147</v>
      </c>
      <c r="C91" t="s">
        <v>363</v>
      </c>
      <c r="D91" t="s">
        <v>364</v>
      </c>
      <c r="E91" t="s">
        <v>365</v>
      </c>
      <c r="F91" t="s">
        <v>366</v>
      </c>
    </row>
    <row r="92" spans="1:6">
      <c r="A92">
        <v>4</v>
      </c>
      <c r="B92" s="455">
        <v>46147</v>
      </c>
      <c r="C92" t="s">
        <v>367</v>
      </c>
      <c r="D92" t="s">
        <v>368</v>
      </c>
      <c r="E92" t="s">
        <v>369</v>
      </c>
      <c r="F92" t="s">
        <v>370</v>
      </c>
    </row>
    <row r="93" spans="1:6">
      <c r="A93">
        <v>5</v>
      </c>
      <c r="B93" s="455">
        <v>46147</v>
      </c>
      <c r="C93" t="s">
        <v>371</v>
      </c>
      <c r="D93" t="s">
        <v>372</v>
      </c>
      <c r="E93" t="s">
        <v>373</v>
      </c>
      <c r="F93" t="s">
        <v>374</v>
      </c>
    </row>
    <row r="94" spans="1:6">
      <c r="A94">
        <v>6</v>
      </c>
      <c r="B94" s="455">
        <v>46147</v>
      </c>
      <c r="C94" t="s">
        <v>375</v>
      </c>
      <c r="D94" t="s">
        <v>376</v>
      </c>
      <c r="E94" t="s">
        <v>377</v>
      </c>
      <c r="F94" t="s">
        <v>378</v>
      </c>
    </row>
    <row r="95" spans="1:6">
      <c r="A95">
        <v>7</v>
      </c>
      <c r="B95" s="455">
        <v>46147</v>
      </c>
      <c r="C95" t="s">
        <v>379</v>
      </c>
      <c r="D95" t="s">
        <v>380</v>
      </c>
      <c r="E95" t="s">
        <v>381</v>
      </c>
      <c r="F95" t="s">
        <v>382</v>
      </c>
    </row>
    <row r="96" spans="1:6">
      <c r="A96">
        <v>8</v>
      </c>
      <c r="B96" s="455">
        <v>46147</v>
      </c>
      <c r="C96" t="s">
        <v>383</v>
      </c>
      <c r="D96" t="s">
        <v>384</v>
      </c>
      <c r="E96" t="s">
        <v>385</v>
      </c>
      <c r="F96" t="s">
        <v>386</v>
      </c>
    </row>
    <row r="97" spans="1:6">
      <c r="A97">
        <v>9</v>
      </c>
      <c r="B97" s="455">
        <v>46147</v>
      </c>
      <c r="C97" t="s">
        <v>387</v>
      </c>
      <c r="D97" t="s">
        <v>388</v>
      </c>
      <c r="E97" t="s">
        <v>389</v>
      </c>
      <c r="F97" t="s">
        <v>390</v>
      </c>
    </row>
    <row r="98" spans="1:6">
      <c r="A98">
        <v>10</v>
      </c>
      <c r="B98" s="455">
        <v>46147</v>
      </c>
      <c r="C98" t="s">
        <v>391</v>
      </c>
      <c r="D98" t="s">
        <v>392</v>
      </c>
      <c r="E98" t="s">
        <v>393</v>
      </c>
      <c r="F98" t="s">
        <v>394</v>
      </c>
    </row>
    <row r="99" spans="1:6">
      <c r="A99">
        <v>11</v>
      </c>
      <c r="B99" s="455">
        <v>46147</v>
      </c>
      <c r="C99" t="s">
        <v>395</v>
      </c>
      <c r="D99" t="s">
        <v>396</v>
      </c>
      <c r="E99" t="s">
        <v>397</v>
      </c>
      <c r="F99" t="s">
        <v>398</v>
      </c>
    </row>
    <row r="100" spans="1:6">
      <c r="A100">
        <v>12</v>
      </c>
      <c r="B100" s="455">
        <v>46147</v>
      </c>
      <c r="C100" t="s">
        <v>399</v>
      </c>
      <c r="D100" t="s">
        <v>400</v>
      </c>
      <c r="E100" t="s">
        <v>401</v>
      </c>
      <c r="F100" t="s">
        <v>402</v>
      </c>
    </row>
    <row r="101" spans="1:6">
      <c r="A101">
        <v>101</v>
      </c>
      <c r="B101" s="455">
        <v>46148</v>
      </c>
      <c r="C101" t="s">
        <v>403</v>
      </c>
      <c r="D101" t="s">
        <v>404</v>
      </c>
      <c r="E101" t="s">
        <v>405</v>
      </c>
      <c r="F101" t="s">
        <v>406</v>
      </c>
    </row>
    <row r="102" spans="1:6">
      <c r="A102">
        <v>102</v>
      </c>
      <c r="B102" s="455">
        <v>46148</v>
      </c>
      <c r="C102" t="s">
        <v>407</v>
      </c>
      <c r="D102" t="s">
        <v>408</v>
      </c>
      <c r="E102" t="s">
        <v>409</v>
      </c>
      <c r="F102" t="s">
        <v>410</v>
      </c>
    </row>
    <row r="103" spans="1:6">
      <c r="A103">
        <v>103</v>
      </c>
      <c r="B103" s="455">
        <v>46148</v>
      </c>
      <c r="C103" t="s">
        <v>411</v>
      </c>
      <c r="D103" t="s">
        <v>412</v>
      </c>
      <c r="E103" t="s">
        <v>413</v>
      </c>
      <c r="F103" t="s">
        <v>414</v>
      </c>
    </row>
    <row r="104" spans="1:6">
      <c r="A104">
        <v>104</v>
      </c>
      <c r="B104" s="455">
        <v>46155</v>
      </c>
      <c r="C104" t="s">
        <v>415</v>
      </c>
      <c r="D104" t="s">
        <v>416</v>
      </c>
      <c r="E104" t="s">
        <v>417</v>
      </c>
      <c r="F104" t="s">
        <v>418</v>
      </c>
    </row>
    <row r="105" spans="1:6">
      <c r="A105">
        <v>105</v>
      </c>
      <c r="B105" s="455">
        <v>46155</v>
      </c>
      <c r="C105" t="s">
        <v>419</v>
      </c>
      <c r="D105" t="s">
        <v>420</v>
      </c>
      <c r="E105" t="s">
        <v>421</v>
      </c>
      <c r="F105" t="s">
        <v>422</v>
      </c>
    </row>
    <row r="106" spans="1:6">
      <c r="A106">
        <v>106</v>
      </c>
      <c r="B106" s="455">
        <v>46155</v>
      </c>
      <c r="C106" t="s">
        <v>423</v>
      </c>
      <c r="D106" t="s">
        <v>424</v>
      </c>
      <c r="E106" t="s">
        <v>425</v>
      </c>
      <c r="F106" t="s">
        <v>426</v>
      </c>
    </row>
    <row r="107" spans="1:6">
      <c r="A107">
        <v>107</v>
      </c>
      <c r="B107" s="455">
        <v>46155</v>
      </c>
      <c r="C107" t="s">
        <v>427</v>
      </c>
      <c r="D107" t="s">
        <v>428</v>
      </c>
      <c r="E107" t="s">
        <v>429</v>
      </c>
      <c r="F107" t="s">
        <v>430</v>
      </c>
    </row>
    <row r="108" spans="1:6">
      <c r="A108">
        <v>108</v>
      </c>
      <c r="B108" s="455">
        <v>46155</v>
      </c>
      <c r="C108" t="s">
        <v>431</v>
      </c>
      <c r="D108" t="s">
        <v>432</v>
      </c>
      <c r="E108" t="s">
        <v>433</v>
      </c>
      <c r="F108" t="s">
        <v>434</v>
      </c>
    </row>
    <row r="109" spans="1:6">
      <c r="A109">
        <v>109</v>
      </c>
      <c r="B109" s="455">
        <v>46155</v>
      </c>
      <c r="C109" t="s">
        <v>435</v>
      </c>
      <c r="D109" t="s">
        <v>436</v>
      </c>
      <c r="E109" t="s">
        <v>437</v>
      </c>
      <c r="F109" t="s">
        <v>438</v>
      </c>
    </row>
    <row r="110" spans="1:6">
      <c r="A110">
        <v>110</v>
      </c>
      <c r="B110" s="455">
        <v>46155</v>
      </c>
      <c r="C110" t="s">
        <v>439</v>
      </c>
      <c r="D110" t="s">
        <v>440</v>
      </c>
      <c r="E110" t="s">
        <v>441</v>
      </c>
      <c r="F110" t="s">
        <v>442</v>
      </c>
    </row>
    <row r="111" spans="1:6">
      <c r="A111">
        <v>111</v>
      </c>
      <c r="B111" s="455">
        <v>46155</v>
      </c>
      <c r="C111" t="s">
        <v>443</v>
      </c>
      <c r="D111" t="s">
        <v>444</v>
      </c>
      <c r="E111" t="s">
        <v>445</v>
      </c>
      <c r="F111" t="s">
        <v>446</v>
      </c>
    </row>
    <row r="112" spans="1:6">
      <c r="A112">
        <v>112</v>
      </c>
      <c r="B112" s="455">
        <v>46155</v>
      </c>
      <c r="C112" t="s">
        <v>447</v>
      </c>
      <c r="D112" t="s">
        <v>448</v>
      </c>
      <c r="E112" t="s">
        <v>449</v>
      </c>
      <c r="F112" t="s">
        <v>450</v>
      </c>
    </row>
    <row r="113" spans="1:6">
      <c r="A113">
        <v>113</v>
      </c>
      <c r="B113" s="455">
        <v>46155</v>
      </c>
      <c r="C113" t="s">
        <v>451</v>
      </c>
      <c r="D113" t="s">
        <v>452</v>
      </c>
      <c r="E113" t="s">
        <v>453</v>
      </c>
      <c r="F113" t="s">
        <v>454</v>
      </c>
    </row>
    <row r="114" spans="1:6">
      <c r="A114">
        <v>114</v>
      </c>
      <c r="B114" s="455">
        <v>46155</v>
      </c>
      <c r="C114" t="s">
        <v>455</v>
      </c>
      <c r="D114" t="s">
        <v>456</v>
      </c>
      <c r="E114" t="s">
        <v>457</v>
      </c>
      <c r="F114" t="s">
        <v>458</v>
      </c>
    </row>
    <row r="115" spans="1:6">
      <c r="A115">
        <v>115</v>
      </c>
      <c r="B115" s="455">
        <v>46155</v>
      </c>
      <c r="C115" t="s">
        <v>459</v>
      </c>
      <c r="D115" t="s">
        <v>460</v>
      </c>
      <c r="E115" t="s">
        <v>461</v>
      </c>
      <c r="F115" t="s">
        <v>462</v>
      </c>
    </row>
    <row r="116" spans="1:6">
      <c r="A116">
        <v>116</v>
      </c>
      <c r="B116" s="455">
        <v>46155</v>
      </c>
      <c r="C116" t="s">
        <v>463</v>
      </c>
      <c r="D116" t="s">
        <v>464</v>
      </c>
      <c r="E116" t="s">
        <v>465</v>
      </c>
      <c r="F116" t="s">
        <v>466</v>
      </c>
    </row>
    <row r="117" spans="1:6">
      <c r="A117">
        <v>117</v>
      </c>
      <c r="B117" s="455">
        <v>46155</v>
      </c>
      <c r="C117" t="s">
        <v>467</v>
      </c>
      <c r="D117" t="s">
        <v>468</v>
      </c>
      <c r="E117" t="s">
        <v>469</v>
      </c>
      <c r="F117" t="s">
        <v>470</v>
      </c>
    </row>
    <row r="118" spans="1:6">
      <c r="A118">
        <v>118</v>
      </c>
      <c r="B118" s="455">
        <v>46155</v>
      </c>
      <c r="C118" t="s">
        <v>471</v>
      </c>
      <c r="D118" t="s">
        <v>472</v>
      </c>
      <c r="E118" t="s">
        <v>473</v>
      </c>
      <c r="F118" t="s">
        <v>474</v>
      </c>
    </row>
    <row r="119" spans="1:6">
      <c r="A119">
        <v>119</v>
      </c>
      <c r="B119" s="455">
        <v>46155</v>
      </c>
      <c r="C119" t="s">
        <v>475</v>
      </c>
      <c r="D119" t="s">
        <v>476</v>
      </c>
      <c r="E119" t="s">
        <v>477</v>
      </c>
      <c r="F119" t="s">
        <v>478</v>
      </c>
    </row>
    <row r="120" spans="1:6">
      <c r="A120">
        <v>120</v>
      </c>
      <c r="B120" s="455">
        <v>46155</v>
      </c>
      <c r="C120" t="s">
        <v>479</v>
      </c>
      <c r="D120" t="s">
        <v>480</v>
      </c>
      <c r="E120" t="s">
        <v>481</v>
      </c>
      <c r="F120" t="s">
        <v>482</v>
      </c>
    </row>
    <row r="121" spans="1:6">
      <c r="A121">
        <v>121</v>
      </c>
      <c r="B121" s="1065">
        <v>46155</v>
      </c>
      <c r="C121" t="s">
        <v>483</v>
      </c>
      <c r="D121" t="s">
        <v>484</v>
      </c>
      <c r="E121" t="s">
        <v>485</v>
      </c>
      <c r="F121" t="s">
        <v>486</v>
      </c>
    </row>
    <row r="122" spans="1:6">
      <c r="A122">
        <v>122</v>
      </c>
      <c r="B122" s="1065">
        <v>46155</v>
      </c>
      <c r="C122" t="s">
        <v>487</v>
      </c>
      <c r="D122" t="s">
        <v>488</v>
      </c>
      <c r="E122" t="s">
        <v>489</v>
      </c>
      <c r="F122" t="s">
        <v>490</v>
      </c>
    </row>
    <row r="123" spans="1:6">
      <c r="A123">
        <v>123</v>
      </c>
      <c r="B123" s="1065">
        <v>46155</v>
      </c>
      <c r="C123" t="s">
        <v>491</v>
      </c>
      <c r="D123" t="s">
        <v>492</v>
      </c>
      <c r="E123" t="s">
        <v>493</v>
      </c>
      <c r="F123" t="s">
        <v>494</v>
      </c>
    </row>
    <row r="124" spans="1:6">
      <c r="A124">
        <v>124</v>
      </c>
      <c r="B124" s="1065">
        <v>46155</v>
      </c>
      <c r="C124" t="s">
        <v>495</v>
      </c>
      <c r="D124" t="s">
        <v>496</v>
      </c>
      <c r="E124" t="s">
        <v>497</v>
      </c>
      <c r="F124" t="s">
        <v>498</v>
      </c>
    </row>
    <row r="125" spans="1:6">
      <c r="A125">
        <v>125</v>
      </c>
      <c r="B125" s="1065">
        <v>46155</v>
      </c>
      <c r="C125" t="s">
        <v>499</v>
      </c>
      <c r="D125" t="s">
        <v>500</v>
      </c>
      <c r="E125" t="s">
        <v>501</v>
      </c>
      <c r="F125" t="s">
        <v>502</v>
      </c>
    </row>
    <row r="126" spans="1:6">
      <c r="A126">
        <v>5</v>
      </c>
      <c r="B126" s="455">
        <v>46162</v>
      </c>
      <c r="C126" t="s">
        <v>503</v>
      </c>
      <c r="D126" t="s">
        <v>504</v>
      </c>
      <c r="E126" t="s">
        <v>505</v>
      </c>
      <c r="F126" t="s">
        <v>506</v>
      </c>
    </row>
    <row r="127" spans="1:6">
      <c r="A127">
        <v>6</v>
      </c>
      <c r="B127" s="455">
        <v>46162</v>
      </c>
      <c r="C127" t="s">
        <v>507</v>
      </c>
      <c r="D127" t="s">
        <v>508</v>
      </c>
      <c r="E127" t="s">
        <v>509</v>
      </c>
      <c r="F127" t="s">
        <v>510</v>
      </c>
    </row>
    <row r="128" spans="1:6">
      <c r="A128">
        <v>7</v>
      </c>
      <c r="B128" s="455">
        <v>46162</v>
      </c>
      <c r="C128" t="s">
        <v>511</v>
      </c>
      <c r="D128" t="s">
        <v>512</v>
      </c>
      <c r="E128" t="s">
        <v>513</v>
      </c>
      <c r="F128" t="s">
        <v>514</v>
      </c>
    </row>
    <row r="129" spans="1:6">
      <c r="A129">
        <v>8</v>
      </c>
      <c r="B129" s="455">
        <v>46162</v>
      </c>
      <c r="C129" t="s">
        <v>515</v>
      </c>
      <c r="D129" t="s">
        <v>516</v>
      </c>
      <c r="E129" t="s">
        <v>517</v>
      </c>
      <c r="F129" t="s">
        <v>518</v>
      </c>
    </row>
    <row r="130" spans="1:6">
      <c r="A130">
        <v>9</v>
      </c>
      <c r="B130" s="455">
        <v>46162</v>
      </c>
      <c r="C130" t="s">
        <v>519</v>
      </c>
      <c r="D130" t="s">
        <v>520</v>
      </c>
      <c r="E130" t="s">
        <v>521</v>
      </c>
      <c r="F130" t="s">
        <v>522</v>
      </c>
    </row>
    <row r="131" spans="1:6">
      <c r="A131">
        <v>10</v>
      </c>
      <c r="B131" s="455">
        <v>46169</v>
      </c>
      <c r="C131" t="s">
        <v>523</v>
      </c>
      <c r="D131" t="s">
        <v>524</v>
      </c>
      <c r="E131" t="s">
        <v>525</v>
      </c>
      <c r="F131" t="s">
        <v>526</v>
      </c>
    </row>
    <row r="132" spans="1:6">
      <c r="A132">
        <v>11</v>
      </c>
      <c r="B132" s="455">
        <v>46169</v>
      </c>
      <c r="C132" t="s">
        <v>527</v>
      </c>
      <c r="D132" t="s">
        <v>528</v>
      </c>
      <c r="E132" t="s">
        <v>529</v>
      </c>
      <c r="F132" t="s">
        <v>530</v>
      </c>
    </row>
    <row r="133" spans="1:6">
      <c r="A133">
        <v>12</v>
      </c>
      <c r="B133" s="455">
        <v>46169</v>
      </c>
      <c r="C133" t="s">
        <v>531</v>
      </c>
      <c r="D133" t="s">
        <v>532</v>
      </c>
      <c r="E133" t="s">
        <v>533</v>
      </c>
      <c r="F133" t="s">
        <v>534</v>
      </c>
    </row>
    <row r="134" spans="1:6">
      <c r="A134">
        <v>13</v>
      </c>
      <c r="B134" s="455">
        <v>46169</v>
      </c>
      <c r="C134" t="s">
        <v>535</v>
      </c>
      <c r="D134" t="s">
        <v>536</v>
      </c>
      <c r="E134" t="s">
        <v>537</v>
      </c>
      <c r="F134" t="s">
        <v>538</v>
      </c>
    </row>
    <row r="135" spans="1:6">
      <c r="A135">
        <v>14</v>
      </c>
      <c r="B135" s="1065">
        <v>46170</v>
      </c>
      <c r="C135" t="s">
        <v>539</v>
      </c>
      <c r="D135" t="s">
        <v>540</v>
      </c>
      <c r="E135" t="s">
        <v>541</v>
      </c>
      <c r="F135" t="s">
        <v>542</v>
      </c>
    </row>
    <row r="136" spans="1:6">
      <c r="A136">
        <v>9</v>
      </c>
      <c r="B136" s="455">
        <v>46176</v>
      </c>
      <c r="C136" t="s">
        <v>543</v>
      </c>
      <c r="D136" t="s">
        <v>544</v>
      </c>
      <c r="E136" t="s">
        <v>545</v>
      </c>
      <c r="F136" t="s">
        <v>546</v>
      </c>
    </row>
    <row r="137" spans="1:6">
      <c r="A137">
        <v>1</v>
      </c>
      <c r="B137" s="455">
        <v>46176</v>
      </c>
      <c r="C137" t="s">
        <v>547</v>
      </c>
      <c r="D137" t="s">
        <v>548</v>
      </c>
      <c r="E137" t="s">
        <v>549</v>
      </c>
      <c r="F137" t="s">
        <v>550</v>
      </c>
    </row>
    <row r="138" spans="1:6">
      <c r="A138">
        <v>2</v>
      </c>
      <c r="B138" s="455">
        <v>46176</v>
      </c>
      <c r="C138" t="s">
        <v>551</v>
      </c>
      <c r="D138" t="s">
        <v>552</v>
      </c>
      <c r="E138" t="s">
        <v>553</v>
      </c>
      <c r="F138" t="s">
        <v>554</v>
      </c>
    </row>
    <row r="139" spans="1:6">
      <c r="A139">
        <v>3</v>
      </c>
      <c r="B139" s="455">
        <v>46176</v>
      </c>
      <c r="C139" t="s">
        <v>555</v>
      </c>
      <c r="D139" t="s">
        <v>556</v>
      </c>
      <c r="E139" t="s">
        <v>557</v>
      </c>
      <c r="F139" t="s">
        <v>558</v>
      </c>
    </row>
    <row r="140" spans="1:6">
      <c r="A140">
        <v>4</v>
      </c>
      <c r="B140" s="455">
        <v>46176</v>
      </c>
      <c r="C140" t="s">
        <v>559</v>
      </c>
      <c r="D140" t="s">
        <v>560</v>
      </c>
      <c r="E140" t="s">
        <v>561</v>
      </c>
      <c r="F140" t="s">
        <v>562</v>
      </c>
    </row>
    <row r="141" spans="1:6">
      <c r="A141">
        <v>5</v>
      </c>
      <c r="B141" s="455">
        <v>46176</v>
      </c>
      <c r="C141" t="s">
        <v>563</v>
      </c>
      <c r="D141" t="s">
        <v>564</v>
      </c>
      <c r="E141" t="s">
        <v>565</v>
      </c>
      <c r="F141" t="s">
        <v>566</v>
      </c>
    </row>
    <row r="142" spans="1:6">
      <c r="A142">
        <f>A141+1</f>
        <v>6</v>
      </c>
      <c r="B142" s="455">
        <v>46182</v>
      </c>
      <c r="C142" t="s">
        <v>567</v>
      </c>
      <c r="D142" t="s">
        <v>568</v>
      </c>
      <c r="E142" t="s">
        <v>569</v>
      </c>
      <c r="F142" t="s">
        <v>570</v>
      </c>
    </row>
    <row r="143" spans="1:6">
      <c r="A143">
        <f>A142+1</f>
        <v>7</v>
      </c>
      <c r="B143" s="455">
        <v>46182</v>
      </c>
      <c r="C143" t="s">
        <v>571</v>
      </c>
      <c r="D143" t="s">
        <v>572</v>
      </c>
      <c r="E143" t="s">
        <v>573</v>
      </c>
      <c r="F143" t="s">
        <v>574</v>
      </c>
    </row>
    <row r="144" spans="1:6">
      <c r="A144">
        <f>A143+1</f>
        <v>8</v>
      </c>
      <c r="B144" s="455">
        <v>46183</v>
      </c>
      <c r="C144" t="s">
        <v>575</v>
      </c>
      <c r="D144" t="s">
        <v>576</v>
      </c>
      <c r="E144" t="s">
        <v>577</v>
      </c>
      <c r="F144" t="s">
        <v>578</v>
      </c>
    </row>
    <row r="145" spans="1:6">
      <c r="A145">
        <f>A144+1</f>
        <v>9</v>
      </c>
      <c r="B145" s="455">
        <v>46183</v>
      </c>
      <c r="C145" t="s">
        <v>579</v>
      </c>
      <c r="D145" t="s">
        <v>580</v>
      </c>
      <c r="E145" t="s">
        <v>581</v>
      </c>
      <c r="F145" t="s">
        <v>582</v>
      </c>
    </row>
    <row r="146" spans="1:6">
      <c r="A146">
        <v>10</v>
      </c>
      <c r="B146" s="455">
        <v>46183</v>
      </c>
      <c r="C146" t="s">
        <v>583</v>
      </c>
      <c r="D146" t="s">
        <v>584</v>
      </c>
      <c r="E146" t="s">
        <v>585</v>
      </c>
      <c r="F146" t="s">
        <v>586</v>
      </c>
    </row>
    <row r="147" spans="1:6">
      <c r="A147">
        <f t="shared" ref="A147:A152" si="0">A146+1</f>
        <v>11</v>
      </c>
      <c r="B147" s="455">
        <v>46185</v>
      </c>
      <c r="C147" t="s">
        <v>587</v>
      </c>
      <c r="D147" t="s">
        <v>588</v>
      </c>
      <c r="E147" t="s">
        <v>589</v>
      </c>
      <c r="F147" t="s">
        <v>590</v>
      </c>
    </row>
    <row r="148" spans="1:6">
      <c r="A148">
        <f t="shared" si="0"/>
        <v>12</v>
      </c>
      <c r="B148" s="455">
        <v>46191</v>
      </c>
      <c r="C148" t="s">
        <v>591</v>
      </c>
      <c r="D148" t="s">
        <v>592</v>
      </c>
      <c r="E148" t="s">
        <v>593</v>
      </c>
      <c r="F148" t="s">
        <v>594</v>
      </c>
    </row>
    <row r="149" spans="1:6">
      <c r="A149">
        <f t="shared" si="0"/>
        <v>13</v>
      </c>
      <c r="B149" s="455">
        <v>46191</v>
      </c>
      <c r="C149" t="s">
        <v>595</v>
      </c>
      <c r="D149" t="s">
        <v>596</v>
      </c>
      <c r="E149" t="s">
        <v>597</v>
      </c>
      <c r="F149" t="s">
        <v>598</v>
      </c>
    </row>
    <row r="150" spans="1:6">
      <c r="A150">
        <f t="shared" si="0"/>
        <v>14</v>
      </c>
      <c r="B150" s="455">
        <v>46191</v>
      </c>
      <c r="C150" t="s">
        <v>599</v>
      </c>
      <c r="D150" t="s">
        <v>600</v>
      </c>
      <c r="E150" t="s">
        <v>601</v>
      </c>
      <c r="F150" t="s">
        <v>602</v>
      </c>
    </row>
    <row r="151" spans="1:6">
      <c r="A151">
        <f t="shared" si="0"/>
        <v>15</v>
      </c>
      <c r="B151" s="455">
        <v>46191</v>
      </c>
      <c r="C151" t="s">
        <v>603</v>
      </c>
      <c r="D151" t="s">
        <v>604</v>
      </c>
      <c r="E151" t="s">
        <v>605</v>
      </c>
      <c r="F151" t="s">
        <v>606</v>
      </c>
    </row>
    <row r="152" spans="1:6">
      <c r="A152">
        <f t="shared" si="0"/>
        <v>16</v>
      </c>
      <c r="B152" s="455">
        <v>46191</v>
      </c>
      <c r="C152" t="s">
        <v>607</v>
      </c>
      <c r="D152" t="s">
        <v>608</v>
      </c>
      <c r="E152" t="s">
        <v>609</v>
      </c>
      <c r="F152" t="s">
        <v>610</v>
      </c>
    </row>
    <row r="153" spans="1:6">
      <c r="A153">
        <v>17</v>
      </c>
      <c r="B153" s="455">
        <v>46197</v>
      </c>
      <c r="C153" t="s">
        <v>611</v>
      </c>
      <c r="D153" t="s">
        <v>612</v>
      </c>
      <c r="E153" t="s">
        <v>613</v>
      </c>
      <c r="F153" t="s">
        <v>614</v>
      </c>
    </row>
    <row r="154" spans="1:6">
      <c r="A154">
        <v>18</v>
      </c>
      <c r="B154" s="455">
        <v>46197</v>
      </c>
      <c r="C154" t="s">
        <v>615</v>
      </c>
      <c r="D154" t="s">
        <v>616</v>
      </c>
      <c r="E154" t="s">
        <v>617</v>
      </c>
      <c r="F154" t="s">
        <v>618</v>
      </c>
    </row>
    <row r="155" spans="1:6">
      <c r="A155">
        <v>19</v>
      </c>
      <c r="B155" s="455">
        <v>46197</v>
      </c>
      <c r="C155" t="s">
        <v>619</v>
      </c>
      <c r="D155" t="s">
        <v>620</v>
      </c>
      <c r="E155" t="s">
        <v>621</v>
      </c>
      <c r="F155" t="s">
        <v>622</v>
      </c>
    </row>
    <row r="156" spans="1:6">
      <c r="A156">
        <v>20</v>
      </c>
      <c r="B156" s="455">
        <v>46197</v>
      </c>
      <c r="C156" t="s">
        <v>623</v>
      </c>
      <c r="D156" t="s">
        <v>624</v>
      </c>
      <c r="E156" t="s">
        <v>625</v>
      </c>
      <c r="F156" t="s">
        <v>626</v>
      </c>
    </row>
    <row r="157" spans="1:6">
      <c r="A157">
        <v>21</v>
      </c>
      <c r="B157" s="455">
        <v>46197</v>
      </c>
      <c r="C157" t="s">
        <v>627</v>
      </c>
      <c r="D157" t="s">
        <v>628</v>
      </c>
      <c r="E157" t="s">
        <v>629</v>
      </c>
      <c r="F157" t="s">
        <v>630</v>
      </c>
    </row>
    <row r="158" spans="1:6">
      <c r="A158">
        <v>22</v>
      </c>
      <c r="B158" s="455">
        <v>46197</v>
      </c>
      <c r="C158" t="s">
        <v>631</v>
      </c>
      <c r="D158" t="s">
        <v>632</v>
      </c>
      <c r="E158" t="s">
        <v>633</v>
      </c>
      <c r="F158" t="s">
        <v>634</v>
      </c>
    </row>
    <row r="159" spans="1:6">
      <c r="A159">
        <v>23</v>
      </c>
      <c r="B159" s="455">
        <v>46204</v>
      </c>
      <c r="C159" t="s">
        <v>635</v>
      </c>
      <c r="D159" t="s">
        <v>636</v>
      </c>
      <c r="E159" t="s">
        <v>637</v>
      </c>
      <c r="F159" t="s">
        <v>638</v>
      </c>
    </row>
    <row r="160" spans="1:6">
      <c r="A160">
        <v>24</v>
      </c>
      <c r="B160" s="455">
        <v>46204</v>
      </c>
      <c r="C160" t="s">
        <v>639</v>
      </c>
      <c r="D160" t="s">
        <v>640</v>
      </c>
      <c r="E160" t="s">
        <v>641</v>
      </c>
      <c r="F160" t="s">
        <v>642</v>
      </c>
    </row>
    <row r="161" spans="1:6">
      <c r="A161">
        <v>25</v>
      </c>
      <c r="B161" s="455">
        <v>46204</v>
      </c>
      <c r="C161" t="s">
        <v>643</v>
      </c>
      <c r="D161" t="s">
        <v>644</v>
      </c>
      <c r="E161" t="s">
        <v>645</v>
      </c>
      <c r="F161" t="s">
        <v>646</v>
      </c>
    </row>
    <row r="162" spans="1:6">
      <c r="A162">
        <v>26</v>
      </c>
      <c r="B162" s="455">
        <v>46204</v>
      </c>
      <c r="C162" t="s">
        <v>647</v>
      </c>
      <c r="D162" t="s">
        <v>648</v>
      </c>
      <c r="E162" t="s">
        <v>649</v>
      </c>
      <c r="F162" t="s">
        <v>650</v>
      </c>
    </row>
    <row r="163" spans="1:6">
      <c r="A163">
        <v>27</v>
      </c>
      <c r="B163" s="455">
        <v>46204</v>
      </c>
      <c r="C163" t="s">
        <v>651</v>
      </c>
      <c r="D163" t="s">
        <v>652</v>
      </c>
      <c r="E163" t="s">
        <v>653</v>
      </c>
      <c r="F163" t="s">
        <v>654</v>
      </c>
    </row>
    <row r="164" spans="1:6">
      <c r="A164">
        <v>28</v>
      </c>
      <c r="B164" s="455">
        <v>46204</v>
      </c>
      <c r="C164" t="s">
        <v>655</v>
      </c>
      <c r="D164" t="s">
        <v>656</v>
      </c>
      <c r="E164" t="s">
        <v>657</v>
      </c>
      <c r="F164" t="s">
        <v>658</v>
      </c>
    </row>
    <row r="165" spans="1:6">
      <c r="A165">
        <v>29</v>
      </c>
      <c r="B165" s="455">
        <v>46204</v>
      </c>
      <c r="C165" t="s">
        <v>659</v>
      </c>
      <c r="D165" t="s">
        <v>660</v>
      </c>
      <c r="E165" t="s">
        <v>661</v>
      </c>
      <c r="F165" t="s">
        <v>662</v>
      </c>
    </row>
    <row r="166" spans="1:6">
      <c r="A166">
        <v>30</v>
      </c>
      <c r="B166" s="455">
        <v>46204</v>
      </c>
      <c r="C166" t="s">
        <v>663</v>
      </c>
      <c r="D166" t="s">
        <v>664</v>
      </c>
      <c r="E166" t="s">
        <v>665</v>
      </c>
      <c r="F166" t="s">
        <v>666</v>
      </c>
    </row>
    <row r="167" spans="1:6">
      <c r="A167">
        <v>31</v>
      </c>
      <c r="B167" s="455">
        <v>46204</v>
      </c>
      <c r="C167" t="s">
        <v>667</v>
      </c>
      <c r="D167" t="s">
        <v>668</v>
      </c>
      <c r="E167" t="s">
        <v>669</v>
      </c>
      <c r="F167" t="s">
        <v>670</v>
      </c>
    </row>
    <row r="168" spans="1:6">
      <c r="A168">
        <v>32</v>
      </c>
      <c r="B168" s="455">
        <v>46204</v>
      </c>
      <c r="C168" t="s">
        <v>671</v>
      </c>
      <c r="D168" t="s">
        <v>672</v>
      </c>
      <c r="E168" t="s">
        <v>673</v>
      </c>
      <c r="F168" t="s">
        <v>674</v>
      </c>
    </row>
    <row r="169" spans="1:6">
      <c r="A169">
        <v>33</v>
      </c>
      <c r="B169" s="455">
        <v>46204</v>
      </c>
      <c r="C169" t="s">
        <v>675</v>
      </c>
      <c r="D169" t="s">
        <v>676</v>
      </c>
      <c r="E169" t="s">
        <v>677</v>
      </c>
      <c r="F169" t="s">
        <v>678</v>
      </c>
    </row>
    <row r="170" spans="1:6">
      <c r="A170">
        <v>34</v>
      </c>
      <c r="B170" s="455">
        <v>46204</v>
      </c>
      <c r="C170" t="s">
        <v>679</v>
      </c>
      <c r="D170" t="s">
        <v>680</v>
      </c>
      <c r="E170" t="s">
        <v>681</v>
      </c>
      <c r="F170" t="s">
        <v>682</v>
      </c>
    </row>
    <row r="171" spans="1:6">
      <c r="A171">
        <v>35</v>
      </c>
      <c r="B171" s="455">
        <v>46204</v>
      </c>
      <c r="C171" t="s">
        <v>683</v>
      </c>
      <c r="D171" t="s">
        <v>684</v>
      </c>
      <c r="E171" t="s">
        <v>685</v>
      </c>
      <c r="F171" t="s">
        <v>686</v>
      </c>
    </row>
    <row r="172" spans="1:6">
      <c r="A172">
        <v>36</v>
      </c>
      <c r="B172" s="455">
        <v>46204</v>
      </c>
      <c r="C172" t="s">
        <v>687</v>
      </c>
      <c r="D172" t="s">
        <v>688</v>
      </c>
      <c r="E172" t="s">
        <v>689</v>
      </c>
      <c r="F172" t="s">
        <v>690</v>
      </c>
    </row>
    <row r="173" spans="1:6">
      <c r="A173">
        <v>37</v>
      </c>
      <c r="B173" s="455">
        <v>46204</v>
      </c>
      <c r="C173" t="s">
        <v>691</v>
      </c>
      <c r="D173" t="s">
        <v>692</v>
      </c>
      <c r="E173" t="s">
        <v>693</v>
      </c>
      <c r="F173" t="s">
        <v>694</v>
      </c>
    </row>
    <row r="174" spans="1:6">
      <c r="A174">
        <v>38</v>
      </c>
      <c r="B174" s="455">
        <v>46204</v>
      </c>
      <c r="C174" t="s">
        <v>695</v>
      </c>
      <c r="D174" t="s">
        <v>696</v>
      </c>
      <c r="E174" t="s">
        <v>697</v>
      </c>
      <c r="F174" t="s">
        <v>698</v>
      </c>
    </row>
    <row r="175" spans="1:6">
      <c r="A175">
        <v>39</v>
      </c>
      <c r="B175" s="455">
        <v>46204</v>
      </c>
      <c r="C175" t="s">
        <v>699</v>
      </c>
      <c r="D175" t="s">
        <v>700</v>
      </c>
      <c r="E175" t="s">
        <v>701</v>
      </c>
      <c r="F175" t="s">
        <v>702</v>
      </c>
    </row>
    <row r="176" spans="1:6">
      <c r="A176">
        <v>40</v>
      </c>
      <c r="B176" s="1065">
        <v>46211</v>
      </c>
      <c r="C176" t="s">
        <v>703</v>
      </c>
      <c r="D176" t="s">
        <v>704</v>
      </c>
      <c r="E176" t="s">
        <v>705</v>
      </c>
      <c r="F176" t="s">
        <v>706</v>
      </c>
    </row>
    <row r="177" spans="1:6">
      <c r="A177">
        <v>41</v>
      </c>
      <c r="B177" s="1065">
        <v>46211</v>
      </c>
      <c r="C177" t="s">
        <v>707</v>
      </c>
      <c r="D177" t="s">
        <v>708</v>
      </c>
      <c r="E177" t="s">
        <v>709</v>
      </c>
      <c r="F177" t="s">
        <v>710</v>
      </c>
    </row>
    <row r="178" spans="1:6">
      <c r="A178">
        <v>42</v>
      </c>
      <c r="B178" s="1065">
        <v>46211</v>
      </c>
      <c r="C178" t="s">
        <v>711</v>
      </c>
      <c r="D178" t="s">
        <v>712</v>
      </c>
      <c r="E178" t="s">
        <v>713</v>
      </c>
      <c r="F178" t="s">
        <v>714</v>
      </c>
    </row>
    <row r="179" spans="1:6">
      <c r="A179">
        <v>43</v>
      </c>
      <c r="B179" s="1065">
        <v>46211</v>
      </c>
      <c r="C179" t="s">
        <v>715</v>
      </c>
      <c r="D179" t="s">
        <v>716</v>
      </c>
      <c r="E179" t="s">
        <v>717</v>
      </c>
      <c r="F179" t="s">
        <v>718</v>
      </c>
    </row>
    <row r="180" spans="1:6">
      <c r="A180">
        <v>44</v>
      </c>
      <c r="B180" s="1065">
        <v>46211</v>
      </c>
      <c r="C180" t="s">
        <v>719</v>
      </c>
      <c r="D180" t="s">
        <v>720</v>
      </c>
      <c r="E180" t="s">
        <v>721</v>
      </c>
      <c r="F180" t="s">
        <v>722</v>
      </c>
    </row>
    <row r="181" spans="1:6">
      <c r="A181">
        <v>45</v>
      </c>
      <c r="B181" s="1065">
        <v>46211</v>
      </c>
      <c r="C181" t="s">
        <v>723</v>
      </c>
      <c r="D181" t="s">
        <v>724</v>
      </c>
      <c r="E181" t="s">
        <v>725</v>
      </c>
      <c r="F181" t="s">
        <v>726</v>
      </c>
    </row>
    <row r="182" spans="1:6">
      <c r="A182">
        <v>46</v>
      </c>
      <c r="B182" s="455">
        <v>46211</v>
      </c>
      <c r="C182" t="s">
        <v>727</v>
      </c>
      <c r="D182" t="s">
        <v>728</v>
      </c>
      <c r="E182" t="s">
        <v>729</v>
      </c>
      <c r="F182" t="s">
        <v>730</v>
      </c>
    </row>
    <row r="183" spans="1:6">
      <c r="A183">
        <v>47</v>
      </c>
      <c r="B183" s="455">
        <v>46211</v>
      </c>
      <c r="C183" t="s">
        <v>731</v>
      </c>
      <c r="D183" t="s">
        <v>732</v>
      </c>
      <c r="E183" t="s">
        <v>733</v>
      </c>
      <c r="F183" t="s">
        <v>734</v>
      </c>
    </row>
    <row r="184" spans="1:6">
      <c r="A184">
        <v>48</v>
      </c>
      <c r="B184" s="1065">
        <v>46217</v>
      </c>
      <c r="C184" t="s">
        <v>735</v>
      </c>
      <c r="D184" t="s">
        <v>736</v>
      </c>
      <c r="E184" t="s">
        <v>737</v>
      </c>
      <c r="F184" t="s">
        <v>738</v>
      </c>
    </row>
    <row r="185" spans="1:6">
      <c r="A185">
        <v>49</v>
      </c>
      <c r="B185" s="1065">
        <v>46217</v>
      </c>
      <c r="C185" t="s">
        <v>739</v>
      </c>
      <c r="D185" t="s">
        <v>740</v>
      </c>
      <c r="E185" t="s">
        <v>741</v>
      </c>
      <c r="F185" t="s">
        <v>742</v>
      </c>
    </row>
    <row r="186" spans="1:6">
      <c r="A186">
        <v>50</v>
      </c>
      <c r="B186" s="1065">
        <v>46218</v>
      </c>
      <c r="C186" t="s">
        <v>743</v>
      </c>
      <c r="D186" t="s">
        <v>744</v>
      </c>
      <c r="E186" t="s">
        <v>745</v>
      </c>
      <c r="F186" t="s">
        <v>746</v>
      </c>
    </row>
    <row r="187" spans="1:6">
      <c r="A187">
        <v>51</v>
      </c>
      <c r="B187" s="1065">
        <v>46226</v>
      </c>
      <c r="C187" t="s">
        <v>747</v>
      </c>
      <c r="D187" t="s">
        <v>748</v>
      </c>
      <c r="E187" t="s">
        <v>749</v>
      </c>
      <c r="F187" t="s">
        <v>750</v>
      </c>
    </row>
    <row r="188" spans="1:6">
      <c r="A188">
        <v>52</v>
      </c>
      <c r="B188" s="455">
        <v>46226</v>
      </c>
      <c r="C188" t="s">
        <v>751</v>
      </c>
      <c r="D188" t="s">
        <v>752</v>
      </c>
      <c r="E188" t="s">
        <v>753</v>
      </c>
      <c r="F188" t="s">
        <v>754</v>
      </c>
    </row>
    <row r="189" spans="1:6">
      <c r="A189">
        <v>53</v>
      </c>
      <c r="B189" s="455">
        <v>46230</v>
      </c>
      <c r="C189" t="s">
        <v>755</v>
      </c>
      <c r="D189" t="s">
        <v>756</v>
      </c>
      <c r="E189" t="s">
        <v>757</v>
      </c>
      <c r="F189" t="s">
        <v>758</v>
      </c>
    </row>
    <row r="190" spans="1:6">
      <c r="A190">
        <v>54</v>
      </c>
      <c r="B190" s="455">
        <v>46230</v>
      </c>
      <c r="C190" t="s">
        <v>759</v>
      </c>
      <c r="D190" t="s">
        <v>760</v>
      </c>
      <c r="E190" t="s">
        <v>761</v>
      </c>
      <c r="F190" t="s">
        <v>762</v>
      </c>
    </row>
    <row r="191" spans="1:6">
      <c r="A191">
        <v>55</v>
      </c>
      <c r="B191" s="455">
        <v>46230</v>
      </c>
      <c r="C191" t="s">
        <v>763</v>
      </c>
      <c r="D191" t="s">
        <v>764</v>
      </c>
      <c r="E191" t="s">
        <v>765</v>
      </c>
      <c r="F191" t="s">
        <v>766</v>
      </c>
    </row>
    <row r="192" spans="1:6">
      <c r="A192">
        <v>56</v>
      </c>
      <c r="B192" s="455">
        <v>46230</v>
      </c>
      <c r="C192" t="s">
        <v>767</v>
      </c>
      <c r="D192" t="s">
        <v>768</v>
      </c>
      <c r="E192" t="s">
        <v>769</v>
      </c>
      <c r="F192" t="s">
        <v>770</v>
      </c>
    </row>
    <row r="193" spans="1:6">
      <c r="A193">
        <v>57</v>
      </c>
      <c r="B193" s="455">
        <v>46259</v>
      </c>
      <c r="C193" t="s">
        <v>771</v>
      </c>
      <c r="D193" t="s">
        <v>772</v>
      </c>
      <c r="E193" t="s">
        <v>773</v>
      </c>
      <c r="F193" t="s">
        <v>774</v>
      </c>
    </row>
    <row r="194" spans="1:6">
      <c r="A194">
        <v>58</v>
      </c>
      <c r="B194" s="455">
        <v>46259</v>
      </c>
      <c r="C194" t="s">
        <v>775</v>
      </c>
      <c r="D194" t="s">
        <v>776</v>
      </c>
      <c r="E194" t="s">
        <v>777</v>
      </c>
      <c r="F194" t="s">
        <v>778</v>
      </c>
    </row>
    <row r="195" spans="1:6">
      <c r="A195">
        <v>59</v>
      </c>
      <c r="B195" s="455">
        <v>46259</v>
      </c>
      <c r="C195" t="s">
        <v>779</v>
      </c>
      <c r="D195" t="s">
        <v>780</v>
      </c>
      <c r="E195" t="s">
        <v>781</v>
      </c>
      <c r="F195" t="s">
        <v>782</v>
      </c>
    </row>
    <row r="196" spans="1:6">
      <c r="A196">
        <v>60</v>
      </c>
      <c r="B196" s="455">
        <v>46246</v>
      </c>
      <c r="C196" t="s">
        <v>11210</v>
      </c>
      <c r="D196" t="s">
        <v>11211</v>
      </c>
      <c r="E196" t="s">
        <v>11212</v>
      </c>
      <c r="F196" t="s">
        <v>11213</v>
      </c>
    </row>
    <row r="197" spans="1:6">
      <c r="A197">
        <v>61</v>
      </c>
      <c r="B197" s="455">
        <v>46246</v>
      </c>
      <c r="C197" t="s">
        <v>11214</v>
      </c>
      <c r="D197" t="s">
        <v>11215</v>
      </c>
      <c r="E197" t="s">
        <v>11216</v>
      </c>
      <c r="F197" t="s">
        <v>11217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C101"/>
  <sheetViews>
    <sheetView showGridLines="0" zoomScaleNormal="100" workbookViewId="0">
      <selection activeCell="G29" sqref="G29"/>
    </sheetView>
  </sheetViews>
  <sheetFormatPr defaultColWidth="8.5546875" defaultRowHeight="14.4"/>
  <cols>
    <col min="1" max="1" width="3.33203125" customWidth="1"/>
    <col min="2" max="2" width="1.88671875" customWidth="1"/>
    <col min="3" max="3" width="105.44140625" bestFit="1" customWidth="1"/>
    <col min="4" max="6" width="14.5546875" customWidth="1"/>
  </cols>
  <sheetData>
    <row r="1" spans="1:3" ht="8.1" customHeight="1">
      <c r="A1" s="94"/>
      <c r="B1" s="94"/>
      <c r="C1" s="94"/>
    </row>
    <row r="2" spans="1:3" ht="30" customHeight="1">
      <c r="A2" s="94"/>
      <c r="B2" s="94"/>
      <c r="C2" s="95" t="s">
        <v>783</v>
      </c>
    </row>
    <row r="3" spans="1:3" ht="20.100000000000001" customHeight="1">
      <c r="A3" s="94"/>
      <c r="B3" s="94"/>
      <c r="C3" s="96" t="s">
        <v>784</v>
      </c>
    </row>
    <row r="4" spans="1:3" ht="15.9" customHeight="1">
      <c r="A4" s="94"/>
      <c r="B4" s="94"/>
      <c r="C4" s="97" t="s">
        <v>785</v>
      </c>
    </row>
    <row r="5" spans="1:3" ht="8.1" customHeight="1">
      <c r="A5" s="94"/>
      <c r="B5" s="94"/>
      <c r="C5" s="94"/>
    </row>
    <row r="6" spans="1:3" ht="15" customHeight="1"/>
    <row r="7" spans="1:3" ht="15" customHeight="1">
      <c r="A7" s="98"/>
      <c r="B7" s="98"/>
      <c r="C7" s="99" t="s">
        <v>786</v>
      </c>
    </row>
    <row r="8" spans="1:3" ht="15" customHeight="1"/>
    <row r="9" spans="1:3" ht="15" customHeight="1">
      <c r="C9" s="100" t="s">
        <v>787</v>
      </c>
    </row>
    <row r="10" spans="1:3" ht="15" customHeight="1">
      <c r="C10" s="100" t="s">
        <v>788</v>
      </c>
    </row>
    <row r="11" spans="1:3" ht="15" customHeight="1"/>
    <row r="12" spans="1:3" ht="15" customHeight="1">
      <c r="A12" s="98"/>
      <c r="B12" s="98"/>
      <c r="C12" s="99" t="s">
        <v>789</v>
      </c>
    </row>
    <row r="13" spans="1:3" ht="15" customHeight="1"/>
    <row r="14" spans="1:3" ht="15" customHeight="1">
      <c r="A14" s="101"/>
      <c r="B14" s="101"/>
      <c r="C14" s="292" t="s">
        <v>790</v>
      </c>
    </row>
    <row r="15" spans="1:3" ht="15" customHeight="1">
      <c r="C15" s="102" t="s">
        <v>791</v>
      </c>
    </row>
    <row r="16" spans="1:3" ht="15" customHeight="1">
      <c r="C16" s="103" t="s">
        <v>792</v>
      </c>
    </row>
    <row r="17" spans="1:3" ht="15" customHeight="1"/>
    <row r="18" spans="1:3" ht="15" customHeight="1">
      <c r="A18" s="101"/>
      <c r="B18" s="101"/>
      <c r="C18" s="292" t="s">
        <v>793</v>
      </c>
    </row>
    <row r="19" spans="1:3" ht="15" customHeight="1">
      <c r="C19" s="102" t="s">
        <v>794</v>
      </c>
    </row>
    <row r="20" spans="1:3" ht="15" customHeight="1">
      <c r="C20" s="103" t="s">
        <v>795</v>
      </c>
    </row>
    <row r="21" spans="1:3" ht="15" customHeight="1"/>
    <row r="22" spans="1:3" ht="15" customHeight="1">
      <c r="A22" s="101"/>
      <c r="B22" s="101"/>
      <c r="C22" s="292" t="s">
        <v>796</v>
      </c>
    </row>
    <row r="23" spans="1:3" ht="15" customHeight="1">
      <c r="C23" s="102" t="s">
        <v>797</v>
      </c>
    </row>
    <row r="24" spans="1:3" ht="15" customHeight="1"/>
    <row r="25" spans="1:3" ht="15" customHeight="1">
      <c r="A25" s="101"/>
      <c r="B25" s="101"/>
      <c r="C25" s="292" t="s">
        <v>798</v>
      </c>
    </row>
    <row r="26" spans="1:3" ht="15" customHeight="1">
      <c r="C26" s="102" t="s">
        <v>799</v>
      </c>
    </row>
    <row r="27" spans="1:3" ht="15" customHeight="1"/>
    <row r="28" spans="1:3" ht="15" customHeight="1">
      <c r="A28" s="101"/>
      <c r="B28" s="101"/>
      <c r="C28" s="292" t="s">
        <v>800</v>
      </c>
    </row>
    <row r="29" spans="1:3" ht="15" customHeight="1">
      <c r="C29" s="102" t="s">
        <v>801</v>
      </c>
    </row>
    <row r="30" spans="1:3" ht="15" customHeight="1"/>
    <row r="31" spans="1:3" ht="15" customHeight="1">
      <c r="A31" s="101"/>
      <c r="B31" s="101"/>
      <c r="C31" s="292" t="s">
        <v>802</v>
      </c>
    </row>
    <row r="32" spans="1:3" ht="15" customHeight="1">
      <c r="C32" s="102" t="s">
        <v>803</v>
      </c>
    </row>
    <row r="33" spans="1:3" ht="15" customHeight="1">
      <c r="C33" s="103" t="s">
        <v>804</v>
      </c>
    </row>
    <row r="34" spans="1:3" ht="15" customHeight="1">
      <c r="C34" s="103" t="s">
        <v>805</v>
      </c>
    </row>
    <row r="35" spans="1:3" ht="15" customHeight="1">
      <c r="C35" s="103" t="s">
        <v>806</v>
      </c>
    </row>
    <row r="36" spans="1:3" ht="15" customHeight="1">
      <c r="C36" s="103" t="s">
        <v>807</v>
      </c>
    </row>
    <row r="37" spans="1:3" ht="15" customHeight="1"/>
    <row r="38" spans="1:3" ht="15" customHeight="1"/>
    <row r="39" spans="1:3" ht="15" customHeight="1">
      <c r="A39" s="98"/>
      <c r="B39" s="98"/>
      <c r="C39" s="99" t="s">
        <v>808</v>
      </c>
    </row>
    <row r="40" spans="1:3" ht="15" customHeight="1"/>
    <row r="41" spans="1:3" ht="15" customHeight="1">
      <c r="C41" s="104" t="s">
        <v>809</v>
      </c>
    </row>
    <row r="42" spans="1:3" ht="15" customHeight="1">
      <c r="C42" s="102" t="s">
        <v>810</v>
      </c>
    </row>
    <row r="43" spans="1:3" ht="15" customHeight="1">
      <c r="C43" s="102" t="s">
        <v>811</v>
      </c>
    </row>
    <row r="44" spans="1:3" ht="15" customHeight="1">
      <c r="C44" s="293" t="s">
        <v>812</v>
      </c>
    </row>
    <row r="45" spans="1:3" ht="15" customHeight="1">
      <c r="C45" s="102" t="s">
        <v>813</v>
      </c>
    </row>
    <row r="46" spans="1:3" ht="15" customHeight="1"/>
    <row r="47" spans="1:3" ht="15" customHeight="1"/>
    <row r="48" spans="1:3" ht="15" customHeight="1">
      <c r="A48" s="98"/>
      <c r="B48" s="98"/>
      <c r="C48" s="99" t="s">
        <v>814</v>
      </c>
    </row>
    <row r="49" spans="1:3" ht="15" customHeight="1"/>
    <row r="50" spans="1:3" ht="15" customHeight="1">
      <c r="C50" s="104" t="s">
        <v>815</v>
      </c>
    </row>
    <row r="51" spans="1:3" ht="15" customHeight="1">
      <c r="C51" s="102" t="s">
        <v>816</v>
      </c>
    </row>
    <row r="52" spans="1:3" ht="15" customHeight="1">
      <c r="C52" s="102" t="s">
        <v>817</v>
      </c>
    </row>
    <row r="53" spans="1:3" ht="15" customHeight="1">
      <c r="C53" s="102" t="s">
        <v>818</v>
      </c>
    </row>
    <row r="54" spans="1:3" ht="15" customHeight="1">
      <c r="C54" s="102" t="s">
        <v>819</v>
      </c>
    </row>
    <row r="55" spans="1:3" ht="15" customHeight="1"/>
    <row r="56" spans="1:3" ht="15" customHeight="1"/>
    <row r="57" spans="1:3" ht="15" customHeight="1">
      <c r="A57" s="98"/>
      <c r="B57" s="98"/>
      <c r="C57" s="99" t="s">
        <v>820</v>
      </c>
    </row>
    <row r="58" spans="1:3" ht="15" customHeight="1"/>
    <row r="59" spans="1:3" ht="15" customHeight="1">
      <c r="C59" s="3" t="s">
        <v>821</v>
      </c>
    </row>
    <row r="60" spans="1:3" ht="15" customHeight="1"/>
    <row r="61" spans="1:3" ht="15" customHeight="1">
      <c r="C61" s="4" t="s">
        <v>822</v>
      </c>
    </row>
    <row r="62" spans="1:3" ht="15" customHeight="1"/>
    <row r="63" spans="1:3" ht="15" customHeight="1">
      <c r="A63" s="101"/>
      <c r="B63" s="101"/>
      <c r="C63" s="294" t="s">
        <v>823</v>
      </c>
    </row>
    <row r="64" spans="1:3" ht="15" customHeight="1"/>
    <row r="65" spans="1:3" ht="15" customHeight="1">
      <c r="C65" s="103" t="s">
        <v>824</v>
      </c>
    </row>
    <row r="66" spans="1:3" ht="15" customHeight="1"/>
    <row r="67" spans="1:3" ht="15" customHeight="1"/>
    <row r="68" spans="1:3" ht="15" customHeight="1">
      <c r="A68" s="98"/>
      <c r="B68" s="98"/>
      <c r="C68" s="99" t="s">
        <v>825</v>
      </c>
    </row>
    <row r="69" spans="1:3" ht="15" customHeight="1"/>
    <row r="70" spans="1:3" ht="15" customHeight="1">
      <c r="A70" s="101"/>
      <c r="B70" s="101"/>
      <c r="C70" s="294" t="s">
        <v>826</v>
      </c>
    </row>
    <row r="71" spans="1:3" ht="15" customHeight="1">
      <c r="C71" s="102" t="s">
        <v>827</v>
      </c>
    </row>
    <row r="72" spans="1:3" ht="15" customHeight="1">
      <c r="C72" s="102" t="s">
        <v>828</v>
      </c>
    </row>
    <row r="73" spans="1:3" ht="15" customHeight="1">
      <c r="C73" s="102" t="s">
        <v>829</v>
      </c>
    </row>
    <row r="74" spans="1:3" ht="15" customHeight="1">
      <c r="C74" s="102" t="s">
        <v>830</v>
      </c>
    </row>
    <row r="75" spans="1:3" ht="15" customHeight="1">
      <c r="C75" s="102" t="s">
        <v>831</v>
      </c>
    </row>
    <row r="76" spans="1:3" ht="15" customHeight="1"/>
    <row r="77" spans="1:3" ht="15" customHeight="1"/>
    <row r="78" spans="1:3" ht="15" customHeight="1">
      <c r="A78" s="98"/>
      <c r="B78" s="98"/>
      <c r="C78" s="99" t="s">
        <v>832</v>
      </c>
    </row>
    <row r="79" spans="1:3" ht="15" customHeight="1"/>
    <row r="80" spans="1:3" ht="15" customHeight="1">
      <c r="C80" s="104" t="s">
        <v>833</v>
      </c>
    </row>
    <row r="81" spans="1:3" ht="15" customHeight="1">
      <c r="C81" s="102" t="s">
        <v>834</v>
      </c>
    </row>
    <row r="82" spans="1:3" ht="15" customHeight="1">
      <c r="C82" s="102" t="s">
        <v>835</v>
      </c>
    </row>
    <row r="83" spans="1:3" ht="15" customHeight="1">
      <c r="C83" s="102" t="s">
        <v>836</v>
      </c>
    </row>
    <row r="84" spans="1:3" ht="15" customHeight="1"/>
    <row r="85" spans="1:3" ht="15" customHeight="1"/>
    <row r="86" spans="1:3" ht="15" customHeight="1">
      <c r="A86" s="94"/>
      <c r="B86" s="94"/>
      <c r="C86" s="105" t="s">
        <v>837</v>
      </c>
    </row>
    <row r="87" spans="1:3" ht="15" customHeight="1"/>
    <row r="88" spans="1:3" ht="15" customHeight="1">
      <c r="C88" s="3" t="s">
        <v>838</v>
      </c>
    </row>
    <row r="89" spans="1:3" ht="15" customHeight="1"/>
    <row r="90" spans="1:3" ht="15" customHeight="1" thickBot="1">
      <c r="A90" s="106"/>
      <c r="B90" s="106"/>
      <c r="C90" s="106"/>
    </row>
    <row r="91" spans="1:3" ht="15" customHeight="1"/>
    <row r="92" spans="1:3" ht="15" customHeight="1"/>
    <row r="93" spans="1:3" ht="15" customHeight="1"/>
    <row r="94" spans="1:3" ht="15" customHeight="1"/>
    <row r="95" spans="1:3" ht="15" customHeight="1"/>
    <row r="96" spans="1:3" ht="15" customHeight="1"/>
    <row r="97" ht="15" customHeight="1"/>
    <row r="98" ht="15" customHeight="1"/>
    <row r="99" ht="15" customHeight="1"/>
    <row r="100" ht="15" customHeight="1"/>
    <row r="101" ht="15" customHeight="1"/>
  </sheetData>
  <pageMargins left="0.75" right="0.75" top="1" bottom="1" header="0.511811023622047" footer="0.511811023622047"/>
  <pageSetup paperSize="9" orientation="portrait" horizontalDpi="300" verticalDpi="300" r:id="rId1"/>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EADA44-2C61-4879-B07A-F2D3FEA111ED}">
  <sheetPr>
    <tabColor theme="6" tint="-0.499984740745262"/>
  </sheetPr>
  <dimension ref="A1:I44"/>
  <sheetViews>
    <sheetView showGridLines="0" zoomScale="90" zoomScaleNormal="90" workbookViewId="0">
      <pane ySplit="8" topLeftCell="A9" activePane="bottomLeft" state="frozen"/>
      <selection pane="bottomLeft" activeCell="O21" sqref="O21"/>
    </sheetView>
  </sheetViews>
  <sheetFormatPr defaultColWidth="8.6640625" defaultRowHeight="14.4"/>
  <cols>
    <col min="1" max="1" width="36.44140625" style="93" customWidth="1"/>
    <col min="2" max="2" width="17.33203125" style="93" customWidth="1"/>
    <col min="3" max="3" width="20" style="93" customWidth="1"/>
    <col min="4" max="6" width="12.6640625" style="93" customWidth="1"/>
    <col min="7" max="7" width="15.44140625" style="93" customWidth="1"/>
    <col min="8" max="8" width="12.6640625" style="93" customWidth="1"/>
    <col min="9" max="9" width="14.5546875" style="93" customWidth="1"/>
    <col min="10" max="16384" width="8.6640625" style="93"/>
  </cols>
  <sheetData>
    <row r="1" spans="1:9" ht="15.6">
      <c r="A1" s="920" t="s">
        <v>839</v>
      </c>
    </row>
    <row r="2" spans="1:9">
      <c r="A2" s="891" t="s">
        <v>840</v>
      </c>
    </row>
    <row r="4" spans="1:9" ht="15" thickBot="1">
      <c r="A4" s="921" t="s">
        <v>841</v>
      </c>
      <c r="B4" s="892"/>
      <c r="C4" s="892"/>
      <c r="D4" s="892"/>
      <c r="E4" s="892"/>
      <c r="F4" s="892"/>
      <c r="G4" s="892"/>
      <c r="H4" s="892"/>
      <c r="I4" s="893"/>
    </row>
    <row r="5" spans="1:9">
      <c r="A5" s="922" t="s">
        <v>842</v>
      </c>
      <c r="B5" s="923" t="s">
        <v>843</v>
      </c>
      <c r="C5" s="924" t="s">
        <v>844</v>
      </c>
      <c r="D5" s="924" t="s">
        <v>845</v>
      </c>
      <c r="E5" s="924" t="s">
        <v>846</v>
      </c>
      <c r="F5" s="924" t="s">
        <v>847</v>
      </c>
      <c r="G5" s="924"/>
      <c r="H5" s="924"/>
      <c r="I5" s="894"/>
    </row>
    <row r="6" spans="1:9">
      <c r="A6" s="895" t="s">
        <v>848</v>
      </c>
      <c r="B6" s="925" t="s">
        <v>849</v>
      </c>
      <c r="C6" s="926">
        <v>7000</v>
      </c>
      <c r="D6" s="926">
        <f>I14</f>
        <v>4200</v>
      </c>
      <c r="E6" s="926">
        <f>I15</f>
        <v>2800</v>
      </c>
      <c r="F6" s="896">
        <f>D6+E6</f>
        <v>7000</v>
      </c>
      <c r="G6" s="896"/>
      <c r="H6" s="896"/>
      <c r="I6" s="897"/>
    </row>
    <row r="7" spans="1:9">
      <c r="A7" s="895" t="s">
        <v>850</v>
      </c>
      <c r="B7" s="925" t="s">
        <v>851</v>
      </c>
      <c r="C7" s="926">
        <v>10000</v>
      </c>
      <c r="D7" s="926">
        <f>I20</f>
        <v>3000</v>
      </c>
      <c r="E7" s="926">
        <f>I21</f>
        <v>4000</v>
      </c>
      <c r="F7" s="896">
        <f>D7+E7</f>
        <v>7000</v>
      </c>
      <c r="G7" s="896"/>
      <c r="H7" s="896"/>
      <c r="I7" s="897"/>
    </row>
    <row r="8" spans="1:9">
      <c r="A8" s="895" t="s">
        <v>852</v>
      </c>
      <c r="B8" s="925" t="s">
        <v>853</v>
      </c>
      <c r="C8" s="926">
        <v>7000</v>
      </c>
      <c r="D8" s="926">
        <f>I27</f>
        <v>3000</v>
      </c>
      <c r="E8" s="926">
        <f>I28</f>
        <v>4000</v>
      </c>
      <c r="F8" s="896">
        <f>D8+E8</f>
        <v>7000</v>
      </c>
      <c r="G8" s="896"/>
      <c r="H8" s="896"/>
      <c r="I8" s="897"/>
    </row>
    <row r="9" spans="1:9">
      <c r="A9" s="895" t="s">
        <v>854</v>
      </c>
      <c r="B9" s="925" t="s">
        <v>855</v>
      </c>
      <c r="C9" s="926">
        <v>5000</v>
      </c>
      <c r="D9" s="926">
        <f>I34</f>
        <v>3000</v>
      </c>
      <c r="E9" s="926">
        <f>I35</f>
        <v>2000</v>
      </c>
      <c r="F9" s="896">
        <f>D9+E9</f>
        <v>5000</v>
      </c>
      <c r="G9" s="896"/>
      <c r="H9" s="896"/>
      <c r="I9" s="897"/>
    </row>
    <row r="10" spans="1:9" ht="15" thickBot="1">
      <c r="A10" s="927" t="s">
        <v>856</v>
      </c>
      <c r="B10" s="898"/>
      <c r="C10" s="899">
        <f>SUM(C6:C9)</f>
        <v>29000</v>
      </c>
      <c r="D10" s="899">
        <f>SUM(D6:D9)</f>
        <v>13200</v>
      </c>
      <c r="E10" s="899">
        <f>SUM(E6:E9)</f>
        <v>12800</v>
      </c>
      <c r="F10" s="899">
        <f>SUM(F6:F9)</f>
        <v>26000</v>
      </c>
      <c r="G10" s="899"/>
      <c r="H10" s="899"/>
      <c r="I10" s="900"/>
    </row>
    <row r="12" spans="1:9">
      <c r="A12" s="928" t="s">
        <v>857</v>
      </c>
      <c r="G12" s="929" t="s">
        <v>858</v>
      </c>
    </row>
    <row r="13" spans="1:9">
      <c r="A13" s="930" t="s">
        <v>859</v>
      </c>
      <c r="B13" s="931" t="s">
        <v>860</v>
      </c>
      <c r="C13" s="931" t="s">
        <v>861</v>
      </c>
      <c r="D13" s="931" t="s">
        <v>862</v>
      </c>
      <c r="E13" s="931" t="s">
        <v>863</v>
      </c>
      <c r="F13" s="931" t="s">
        <v>864</v>
      </c>
      <c r="G13" s="931" t="s">
        <v>865</v>
      </c>
      <c r="H13" s="931" t="s">
        <v>866</v>
      </c>
      <c r="I13" s="932" t="s">
        <v>867</v>
      </c>
    </row>
    <row r="14" spans="1:9">
      <c r="A14" s="933" t="s">
        <v>868</v>
      </c>
      <c r="B14" s="934">
        <v>0.6</v>
      </c>
      <c r="C14" s="1117" t="s">
        <v>869</v>
      </c>
      <c r="D14" s="901">
        <v>0.88</v>
      </c>
      <c r="E14" s="901">
        <v>0.91</v>
      </c>
      <c r="F14" s="901">
        <v>0.92500000000000004</v>
      </c>
      <c r="G14" s="940">
        <f>IF(COUNTA(D14:F14)=0,"",AVERAGE(D14:F14))</f>
        <v>0.90499999999999992</v>
      </c>
      <c r="H14" s="902" t="str">
        <f>IF(G14="","—",IF(G14&gt;=0.9,"✓","✗"))</f>
        <v>✓</v>
      </c>
      <c r="I14" s="903">
        <f>IF(H14="✓",B14*$C$6,0)</f>
        <v>4200</v>
      </c>
    </row>
    <row r="15" spans="1:9">
      <c r="A15" s="935" t="s">
        <v>870</v>
      </c>
      <c r="B15" s="936">
        <v>0.4</v>
      </c>
      <c r="C15" s="937" t="s">
        <v>871</v>
      </c>
      <c r="D15" s="904">
        <v>0.88</v>
      </c>
      <c r="E15" s="904">
        <v>1</v>
      </c>
      <c r="F15" s="904">
        <v>1</v>
      </c>
      <c r="G15" s="1205">
        <f>IF(COUNTA(D15:F15)=0,"",SUM(D15:F15)/COUNTA(D15:F15))</f>
        <v>0.96</v>
      </c>
      <c r="H15" s="905" t="str">
        <f>IF(G15="","—",IF(G15&gt;=0.85,"✓","✗"))</f>
        <v>✓</v>
      </c>
      <c r="I15" s="906">
        <f>IF(H15="✓",B15*$C$6,0)</f>
        <v>2800</v>
      </c>
    </row>
    <row r="16" spans="1:9">
      <c r="A16" s="938"/>
      <c r="B16" s="907">
        <f>SUM(B14:B15)</f>
        <v>1</v>
      </c>
      <c r="C16" s="908"/>
      <c r="D16" s="908"/>
      <c r="E16" s="908"/>
      <c r="F16" s="908"/>
      <c r="G16" s="908"/>
      <c r="H16" s="939" t="s">
        <v>872</v>
      </c>
      <c r="I16" s="909">
        <f>SUM(I14:I15)</f>
        <v>7000</v>
      </c>
    </row>
    <row r="18" spans="1:9">
      <c r="A18" s="928" t="s">
        <v>873</v>
      </c>
      <c r="G18" s="929" t="s">
        <v>874</v>
      </c>
    </row>
    <row r="19" spans="1:9">
      <c r="A19" s="930" t="s">
        <v>859</v>
      </c>
      <c r="B19" s="931" t="s">
        <v>860</v>
      </c>
      <c r="C19" s="931" t="s">
        <v>861</v>
      </c>
      <c r="D19" s="931" t="s">
        <v>862</v>
      </c>
      <c r="E19" s="931" t="s">
        <v>863</v>
      </c>
      <c r="F19" s="931" t="s">
        <v>864</v>
      </c>
      <c r="G19" s="931" t="s">
        <v>865</v>
      </c>
      <c r="H19" s="931" t="s">
        <v>866</v>
      </c>
      <c r="I19" s="932" t="s">
        <v>867</v>
      </c>
    </row>
    <row r="20" spans="1:9">
      <c r="A20" s="933" t="s">
        <v>875</v>
      </c>
      <c r="B20" s="934">
        <v>0.6</v>
      </c>
      <c r="C20" s="1117" t="s">
        <v>876</v>
      </c>
      <c r="D20" s="901">
        <v>0.73109999999999997</v>
      </c>
      <c r="E20" s="901">
        <v>0.73099999999999998</v>
      </c>
      <c r="F20" s="901">
        <v>0.72599999999999998</v>
      </c>
      <c r="G20" s="940">
        <f>F20</f>
        <v>0.72599999999999998</v>
      </c>
      <c r="H20" s="902" t="str">
        <f>IF(OR(F20="",G20=""),"—",IF(AND(F20&gt;=0.84,G20&gt;=0.77),"✓","✗"))</f>
        <v>✗</v>
      </c>
      <c r="I20" s="903">
        <v>3000</v>
      </c>
    </row>
    <row r="21" spans="1:9">
      <c r="A21" s="941" t="s">
        <v>877</v>
      </c>
      <c r="B21" s="942">
        <v>0.4</v>
      </c>
      <c r="C21" s="943" t="s">
        <v>878</v>
      </c>
      <c r="D21" s="911">
        <v>0.55400000000000005</v>
      </c>
      <c r="E21" s="911">
        <v>0.64800000000000002</v>
      </c>
      <c r="F21" s="911">
        <v>0.44400000000000001</v>
      </c>
      <c r="G21" s="1206">
        <f>IF(COUNTA(D21:F21)=0,"",SUM(D21:F21)/COUNTA(D21:F21))</f>
        <v>0.54866666666666664</v>
      </c>
      <c r="H21" s="912" t="str">
        <f>IF(G21="","—",IF(G21&gt;=0.8,"✓","✗"))</f>
        <v>✗</v>
      </c>
      <c r="I21" s="913">
        <v>4000</v>
      </c>
    </row>
    <row r="23" spans="1:9">
      <c r="A23" s="938"/>
      <c r="B23" s="907">
        <f>SUM(B20:B21)</f>
        <v>1</v>
      </c>
      <c r="C23" s="908"/>
      <c r="D23" s="908"/>
      <c r="E23" s="908"/>
      <c r="F23" s="908"/>
      <c r="G23" s="908"/>
      <c r="H23" s="939" t="s">
        <v>872</v>
      </c>
      <c r="I23" s="909">
        <f>SUM(I20:I21)</f>
        <v>7000</v>
      </c>
    </row>
    <row r="25" spans="1:9">
      <c r="A25" s="928" t="s">
        <v>879</v>
      </c>
      <c r="G25" s="929" t="s">
        <v>858</v>
      </c>
    </row>
    <row r="26" spans="1:9">
      <c r="A26" s="930" t="s">
        <v>859</v>
      </c>
      <c r="B26" s="931" t="s">
        <v>860</v>
      </c>
      <c r="C26" s="931" t="s">
        <v>861</v>
      </c>
      <c r="D26" s="931" t="s">
        <v>862</v>
      </c>
      <c r="E26" s="931" t="s">
        <v>863</v>
      </c>
      <c r="F26" s="931" t="s">
        <v>864</v>
      </c>
      <c r="G26" s="931" t="s">
        <v>865</v>
      </c>
      <c r="H26" s="931" t="s">
        <v>866</v>
      </c>
      <c r="I26" s="932" t="s">
        <v>867</v>
      </c>
    </row>
    <row r="27" spans="1:9">
      <c r="A27" s="933" t="s">
        <v>880</v>
      </c>
      <c r="B27" s="934">
        <v>0.6</v>
      </c>
      <c r="C27" s="910" t="s">
        <v>881</v>
      </c>
      <c r="D27" s="914">
        <v>13593</v>
      </c>
      <c r="E27" s="914">
        <v>110779</v>
      </c>
      <c r="F27" s="914">
        <v>106565.12</v>
      </c>
      <c r="G27" s="940">
        <f>IF(F27="","",F27/258116.12)</f>
        <v>0.41285728299340624</v>
      </c>
      <c r="H27" s="902" t="str">
        <f>IF(G27="","—",IF(G27&gt;=0.95,"✓","✗"))</f>
        <v>✗</v>
      </c>
      <c r="I27" s="903">
        <v>3000</v>
      </c>
    </row>
    <row r="28" spans="1:9">
      <c r="A28" s="941" t="s">
        <v>882</v>
      </c>
      <c r="B28" s="942">
        <v>0.4</v>
      </c>
      <c r="C28" s="944" t="s">
        <v>883</v>
      </c>
      <c r="D28" s="914">
        <v>264379</v>
      </c>
      <c r="E28" s="914">
        <v>125661</v>
      </c>
      <c r="F28" s="915">
        <v>130315.28</v>
      </c>
      <c r="G28" s="1207">
        <f>IF(F28="","",F28)</f>
        <v>130315.28</v>
      </c>
      <c r="H28" s="912" t="str">
        <f>IF(G28="","—",IF(G28&lt;=200000,"✓","✗"))</f>
        <v>✓</v>
      </c>
      <c r="I28" s="913">
        <v>4000</v>
      </c>
    </row>
    <row r="30" spans="1:9">
      <c r="A30" s="938"/>
      <c r="B30" s="907">
        <f>SUM(B27:B28)</f>
        <v>1</v>
      </c>
      <c r="C30" s="908"/>
      <c r="D30" s="908"/>
      <c r="E30" s="908"/>
      <c r="F30" s="908"/>
      <c r="G30" s="908"/>
      <c r="H30" s="939" t="s">
        <v>872</v>
      </c>
      <c r="I30" s="909">
        <f>SUM(I27:I28)</f>
        <v>7000</v>
      </c>
    </row>
    <row r="32" spans="1:9">
      <c r="A32" s="928" t="s">
        <v>884</v>
      </c>
      <c r="G32" s="929" t="s">
        <v>885</v>
      </c>
    </row>
    <row r="33" spans="1:9">
      <c r="A33" s="930" t="s">
        <v>859</v>
      </c>
      <c r="B33" s="931" t="s">
        <v>860</v>
      </c>
      <c r="C33" s="931" t="s">
        <v>861</v>
      </c>
      <c r="D33" s="931" t="s">
        <v>862</v>
      </c>
      <c r="E33" s="931" t="s">
        <v>863</v>
      </c>
      <c r="F33" s="931" t="s">
        <v>864</v>
      </c>
      <c r="G33" s="931" t="s">
        <v>865</v>
      </c>
      <c r="H33" s="931" t="s">
        <v>866</v>
      </c>
      <c r="I33" s="932" t="s">
        <v>867</v>
      </c>
    </row>
    <row r="34" spans="1:9">
      <c r="A34" s="933" t="s">
        <v>886</v>
      </c>
      <c r="B34" s="934">
        <v>0.6</v>
      </c>
      <c r="C34" s="910" t="s">
        <v>887</v>
      </c>
      <c r="D34" s="901">
        <v>0.73</v>
      </c>
      <c r="E34" s="901">
        <v>1</v>
      </c>
      <c r="F34" s="901">
        <v>1</v>
      </c>
      <c r="G34" s="940">
        <f>IF(COUNTA(D34:F34)=0,"",SUM(D34:F34)/COUNTA(D34:F34))</f>
        <v>0.91</v>
      </c>
      <c r="H34" s="902" t="str">
        <f>IF(G34="","—",IF(G34&gt;=0.9,"✓","✗"))</f>
        <v>✓</v>
      </c>
      <c r="I34" s="903">
        <f>IF(H34="✓",B34*$C$9,0)</f>
        <v>3000</v>
      </c>
    </row>
    <row r="35" spans="1:9">
      <c r="A35" s="941" t="s">
        <v>888</v>
      </c>
      <c r="B35" s="942">
        <v>0.4</v>
      </c>
      <c r="C35" s="944" t="s">
        <v>889</v>
      </c>
      <c r="D35" s="911">
        <v>0.64200000000000002</v>
      </c>
      <c r="E35" s="911">
        <v>0.65500000000000003</v>
      </c>
      <c r="F35" s="911">
        <v>0.64800000000000002</v>
      </c>
      <c r="G35" s="1206">
        <f>IF(COUNTA(D35:F35)=0,"",AVERAGE(D35:F35))</f>
        <v>0.64833333333333343</v>
      </c>
      <c r="H35" s="912" t="str">
        <f>IF(G35="","—",IF(G35&gt;=0.6,"✓","✗"))</f>
        <v>✓</v>
      </c>
      <c r="I35" s="913">
        <f>IF(H35="✓",B35*$C$9,0)</f>
        <v>2000</v>
      </c>
    </row>
    <row r="37" spans="1:9">
      <c r="A37" s="938"/>
      <c r="B37" s="907">
        <f>SUM(B34:B35)</f>
        <v>1</v>
      </c>
      <c r="C37" s="908"/>
      <c r="D37" s="908"/>
      <c r="E37" s="908"/>
      <c r="F37" s="908"/>
      <c r="G37" s="908"/>
      <c r="H37" s="939" t="s">
        <v>872</v>
      </c>
      <c r="I37" s="909">
        <f>SUM(I34:I35)</f>
        <v>5000</v>
      </c>
    </row>
    <row r="39" spans="1:9">
      <c r="A39" s="945" t="s">
        <v>890</v>
      </c>
      <c r="B39" s="916"/>
      <c r="C39" s="916"/>
      <c r="D39" s="916"/>
      <c r="E39" s="916"/>
      <c r="F39" s="916"/>
      <c r="G39" s="916"/>
      <c r="H39" s="916"/>
      <c r="I39" s="916"/>
    </row>
    <row r="40" spans="1:9">
      <c r="A40" s="946" t="s">
        <v>891</v>
      </c>
    </row>
    <row r="41" spans="1:9">
      <c r="A41" s="946" t="s">
        <v>892</v>
      </c>
    </row>
    <row r="42" spans="1:9">
      <c r="A42" s="946" t="s">
        <v>893</v>
      </c>
    </row>
    <row r="43" spans="1:9">
      <c r="A43" s="946" t="s">
        <v>894</v>
      </c>
    </row>
    <row r="44" spans="1:9">
      <c r="A44" s="946" t="s">
        <v>895</v>
      </c>
    </row>
  </sheetData>
  <conditionalFormatting sqref="H14:H15">
    <cfRule type="containsText" dxfId="114" priority="1" operator="containsText" text="✓">
      <formula>NOT(ISERROR(SEARCH("✓",H14)))</formula>
    </cfRule>
    <cfRule type="containsText" dxfId="113" priority="2" operator="containsText" text="✗">
      <formula>NOT(ISERROR(SEARCH("✗",H14)))</formula>
    </cfRule>
  </conditionalFormatting>
  <conditionalFormatting sqref="H20:H21">
    <cfRule type="containsText" dxfId="112" priority="3" operator="containsText" text="✓">
      <formula>NOT(ISERROR(SEARCH("✓",H20)))</formula>
    </cfRule>
    <cfRule type="containsText" dxfId="111" priority="4" operator="containsText" text="✗">
      <formula>NOT(ISERROR(SEARCH("✗",H20)))</formula>
    </cfRule>
  </conditionalFormatting>
  <conditionalFormatting sqref="H27:H28">
    <cfRule type="containsText" dxfId="110" priority="5" operator="containsText" text="✓">
      <formula>NOT(ISERROR(SEARCH("✓",H27)))</formula>
    </cfRule>
    <cfRule type="containsText" dxfId="109" priority="6" operator="containsText" text="✗">
      <formula>NOT(ISERROR(SEARCH("✗",H27)))</formula>
    </cfRule>
  </conditionalFormatting>
  <conditionalFormatting sqref="H34:H35">
    <cfRule type="containsText" dxfId="108" priority="7" operator="containsText" text="✓">
      <formula>NOT(ISERROR(SEARCH("✓",H34)))</formula>
    </cfRule>
    <cfRule type="containsText" dxfId="107" priority="8" operator="containsText" text="✗">
      <formula>NOT(ISERROR(SEARCH("✗",H34)))</formula>
    </cfRule>
  </conditionalFormatting>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733F0C-5496-4160-B905-6BAD802731E2}">
  <sheetPr>
    <tabColor rgb="FF4F6228"/>
  </sheetPr>
  <dimension ref="A1:I49"/>
  <sheetViews>
    <sheetView showGridLines="0" zoomScaleNormal="100" workbookViewId="0">
      <pane ySplit="12" topLeftCell="A13" activePane="bottomLeft" state="frozen"/>
      <selection pane="bottomLeft" activeCell="O42" sqref="O42"/>
    </sheetView>
  </sheetViews>
  <sheetFormatPr defaultRowHeight="14.4"/>
  <cols>
    <col min="1" max="1" width="36.44140625" customWidth="1"/>
    <col min="2" max="2" width="17.33203125" customWidth="1"/>
    <col min="3" max="3" width="20" customWidth="1"/>
    <col min="4" max="6" width="12.6640625" customWidth="1"/>
    <col min="7" max="7" width="15.44140625" customWidth="1"/>
    <col min="8" max="8" width="12.6640625" customWidth="1"/>
    <col min="9" max="9" width="14.5546875" customWidth="1"/>
  </cols>
  <sheetData>
    <row r="1" spans="1:9" ht="15.6">
      <c r="A1" s="920" t="s">
        <v>896</v>
      </c>
      <c r="B1" s="93"/>
      <c r="C1" s="93"/>
      <c r="D1" s="93"/>
      <c r="E1" s="93"/>
      <c r="F1" s="93"/>
      <c r="G1" s="93"/>
      <c r="H1" s="93"/>
      <c r="I1" s="93"/>
    </row>
    <row r="2" spans="1:9">
      <c r="A2" s="891" t="s">
        <v>897</v>
      </c>
      <c r="B2" s="93"/>
      <c r="C2" s="93"/>
      <c r="D2" s="93"/>
      <c r="E2" s="93"/>
      <c r="F2" s="93"/>
      <c r="G2" s="93"/>
      <c r="H2" s="93"/>
      <c r="I2" s="93"/>
    </row>
    <row r="3" spans="1:9">
      <c r="A3" s="93"/>
      <c r="B3" s="93"/>
      <c r="C3" s="93"/>
      <c r="D3" s="93"/>
      <c r="E3" s="93"/>
      <c r="F3" s="93"/>
      <c r="G3" s="93"/>
      <c r="H3" s="93"/>
      <c r="I3" s="93"/>
    </row>
    <row r="4" spans="1:9" ht="15" thickBot="1">
      <c r="A4" s="921" t="s">
        <v>841</v>
      </c>
      <c r="B4" s="892"/>
      <c r="C4" s="892"/>
      <c r="D4" s="892"/>
      <c r="E4" s="892"/>
      <c r="F4" s="892"/>
      <c r="G4" s="892"/>
      <c r="H4" s="892"/>
      <c r="I4" s="893"/>
    </row>
    <row r="5" spans="1:9">
      <c r="A5" s="922" t="s">
        <v>842</v>
      </c>
      <c r="B5" s="923" t="s">
        <v>843</v>
      </c>
      <c r="C5" s="924" t="s">
        <v>844</v>
      </c>
      <c r="D5" s="924" t="s">
        <v>845</v>
      </c>
      <c r="E5" s="924" t="s">
        <v>846</v>
      </c>
      <c r="F5" s="924" t="s">
        <v>847</v>
      </c>
      <c r="G5" s="924"/>
      <c r="H5" s="924"/>
      <c r="I5" s="894"/>
    </row>
    <row r="6" spans="1:9">
      <c r="A6" s="895" t="s">
        <v>848</v>
      </c>
      <c r="B6" s="925" t="s">
        <v>849</v>
      </c>
      <c r="C6" s="926">
        <v>7000</v>
      </c>
      <c r="D6" s="926">
        <f>I15</f>
        <v>0</v>
      </c>
      <c r="E6" s="926">
        <f>I16</f>
        <v>0</v>
      </c>
      <c r="F6" s="896">
        <f>D6+E6</f>
        <v>0</v>
      </c>
      <c r="G6" s="896"/>
      <c r="H6" s="896"/>
      <c r="I6" s="897"/>
    </row>
    <row r="7" spans="1:9">
      <c r="A7" s="895" t="s">
        <v>850</v>
      </c>
      <c r="B7" s="925" t="s">
        <v>851</v>
      </c>
      <c r="C7" s="926">
        <v>7000</v>
      </c>
      <c r="D7" s="926">
        <f>I21</f>
        <v>0</v>
      </c>
      <c r="E7" s="926">
        <f>I22</f>
        <v>0</v>
      </c>
      <c r="F7" s="896">
        <f>D7+E7</f>
        <v>0</v>
      </c>
      <c r="G7" s="896"/>
      <c r="H7" s="896"/>
      <c r="I7" s="897"/>
    </row>
    <row r="8" spans="1:9">
      <c r="A8" s="895" t="s">
        <v>852</v>
      </c>
      <c r="B8" s="925" t="s">
        <v>853</v>
      </c>
      <c r="C8" s="926">
        <v>7000</v>
      </c>
      <c r="D8" s="926">
        <f>I27</f>
        <v>0</v>
      </c>
      <c r="E8" s="926">
        <f>I28</f>
        <v>0</v>
      </c>
      <c r="F8" s="896">
        <f>D8+E8</f>
        <v>0</v>
      </c>
      <c r="G8" s="896"/>
      <c r="H8" s="896"/>
      <c r="I8" s="897"/>
    </row>
    <row r="9" spans="1:9">
      <c r="A9" s="895" t="s">
        <v>854</v>
      </c>
      <c r="B9" s="925" t="s">
        <v>855</v>
      </c>
      <c r="C9" s="926">
        <v>5000</v>
      </c>
      <c r="D9" s="926">
        <f>I33</f>
        <v>0</v>
      </c>
      <c r="E9" s="926">
        <f>I34</f>
        <v>0</v>
      </c>
      <c r="F9" s="896">
        <f>D9+E9</f>
        <v>0</v>
      </c>
      <c r="G9" s="896"/>
      <c r="H9" s="896"/>
      <c r="I9" s="897"/>
    </row>
    <row r="10" spans="1:9">
      <c r="A10" s="895" t="s">
        <v>898</v>
      </c>
      <c r="B10" s="925" t="s">
        <v>899</v>
      </c>
      <c r="C10" s="926">
        <v>5000</v>
      </c>
      <c r="D10" s="926">
        <f>I39</f>
        <v>0</v>
      </c>
      <c r="E10" s="926">
        <f>I40</f>
        <v>0</v>
      </c>
      <c r="F10" s="896">
        <f>D10+E10</f>
        <v>0</v>
      </c>
      <c r="G10" s="896"/>
      <c r="H10" s="896"/>
      <c r="I10" s="897"/>
    </row>
    <row r="11" spans="1:9" ht="15" thickBot="1">
      <c r="A11" s="927" t="s">
        <v>856</v>
      </c>
      <c r="B11" s="898"/>
      <c r="C11" s="899">
        <f>SUM(C6:C10)</f>
        <v>31000</v>
      </c>
      <c r="D11" s="899">
        <f>SUM(D6:D10)</f>
        <v>0</v>
      </c>
      <c r="E11" s="899">
        <f>SUM(E6:E10)</f>
        <v>0</v>
      </c>
      <c r="F11" s="899">
        <f>SUM(F6:F10)</f>
        <v>0</v>
      </c>
      <c r="G11" s="899"/>
      <c r="H11" s="899"/>
      <c r="I11" s="900"/>
    </row>
    <row r="12" spans="1:9">
      <c r="A12" s="93"/>
      <c r="B12" s="93"/>
      <c r="C12" s="93"/>
      <c r="D12" s="93"/>
      <c r="E12" s="93"/>
      <c r="F12" s="93"/>
      <c r="G12" s="93"/>
      <c r="H12" s="93"/>
      <c r="I12" s="93"/>
    </row>
    <row r="13" spans="1:9">
      <c r="A13" s="928" t="s">
        <v>857</v>
      </c>
      <c r="B13" s="93"/>
      <c r="C13" s="93"/>
      <c r="D13" s="93"/>
      <c r="E13" s="93"/>
      <c r="F13" s="93"/>
      <c r="G13" s="929" t="s">
        <v>858</v>
      </c>
      <c r="H13" s="93"/>
      <c r="I13" s="93"/>
    </row>
    <row r="14" spans="1:9">
      <c r="A14" s="930" t="s">
        <v>859</v>
      </c>
      <c r="B14" s="931" t="s">
        <v>860</v>
      </c>
      <c r="C14" s="931" t="s">
        <v>861</v>
      </c>
      <c r="D14" s="931" t="s">
        <v>900</v>
      </c>
      <c r="E14" s="931" t="s">
        <v>901</v>
      </c>
      <c r="F14" s="931" t="s">
        <v>902</v>
      </c>
      <c r="G14" s="931" t="s">
        <v>903</v>
      </c>
      <c r="H14" s="931" t="s">
        <v>866</v>
      </c>
      <c r="I14" s="932" t="s">
        <v>867</v>
      </c>
    </row>
    <row r="15" spans="1:9">
      <c r="A15" s="933" t="s">
        <v>868</v>
      </c>
      <c r="B15" s="934">
        <v>0.6</v>
      </c>
      <c r="C15" s="1226" t="s">
        <v>904</v>
      </c>
      <c r="D15" s="901"/>
      <c r="E15" s="901"/>
      <c r="F15" s="901"/>
      <c r="G15" s="940" t="str">
        <f>IF(COUNTA(D15:F15)=0,"",AVERAGE(D15:F15))</f>
        <v/>
      </c>
      <c r="H15" s="1219" t="str">
        <f>IF(G15="","—",IF(G15&gt;=0.92,"✓","✗"))</f>
        <v>—</v>
      </c>
      <c r="I15" s="903">
        <f>IF(H15="✓",B15*$C$6,0)</f>
        <v>0</v>
      </c>
    </row>
    <row r="16" spans="1:9">
      <c r="A16" s="935" t="s">
        <v>870</v>
      </c>
      <c r="B16" s="936">
        <v>0.4</v>
      </c>
      <c r="C16" s="937" t="s">
        <v>887</v>
      </c>
      <c r="D16" s="904"/>
      <c r="E16" s="904"/>
      <c r="F16" s="904"/>
      <c r="G16" s="1205" t="str">
        <f>IF(COUNTA(D16:F16)=0,"",AVERAGE(D16:F16))</f>
        <v/>
      </c>
      <c r="H16" s="1220" t="str">
        <f>IF(G16="","—",IF(G16&gt;=0.85,"✓","✗"))</f>
        <v>—</v>
      </c>
      <c r="I16" s="906">
        <f>IF(H16="✓",B16*$C$6,0)</f>
        <v>0</v>
      </c>
    </row>
    <row r="17" spans="1:9">
      <c r="A17" s="938"/>
      <c r="B17" s="907">
        <f>SUM(B15:B16)</f>
        <v>1</v>
      </c>
      <c r="C17" s="908"/>
      <c r="D17" s="908"/>
      <c r="E17" s="908"/>
      <c r="F17" s="908"/>
      <c r="G17" s="908"/>
      <c r="H17" s="939" t="s">
        <v>872</v>
      </c>
      <c r="I17" s="909">
        <f>SUM(I15:I16)</f>
        <v>0</v>
      </c>
    </row>
    <row r="19" spans="1:9">
      <c r="A19" s="928" t="s">
        <v>873</v>
      </c>
      <c r="B19" s="93"/>
      <c r="C19" s="93"/>
      <c r="D19" s="93"/>
      <c r="E19" s="93"/>
      <c r="F19" s="93"/>
      <c r="G19" s="929" t="s">
        <v>858</v>
      </c>
      <c r="H19" s="93"/>
      <c r="I19" s="93"/>
    </row>
    <row r="20" spans="1:9">
      <c r="A20" s="930" t="s">
        <v>859</v>
      </c>
      <c r="B20" s="931" t="s">
        <v>860</v>
      </c>
      <c r="C20" s="931" t="s">
        <v>861</v>
      </c>
      <c r="D20" s="931" t="s">
        <v>900</v>
      </c>
      <c r="E20" s="931" t="s">
        <v>901</v>
      </c>
      <c r="F20" s="931" t="s">
        <v>902</v>
      </c>
      <c r="G20" s="931" t="s">
        <v>903</v>
      </c>
      <c r="H20" s="931" t="s">
        <v>866</v>
      </c>
      <c r="I20" s="932" t="s">
        <v>867</v>
      </c>
    </row>
    <row r="21" spans="1:9">
      <c r="A21" s="933" t="s">
        <v>905</v>
      </c>
      <c r="B21" s="934">
        <v>0.6</v>
      </c>
      <c r="C21" s="1222" t="s">
        <v>906</v>
      </c>
      <c r="D21" s="901"/>
      <c r="E21" s="901"/>
      <c r="F21" s="901"/>
      <c r="G21" s="940" t="str">
        <f>IF(F21="","",F21)</f>
        <v/>
      </c>
      <c r="H21" s="1219" t="str">
        <f>IF(G21="","—",IF(G21&gt;=0.85,"✓","✗"))</f>
        <v>—</v>
      </c>
      <c r="I21" s="903">
        <f>IF(H21="✓",B21*$C$7,0)</f>
        <v>0</v>
      </c>
    </row>
    <row r="22" spans="1:9">
      <c r="A22" s="935" t="s">
        <v>877</v>
      </c>
      <c r="B22" s="936">
        <v>0.4</v>
      </c>
      <c r="C22" s="1223" t="s">
        <v>907</v>
      </c>
      <c r="D22" s="904"/>
      <c r="E22" s="904"/>
      <c r="F22" s="904"/>
      <c r="G22" s="1205" t="str">
        <f>IF(COUNTA(D22:F22)=0,"",AVERAGE(D22:F22))</f>
        <v/>
      </c>
      <c r="H22" s="1220" t="str">
        <f>IF(COUNTA(D22:F22)=0,"—",IF(MIN(D22:F22)&gt;=0.65,"✓","✗"))</f>
        <v>—</v>
      </c>
      <c r="I22" s="906">
        <f>IF(H22="✓",B22*$C$7,0)</f>
        <v>0</v>
      </c>
    </row>
    <row r="23" spans="1:9">
      <c r="A23" s="938"/>
      <c r="B23" s="907">
        <f>SUM(B21:B22)</f>
        <v>1</v>
      </c>
      <c r="C23" s="908"/>
      <c r="D23" s="908"/>
      <c r="E23" s="908"/>
      <c r="F23" s="908"/>
      <c r="G23" s="908"/>
      <c r="H23" s="939" t="s">
        <v>872</v>
      </c>
      <c r="I23" s="909">
        <f>SUM(I21:I22)</f>
        <v>0</v>
      </c>
    </row>
    <row r="25" spans="1:9">
      <c r="A25" s="928" t="s">
        <v>879</v>
      </c>
      <c r="B25" s="93"/>
      <c r="C25" s="93"/>
      <c r="D25" s="93"/>
      <c r="E25" s="93"/>
      <c r="F25" s="93"/>
      <c r="G25" s="929" t="s">
        <v>858</v>
      </c>
      <c r="H25" s="93"/>
      <c r="I25" s="93"/>
    </row>
    <row r="26" spans="1:9">
      <c r="A26" s="930" t="s">
        <v>859</v>
      </c>
      <c r="B26" s="931" t="s">
        <v>860</v>
      </c>
      <c r="C26" s="931" t="s">
        <v>861</v>
      </c>
      <c r="D26" s="931" t="s">
        <v>900</v>
      </c>
      <c r="E26" s="931" t="s">
        <v>901</v>
      </c>
      <c r="F26" s="931" t="s">
        <v>902</v>
      </c>
      <c r="G26" s="931" t="s">
        <v>903</v>
      </c>
      <c r="H26" s="931" t="s">
        <v>866</v>
      </c>
      <c r="I26" s="932" t="s">
        <v>867</v>
      </c>
    </row>
    <row r="27" spans="1:9">
      <c r="A27" s="933" t="s">
        <v>908</v>
      </c>
      <c r="B27" s="934">
        <v>0.6</v>
      </c>
      <c r="C27" s="1224" t="s">
        <v>909</v>
      </c>
      <c r="D27" s="901"/>
      <c r="E27" s="901"/>
      <c r="F27" s="901"/>
      <c r="G27" s="940" t="str">
        <f>IF(COUNTA(D27:F27)=0,"",AVERAGE(D27:F27))</f>
        <v/>
      </c>
      <c r="H27" s="1219" t="str">
        <f>IF(G27="","—",IF(G27&lt;=1,"✓","✗"))</f>
        <v>—</v>
      </c>
      <c r="I27" s="903">
        <f>IF(H27="✓",B27*$C$8,0)</f>
        <v>0</v>
      </c>
    </row>
    <row r="28" spans="1:9">
      <c r="A28" s="935" t="s">
        <v>882</v>
      </c>
      <c r="B28" s="936">
        <v>0.4</v>
      </c>
      <c r="C28" s="1225" t="s">
        <v>910</v>
      </c>
      <c r="D28" s="1213"/>
      <c r="E28" s="1213"/>
      <c r="F28" s="1213"/>
      <c r="G28" s="1214" t="str">
        <f>IF(COUNTA(D28:F28)=0,"",AVERAGE(D28:F28))</f>
        <v/>
      </c>
      <c r="H28" s="1220" t="str">
        <f>IF(G28="","—",IF(G28&lt;75000,"✓","✗"))</f>
        <v>—</v>
      </c>
      <c r="I28" s="906">
        <f>IF(H28="✓",B28*$C$8,0)</f>
        <v>0</v>
      </c>
    </row>
    <row r="29" spans="1:9">
      <c r="A29" s="938"/>
      <c r="B29" s="907">
        <f>SUM(B27:B28)</f>
        <v>1</v>
      </c>
      <c r="C29" s="908"/>
      <c r="D29" s="908"/>
      <c r="E29" s="908"/>
      <c r="F29" s="908"/>
      <c r="G29" s="908"/>
      <c r="H29" s="939" t="s">
        <v>872</v>
      </c>
      <c r="I29" s="909">
        <f>SUM(I27:I28)</f>
        <v>0</v>
      </c>
    </row>
    <row r="31" spans="1:9">
      <c r="A31" s="928" t="s">
        <v>884</v>
      </c>
      <c r="B31" s="93"/>
      <c r="C31" s="93"/>
      <c r="D31" s="93"/>
      <c r="E31" s="93"/>
      <c r="F31" s="93"/>
      <c r="G31" s="929" t="s">
        <v>885</v>
      </c>
      <c r="H31" s="93"/>
      <c r="I31" s="93"/>
    </row>
    <row r="32" spans="1:9">
      <c r="A32" s="930" t="s">
        <v>859</v>
      </c>
      <c r="B32" s="931" t="s">
        <v>860</v>
      </c>
      <c r="C32" s="931" t="s">
        <v>861</v>
      </c>
      <c r="D32" s="931" t="s">
        <v>900</v>
      </c>
      <c r="E32" s="931" t="s">
        <v>901</v>
      </c>
      <c r="F32" s="931" t="s">
        <v>902</v>
      </c>
      <c r="G32" s="931" t="s">
        <v>903</v>
      </c>
      <c r="H32" s="931" t="s">
        <v>866</v>
      </c>
      <c r="I32" s="932" t="s">
        <v>867</v>
      </c>
    </row>
    <row r="33" spans="1:9">
      <c r="A33" s="933" t="s">
        <v>886</v>
      </c>
      <c r="B33" s="934">
        <v>0.6</v>
      </c>
      <c r="C33" s="1222" t="s">
        <v>887</v>
      </c>
      <c r="D33" s="901"/>
      <c r="E33" s="901"/>
      <c r="F33" s="901"/>
      <c r="G33" s="940" t="str">
        <f>IF(COUNTA(D33:F33)=0,"",AVERAGE(D33:F33))</f>
        <v/>
      </c>
      <c r="H33" s="1219" t="str">
        <f>IF(G33="","—",IF(G33&gt;=0.9,"✓","✗"))</f>
        <v>—</v>
      </c>
      <c r="I33" s="903">
        <f>IF(H33="✓",B33*$C$9,0)</f>
        <v>0</v>
      </c>
    </row>
    <row r="34" spans="1:9">
      <c r="A34" s="935" t="s">
        <v>888</v>
      </c>
      <c r="B34" s="936">
        <v>0.4</v>
      </c>
      <c r="C34" s="1223" t="s">
        <v>911</v>
      </c>
      <c r="D34" s="904"/>
      <c r="E34" s="904"/>
      <c r="F34" s="904"/>
      <c r="G34" s="1205" t="str">
        <f>IF(COUNTA(D34:F34)=0,"",AVERAGE(D34:F34))</f>
        <v/>
      </c>
      <c r="H34" s="1220" t="str">
        <f>IF(G34="","—",IF(G34&gt;0.6,"✓","✗"))</f>
        <v>—</v>
      </c>
      <c r="I34" s="906">
        <f>IF(H34="✓",B34*$C$9,0)</f>
        <v>0</v>
      </c>
    </row>
    <row r="35" spans="1:9">
      <c r="A35" s="938"/>
      <c r="B35" s="907">
        <f>SUM(B33:B34)</f>
        <v>1</v>
      </c>
      <c r="C35" s="908"/>
      <c r="D35" s="908"/>
      <c r="E35" s="908"/>
      <c r="F35" s="908"/>
      <c r="G35" s="908"/>
      <c r="H35" s="939" t="s">
        <v>872</v>
      </c>
      <c r="I35" s="909">
        <f>SUM(I33:I34)</f>
        <v>0</v>
      </c>
    </row>
    <row r="37" spans="1:9">
      <c r="A37" s="928" t="s">
        <v>912</v>
      </c>
      <c r="B37" s="93"/>
      <c r="C37" s="93"/>
      <c r="D37" s="93"/>
      <c r="E37" s="93"/>
      <c r="F37" s="93"/>
      <c r="G37" s="929" t="s">
        <v>885</v>
      </c>
      <c r="H37" s="93"/>
      <c r="I37" s="93"/>
    </row>
    <row r="38" spans="1:9">
      <c r="A38" s="930" t="s">
        <v>859</v>
      </c>
      <c r="B38" s="931" t="s">
        <v>860</v>
      </c>
      <c r="C38" s="931" t="s">
        <v>861</v>
      </c>
      <c r="D38" s="931" t="s">
        <v>900</v>
      </c>
      <c r="E38" s="931" t="s">
        <v>901</v>
      </c>
      <c r="F38" s="931" t="s">
        <v>902</v>
      </c>
      <c r="G38" s="931" t="s">
        <v>903</v>
      </c>
      <c r="H38" s="931" t="s">
        <v>866</v>
      </c>
      <c r="I38" s="932" t="s">
        <v>867</v>
      </c>
    </row>
    <row r="39" spans="1:9">
      <c r="A39" s="933" t="s">
        <v>913</v>
      </c>
      <c r="B39" s="934">
        <v>0.6</v>
      </c>
      <c r="C39" s="1221" t="s">
        <v>914</v>
      </c>
      <c r="D39" s="1215"/>
      <c r="E39" s="1215"/>
      <c r="F39" s="1215"/>
      <c r="G39" s="1216" t="str">
        <f>IF(COUNTA(D39:F39)=0,"",AVERAGE(D39:F39))</f>
        <v/>
      </c>
      <c r="H39" s="1219" t="str">
        <f>IF(G39="","—",IF(G39&gt;=60,"✓","✗"))</f>
        <v>—</v>
      </c>
      <c r="I39" s="903">
        <f>IF(H39="✓",B39*$C$10,0)</f>
        <v>0</v>
      </c>
    </row>
    <row r="40" spans="1:9">
      <c r="A40" s="935" t="s">
        <v>915</v>
      </c>
      <c r="B40" s="936">
        <v>0.4</v>
      </c>
      <c r="C40" s="937" t="s">
        <v>916</v>
      </c>
      <c r="D40" s="1217"/>
      <c r="E40" s="1217"/>
      <c r="F40" s="1217"/>
      <c r="G40" s="1218" t="str">
        <f>IF(COUNTA(D40:F40)=0,"",AVERAGE(D40:F40))</f>
        <v/>
      </c>
      <c r="H40" s="1220" t="str">
        <f>IF(G40="","—",IF(G40&lt;5,"✓","✗"))</f>
        <v>—</v>
      </c>
      <c r="I40" s="906">
        <f>IF(H40="✓",B40*$C$10,0)</f>
        <v>0</v>
      </c>
    </row>
    <row r="41" spans="1:9">
      <c r="A41" s="938"/>
      <c r="B41" s="907">
        <f>SUM(B39:B40)</f>
        <v>1</v>
      </c>
      <c r="C41" s="908"/>
      <c r="D41" s="908"/>
      <c r="E41" s="908"/>
      <c r="F41" s="908"/>
      <c r="G41" s="908"/>
      <c r="H41" s="939" t="s">
        <v>872</v>
      </c>
      <c r="I41" s="909">
        <f>SUM(I39:I40)</f>
        <v>0</v>
      </c>
    </row>
    <row r="43" spans="1:9">
      <c r="A43" s="945" t="s">
        <v>890</v>
      </c>
      <c r="B43" s="916"/>
      <c r="C43" s="916"/>
      <c r="D43" s="916"/>
      <c r="E43" s="916"/>
      <c r="F43" s="916"/>
      <c r="G43" s="916"/>
      <c r="H43" s="916"/>
      <c r="I43" s="916"/>
    </row>
    <row r="44" spans="1:9">
      <c r="A44" s="946" t="s">
        <v>891</v>
      </c>
      <c r="B44" s="93"/>
      <c r="C44" s="93"/>
      <c r="D44" s="93"/>
      <c r="E44" s="93"/>
      <c r="F44" s="93"/>
      <c r="G44" s="93"/>
      <c r="H44" s="93"/>
      <c r="I44" s="93"/>
    </row>
    <row r="45" spans="1:9">
      <c r="A45" s="946" t="s">
        <v>892</v>
      </c>
      <c r="B45" s="93"/>
      <c r="C45" s="93"/>
      <c r="D45" s="93"/>
      <c r="E45" s="93"/>
      <c r="F45" s="93"/>
      <c r="G45" s="93"/>
      <c r="H45" s="93"/>
      <c r="I45" s="93"/>
    </row>
    <row r="46" spans="1:9">
      <c r="A46" s="946" t="s">
        <v>917</v>
      </c>
      <c r="B46" s="93"/>
      <c r="C46" s="93"/>
      <c r="D46" s="93"/>
      <c r="E46" s="93"/>
      <c r="F46" s="93"/>
      <c r="G46" s="93"/>
      <c r="H46" s="93"/>
      <c r="I46" s="93"/>
    </row>
    <row r="47" spans="1:9">
      <c r="A47" s="946" t="s">
        <v>918</v>
      </c>
      <c r="B47" s="93"/>
      <c r="C47" s="93"/>
      <c r="D47" s="93"/>
      <c r="E47" s="93"/>
      <c r="F47" s="93"/>
      <c r="G47" s="93"/>
      <c r="H47" s="93"/>
      <c r="I47" s="93"/>
    </row>
    <row r="48" spans="1:9">
      <c r="A48" s="946" t="s">
        <v>895</v>
      </c>
      <c r="B48" s="93"/>
      <c r="C48" s="93"/>
      <c r="D48" s="93"/>
      <c r="E48" s="93"/>
      <c r="F48" s="93"/>
      <c r="G48" s="93"/>
      <c r="H48" s="93"/>
      <c r="I48" s="93"/>
    </row>
    <row r="49" spans="1:9">
      <c r="A49" s="946" t="s">
        <v>919</v>
      </c>
      <c r="B49" s="93"/>
      <c r="C49" s="93"/>
      <c r="D49" s="93"/>
      <c r="E49" s="93"/>
      <c r="F49" s="93"/>
      <c r="G49" s="93"/>
      <c r="H49" s="93"/>
      <c r="I49" s="93"/>
    </row>
  </sheetData>
  <conditionalFormatting sqref="H15:H16">
    <cfRule type="containsText" dxfId="106" priority="9" operator="containsText" text="✓">
      <formula>NOT(ISERROR(SEARCH("✓",H15)))</formula>
    </cfRule>
    <cfRule type="containsText" dxfId="105" priority="10" operator="containsText" text="✗">
      <formula>NOT(ISERROR(SEARCH("✗",H15)))</formula>
    </cfRule>
    <cfRule type="containsText" dxfId="104" priority="11" operator="containsText" text="✓">
      <formula>NOT(ISERROR(SEARCH("✓",H15)))</formula>
    </cfRule>
    <cfRule type="containsText" dxfId="103" priority="12" operator="containsText" text="✗">
      <formula>NOT(ISERROR(SEARCH("✗",H15)))</formula>
    </cfRule>
  </conditionalFormatting>
  <conditionalFormatting sqref="H21:H22">
    <cfRule type="containsText" dxfId="102" priority="7" operator="containsText" text="✓">
      <formula>NOT(ISERROR(SEARCH("✓",H21)))</formula>
    </cfRule>
    <cfRule type="containsText" dxfId="101" priority="8" operator="containsText" text="✗">
      <formula>NOT(ISERROR(SEARCH("✗",H21)))</formula>
    </cfRule>
    <cfRule type="containsText" dxfId="100" priority="13" operator="containsText" text="✓">
      <formula>NOT(ISERROR(SEARCH("✓",H21)))</formula>
    </cfRule>
    <cfRule type="containsText" dxfId="99" priority="14" operator="containsText" text="✗">
      <formula>NOT(ISERROR(SEARCH("✗",H21)))</formula>
    </cfRule>
  </conditionalFormatting>
  <conditionalFormatting sqref="H27:H28">
    <cfRule type="containsText" dxfId="98" priority="5" operator="containsText" text="✓">
      <formula>NOT(ISERROR(SEARCH("✓",H27)))</formula>
    </cfRule>
    <cfRule type="containsText" dxfId="97" priority="6" operator="containsText" text="✗">
      <formula>NOT(ISERROR(SEARCH("✗",H27)))</formula>
    </cfRule>
    <cfRule type="containsText" dxfId="96" priority="15" operator="containsText" text="✓">
      <formula>NOT(ISERROR(SEARCH("✓",H27)))</formula>
    </cfRule>
    <cfRule type="containsText" dxfId="95" priority="16" operator="containsText" text="✗">
      <formula>NOT(ISERROR(SEARCH("✗",H27)))</formula>
    </cfRule>
  </conditionalFormatting>
  <conditionalFormatting sqref="H33:H34">
    <cfRule type="containsText" dxfId="94" priority="3" operator="containsText" text="✓">
      <formula>NOT(ISERROR(SEARCH("✓",H33)))</formula>
    </cfRule>
    <cfRule type="containsText" dxfId="93" priority="4" operator="containsText" text="✗">
      <formula>NOT(ISERROR(SEARCH("✗",H33)))</formula>
    </cfRule>
    <cfRule type="containsText" dxfId="92" priority="17" operator="containsText" text="✓">
      <formula>NOT(ISERROR(SEARCH("✓",H33)))</formula>
    </cfRule>
    <cfRule type="containsText" dxfId="91" priority="18" operator="containsText" text="✗">
      <formula>NOT(ISERROR(SEARCH("✗",H33)))</formula>
    </cfRule>
  </conditionalFormatting>
  <conditionalFormatting sqref="H39:H40">
    <cfRule type="containsText" dxfId="90" priority="1" operator="containsText" text="✓">
      <formula>NOT(ISERROR(SEARCH("✓",H39)))</formula>
    </cfRule>
    <cfRule type="containsText" dxfId="89" priority="2" operator="containsText" text="✗">
      <formula>NOT(ISERROR(SEARCH("✗",H39)))</formula>
    </cfRule>
    <cfRule type="containsText" dxfId="88" priority="19" operator="containsText" text="✓">
      <formula>NOT(ISERROR(SEARCH("✓",H39)))</formula>
    </cfRule>
    <cfRule type="containsText" dxfId="87" priority="20" operator="containsText" text="✗">
      <formula>NOT(ISERROR(SEARCH("✗",H39)))</formula>
    </cfRule>
  </conditionalFormatting>
  <pageMargins left="0.7" right="0.7" top="0.75" bottom="0.75" header="0.3" footer="0.3"/>
  <pageSetup scale="58"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002060"/>
  </sheetPr>
  <dimension ref="A1:I86"/>
  <sheetViews>
    <sheetView showGridLines="0" zoomScaleNormal="100" workbookViewId="0">
      <pane xSplit="2" ySplit="5" topLeftCell="C6" activePane="bottomRight" state="frozen"/>
      <selection pane="topRight" activeCell="C1" sqref="C1"/>
      <selection pane="bottomLeft" activeCell="A6" sqref="A6"/>
      <selection pane="bottomRight" activeCell="M19" sqref="M19"/>
    </sheetView>
  </sheetViews>
  <sheetFormatPr defaultColWidth="8.5546875" defaultRowHeight="14.4"/>
  <cols>
    <col min="1" max="1" width="1.44140625" customWidth="1"/>
    <col min="2" max="2" width="26.88671875" customWidth="1"/>
    <col min="3" max="3" width="12" customWidth="1"/>
    <col min="4" max="4" width="16.109375" bestFit="1" customWidth="1"/>
    <col min="5" max="5" width="12" customWidth="1"/>
    <col min="6" max="6" width="17.109375" customWidth="1"/>
    <col min="7" max="8" width="10" customWidth="1"/>
  </cols>
  <sheetData>
    <row r="1" spans="1:9" ht="21.75" customHeight="1">
      <c r="B1" s="1239" t="s">
        <v>783</v>
      </c>
      <c r="C1" s="1240"/>
      <c r="D1" s="1240"/>
      <c r="E1" s="1240"/>
      <c r="F1" s="1240"/>
      <c r="G1" s="1240"/>
      <c r="H1" s="1240"/>
      <c r="I1" s="1240"/>
    </row>
    <row r="2" spans="1:9" ht="15" customHeight="1">
      <c r="B2" s="1241" t="s">
        <v>920</v>
      </c>
      <c r="C2" s="1240"/>
      <c r="D2" s="1240"/>
      <c r="E2" s="1240"/>
      <c r="F2" s="1240"/>
      <c r="G2" s="1240"/>
      <c r="H2" s="1240"/>
      <c r="I2" s="1240"/>
    </row>
    <row r="3" spans="1:9" ht="15" customHeight="1">
      <c r="B3" s="3" t="s">
        <v>921</v>
      </c>
      <c r="C3" s="42">
        <v>32</v>
      </c>
      <c r="D3" s="4" t="s">
        <v>922</v>
      </c>
      <c r="F3" s="5">
        <f>IFERROR(VLOOKUP(C3,Targets!A:B,2,FALSE()),"")</f>
        <v>46244</v>
      </c>
    </row>
    <row r="5" spans="1:9" ht="15" customHeight="1">
      <c r="A5" s="43"/>
      <c r="B5" s="43" t="s">
        <v>923</v>
      </c>
      <c r="C5" s="43" t="s">
        <v>924</v>
      </c>
      <c r="D5" s="43" t="s">
        <v>925</v>
      </c>
      <c r="E5" s="43" t="s">
        <v>926</v>
      </c>
      <c r="F5" s="43" t="s">
        <v>927</v>
      </c>
      <c r="G5" s="43" t="s">
        <v>928</v>
      </c>
      <c r="H5" s="43" t="s">
        <v>929</v>
      </c>
    </row>
    <row r="6" spans="1:9" ht="15" thickBot="1">
      <c r="A6" s="33"/>
      <c r="B6" s="32" t="s">
        <v>930</v>
      </c>
      <c r="C6" s="33"/>
      <c r="D6" s="33"/>
      <c r="E6" s="33"/>
      <c r="F6" s="33"/>
      <c r="G6" s="33"/>
      <c r="H6" s="33"/>
    </row>
    <row r="7" spans="1:9" ht="15" customHeight="1">
      <c r="B7" s="44" t="s">
        <v>931</v>
      </c>
      <c r="C7" s="45">
        <f>IFERROR(INDEX(Targets!$A$5:$O$100,$C$3,3),"—")</f>
        <v>0.73522727272727273</v>
      </c>
      <c r="D7" s="46" cm="1">
        <f t="array" ref="D7">IFERROR(INDEX(Data_2!$D$6:$CW$6,1,$C$3+2),"")</f>
        <v>0.73509174311926606</v>
      </c>
      <c r="E7" s="46">
        <f>IFERROR(D7-C7,"—")</f>
        <v>-1.3552960800666813E-4</v>
      </c>
      <c r="F7" s="46" cm="1">
        <f t="array" ref="F7">IFERROR(INDEX(Data_2!$D$6:$CW$6,1,$C$3+1),"")</f>
        <v>0.73165137614678899</v>
      </c>
      <c r="G7" s="46">
        <f>IFERROR(D7-F7,"—")</f>
        <v>3.4403669724770714E-3</v>
      </c>
      <c r="H7" s="47" t="str">
        <f>IF(AND(ISNUMBER(D7),ISNUMBER(C7)),IF(D7&gt;=C7,"✓","✗"),"")</f>
        <v>✗</v>
      </c>
    </row>
    <row r="8" spans="1:9" ht="15" customHeight="1">
      <c r="B8" s="44" t="s">
        <v>932</v>
      </c>
      <c r="C8" s="48" t="str">
        <f>IFERROR(INDEX(Targets!$A$5:C:C,$C$3,4),"—")</f>
        <v>—</v>
      </c>
      <c r="D8" s="49" cm="1">
        <f t="array" ref="D8">IFERROR(INDEX(Data_2!$D$7:$CW$7,1,$C$3+2),"")</f>
        <v>641</v>
      </c>
      <c r="E8" s="49" t="str">
        <f>IFERROR(D8-C8,"—")</f>
        <v>—</v>
      </c>
      <c r="F8" s="49" cm="1">
        <f t="array" ref="F8">IFERROR(INDEX(Data_2!$D$7:$CW$7,1,$C$3+1),"")</f>
        <v>638</v>
      </c>
      <c r="G8" s="49">
        <f>IFERROR(D8-F8,"—")</f>
        <v>3</v>
      </c>
      <c r="H8" s="47" t="str">
        <f>IF(AND(ISNUMBER(D8),ISNUMBER(C8)),IF(D8&gt;=C8,"✓","✗"),"")</f>
        <v/>
      </c>
    </row>
    <row r="9" spans="1:9" ht="15" customHeight="1">
      <c r="B9" s="44" t="s">
        <v>933</v>
      </c>
      <c r="C9" s="45" t="s">
        <v>338</v>
      </c>
      <c r="D9" s="46" cm="1">
        <f t="array" ref="D9">IFERROR(INDEX(Data_2!$D$13:$CW$13,1,$C$3+2),"")</f>
        <v>0.24885321100917432</v>
      </c>
      <c r="E9" s="46" t="s">
        <v>338</v>
      </c>
      <c r="F9" s="46" cm="1">
        <f t="array" ref="F9">IFERROR(INDEX(Data_2!$D$13:$CW$13,1,$C$3+1),"")</f>
        <v>0.24655963302752293</v>
      </c>
      <c r="G9" s="46">
        <f>IFERROR(D9-F9,"—")</f>
        <v>2.2935779816513902E-3</v>
      </c>
      <c r="H9" s="47"/>
    </row>
    <row r="10" spans="1:9" ht="15" customHeight="1">
      <c r="B10" s="44" t="s">
        <v>934</v>
      </c>
      <c r="C10" s="48">
        <f>IFERROR(IF(_xlfn.SINGLE(INDEX(Targets!$A$5:$W$100,$C$3,11))=0,"—",_xlfn.SINGLE(INDEX(Targets!$A$5:$W$100,$C$3,11))),"—")</f>
        <v>7</v>
      </c>
      <c r="D10" s="49" cm="1">
        <f t="array" ref="D10">IFERROR(INDEX(Data_2!$D$93:$CW$93,1,$C$3+2),"")</f>
        <v>5</v>
      </c>
      <c r="E10" s="49">
        <f>IF(OR(C10="—",NOT(ISNUMBER(C10))),"—",IFERROR(C10-D10,"—"))</f>
        <v>2</v>
      </c>
      <c r="F10" s="49" cm="1">
        <f t="array" ref="F10">IF($C$3&gt;1,IFERROR(INDEX(Data_2!$D$93:$CW$93,1,$C$3+1),""),"")</f>
        <v>11</v>
      </c>
      <c r="G10" s="49">
        <f>IFERROR(F10-D10,"—")</f>
        <v>6</v>
      </c>
      <c r="H10" s="47" t="str">
        <f>IF(AND(ISNUMBER(D10),ISNUMBER(C10)),IF(D10&lt;=C10,"✓","✗"),"")</f>
        <v>✓</v>
      </c>
    </row>
    <row r="11" spans="1:9" ht="15" customHeight="1" thickBot="1">
      <c r="A11" s="33"/>
      <c r="B11" s="32" t="s">
        <v>935</v>
      </c>
      <c r="C11" s="33"/>
      <c r="D11" s="33"/>
      <c r="E11" s="33"/>
      <c r="F11" s="33"/>
      <c r="G11" s="33"/>
      <c r="H11" s="33"/>
    </row>
    <row r="12" spans="1:9" ht="15" customHeight="1">
      <c r="B12" s="44" t="s">
        <v>936</v>
      </c>
      <c r="C12" s="48">
        <f>IFERROR(INDEX(Targets!$A$5:$O$100,$C$3,5),"—")</f>
        <v>156</v>
      </c>
      <c r="D12" s="49" cm="1">
        <f t="array" ref="D12">IFERROR(INDEX(Data_2!$D$15:$CW$15,1,$C$3+2),"")</f>
        <v>189</v>
      </c>
      <c r="E12" s="49">
        <f>IFERROR(D12-C12,"—")</f>
        <v>33</v>
      </c>
      <c r="F12" s="49" cm="1">
        <f t="array" ref="F12">IFERROR(INDEX(Data_2!$D$15:$CW$15,1,$C$3+1),"")</f>
        <v>200</v>
      </c>
      <c r="G12" s="49">
        <f>IFERROR(D12-F12,"—")</f>
        <v>-11</v>
      </c>
      <c r="H12" s="47" t="str">
        <f>IF(AND(ISNUMBER(D12),ISNUMBER(C12)),IF(D12&gt;=C12,"✓","✗"),"")</f>
        <v>✓</v>
      </c>
    </row>
    <row r="13" spans="1:9" ht="15" customHeight="1">
      <c r="B13" s="44" t="s">
        <v>937</v>
      </c>
      <c r="C13" s="48">
        <f>IFERROR(INDEX(Targets!$A$5:$O$100,$C$3,6),"—")</f>
        <v>39</v>
      </c>
      <c r="D13" s="49" cm="1">
        <f t="array" ref="D13">IFERROR(INDEX(Data_2!$D$16:$CW$16,1,$C$3+2),"")</f>
        <v>29</v>
      </c>
      <c r="E13" s="49">
        <f>IFERROR(D13-C13,"—")</f>
        <v>-10</v>
      </c>
      <c r="F13" s="49" cm="1">
        <f t="array" ref="F13">IFERROR(INDEX(Data_2!$D$16:$CW$16,1,$C$3+1),"")</f>
        <v>28</v>
      </c>
      <c r="G13" s="49">
        <f>IFERROR(D13-F13,"—")</f>
        <v>1</v>
      </c>
      <c r="H13" s="47" t="str">
        <f>IF(AND(ISNUMBER(D13),ISNUMBER(C13)),IF(D13&gt;=C13,"✓","✗"),"")</f>
        <v>✗</v>
      </c>
    </row>
    <row r="14" spans="1:9" ht="15" customHeight="1">
      <c r="B14" s="44" t="s">
        <v>938</v>
      </c>
      <c r="C14" s="48">
        <f>IFERROR(INDEX(Targets!$A$5:$O$100,$C$3,7),"—")</f>
        <v>24</v>
      </c>
      <c r="D14" s="49" cm="1">
        <f t="array" ref="D14">IFERROR(INDEX(Data_2!$D$18:$CW$18,1,$C$3+2),"")</f>
        <v>17</v>
      </c>
      <c r="E14" s="49">
        <f>IFERROR(D14-C14,"—")</f>
        <v>-7</v>
      </c>
      <c r="F14" s="49" cm="1">
        <f t="array" ref="F14">IFERROR(INDEX(Data_2!$D$18:$CW$18,1,$C$3+1),"")</f>
        <v>23</v>
      </c>
      <c r="G14" s="49">
        <f>IFERROR(D14-F14,"—")</f>
        <v>-6</v>
      </c>
      <c r="H14" s="47" t="str">
        <f>IF(AND(ISNUMBER(D14),ISNUMBER(C14)),IF(D14&gt;=C14,"✓","✗"),"")</f>
        <v>✗</v>
      </c>
    </row>
    <row r="15" spans="1:9" ht="15" customHeight="1">
      <c r="B15" s="44" t="s">
        <v>939</v>
      </c>
      <c r="C15" s="48">
        <f>IFERROR(INDEX(Targets!$A$5:$O$100,$C$3,8),"—")</f>
        <v>16</v>
      </c>
      <c r="D15" s="49" cm="1">
        <f t="array" ref="D15">IFERROR(INDEX(Data_2!$D$23:$CW$23,1,$C$3+2),"")</f>
        <v>5</v>
      </c>
      <c r="E15" s="49">
        <f>IFERROR(D15-C15,"—")</f>
        <v>-11</v>
      </c>
      <c r="F15" s="49" cm="1">
        <f t="array" ref="F15">IFERROR(INDEX(Data_2!$D$23:$CW$23,1,$C$3+1),"")</f>
        <v>13</v>
      </c>
      <c r="G15" s="49">
        <f>IFERROR(D15-F15,"—")</f>
        <v>-8</v>
      </c>
      <c r="H15" s="47" t="str">
        <f>IF(AND(ISNUMBER(D15),ISNUMBER(C15)),IF(D15&gt;=C15,"✓","✗"),"")</f>
        <v>✗</v>
      </c>
    </row>
    <row r="16" spans="1:9" ht="15" customHeight="1">
      <c r="A16" s="30"/>
      <c r="B16" s="263" t="s">
        <v>940</v>
      </c>
      <c r="C16" s="264">
        <f>IFERROR(INDEX(Targets!$A$5:$O$100,$C$3,9),"—")</f>
        <v>14</v>
      </c>
      <c r="D16" s="265" cm="1">
        <f t="array" ref="D16">IFERROR(INDEX(Data_2!$D$26:$CW$26,1,$C$3+2),"")</f>
        <v>3</v>
      </c>
      <c r="E16" s="265">
        <f>IFERROR(D16-C16,"—")</f>
        <v>-11</v>
      </c>
      <c r="F16" s="265" cm="1">
        <f t="array" ref="F16">IFERROR(INDEX(Data_2!$D$26:$CW$26,1,$C$3+1),"")</f>
        <v>15</v>
      </c>
      <c r="G16" s="265">
        <f>IFERROR(D16-F16,"—")</f>
        <v>-12</v>
      </c>
      <c r="H16" s="266" t="str">
        <f>IF(AND(ISNUMBER(D16),ISNUMBER(C16)),IF(D16&gt;=C16,"✓","✗"),"")</f>
        <v>✗</v>
      </c>
    </row>
    <row r="17" spans="1:9" ht="15" customHeight="1" thickBot="1">
      <c r="A17" s="111"/>
      <c r="B17" s="267" t="s">
        <v>941</v>
      </c>
      <c r="C17" s="111"/>
      <c r="D17" s="111"/>
      <c r="E17" s="111"/>
      <c r="F17" s="111"/>
      <c r="G17" s="111"/>
      <c r="H17" s="111"/>
    </row>
    <row r="18" spans="1:9" ht="15" customHeight="1">
      <c r="A18" s="269"/>
      <c r="B18" s="274" t="s">
        <v>942</v>
      </c>
      <c r="C18" s="351" t="str">
        <f>IFERROR(IF(_xlfn.SINGLE(INDEX(Targets!$A$5:$W$28,$C$3,16))=0,"—",_xlfn.SINGLE(INDEX(Targets!$A$5:$W$28,$C$3,16))),"—")</f>
        <v>—</v>
      </c>
      <c r="D18" s="355" cm="1">
        <f t="array" ref="D18">IFERROR(INDEX(Data_2!$D$28:$CW$28,1,$C$3+2),"")</f>
        <v>219</v>
      </c>
      <c r="E18" s="355" t="str">
        <f>IF(OR(C18="—",NOT(ISNUMBER(C18))),"—",IFERROR(C18-D18,"—"))</f>
        <v>—</v>
      </c>
      <c r="F18" s="355" cm="1">
        <f t="array" ref="F18">IF($C$3&gt;1,IFERROR(INDEX(Data_2!$D$28:$CW$28,1,$C$3+1),""),"")</f>
        <v>219</v>
      </c>
      <c r="G18" s="271">
        <f>IFERROR(F18-D18,"—")</f>
        <v>0</v>
      </c>
      <c r="H18" s="270" t="str">
        <f>IF(AND(ISNUMBER(D18),ISNUMBER(C18)),IF(D18&lt;=C18,"✓","✗"),"")</f>
        <v/>
      </c>
      <c r="I18" s="30"/>
    </row>
    <row r="19" spans="1:9" ht="15" customHeight="1">
      <c r="A19" s="109"/>
      <c r="B19" s="268" t="s">
        <v>943</v>
      </c>
      <c r="C19" s="352" t="str">
        <f>IFERROR(IF(_xlfn.SINGLE(INDEX(Targets!$A$5:$W$28,$C$3,17))=0,"—",_xlfn.SINGLE(INDEX(Targets!$A$5:$W$28,$C$3,17))),"—")</f>
        <v>—</v>
      </c>
      <c r="D19" s="356" cm="1">
        <f t="array" ref="D19">IFERROR(INDEX(Data_2!$D$29:$CW$29,1,$C$3+2),"")</f>
        <v>48</v>
      </c>
      <c r="E19" s="356" t="str">
        <f>IF(OR(C19="—",NOT(ISNUMBER(C19))),"—",IFERROR(C19-D19,"—"))</f>
        <v>—</v>
      </c>
      <c r="F19" s="356" cm="1">
        <f t="array" ref="F19">IF($C$3&gt;1,IFERROR(INDEX(Data_2!$D$29:$CW$29,1,$C$3+1),""),"")</f>
        <v>48</v>
      </c>
      <c r="G19" s="273">
        <f>IFERROR(F19-D19,"—")</f>
        <v>0</v>
      </c>
      <c r="H19" s="272" t="str">
        <f>IF(AND(ISNUMBER(D19),ISNUMBER(C19)),IF(D19&lt;=C19,"✓","✗"),"")</f>
        <v/>
      </c>
      <c r="I19" s="30"/>
    </row>
    <row r="20" spans="1:9" ht="15" customHeight="1">
      <c r="A20" s="109"/>
      <c r="B20" s="244" t="s">
        <v>944</v>
      </c>
      <c r="C20" s="353">
        <f>C16</f>
        <v>14</v>
      </c>
      <c r="D20" s="357" cm="1">
        <f t="array" ref="D20">IFERROR(INDEX(Data_2!$D$31:$CW$31,1,$C$3+2),"")</f>
        <v>3</v>
      </c>
      <c r="E20" s="357">
        <f>IF(OR(C20="—",NOT(ISNUMBER(C20))),"—",IFERROR(D20-C20,"—"))</f>
        <v>-11</v>
      </c>
      <c r="F20" s="357" cm="1">
        <f t="array" ref="F20">IF($C$3&gt;1,IFERROR(INDEX(Data_2!$D$31:$CW$31,1,$C$3+1),""),"")</f>
        <v>15</v>
      </c>
      <c r="G20" s="265">
        <f>IFERROR(D20-F20,"—")</f>
        <v>-12</v>
      </c>
      <c r="H20" s="246" t="str">
        <f>IF(AND(ISNUMBER(D20),ISNUMBER(C20)),IF(D20&gt;=C20,"✓","✗"),"")</f>
        <v>✗</v>
      </c>
      <c r="I20" s="30"/>
    </row>
    <row r="21" spans="1:9" ht="15" customHeight="1">
      <c r="A21" s="109"/>
      <c r="B21" s="244" t="s">
        <v>945</v>
      </c>
      <c r="C21" s="353" t="str">
        <f>IFERROR(IF(_xlfn.SINGLE(INDEX(Targets!$A$5:$W$28,$C$3,19))=0,"—",_xlfn.SINGLE(INDEX(Targets!$A$5:$W$28,$C$3,19))),"—")</f>
        <v>—</v>
      </c>
      <c r="D21" s="357" cm="1">
        <f t="array" ref="D21">IFERROR(INDEX(Data_2!$D$32:$CW$32,1,$C$3+2),"")</f>
        <v>62</v>
      </c>
      <c r="E21" s="357" t="str">
        <f>IF(OR(C21="—",NOT(ISNUMBER(C21))),"—",IFERROR(C21-D21,"—"))</f>
        <v>—</v>
      </c>
      <c r="F21" s="357" cm="1">
        <f t="array" ref="F21">IF($C$3&gt;1,IFERROR(INDEX(Data_2!$D$32:$CW$32,1,$C$3+1),""),"")</f>
        <v>62</v>
      </c>
      <c r="G21" s="265">
        <f>IFERROR(F21-D21,"—")</f>
        <v>0</v>
      </c>
      <c r="H21" s="246" t="str">
        <f>IF(AND(ISNUMBER(D21),ISNUMBER(C21)),IF(D21&lt;=C21,"✓","✗"),"")</f>
        <v/>
      </c>
      <c r="I21" s="30"/>
    </row>
    <row r="22" spans="1:9" ht="15" customHeight="1">
      <c r="A22" s="109"/>
      <c r="B22" s="244" t="s">
        <v>946</v>
      </c>
      <c r="C22" s="254">
        <f>IFERROR(IF(_xlfn.SINGLE(INDEX(Targets!$A$5:$W$100,$C$3,20))=0,"—",_xlfn.SINGLE(INDEX(Targets!$A$5:$W$100,$C$3,20))),"—")</f>
        <v>0.24615384615384617</v>
      </c>
      <c r="D22" s="255" cm="1">
        <f t="array" ref="D22">IFERROR(INDEX(Data_2!$D$33:$CW$33,1,$C$3+2),"")</f>
        <v>1.3698630136986301E-2</v>
      </c>
      <c r="E22" s="255">
        <f>IF(OR(C22="—",NOT(ISNUMBER(C22))),"—",IFERROR(D22-C22,"—"))</f>
        <v>-0.23245521601685987</v>
      </c>
      <c r="F22" s="255" cm="1">
        <f t="array" ref="F22">IF($C$3&gt;1,IFERROR(INDEX(Data_2!$D$33:$CW$33,1,$C$3+1),""),"")</f>
        <v>6.8493150684931503E-2</v>
      </c>
      <c r="G22" s="359">
        <f>IFERROR(D22-F22,"—")</f>
        <v>-5.4794520547945202E-2</v>
      </c>
      <c r="H22" s="246" t="str">
        <f>IF(AND(ISNUMBER(D22),ISNUMBER(C22)),IF(D22&gt;=C22,"✓","✗"),"")</f>
        <v>✗</v>
      </c>
      <c r="I22" s="30"/>
    </row>
    <row r="23" spans="1:9" ht="15" customHeight="1">
      <c r="A23" s="109"/>
      <c r="B23" s="244" t="s">
        <v>947</v>
      </c>
      <c r="C23" s="254" t="str">
        <f>IFERROR(IF(_xlfn.SINGLE(INDEX(Targets!$A$5:$W$28,$C$3,21))=0,"—",_xlfn.SINGLE(INDEX(Targets!$A$5:$W$28,$C$3,21))),"—")</f>
        <v>—</v>
      </c>
      <c r="D23" s="255" cm="1">
        <f t="array" ref="D23">IFERROR(INDEX(Data_2!$D$34:$CW$34,1,$C$3+2),"")</f>
        <v>0.28310502283105021</v>
      </c>
      <c r="E23" s="255" t="str">
        <f>IF(OR(C23="—",NOT(ISNUMBER(C23))),"—",IFERROR(C23-D23,"—"))</f>
        <v>—</v>
      </c>
      <c r="F23" s="255" cm="1">
        <f t="array" ref="F23">IF($C$3&gt;1,IFERROR(INDEX(Data_2!$D$34:$CW$34,1,$C$3+1),""),"")</f>
        <v>0.28310502283105021</v>
      </c>
      <c r="G23" s="359">
        <f>IFERROR(F23-D23,"—")</f>
        <v>0</v>
      </c>
      <c r="H23" s="246" t="str">
        <f>IF(AND(ISNUMBER(D23),ISNUMBER(C23)),IF(D23&lt;=C23,"✓","✗"),"")</f>
        <v/>
      </c>
      <c r="I23" s="30"/>
    </row>
    <row r="24" spans="1:9" ht="15" customHeight="1">
      <c r="A24" s="109"/>
      <c r="B24" s="244" t="s">
        <v>948</v>
      </c>
      <c r="C24" s="353">
        <f>IFERROR(IF(_xlfn.SINGLE(INDEX(Targets!$A$5:$W$100,$C$3,22))=0,"—",_xlfn.SINGLE(INDEX(Targets!$A$5:$W$100,$C$3,22))),"—")</f>
        <v>5</v>
      </c>
      <c r="D24" s="357" cm="1">
        <f t="array" ref="D24">IFERROR(INDEX(Data_2!$D$35:$CW$35,1,$C$3+2),"")</f>
        <v>48</v>
      </c>
      <c r="E24" s="357">
        <f>IF(OR(C24="—",NOT(ISNUMBER(C24))),"—",IFERROR(C24-D24,"—"))</f>
        <v>-43</v>
      </c>
      <c r="F24" s="357" cm="1">
        <f t="array" ref="F24">IF($C$3&gt;1,IFERROR(INDEX(Data_2!$D$35:$CW$35,1,$C$3+1),""),"")</f>
        <v>48</v>
      </c>
      <c r="G24" s="265">
        <f>IFERROR(F24-D24,"—")</f>
        <v>0</v>
      </c>
      <c r="H24" s="246" t="str">
        <f>IF(AND(ISNUMBER(D24),ISNUMBER(C24)),IF(D24&lt;=C24,"✓","✗"),"")</f>
        <v>✗</v>
      </c>
      <c r="I24" s="30"/>
    </row>
    <row r="25" spans="1:9" ht="15" customHeight="1">
      <c r="A25" s="109"/>
      <c r="B25" s="242" t="s">
        <v>949</v>
      </c>
      <c r="C25" s="354" t="str">
        <f>IFERROR(IF(_xlfn.SINGLE(INDEX(Targets!$A$5:$W$28,$C$3,23))=0,"—",_xlfn.SINGLE(INDEX(Targets!$A$5:$W$28,$C$3,23))),"—")</f>
        <v>—</v>
      </c>
      <c r="D25" s="358" cm="1">
        <f t="array" ref="D25">IFERROR(INDEX(Data_2!$D$36:$CW$36,1,$C$3+2),"")</f>
        <v>10.4</v>
      </c>
      <c r="E25" s="358" t="str">
        <f>IF(OR(C25="—",NOT(ISNUMBER(C25))),"—",IFERROR(C25-D25,"—"))</f>
        <v>—</v>
      </c>
      <c r="F25" s="358" cm="1">
        <f t="array" ref="F25">IF($C$3&gt;1,IFERROR(INDEX(Data_2!$D$36:$CW$36,1,$C$3+1),""),"")</f>
        <v>10.4</v>
      </c>
      <c r="G25" s="54">
        <f>IFERROR(F25-D25,"—")</f>
        <v>0</v>
      </c>
      <c r="H25" s="243" t="str">
        <f>IF(AND(ISNUMBER(D25),ISNUMBER(C25)),IF(D25&lt;=C25,"✓","✗"),"")</f>
        <v/>
      </c>
      <c r="I25" s="30"/>
    </row>
    <row r="26" spans="1:9" ht="15" customHeight="1" thickBot="1">
      <c r="A26" s="33"/>
      <c r="B26" s="32" t="s">
        <v>950</v>
      </c>
      <c r="C26" s="1229"/>
      <c r="D26" s="1229"/>
      <c r="E26" s="1229"/>
      <c r="F26" s="1229"/>
      <c r="G26" s="1229"/>
      <c r="H26" s="1229"/>
    </row>
    <row r="27" spans="1:9" ht="15" customHeight="1">
      <c r="A27" s="250"/>
      <c r="B27" s="251" t="s">
        <v>900</v>
      </c>
      <c r="C27" s="252"/>
      <c r="D27" s="252"/>
      <c r="E27" s="252"/>
      <c r="F27" s="252"/>
      <c r="G27" s="252"/>
      <c r="H27" s="252"/>
    </row>
    <row r="28" spans="1:9" ht="15" customHeight="1">
      <c r="A28" s="236"/>
      <c r="B28" s="253" t="s">
        <v>951</v>
      </c>
      <c r="C28" s="238" t="s">
        <v>338</v>
      </c>
      <c r="D28" s="239" cm="1">
        <f t="array" aca="1" ref="D28" ca="1">IFERROR(INDEX(Data_2!$D$62:$CW$62,1,$C$3+2),"")</f>
        <v>74</v>
      </c>
      <c r="E28" s="240" t="str">
        <f>IF(OR(C28="—",NOT(ISNUMBER(C28))),"—",IFERROR(D28-C28,"—"))</f>
        <v>—</v>
      </c>
      <c r="F28" s="239" cm="1">
        <f t="array" ref="F28">IF($C$3&gt;1,IFERROR(INDEX(Data_2!$D$62:$CW$62,1,$C$3+1),""),"")</f>
        <v>74</v>
      </c>
      <c r="G28" s="240">
        <f ca="1">IFERROR(D28-F28,"—")</f>
        <v>0</v>
      </c>
      <c r="H28" s="241"/>
      <c r="I28" s="237"/>
    </row>
    <row r="29" spans="1:9" ht="15" customHeight="1">
      <c r="A29" s="109"/>
      <c r="B29" s="244" t="s">
        <v>952</v>
      </c>
      <c r="C29" s="245" t="str">
        <f>IFERROR(INDEX(Targets!$A$5:$R$28,$C$3,11),"—")</f>
        <v>—</v>
      </c>
      <c r="D29" s="246" cm="1">
        <f t="array" aca="1" ref="D29" ca="1">IFERROR(INDEX(Data_2!$D$63:$CW$63,1,$C$3+2),"")</f>
        <v>17</v>
      </c>
      <c r="E29" s="247" t="str">
        <f>IF(OR(C29="—",NOT(ISNUMBER(C29))),"—",IFERROR(D29-C29,"—"))</f>
        <v>—</v>
      </c>
      <c r="F29" s="246" cm="1">
        <f t="array" ref="F29">IF($C$3&gt;1,IFERROR(INDEX(Data_2!$D$63:$CW$63,1,$C$3+1),""),"")</f>
        <v>17</v>
      </c>
      <c r="G29" s="247">
        <f ca="1">IFERROR(D29-F29,"—")</f>
        <v>0</v>
      </c>
      <c r="H29" s="248"/>
      <c r="I29" s="237"/>
    </row>
    <row r="30" spans="1:9" ht="15" customHeight="1">
      <c r="A30" s="109"/>
      <c r="B30" s="244" t="s">
        <v>953</v>
      </c>
      <c r="C30" s="245" t="s">
        <v>338</v>
      </c>
      <c r="D30" s="246" cm="1">
        <f t="array" ref="D30">IFERROR(INDEX(Data_2!$D$66:$CW$66,1,$C$3+2),"")</f>
        <v>0</v>
      </c>
      <c r="E30" s="247" t="s">
        <v>338</v>
      </c>
      <c r="F30" s="246" cm="1">
        <f t="array" ref="F30">IF($C$3&gt;1,IFERROR(INDEX(Data_2!$D$66:$CW$66,1,$C$3+1),""),"")</f>
        <v>0</v>
      </c>
      <c r="G30" s="247" t="s">
        <v>338</v>
      </c>
      <c r="H30" s="248" t="s">
        <v>338</v>
      </c>
      <c r="I30" s="237"/>
    </row>
    <row r="31" spans="1:9" ht="15" customHeight="1">
      <c r="A31" s="109"/>
      <c r="B31" s="244" t="s">
        <v>954</v>
      </c>
      <c r="C31" s="1075" t="s">
        <v>338</v>
      </c>
      <c r="D31" s="1077" cm="1">
        <f t="array" aca="1" ref="D31" ca="1">IFERROR(INDEX(Data_2!$D$64:$CW$64,1,$C$3+2),"")</f>
        <v>16</v>
      </c>
      <c r="E31" s="247" t="str">
        <f>IF(OR(C31="—",NOT(ISNUMBER(C31))),"—",IFERROR(D31-C31,"—"))</f>
        <v>—</v>
      </c>
      <c r="F31" s="1077" cm="1">
        <f t="array" ref="F31">IF($C$3&gt;1,IFERROR(INDEX(Data_2!$D$64:$CW$64,1,$C$3+1),""),"")</f>
        <v>16</v>
      </c>
      <c r="G31" s="247">
        <f ca="1">IFERROR(D31-F31,"—")</f>
        <v>0</v>
      </c>
      <c r="H31" s="248" t="s">
        <v>338</v>
      </c>
      <c r="I31" s="237"/>
    </row>
    <row r="32" spans="1:9" ht="15" customHeight="1">
      <c r="A32" s="109"/>
      <c r="B32" s="244" t="s">
        <v>955</v>
      </c>
      <c r="C32" s="245" t="s">
        <v>338</v>
      </c>
      <c r="D32" s="1077">
        <f>IFERROR(INDEX('Resident Retention -12 months'!$I$2:$I$16,MATCH(Data_2!$A$62,'Resident Retention -12 months'!$B$2:$B$16,0)),"")</f>
        <v>6</v>
      </c>
      <c r="E32" s="247" t="s">
        <v>338</v>
      </c>
      <c r="F32" s="246" t="s">
        <v>338</v>
      </c>
      <c r="G32" s="247" t="s">
        <v>338</v>
      </c>
      <c r="H32" s="248" t="s">
        <v>338</v>
      </c>
      <c r="I32" s="237"/>
    </row>
    <row r="33" spans="1:9" ht="15" customHeight="1">
      <c r="A33" s="109"/>
      <c r="B33" s="244" t="s">
        <v>956</v>
      </c>
      <c r="C33" s="1078">
        <f>IFERROR(INDEX(Targets!$A$5:$W$100,$C$3,10),"—")</f>
        <v>0.65</v>
      </c>
      <c r="D33" s="1076" cm="1">
        <f t="array" ref="D33">IFERROR(INDEX(Data_2!$D$65:$CW$65,1,$C$3+2),"")</f>
        <v>0.47297297297297297</v>
      </c>
      <c r="E33" s="1079">
        <f>IFERROR(D33-C33,"—")</f>
        <v>-0.17702702702702705</v>
      </c>
      <c r="F33" s="1076" cm="1">
        <f t="array" ref="F33">IF($C$3&gt;1,IFERROR(INDEX(Data_2!$D$65:$CW$65,1,$C$3+1),""),"")</f>
        <v>0.47297297297297297</v>
      </c>
      <c r="G33" s="1080">
        <f>IFERROR(D33-F33,"—")</f>
        <v>0</v>
      </c>
      <c r="H33" s="1081" t="str">
        <f>IF(AND(ISNUMBER(D33),ISNUMBER(C33)),IF(D33&gt;=C33,"✓","✗"),"")</f>
        <v>✗</v>
      </c>
      <c r="I33" s="237"/>
    </row>
    <row r="34" spans="1:9" ht="15" customHeight="1">
      <c r="A34" s="249"/>
      <c r="B34" s="242" t="s">
        <v>957</v>
      </c>
      <c r="C34" s="1082" t="s">
        <v>338</v>
      </c>
      <c r="D34" s="1083" cm="1">
        <f t="array" ref="D34">IFERROR(INDEX(Data_2!$D$67:$CW$67,1,$C$3+2),"")</f>
        <v>0.55405405405405406</v>
      </c>
      <c r="E34" s="1084" t="s">
        <v>338</v>
      </c>
      <c r="F34" s="1076" cm="1">
        <f t="array" ref="F34">IF($C$3&gt;1,IFERROR(INDEX(Data_2!$D$67:$CW$67,1,$C$3+1),""),"")</f>
        <v>0.55405405405405406</v>
      </c>
      <c r="G34" s="1084" t="s">
        <v>338</v>
      </c>
      <c r="H34" s="1085" t="s">
        <v>338</v>
      </c>
      <c r="I34" s="237"/>
    </row>
    <row r="35" spans="1:9" ht="15" customHeight="1">
      <c r="A35" s="250"/>
      <c r="B35" s="251" t="s">
        <v>901</v>
      </c>
      <c r="C35" s="252"/>
      <c r="D35" s="252"/>
      <c r="E35" s="252"/>
      <c r="F35" s="252"/>
      <c r="G35" s="252"/>
      <c r="H35" s="252"/>
    </row>
    <row r="36" spans="1:9" ht="15" customHeight="1">
      <c r="A36" s="236"/>
      <c r="B36" s="253" t="s">
        <v>951</v>
      </c>
      <c r="C36" s="238" t="s">
        <v>338</v>
      </c>
      <c r="D36" s="239" cm="1">
        <f t="array" aca="1" ref="D36" ca="1">IFERROR(INDEX(Data_2!$D$69:$CW$69,1,$C$3+2),"")</f>
        <v>51</v>
      </c>
      <c r="E36" s="240" t="str">
        <f>IF(OR(C36="—",NOT(ISNUMBER(C36))),"—",IFERROR(D36-C36,"—"))</f>
        <v>—</v>
      </c>
      <c r="F36" s="239" cm="1">
        <f t="array" ref="F36">IF($C$3&gt;1,IFERROR(INDEX(Data_2!$D$69:$CW$69,1,$C$3+1),""),"")</f>
        <v>51</v>
      </c>
      <c r="G36" s="240">
        <f ca="1">IFERROR(D36-F36,"—")</f>
        <v>0</v>
      </c>
      <c r="H36" s="241"/>
      <c r="I36" s="237"/>
    </row>
    <row r="37" spans="1:9" ht="15" customHeight="1">
      <c r="A37" s="109"/>
      <c r="B37" s="244" t="s">
        <v>952</v>
      </c>
      <c r="C37" s="245" t="str">
        <f>IFERROR(INDEX(Targets!$A$5:$R$28,$C$3,11),"—")</f>
        <v>—</v>
      </c>
      <c r="D37" s="246" cm="1">
        <f t="array" aca="1" ref="D37" ca="1">IFERROR(INDEX(Data_2!$D$70:$CW$70,1,$C$3+2),"")</f>
        <v>8</v>
      </c>
      <c r="E37" s="247" t="str">
        <f>IF(OR(C37="—",NOT(ISNUMBER(C37))),"—",IFERROR(D37-C37,"—"))</f>
        <v>—</v>
      </c>
      <c r="F37" s="246" cm="1">
        <f t="array" ref="F37">IF($C$3&gt;1,IFERROR(INDEX(Data_2!$D$70:$CW$70,1,$C$3+1),""),"")</f>
        <v>8</v>
      </c>
      <c r="G37" s="247">
        <f ca="1">IFERROR(D37-F37,"—")</f>
        <v>0</v>
      </c>
      <c r="H37" s="248"/>
      <c r="I37" s="237"/>
    </row>
    <row r="38" spans="1:9" ht="15" customHeight="1">
      <c r="A38" s="109"/>
      <c r="B38" s="244" t="s">
        <v>953</v>
      </c>
      <c r="C38" s="245" t="s">
        <v>338</v>
      </c>
      <c r="D38" s="246" cm="1">
        <f t="array" ref="D38">IFERROR(INDEX(Data_2!$D$73:$CW$73,1,$C$3+2),"")</f>
        <v>0</v>
      </c>
      <c r="E38" s="247" t="s">
        <v>338</v>
      </c>
      <c r="F38" s="246" cm="1">
        <f t="array" ref="F38">IF($C$3&gt;1,IFERROR(INDEX(Data_2!$D$73:$CW$73,1,$C$3+1),""),"")</f>
        <v>0</v>
      </c>
      <c r="G38" s="247" t="s">
        <v>338</v>
      </c>
      <c r="H38" s="248" t="s">
        <v>338</v>
      </c>
      <c r="I38" s="237"/>
    </row>
    <row r="39" spans="1:9" ht="15" customHeight="1">
      <c r="A39" s="109"/>
      <c r="B39" s="244" t="s">
        <v>954</v>
      </c>
      <c r="C39" s="1075" t="s">
        <v>338</v>
      </c>
      <c r="D39" s="1077" cm="1">
        <f t="array" aca="1" ref="D39" ca="1">IFERROR(INDEX(Data_2!$D$71:$CW$71,1,$C$3+2),"")</f>
        <v>12</v>
      </c>
      <c r="E39" s="247" t="str">
        <f>IF(OR(C39="—",NOT(ISNUMBER(C39))),"—",IFERROR(D39-C39,"—"))</f>
        <v>—</v>
      </c>
      <c r="F39" s="1077" cm="1">
        <f t="array" ref="F39">IF($C$3&gt;1,IFERROR(INDEX(Data_2!$D$71:$CW$71,1,$C$3+1),""),"")</f>
        <v>12</v>
      </c>
      <c r="G39" s="247">
        <f ca="1">IFERROR(D39-F39,"—")</f>
        <v>0</v>
      </c>
      <c r="H39" s="248" t="s">
        <v>338</v>
      </c>
      <c r="I39" s="237"/>
    </row>
    <row r="40" spans="1:9" ht="15" customHeight="1">
      <c r="A40" s="109"/>
      <c r="B40" s="244" t="s">
        <v>955</v>
      </c>
      <c r="C40" s="245" t="s">
        <v>338</v>
      </c>
      <c r="D40" s="1077">
        <f>IFERROR(INDEX('Resident Retention -12 months'!$I$2:$I$16,MATCH(Data_2!$A$69,'Resident Retention -12 months'!$B$2:$B$16,0)),"")</f>
        <v>0</v>
      </c>
      <c r="E40" s="247" t="s">
        <v>338</v>
      </c>
      <c r="F40" s="246" t="s">
        <v>338</v>
      </c>
      <c r="G40" s="247" t="s">
        <v>338</v>
      </c>
      <c r="H40" s="248" t="s">
        <v>338</v>
      </c>
      <c r="I40" s="237"/>
    </row>
    <row r="41" spans="1:9" ht="15" customHeight="1">
      <c r="A41" s="109"/>
      <c r="B41" s="244" t="s">
        <v>956</v>
      </c>
      <c r="C41" s="1078">
        <f>IFERROR(INDEX(Targets!$A$5:$W$100,$C$3,10),"—")</f>
        <v>0.65</v>
      </c>
      <c r="D41" s="1076" cm="1">
        <f t="array" ref="D41">IFERROR(INDEX(Data_2!$D$72:$CW$72,1,$C$3+2),"")</f>
        <v>0.60784313725490191</v>
      </c>
      <c r="E41" s="1079">
        <f>IFERROR(D41-C41,"—")</f>
        <v>-4.2156862745098111E-2</v>
      </c>
      <c r="F41" s="1076" cm="1">
        <f t="array" ref="F41">IF($C$3&gt;1,IFERROR(INDEX(Data_2!$D$72:$CW$72,1,$C$3+1),""),"")</f>
        <v>0.60784313725490191</v>
      </c>
      <c r="G41" s="1080">
        <f>IFERROR(D41-F41,"—")</f>
        <v>0</v>
      </c>
      <c r="H41" s="1081" t="str">
        <f>IF(AND(ISNUMBER(D41),ISNUMBER(C41)),IF(D41&gt;=C41,"✓","✗"),"")</f>
        <v>✗</v>
      </c>
      <c r="I41" s="237"/>
    </row>
    <row r="42" spans="1:9" ht="15" customHeight="1">
      <c r="A42" s="249"/>
      <c r="B42" s="242" t="s">
        <v>957</v>
      </c>
      <c r="C42" s="1082" t="s">
        <v>338</v>
      </c>
      <c r="D42" s="1083" cm="1">
        <f t="array" ref="D42">IFERROR(INDEX(Data_2!$D$74:$CW$74,1,$C$3+2),"")</f>
        <v>0.60784313725490191</v>
      </c>
      <c r="E42" s="1084" t="s">
        <v>338</v>
      </c>
      <c r="F42" s="1076" cm="1">
        <f t="array" ref="F42">IF($C$3&gt;1,IFERROR(INDEX(Data_2!$D$74:$CW$74,1,$C$3+1),""),"")</f>
        <v>0.60784313725490191</v>
      </c>
      <c r="G42" s="1084" t="s">
        <v>338</v>
      </c>
      <c r="H42" s="1085" t="s">
        <v>338</v>
      </c>
      <c r="I42" s="237"/>
    </row>
    <row r="43" spans="1:9" ht="15" customHeight="1">
      <c r="A43" s="250"/>
      <c r="B43" s="251" t="s">
        <v>902</v>
      </c>
      <c r="C43" s="252"/>
      <c r="D43" s="252"/>
      <c r="E43" s="252"/>
      <c r="F43" s="252"/>
      <c r="G43" s="252"/>
      <c r="H43" s="252"/>
    </row>
    <row r="44" spans="1:9" ht="15" customHeight="1">
      <c r="A44" s="236"/>
      <c r="B44" s="253" t="s">
        <v>951</v>
      </c>
      <c r="C44" s="238" t="s">
        <v>338</v>
      </c>
      <c r="D44" s="239" cm="1">
        <f t="array" aca="1" ref="D44" ca="1">IFERROR(INDEX(Data_2!$D$76:$CW$76,1,$C$3+2),"")</f>
        <v>53</v>
      </c>
      <c r="E44" s="240" t="str">
        <f>IF(OR(C44="—",NOT(ISNUMBER(C44))),"—",IFERROR(D44-C44,"—"))</f>
        <v>—</v>
      </c>
      <c r="F44" s="239" cm="1">
        <f t="array" ref="F44">IF($C$3&gt;1,IFERROR(INDEX(Data_2!$D$76:$CW$76,1,$C$3+1),""),"")</f>
        <v>53</v>
      </c>
      <c r="G44" s="240">
        <f ca="1">IFERROR(D44-F44,"—")</f>
        <v>0</v>
      </c>
      <c r="H44" s="241"/>
      <c r="I44" s="237"/>
    </row>
    <row r="45" spans="1:9" ht="15" customHeight="1">
      <c r="A45" s="109"/>
      <c r="B45" s="244" t="s">
        <v>952</v>
      </c>
      <c r="C45" s="245" t="str">
        <f>IFERROR(INDEX(Targets!$A$5:$R$28,$C$3,11),"—")</f>
        <v>—</v>
      </c>
      <c r="D45" s="246" cm="1">
        <f t="array" aca="1" ref="D45" ca="1">IFERROR(INDEX(Data_2!$D$77:$CW$77,1,$C$3+2),"")</f>
        <v>9</v>
      </c>
      <c r="E45" s="247" t="str">
        <f>IF(OR(C45="—",NOT(ISNUMBER(C45))),"—",IFERROR(D45-C45,"—"))</f>
        <v>—</v>
      </c>
      <c r="F45" s="246" cm="1">
        <f t="array" ref="F45">IF($C$3&gt;1,IFERROR(INDEX(Data_2!$D$77:$CW$77,1,$C$3+1),""),"")</f>
        <v>9</v>
      </c>
      <c r="G45" s="247">
        <f ca="1">IFERROR(D45-F45,"—")</f>
        <v>0</v>
      </c>
      <c r="H45" s="248"/>
      <c r="I45" s="237"/>
    </row>
    <row r="46" spans="1:9" ht="15" customHeight="1">
      <c r="A46" s="109"/>
      <c r="B46" s="244" t="s">
        <v>953</v>
      </c>
      <c r="C46" s="245" t="s">
        <v>338</v>
      </c>
      <c r="D46" s="357" cm="1">
        <f t="array" ref="D46">IFERROR(INDEX(Data_2!$D$80:$CW$80,1,$C$3+2),"")</f>
        <v>0</v>
      </c>
      <c r="E46" s="247" t="s">
        <v>338</v>
      </c>
      <c r="F46" s="246" cm="1">
        <f t="array" ref="F46">IF($C$3&gt;1,IFERROR(INDEX(Data_2!$D$80:$CW$80,1,$C$3+1),""),"")</f>
        <v>0</v>
      </c>
      <c r="G46" s="247" t="s">
        <v>338</v>
      </c>
      <c r="H46" s="248" t="s">
        <v>338</v>
      </c>
      <c r="I46" s="237"/>
    </row>
    <row r="47" spans="1:9" ht="15" customHeight="1">
      <c r="A47" s="109"/>
      <c r="B47" s="244" t="s">
        <v>954</v>
      </c>
      <c r="C47" s="1075" t="s">
        <v>338</v>
      </c>
      <c r="D47" s="1077" cm="1">
        <f t="array" aca="1" ref="D47" ca="1">IFERROR(INDEX(Data_2!$D$78:$CW$78,1,$C$3+2),"")</f>
        <v>14</v>
      </c>
      <c r="E47" s="247" t="str">
        <f>IF(OR(C47="—",NOT(ISNUMBER(C47))),"—",IFERROR(D47-C47,"—"))</f>
        <v>—</v>
      </c>
      <c r="F47" s="1077" cm="1">
        <f t="array" ref="F47">IF($C$3&gt;1,IFERROR(INDEX(Data_2!$D$78:$CW$78,1,$C$3+1),""),"")</f>
        <v>14</v>
      </c>
      <c r="G47" s="247">
        <f ca="1">IFERROR(D47-F47,"—")</f>
        <v>0</v>
      </c>
      <c r="H47" s="248" t="s">
        <v>338</v>
      </c>
      <c r="I47" s="237"/>
    </row>
    <row r="48" spans="1:9" ht="15" customHeight="1">
      <c r="A48" s="109"/>
      <c r="B48" s="244" t="s">
        <v>955</v>
      </c>
      <c r="C48" s="245" t="s">
        <v>338</v>
      </c>
      <c r="D48" s="1077">
        <f>IFERROR(INDEX('Resident Retention -12 months'!$I$2:$I$16,MATCH(Data_2!$A$76,'Resident Retention -12 months'!$B$2:$B$16,0)),"")</f>
        <v>6</v>
      </c>
      <c r="E48" s="247" t="s">
        <v>338</v>
      </c>
      <c r="F48" s="246" t="s">
        <v>338</v>
      </c>
      <c r="G48" s="247" t="s">
        <v>338</v>
      </c>
      <c r="H48" s="248" t="s">
        <v>338</v>
      </c>
      <c r="I48" s="237"/>
    </row>
    <row r="49" spans="1:9" ht="15" customHeight="1">
      <c r="A49" s="109"/>
      <c r="B49" s="244" t="s">
        <v>956</v>
      </c>
      <c r="C49" s="1078">
        <f>IFERROR(INDEX(Targets!$A$5:$W$100,$C$3,10),"—")</f>
        <v>0.65</v>
      </c>
      <c r="D49" s="1076" cm="1">
        <f t="array" ref="D49">IFERROR(INDEX(Data_2!$D$79:$CW$79,1,$C$3+2),"")</f>
        <v>0.45283018867924529</v>
      </c>
      <c r="E49" s="1079">
        <f>IFERROR(D49-C49,"—")</f>
        <v>-0.19716981132075473</v>
      </c>
      <c r="F49" s="1076" cm="1">
        <f t="array" ref="F49">IF($C$3&gt;1,IFERROR(INDEX(Data_2!$D$79:$CW$79,1,$C$3+1),""),"")</f>
        <v>0.41509433962264153</v>
      </c>
      <c r="G49" s="1080">
        <f>IFERROR(D49-F49,"—")</f>
        <v>3.7735849056603765E-2</v>
      </c>
      <c r="H49" s="1081" t="str">
        <f>IF(AND(ISNUMBER(D49),ISNUMBER(C49)),IF(D49&gt;=C49,"✓","✗"),"")</f>
        <v>✗</v>
      </c>
      <c r="I49" s="237"/>
    </row>
    <row r="50" spans="1:9" ht="15" customHeight="1">
      <c r="A50" s="109"/>
      <c r="B50" s="244" t="s">
        <v>957</v>
      </c>
      <c r="C50" s="1075" t="s">
        <v>338</v>
      </c>
      <c r="D50" s="1076" cm="1">
        <f t="array" ref="D50">IFERROR(INDEX(Data_2!$D$81:$CW$81,1,$C$3+2),"")</f>
        <v>0.56603773584905659</v>
      </c>
      <c r="E50" s="1086" t="s">
        <v>338</v>
      </c>
      <c r="F50" s="1076" cm="1">
        <f t="array" ref="F50">IF($C$3&gt;1,IFERROR(INDEX(Data_2!$D$81:$CW$81,1,$C$3+1),""),"")</f>
        <v>0.56603773584905659</v>
      </c>
      <c r="G50" s="1086" t="s">
        <v>338</v>
      </c>
      <c r="H50" s="1087" t="s">
        <v>338</v>
      </c>
      <c r="I50" s="237"/>
    </row>
    <row r="51" spans="1:9" ht="15" customHeight="1">
      <c r="A51" s="109"/>
      <c r="B51" s="251" t="s">
        <v>958</v>
      </c>
      <c r="C51" s="252"/>
      <c r="D51" s="252"/>
      <c r="E51" s="252"/>
      <c r="F51" s="252"/>
      <c r="G51" s="252"/>
      <c r="H51" s="252"/>
      <c r="I51" s="237"/>
    </row>
    <row r="52" spans="1:9" ht="15" customHeight="1">
      <c r="A52" s="109"/>
      <c r="B52" s="253" t="s">
        <v>951</v>
      </c>
      <c r="C52" s="238" t="s">
        <v>338</v>
      </c>
      <c r="D52" s="239" cm="1">
        <f t="array" aca="1" ref="D52" ca="1">IFERROR(INDEX(Data_2!$D$83:$CW$83,1,$C$3+2),"")</f>
        <v>39</v>
      </c>
      <c r="E52" s="240" t="str">
        <f>IF(OR(C52="—",NOT(ISNUMBER(C52))),"—",IFERROR(D52-C52,"—"))</f>
        <v>—</v>
      </c>
      <c r="F52" s="239" cm="1">
        <f t="array" ref="F52">IF($C$3&gt;1,IF(INDEX(Data_2!$D$83:$CW$83,1,$C$3+1)="","",INDEX(Data_2!$D$83:$CW$83,1,$C$3+1)),"")</f>
        <v>39</v>
      </c>
      <c r="G52" s="240">
        <f ca="1">IFERROR(D52-F52,"—")</f>
        <v>0</v>
      </c>
      <c r="H52" s="241"/>
      <c r="I52" s="237"/>
    </row>
    <row r="53" spans="1:9" ht="15" customHeight="1">
      <c r="A53" s="109"/>
      <c r="B53" s="244" t="s">
        <v>952</v>
      </c>
      <c r="C53" s="245" t="str">
        <f>IFERROR(INDEX(Targets!$A$5:$R$28,$C$3,11),"—")</f>
        <v>—</v>
      </c>
      <c r="D53" s="246" cm="1">
        <f t="array" aca="1" ref="D53" ca="1">IFERROR(INDEX(Data_2!$D$84:$CW$84,1,$C$3+2),"")</f>
        <v>6</v>
      </c>
      <c r="E53" s="247" t="str">
        <f>IF(OR(C53="—",NOT(ISNUMBER(C53))),"—",IFERROR(D53-C53,"—"))</f>
        <v>—</v>
      </c>
      <c r="F53" s="246" cm="1">
        <f t="array" ref="F53">IF($C$3&gt;1,IF(INDEX(Data_2!$D$84:$CW$84,1,$C$3+1)="","",INDEX(Data_2!$D$84:$CW$84,1,$C$3+1)),"")</f>
        <v>6</v>
      </c>
      <c r="G53" s="247">
        <f ca="1">IFERROR(D53-F53,"—")</f>
        <v>0</v>
      </c>
      <c r="H53" s="248"/>
      <c r="I53" s="237"/>
    </row>
    <row r="54" spans="1:9" ht="15" customHeight="1">
      <c r="A54" s="109"/>
      <c r="B54" s="244" t="s">
        <v>953</v>
      </c>
      <c r="C54" s="245" t="s">
        <v>338</v>
      </c>
      <c r="D54" s="357" cm="1">
        <f t="array" ref="D54">IFERROR(INDEX(Data_2!$D$87:$CW$87,1,$C$3+2),"")</f>
        <v>0</v>
      </c>
      <c r="E54" s="247" t="s">
        <v>338</v>
      </c>
      <c r="F54" s="246" cm="1">
        <f t="array" ref="F54">IF($C$3&gt;1,IF(INDEX(Data_2!$D$87:$CW$87,1,$C$3+1)="","",INDEX(Data_2!$D$87:$CW$87,1,$C$3+1)),"")</f>
        <v>0</v>
      </c>
      <c r="G54" s="247" t="s">
        <v>338</v>
      </c>
      <c r="H54" s="248" t="s">
        <v>338</v>
      </c>
      <c r="I54" s="237"/>
    </row>
    <row r="55" spans="1:9" ht="15" customHeight="1">
      <c r="A55" s="109"/>
      <c r="B55" s="244" t="s">
        <v>954</v>
      </c>
      <c r="C55" s="1075" t="s">
        <v>338</v>
      </c>
      <c r="D55" s="1077" cm="1">
        <f t="array" aca="1" ref="D55" ca="1">IFERROR(INDEX(Data_2!$D$85:$CW$85,1,$C$3+2),"")</f>
        <v>3</v>
      </c>
      <c r="E55" s="247" t="str">
        <f>IF(OR(C55="—",NOT(ISNUMBER(C55))),"—",IFERROR(D55-C55,"—"))</f>
        <v>—</v>
      </c>
      <c r="F55" s="1077" cm="1">
        <f t="array" ref="F55">IF($C$3&gt;1,IF(INDEX(Data_2!$D$85:$CW$85,1,$C$3+1)="","",INDEX(Data_2!$D$85:$CW$85,1,$C$3+1)),"")</f>
        <v>1</v>
      </c>
      <c r="G55" s="247">
        <f ca="1">IFERROR(D55-F55,"—")</f>
        <v>2</v>
      </c>
      <c r="H55" s="248" t="s">
        <v>338</v>
      </c>
      <c r="I55" s="237"/>
    </row>
    <row r="56" spans="1:9" ht="15" customHeight="1">
      <c r="A56" s="109"/>
      <c r="B56" s="244" t="s">
        <v>955</v>
      </c>
      <c r="C56" s="245" t="s">
        <v>338</v>
      </c>
      <c r="D56" s="1077">
        <f>IFERROR(INDEX('Resident Retention -12 months'!$I$2:$I$16,MATCH(Data_2!$A$83,'Resident Retention -12 months'!$B$2:$B$16,0)),"")</f>
        <v>15</v>
      </c>
      <c r="E56" s="247" t="s">
        <v>338</v>
      </c>
      <c r="F56" s="246" t="s">
        <v>338</v>
      </c>
      <c r="G56" s="247" t="s">
        <v>338</v>
      </c>
      <c r="H56" s="248" t="s">
        <v>338</v>
      </c>
      <c r="I56" s="237"/>
    </row>
    <row r="57" spans="1:9" ht="15" customHeight="1">
      <c r="A57" s="109"/>
      <c r="B57" s="244" t="s">
        <v>956</v>
      </c>
      <c r="C57" s="1078">
        <f>IFERROR(INDEX(Targets!$A$5:$W$100,$C$3,10),"—")</f>
        <v>0.65</v>
      </c>
      <c r="D57" s="1076" cm="1">
        <f t="array" ref="D57">IFERROR(INDEX(Data_2!$D$86:$CW$86,1,$C$3+2),"")</f>
        <v>0.38461538461538464</v>
      </c>
      <c r="E57" s="1079">
        <f>IFERROR(D57-C57,"—")</f>
        <v>-0.26538461538461539</v>
      </c>
      <c r="F57" s="1076" cm="1">
        <f t="array" ref="F57">IF($C$3&gt;1,IF(INDEX(Data_2!$D$86:$CW$86,1,$C$3+1)="","",INDEX(Data_2!$D$86:$CW$86,1,$C$3+1)),"")</f>
        <v>0.12820512820512819</v>
      </c>
      <c r="G57" s="1080">
        <f>IFERROR(D57-F57,"—")</f>
        <v>0.25641025641025644</v>
      </c>
      <c r="H57" s="1081" t="str">
        <f>IF(AND(ISNUMBER(D57),ISNUMBER(C57)),IF(D57&gt;=C57,"✓","✗"),"")</f>
        <v>✗</v>
      </c>
      <c r="I57" s="237"/>
    </row>
    <row r="58" spans="1:9" ht="15" customHeight="1">
      <c r="A58" s="109"/>
      <c r="B58" s="244" t="s">
        <v>957</v>
      </c>
      <c r="C58" s="1075" t="s">
        <v>338</v>
      </c>
      <c r="D58" s="1076" cm="1">
        <f t="array" ref="D58">IFERROR(INDEX(Data_2!$D$88:$CW$88,1,$C$3+2),"")</f>
        <v>0.76923076923076927</v>
      </c>
      <c r="E58" s="1086" t="s">
        <v>338</v>
      </c>
      <c r="F58" s="1076" cm="1">
        <f t="array" ref="F58">IF($C$3&gt;1,IF(INDEX(Data_2!$D$88:$CW$88,1,$C$3+1)="","",INDEX(Data_2!$D$88:$CW$88,1,$C$3+1)),"")</f>
        <v>0.82051282051282048</v>
      </c>
      <c r="G58" s="1086" t="s">
        <v>338</v>
      </c>
      <c r="H58" s="1087" t="s">
        <v>338</v>
      </c>
      <c r="I58" s="237"/>
    </row>
    <row r="59" spans="1:9" ht="15" customHeight="1">
      <c r="A59" s="109"/>
      <c r="B59" s="324" t="s">
        <v>959</v>
      </c>
      <c r="C59" s="636" t="s">
        <v>338</v>
      </c>
      <c r="D59" s="637" cm="1">
        <f t="array" ref="D59">IFERROR(INDEX(Data_2!$D$90:$CW$90,1,$C$3+2),"")</f>
        <v>25</v>
      </c>
      <c r="E59" s="638" t="s">
        <v>338</v>
      </c>
      <c r="F59" s="637" cm="1">
        <f t="array" ref="F59">IF($C$3&gt;1,IFERROR(INDEX(Data_2!$D$90:$CW$90,1,$C$3+1),""),"")</f>
        <v>26</v>
      </c>
      <c r="G59" s="639">
        <f>IFERROR(D59-F59,"—")</f>
        <v>-1</v>
      </c>
      <c r="H59" s="1230"/>
      <c r="I59" s="325"/>
    </row>
    <row r="60" spans="1:9" ht="15" customHeight="1" thickBot="1">
      <c r="A60" s="33"/>
      <c r="B60" s="32" t="s">
        <v>960</v>
      </c>
      <c r="C60" s="33"/>
      <c r="D60" s="33"/>
      <c r="E60" s="33"/>
      <c r="F60" s="33"/>
      <c r="G60" s="33"/>
      <c r="H60" s="33"/>
    </row>
    <row r="61" spans="1:9" ht="15" customHeight="1">
      <c r="B61" s="44" t="s">
        <v>961</v>
      </c>
      <c r="C61" s="50">
        <f>IFERROR(INDEX(Targets!$A$5:$O$100,$C$3,12),"—")</f>
        <v>873000</v>
      </c>
      <c r="D61" s="51" cm="1">
        <f t="array" ref="D61">IFERROR(INDEX(Data_2!$D$98:$CW$98,1,$C$3+2),"")</f>
        <v>761341.09</v>
      </c>
      <c r="E61" s="51">
        <f>IFERROR(D61-C61,"—")</f>
        <v>-111658.91000000003</v>
      </c>
      <c r="F61" s="51" cm="1">
        <f t="array" ref="F61">IF($C$3&gt;1,IFERROR(INDEX(Data_2!$D$98:$CW$98,1,$C$3+1),""),"")</f>
        <v>733729.79</v>
      </c>
      <c r="G61" s="51">
        <f t="shared" ref="G61:G66" si="0">IFERROR(D61-F61,"—")</f>
        <v>27611.29999999993</v>
      </c>
      <c r="H61" s="47" t="str">
        <f>IF(AND(ISNUMBER(D61),ISNUMBER(C61)),IF(D61&gt;=C61,"✓","✗"),"")</f>
        <v>✗</v>
      </c>
    </row>
    <row r="62" spans="1:9" ht="15" customHeight="1">
      <c r="B62" s="44" t="s">
        <v>962</v>
      </c>
      <c r="C62" s="50" t="s">
        <v>338</v>
      </c>
      <c r="D62" s="51" cm="1">
        <f t="array" ref="D62">IFERROR(INDEX(Data_2!$D$99:$CW$99,1,$C$3+2),"")</f>
        <v>-60839.31</v>
      </c>
      <c r="E62" s="51" t="s">
        <v>338</v>
      </c>
      <c r="F62" s="51" cm="1">
        <f t="array" ref="F62">IF($C$3&gt;1,IFERROR(INDEX(Data_2!$D$99:$CW$99,1,$C$3+1),""),"")</f>
        <v>-57994.31</v>
      </c>
      <c r="G62" s="51">
        <f t="shared" si="0"/>
        <v>-2845</v>
      </c>
      <c r="H62" s="47"/>
      <c r="I62" s="919"/>
    </row>
    <row r="63" spans="1:9" ht="15" customHeight="1">
      <c r="B63" s="44" t="s">
        <v>963</v>
      </c>
      <c r="C63" s="50" t="s">
        <v>338</v>
      </c>
      <c r="D63" s="51" cm="1">
        <f t="array" ref="D63">IFERROR(INDEX(Data_2!$D$100:$CW$100,1,$C$3+2),"")</f>
        <v>1281.68</v>
      </c>
      <c r="E63" s="51" t="s">
        <v>338</v>
      </c>
      <c r="F63" s="51" cm="1">
        <f t="array" ref="F63">IF($C$3&gt;1,IFERROR(INDEX(Data_2!$D$100:$CW$100,1,$C$3+1),""),"")</f>
        <v>0</v>
      </c>
      <c r="G63" s="51">
        <f t="shared" si="0"/>
        <v>1281.68</v>
      </c>
      <c r="H63" s="47"/>
      <c r="I63" s="919"/>
    </row>
    <row r="64" spans="1:9" ht="15" customHeight="1">
      <c r="B64" s="44" t="s">
        <v>964</v>
      </c>
      <c r="C64" s="50" t="s">
        <v>338</v>
      </c>
      <c r="D64" s="51" cm="1">
        <f t="array" ref="D64">IFERROR(INDEX(Data_2!$D$101:$CW$101,1,$C$3+2),"")</f>
        <v>700501.78</v>
      </c>
      <c r="E64" s="51" t="s">
        <v>338</v>
      </c>
      <c r="F64" s="51" cm="1">
        <f t="array" ref="F64">IF($C$3&gt;1,IFERROR(INDEX(Data_2!$D$101:$CW$101,1,$C$3+1),""),"")</f>
        <v>675735.48</v>
      </c>
      <c r="G64" s="51">
        <f t="shared" si="0"/>
        <v>24766.300000000047</v>
      </c>
      <c r="H64" s="47"/>
      <c r="I64" s="919"/>
    </row>
    <row r="65" spans="1:9" ht="15" customHeight="1">
      <c r="B65" s="44" t="s">
        <v>965</v>
      </c>
      <c r="C65" s="50">
        <f>IFERROR(INDEX(Targets!$A$5:$O$100,$C$3,13),"—")</f>
        <v>674000</v>
      </c>
      <c r="D65" s="51" cm="1">
        <f t="array" ref="D65">IFERROR(INDEX(Data_2!$D$102:$CW$102,1,$C$3+2),"")</f>
        <v>695906.94000000006</v>
      </c>
      <c r="E65" s="51">
        <f>IFERROR(D65-C65,"—")</f>
        <v>21906.940000000061</v>
      </c>
      <c r="F65" s="51" cm="1">
        <f t="array" ref="F65">IF($C$3&gt;1,IFERROR(INDEX(Data_2!$D$102:$CW$102,1,$C$3+1),""),"")</f>
        <v>483329.54</v>
      </c>
      <c r="G65" s="51">
        <f t="shared" si="0"/>
        <v>212577.40000000008</v>
      </c>
      <c r="H65" s="47" t="str">
        <f>IF(AND(ISNUMBER(D65),ISNUMBER(C65)),IF(D65&gt;=C65,"✓","✗"),"")</f>
        <v>✓</v>
      </c>
      <c r="I65" s="919"/>
    </row>
    <row r="66" spans="1:9" ht="15" customHeight="1">
      <c r="B66" s="44" t="s">
        <v>966</v>
      </c>
      <c r="C66" s="45">
        <f>IFERROR(INDEX(Targets!$A$5:$O$100,$C$3,14),"—")</f>
        <v>0.77200000000000002</v>
      </c>
      <c r="D66" s="46" cm="1">
        <f t="array" ref="D66">IFERROR(INDEX(Data_2!$D$103:$CW$103,1,$C$3+2),"")</f>
        <v>0.99344064479036731</v>
      </c>
      <c r="E66" s="46">
        <f>IFERROR(D66-C66,"—")</f>
        <v>0.22144064479036729</v>
      </c>
      <c r="F66" s="46" cm="1">
        <f t="array" ref="F66">IF($C$3&gt;1,IFERROR(INDEX(Data_2!$D$103:$CW$103,1,$C$3+1),""),"")</f>
        <v>0.71526441086088888</v>
      </c>
      <c r="G66" s="46">
        <f t="shared" si="0"/>
        <v>0.27817623392947843</v>
      </c>
      <c r="H66" s="47" t="str">
        <f>IF(AND(ISNUMBER(D66),ISNUMBER(C66)),IF(D66&gt;=C66,"✓","✗"),"")</f>
        <v>✓</v>
      </c>
    </row>
    <row r="67" spans="1:9" ht="15" customHeight="1" thickBot="1">
      <c r="A67" s="33"/>
      <c r="B67" s="32" t="s">
        <v>967</v>
      </c>
      <c r="C67" s="33"/>
      <c r="D67" s="33"/>
      <c r="E67" s="33"/>
      <c r="F67" s="33"/>
      <c r="G67" s="33"/>
      <c r="H67" s="33"/>
    </row>
    <row r="68" spans="1:9" ht="15" customHeight="1">
      <c r="B68" s="44" t="s">
        <v>968</v>
      </c>
      <c r="C68" s="50">
        <f>-IFERROR(INDEX(Targets!$A$5:$O$100,$C$3,15),"—")</f>
        <v>-105000</v>
      </c>
      <c r="D68" s="1074" cm="1">
        <f t="array" ref="D68">-IFERROR(INDEX(Data_2!$D$111:$CW$111,1,$C$3+2),"")</f>
        <v>-121349.64999999998</v>
      </c>
      <c r="E68" s="51">
        <f>IFERROR(D68-C68,"—")</f>
        <v>-16349.64999999998</v>
      </c>
      <c r="F68" s="1088" cm="1">
        <f t="array" ref="F68">IF($C$3&gt;1,IF(INDEX(Data_2!$D$111:$CW$111,1,$C$3+1)="","",-INDEX(Data_2!$D$111:$CW$111,1,$C$3+1)),"")</f>
        <v>-311122.52000000014</v>
      </c>
      <c r="G68" s="1170">
        <f>IF(OR(F68="",NOT(ISNUMBER(F68))),"—",IFERROR(D68-F68,"—"))</f>
        <v>189772.87000000017</v>
      </c>
      <c r="H68" s="1171" t="str">
        <f>IF(AND(ISNUMBER(D68),ISNUMBER(C68)),IF(D68&gt;=C68,"✓","✗"),"")</f>
        <v>✗</v>
      </c>
    </row>
    <row r="69" spans="1:9" ht="15" customHeight="1">
      <c r="B69" s="44" t="s">
        <v>969</v>
      </c>
      <c r="C69" s="52">
        <f>IFERROR(INDEX(Targets!$A$5:$X$100,$C$3,24),"—")</f>
        <v>10.7</v>
      </c>
      <c r="D69" s="53" cm="1">
        <f t="array" ref="D69">IFERROR(INDEX(Data_2!$D$117:$CW$117,1,$C$3+2),"")</f>
        <v>4.0563778943892155</v>
      </c>
      <c r="E69" s="53">
        <f>IF(OR(D69="—",NOT(ISNUMBER(D69))),"—",C69-D69)</f>
        <v>6.6436221056107838</v>
      </c>
      <c r="F69" s="54" cm="1">
        <f t="array" ref="F69">IF($C$3&gt;1,IFERROR(INDEX(Data_2!$D$117:$CW$117,1,$C$3+1),""),"")</f>
        <v>4.0563778943892155</v>
      </c>
      <c r="G69" s="54">
        <f>IFERROR(F69-D69,"—")</f>
        <v>0</v>
      </c>
      <c r="H69" s="55" t="str">
        <f>IF(OR(D69="—",NOT(ISNUMBER(D69))),"—",IF(D69&lt;=C69,"✓","✗"))</f>
        <v>✓</v>
      </c>
    </row>
    <row r="70" spans="1:9" ht="15" customHeight="1">
      <c r="B70" s="44" t="s">
        <v>970</v>
      </c>
      <c r="C70" s="52">
        <f>IFERROR(INDEX(Targets!$A$5:$X$100,$C$3,24),"—")</f>
        <v>10.7</v>
      </c>
      <c r="D70" s="53" cm="1">
        <f t="array" ref="D70">IFERROR(INDEX(Data_2!$D$118:$CW$118,1,$C$3+2),"")</f>
        <v>6.0713716697268474</v>
      </c>
      <c r="E70" s="53">
        <f>IF(OR(D70="—",NOT(ISNUMBER(D70))),"—",C70-D70)</f>
        <v>4.6286283302731519</v>
      </c>
      <c r="F70" s="54" cm="1">
        <f t="array" ref="F70">IF($C$3&gt;1,IFERROR(INDEX(Data_2!$D$118:$CW$118,1,$C$3+1),""),"")</f>
        <v>6.0713716697268474</v>
      </c>
      <c r="G70" s="54">
        <f>IFERROR(F70-D70,"—")</f>
        <v>0</v>
      </c>
      <c r="H70" s="55" t="str">
        <f>IF(OR(D70="—",NOT(ISNUMBER(D70))),"—",IF(D70&lt;=C70,"✓","✗"))</f>
        <v>✓</v>
      </c>
    </row>
    <row r="71" spans="1:9" ht="15" customHeight="1">
      <c r="B71" s="44" t="s">
        <v>971</v>
      </c>
      <c r="C71" s="52">
        <f>IFERROR(ROUND((1-_xlfn.SINGLE(INDEX(Targets!$A$5:$W$100,$C$3,14)))*DAY(EOMONTH(_xlfn.SINGLE(INDEX(Targets!$B$5:$B$100,$C$3)),0)),1),"—")</f>
        <v>7.1</v>
      </c>
      <c r="D71" s="53" cm="1">
        <f t="array" ref="D71">IFERROR(INDEX(Data_2!$D$115:$CW$115,1,$C$3+2),"")</f>
        <v>0.20334001149861336</v>
      </c>
      <c r="E71" s="53">
        <f>IF(OR(D71="—",NOT(ISNUMBER(D71))),"—",C71-D71)</f>
        <v>6.8966599885013862</v>
      </c>
      <c r="F71" s="54" cm="1">
        <f t="array" ref="F71">IF($C$3&gt;1,IFERROR(INDEX(Data_2!$D$115:$CW$115,1,$C$3+1),""),"")</f>
        <v>8.8268032633124456</v>
      </c>
      <c r="G71" s="54">
        <f>IFERROR(F71-D71,"—")</f>
        <v>8.623463251813833</v>
      </c>
      <c r="H71" s="55" t="str">
        <f>IF(OR(D71="—",NOT(ISNUMBER(D71))),"—",IF(D71&lt;=C71,"✓","✗"))</f>
        <v>✓</v>
      </c>
    </row>
    <row r="72" spans="1:9" ht="15" customHeight="1" thickBot="1">
      <c r="A72" s="33"/>
      <c r="B72" s="32" t="s">
        <v>972</v>
      </c>
      <c r="C72" s="33"/>
      <c r="D72" s="33"/>
      <c r="E72" s="33"/>
      <c r="F72" s="33"/>
      <c r="G72" s="33"/>
      <c r="H72" s="33"/>
    </row>
    <row r="73" spans="1:9" ht="15" customHeight="1">
      <c r="B73" s="44" t="s">
        <v>973</v>
      </c>
      <c r="C73" s="48" t="s">
        <v>338</v>
      </c>
      <c r="D73" s="49" cm="1">
        <f t="array" ref="D73">IFERROR(INDEX(Data_2!$D$120:$CW$120,1,$C$3+2),"")</f>
        <v>133</v>
      </c>
      <c r="E73" s="49" t="s">
        <v>338</v>
      </c>
      <c r="F73" s="49" cm="1">
        <f t="array" ref="F73">IF($C$3&gt;1,IFERROR(INDEX(Data_2!$D$120:$CW$120,1,$C$3+1),""),"")</f>
        <v>180</v>
      </c>
      <c r="G73" s="49">
        <f>IFERROR(D73-F73,"—")</f>
        <v>-47</v>
      </c>
      <c r="H73" s="47"/>
    </row>
    <row r="74" spans="1:9" ht="15" customHeight="1">
      <c r="B74" s="44" t="s">
        <v>974</v>
      </c>
      <c r="C74" s="48" t="s">
        <v>338</v>
      </c>
      <c r="D74" s="49" cm="1">
        <f t="array" ref="D74">IFERROR(INDEX(Data_2!$D$121:$CW$121,1,$C$3+2),"")</f>
        <v>142</v>
      </c>
      <c r="E74" s="49" t="s">
        <v>338</v>
      </c>
      <c r="F74" s="49" cm="1">
        <f t="array" ref="F74">IF($C$3&gt;1,IFERROR(INDEX(Data_2!$D$121:$CW$121,1,$C$3+1),""),"")</f>
        <v>116</v>
      </c>
      <c r="G74" s="49">
        <f>IFERROR(D74-F74,"—")</f>
        <v>26</v>
      </c>
      <c r="H74" s="47"/>
    </row>
    <row r="75" spans="1:9" ht="15" customHeight="1">
      <c r="B75" s="44" t="s">
        <v>975</v>
      </c>
      <c r="C75" s="48" t="s">
        <v>338</v>
      </c>
      <c r="D75" s="49" cm="1">
        <f t="array" ref="D75">IFERROR(INDEX(Data_2!$D$122:$CW$122,1,$C$3+2),"")</f>
        <v>260</v>
      </c>
      <c r="E75" s="49" t="s">
        <v>338</v>
      </c>
      <c r="F75" s="49" cm="1">
        <f t="array" ref="F75">IF($C$3&gt;1,IFERROR(INDEX(Data_2!$D$122:$CW$122,1,$C$3+1),""),"")</f>
        <v>282</v>
      </c>
      <c r="G75" s="49">
        <f>IFERROR(F75-D75,"—")</f>
        <v>22</v>
      </c>
      <c r="H75" s="47"/>
    </row>
    <row r="76" spans="1:9" ht="15" customHeight="1">
      <c r="B76" s="44" t="s">
        <v>976</v>
      </c>
      <c r="C76" s="45" t="s">
        <v>338</v>
      </c>
      <c r="D76" s="46" cm="1">
        <f t="array" ref="D76">IFERROR(INDEX(Data_2!$D$123:$CW$123,1,$C$3+2),"")</f>
        <v>1.0676691729323309</v>
      </c>
      <c r="E76" s="46" t="s">
        <v>338</v>
      </c>
      <c r="F76" s="46" cm="1">
        <f t="array" ref="F76">IF($C$3&gt;1,IFERROR(INDEX(Data_2!$D$123:$CW$123,1,$C$3+1),""),"")</f>
        <v>0.64444444444444449</v>
      </c>
      <c r="G76" s="46">
        <f>IFERROR(D76-F76,"—")</f>
        <v>0.42322472848788639</v>
      </c>
      <c r="H76" s="47"/>
    </row>
    <row r="77" spans="1:9" ht="15" customHeight="1" thickBot="1">
      <c r="A77" s="33"/>
      <c r="B77" s="32" t="s">
        <v>977</v>
      </c>
      <c r="C77" s="33"/>
      <c r="D77" s="33"/>
      <c r="E77" s="33"/>
      <c r="F77" s="33"/>
      <c r="G77" s="33"/>
      <c r="H77" s="33"/>
    </row>
    <row r="78" spans="1:9" ht="15" customHeight="1">
      <c r="B78" s="44" t="s">
        <v>978</v>
      </c>
      <c r="C78" s="50" t="s">
        <v>338</v>
      </c>
      <c r="D78" s="51" cm="1">
        <f t="array" ref="D78">IFERROR(INDEX(Data_2!$D$126:$CW$126,1,$C$3+2),"")</f>
        <v>990.86218181818174</v>
      </c>
      <c r="E78" s="51" t="s">
        <v>338</v>
      </c>
      <c r="F78" s="51" cm="1">
        <f t="array" ref="F78">IF($C$3&gt;1,IFERROR(INDEX(Data_2!$D$126:$CW$126,1,$C$3+1),""),"")</f>
        <v>990.86218181818174</v>
      </c>
      <c r="G78" s="51">
        <f>IFERROR(D78-F78,"—")</f>
        <v>0</v>
      </c>
      <c r="H78" s="47"/>
    </row>
    <row r="79" spans="1:9" ht="15" customHeight="1">
      <c r="B79" s="44" t="s">
        <v>979</v>
      </c>
      <c r="C79" s="50" t="s">
        <v>338</v>
      </c>
      <c r="D79" s="51" cm="1">
        <f t="array" ref="D79">IFERROR(INDEX(Data_2!$D$127:$CW$127,1,$C$3+2),"")</f>
        <v>992.13586978505498</v>
      </c>
      <c r="E79" s="51" t="s">
        <v>338</v>
      </c>
      <c r="F79" s="51" cm="1">
        <f t="array" ref="F79">IF($C$3&gt;1,IFERROR(INDEX(Data_2!$D$127:$CW$127,1,$C$3+1),""),"")</f>
        <v>992.14677491109251</v>
      </c>
      <c r="G79" s="51">
        <f>IFERROR(D79-F79,"—")</f>
        <v>-1.0905126037528134E-2</v>
      </c>
      <c r="H79" s="47"/>
    </row>
    <row r="80" spans="1:9" ht="4.5" customHeight="1"/>
    <row r="81" spans="2:2" hidden="1"/>
    <row r="82" spans="2:2" ht="15" customHeight="1">
      <c r="B82" s="6" t="s">
        <v>980</v>
      </c>
    </row>
    <row r="83" spans="2:2" ht="15" customHeight="1">
      <c r="B83" s="7" t="s">
        <v>981</v>
      </c>
    </row>
    <row r="84" spans="2:2" ht="15" customHeight="1">
      <c r="B84" s="8" t="s">
        <v>982</v>
      </c>
    </row>
    <row r="86" spans="2:2" ht="15" customHeight="1">
      <c r="B86" s="9" t="s">
        <v>983</v>
      </c>
    </row>
  </sheetData>
  <mergeCells count="2">
    <mergeCell ref="B1:I1"/>
    <mergeCell ref="B2:I2"/>
  </mergeCells>
  <conditionalFormatting sqref="E7:E10 E12:E16 E61:E66 E68:E71 E73:E76 E78:E79">
    <cfRule type="cellIs" dxfId="86" priority="2" operator="greaterThan">
      <formula>0</formula>
    </cfRule>
    <cfRule type="cellIs" dxfId="85" priority="3" operator="lessThan">
      <formula>0</formula>
    </cfRule>
  </conditionalFormatting>
  <conditionalFormatting sqref="E18:E25">
    <cfRule type="cellIs" dxfId="84" priority="55" operator="lessThan">
      <formula>0</formula>
    </cfRule>
    <cfRule type="cellIs" dxfId="83" priority="54" operator="greaterThanOrEqual">
      <formula>0</formula>
    </cfRule>
  </conditionalFormatting>
  <conditionalFormatting sqref="E34">
    <cfRule type="expression" dxfId="82" priority="20">
      <formula>AND(ISNUMBER(E34),E34&gt;=0)</formula>
    </cfRule>
    <cfRule type="expression" dxfId="81" priority="21">
      <formula>AND(ISNUMBER(E34),E34&lt;0)</formula>
    </cfRule>
  </conditionalFormatting>
  <conditionalFormatting sqref="E42">
    <cfRule type="expression" dxfId="80" priority="22">
      <formula>AND(ISNUMBER(E42),E42&gt;=0)</formula>
    </cfRule>
    <cfRule type="expression" dxfId="79" priority="23">
      <formula>AND(ISNUMBER(E42),E42&lt;0)</formula>
    </cfRule>
  </conditionalFormatting>
  <conditionalFormatting sqref="E50 E58">
    <cfRule type="expression" dxfId="78" priority="24">
      <formula>AND(ISNUMBER(E50),E50&gt;=0)</formula>
    </cfRule>
    <cfRule type="expression" dxfId="77" priority="25">
      <formula>AND(ISNUMBER(E50),E50&lt;0)</formula>
    </cfRule>
  </conditionalFormatting>
  <conditionalFormatting sqref="G7:G10 G12:G16 G18:G25 G61:G66 G68:G71 G73:G76 G78:G79">
    <cfRule type="cellIs" dxfId="76" priority="6" operator="greaterThan">
      <formula>0</formula>
    </cfRule>
    <cfRule type="cellIs" dxfId="75" priority="7" operator="lessThan">
      <formula>0</formula>
    </cfRule>
  </conditionalFormatting>
  <conditionalFormatting sqref="G18">
    <cfRule type="expression" dxfId="74" priority="51">
      <formula>AND(ISNUMBER(G18),G18&lt;0)</formula>
    </cfRule>
    <cfRule type="expression" dxfId="73" priority="50">
      <formula>AND(ISNUMBER(G18),G18&gt;0)</formula>
    </cfRule>
  </conditionalFormatting>
  <conditionalFormatting sqref="G18:G25">
    <cfRule type="cellIs" dxfId="72" priority="56" operator="greaterThanOrEqual">
      <formula>0</formula>
    </cfRule>
    <cfRule type="cellIs" dxfId="71" priority="57" operator="lessThan">
      <formula>0</formula>
    </cfRule>
  </conditionalFormatting>
  <conditionalFormatting sqref="G19">
    <cfRule type="expression" dxfId="70" priority="41">
      <formula>AND(ISNUMBER(G19),G19&gt;0)</formula>
    </cfRule>
    <cfRule type="expression" dxfId="69" priority="40">
      <formula>AND(ISNUMBER(G19),G19&lt;0)</formula>
    </cfRule>
  </conditionalFormatting>
  <conditionalFormatting sqref="G20">
    <cfRule type="expression" dxfId="68" priority="36">
      <formula>AND(ISNUMBER(G20),G20&gt;0)</formula>
    </cfRule>
    <cfRule type="expression" dxfId="67" priority="37">
      <formula>AND(ISNUMBER(G20),G20&lt;0)</formula>
    </cfRule>
  </conditionalFormatting>
  <conditionalFormatting sqref="G21">
    <cfRule type="expression" dxfId="66" priority="42">
      <formula>AND(ISNUMBER(G21),G21&lt;0)</formula>
    </cfRule>
    <cfRule type="expression" dxfId="65" priority="43">
      <formula>AND(ISNUMBER(G21),G21&gt;0)</formula>
    </cfRule>
  </conditionalFormatting>
  <conditionalFormatting sqref="G22">
    <cfRule type="expression" dxfId="64" priority="39">
      <formula>AND(ISNUMBER(G22),G22&lt;0)</formula>
    </cfRule>
    <cfRule type="expression" dxfId="63" priority="38">
      <formula>AND(ISNUMBER(G22),G22&gt;0)</formula>
    </cfRule>
  </conditionalFormatting>
  <conditionalFormatting sqref="G23:G25">
    <cfRule type="expression" dxfId="62" priority="44">
      <formula>AND(ISNUMBER(G23),G23&lt;0)</formula>
    </cfRule>
    <cfRule type="expression" dxfId="61" priority="45">
      <formula>AND(ISNUMBER(G23),G23&gt;0)</formula>
    </cfRule>
  </conditionalFormatting>
  <conditionalFormatting sqref="G34">
    <cfRule type="expression" dxfId="60" priority="31">
      <formula>AND(ISNUMBER(G34),G34&lt;0)</formula>
    </cfRule>
    <cfRule type="expression" dxfId="59" priority="30">
      <formula>AND(ISNUMBER(G34),G34&gt;=0)</formula>
    </cfRule>
  </conditionalFormatting>
  <conditionalFormatting sqref="G42">
    <cfRule type="expression" dxfId="58" priority="32">
      <formula>AND(ISNUMBER(G42),G42&gt;=0)</formula>
    </cfRule>
    <cfRule type="expression" dxfId="57" priority="33">
      <formula>AND(ISNUMBER(G42),G42&lt;0)</formula>
    </cfRule>
  </conditionalFormatting>
  <conditionalFormatting sqref="G50 G58">
    <cfRule type="expression" dxfId="56" priority="35">
      <formula>AND(ISNUMBER(G50),G50&lt;0)</formula>
    </cfRule>
    <cfRule type="expression" dxfId="55" priority="34">
      <formula>AND(ISNUMBER(G50),G50&gt;=0)</formula>
    </cfRule>
  </conditionalFormatting>
  <conditionalFormatting sqref="H7:H10 H12:H16 H61:H66 H68:H71 H73:H76 H78:H79">
    <cfRule type="expression" dxfId="54" priority="4">
      <formula>$H7="✓"</formula>
    </cfRule>
    <cfRule type="expression" dxfId="53" priority="5">
      <formula>$H7="✗"</formula>
    </cfRule>
  </conditionalFormatting>
  <conditionalFormatting sqref="H18:H25">
    <cfRule type="containsText" dxfId="52" priority="53" operator="containsText" text="✗">
      <formula>NOT(ISERROR(SEARCH("✗",H18)))</formula>
    </cfRule>
    <cfRule type="containsText" dxfId="51" priority="52" operator="containsText" text="✓">
      <formula>NOT(ISERROR(SEARCH("✓",H18)))</formula>
    </cfRule>
  </conditionalFormatting>
  <conditionalFormatting sqref="H34">
    <cfRule type="expression" dxfId="50" priority="11">
      <formula>H34="✗"</formula>
    </cfRule>
    <cfRule type="expression" dxfId="49" priority="10">
      <formula>H34="✓"</formula>
    </cfRule>
  </conditionalFormatting>
  <conditionalFormatting sqref="H42">
    <cfRule type="expression" dxfId="48" priority="13">
      <formula>H42="✗"</formula>
    </cfRule>
    <cfRule type="expression" dxfId="47" priority="12">
      <formula>H42="✓"</formula>
    </cfRule>
  </conditionalFormatting>
  <conditionalFormatting sqref="H50 H58">
    <cfRule type="expression" dxfId="46" priority="15">
      <formula>H50="✗"</formula>
    </cfRule>
    <cfRule type="expression" dxfId="45" priority="14">
      <formula>H50="✓"</formula>
    </cfRule>
  </conditionalFormatting>
  <pageMargins left="0.75" right="0.75" top="1" bottom="1" header="0.511811023622047" footer="0.511811023622047"/>
  <pageSetup scale="54" fitToWidth="0" fitToHeight="0" orientation="portrait" horizontalDpi="300" verticalDpi="300" r:id="rId1"/>
  <colBreaks count="1" manualBreakCount="1">
    <brk id="8" max="1048575" man="1"/>
  </colBreaks>
  <ignoredErrors>
    <ignoredError sqref="G75 G69" formula="1"/>
  </ignoredErrors>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002060"/>
    <pageSetUpPr fitToPage="1"/>
  </sheetPr>
  <dimension ref="A1:AK142"/>
  <sheetViews>
    <sheetView showGridLines="0" zoomScaleNormal="100" workbookViewId="0">
      <pane xSplit="3" ySplit="4" topLeftCell="X5" activePane="bottomRight" state="frozen"/>
      <selection pane="topRight" activeCell="D1" sqref="D1"/>
      <selection pane="bottomLeft" activeCell="A5" sqref="A5"/>
      <selection pane="bottomRight" activeCell="AL11" sqref="AL11"/>
    </sheetView>
  </sheetViews>
  <sheetFormatPr defaultColWidth="8.5546875" defaultRowHeight="14.4"/>
  <cols>
    <col min="1" max="1" width="44.88671875" customWidth="1"/>
    <col min="2" max="2" width="30.109375" bestFit="1" customWidth="1"/>
    <col min="3" max="29" width="10" customWidth="1"/>
    <col min="31" max="31" width="9.6640625" customWidth="1"/>
    <col min="32" max="32" width="11.5546875" customWidth="1"/>
    <col min="33" max="34" width="11.109375" customWidth="1"/>
    <col min="35" max="35" width="11.33203125" customWidth="1"/>
    <col min="36" max="36" width="10.109375" customWidth="1"/>
    <col min="37" max="37" width="11.109375" customWidth="1"/>
  </cols>
  <sheetData>
    <row r="1" spans="1:37" ht="24" customHeight="1">
      <c r="B1" s="10" t="s">
        <v>783</v>
      </c>
    </row>
    <row r="2" spans="1:37" ht="15" customHeight="1">
      <c r="B2" s="11" t="s">
        <v>984</v>
      </c>
    </row>
    <row r="3" spans="1:37" ht="15" customHeight="1">
      <c r="D3" s="12" t="s">
        <v>985</v>
      </c>
      <c r="E3" s="12" t="s">
        <v>986</v>
      </c>
      <c r="F3" s="12" t="s">
        <v>987</v>
      </c>
      <c r="G3" s="12" t="s">
        <v>988</v>
      </c>
      <c r="H3" s="12" t="s">
        <v>989</v>
      </c>
      <c r="I3" s="12" t="s">
        <v>990</v>
      </c>
      <c r="J3" s="12" t="s">
        <v>991</v>
      </c>
      <c r="K3" s="12" t="s">
        <v>992</v>
      </c>
      <c r="L3" s="12" t="s">
        <v>993</v>
      </c>
      <c r="M3" s="12" t="s">
        <v>994</v>
      </c>
      <c r="N3" s="12" t="s">
        <v>995</v>
      </c>
      <c r="O3" s="12" t="s">
        <v>996</v>
      </c>
      <c r="P3" s="12" t="s">
        <v>997</v>
      </c>
      <c r="Q3" s="12" t="s">
        <v>998</v>
      </c>
      <c r="R3" s="12" t="s">
        <v>999</v>
      </c>
      <c r="S3" s="12" t="s">
        <v>1000</v>
      </c>
      <c r="T3" s="12" t="s">
        <v>1001</v>
      </c>
      <c r="U3" s="12" t="s">
        <v>1002</v>
      </c>
      <c r="V3" s="12" t="s">
        <v>1003</v>
      </c>
      <c r="W3" s="12" t="s">
        <v>1004</v>
      </c>
      <c r="X3" s="12" t="s">
        <v>1005</v>
      </c>
      <c r="Y3" s="12" t="s">
        <v>1006</v>
      </c>
      <c r="Z3" s="12" t="s">
        <v>1007</v>
      </c>
      <c r="AA3" s="12" t="s">
        <v>1008</v>
      </c>
      <c r="AB3" s="12" t="s">
        <v>1009</v>
      </c>
      <c r="AC3" s="12" t="s">
        <v>1010</v>
      </c>
      <c r="AD3" s="12" t="s">
        <v>1011</v>
      </c>
      <c r="AE3" s="12" t="s">
        <v>1012</v>
      </c>
      <c r="AF3" s="12" t="s">
        <v>1013</v>
      </c>
      <c r="AG3" s="12" t="s">
        <v>1014</v>
      </c>
      <c r="AH3" s="12" t="s">
        <v>1015</v>
      </c>
      <c r="AI3" s="12" t="s">
        <v>1016</v>
      </c>
      <c r="AJ3" s="12" t="s">
        <v>1017</v>
      </c>
      <c r="AK3" s="12" t="s">
        <v>1018</v>
      </c>
    </row>
    <row r="4" spans="1:37" ht="15" customHeight="1">
      <c r="A4" s="13" t="s">
        <v>1019</v>
      </c>
      <c r="B4" s="13" t="s">
        <v>923</v>
      </c>
      <c r="C4" s="13" t="s">
        <v>1020</v>
      </c>
      <c r="D4" s="14">
        <v>46013</v>
      </c>
      <c r="E4" s="14">
        <v>46020</v>
      </c>
      <c r="F4" s="14">
        <v>46027</v>
      </c>
      <c r="G4" s="14">
        <v>46034</v>
      </c>
      <c r="H4" s="14">
        <v>46041</v>
      </c>
      <c r="I4" s="14">
        <v>46048</v>
      </c>
      <c r="J4" s="14">
        <v>46055</v>
      </c>
      <c r="K4" s="14">
        <v>46062</v>
      </c>
      <c r="L4" s="14">
        <v>46069</v>
      </c>
      <c r="M4" s="14">
        <v>46076</v>
      </c>
      <c r="N4" s="14">
        <v>46083</v>
      </c>
      <c r="O4" s="14">
        <v>46090</v>
      </c>
      <c r="P4" s="14">
        <v>46097</v>
      </c>
      <c r="Q4" s="14">
        <v>46104</v>
      </c>
      <c r="R4" s="14">
        <v>46111</v>
      </c>
      <c r="S4" s="14">
        <v>46118</v>
      </c>
      <c r="T4" s="14">
        <v>46125</v>
      </c>
      <c r="U4" s="14">
        <v>46132</v>
      </c>
      <c r="V4" s="14">
        <v>46139</v>
      </c>
      <c r="W4" s="14">
        <v>46146</v>
      </c>
      <c r="X4" s="14">
        <v>46153</v>
      </c>
      <c r="Y4" s="14">
        <v>46160</v>
      </c>
      <c r="Z4" s="14">
        <v>46167</v>
      </c>
      <c r="AA4" s="14">
        <v>46174</v>
      </c>
      <c r="AB4" s="14">
        <v>46181</v>
      </c>
      <c r="AC4" s="14">
        <v>46188</v>
      </c>
      <c r="AD4" s="14">
        <v>46195</v>
      </c>
      <c r="AE4" s="14">
        <v>46202</v>
      </c>
      <c r="AF4" s="14">
        <v>46209</v>
      </c>
      <c r="AG4" s="14">
        <v>46216</v>
      </c>
      <c r="AH4" s="14">
        <v>46223</v>
      </c>
      <c r="AI4" s="14">
        <v>46230</v>
      </c>
      <c r="AJ4" s="14">
        <v>46237</v>
      </c>
      <c r="AK4" s="14">
        <v>46244</v>
      </c>
    </row>
    <row r="5" spans="1:37" ht="15" customHeight="1">
      <c r="A5" s="15" t="s">
        <v>930</v>
      </c>
      <c r="B5" s="16"/>
      <c r="C5" s="16"/>
      <c r="D5" s="16"/>
      <c r="E5" s="16"/>
      <c r="F5" s="16"/>
      <c r="G5" s="16"/>
      <c r="H5" s="16"/>
      <c r="I5" s="16"/>
      <c r="J5" s="16"/>
      <c r="K5" s="16"/>
      <c r="L5" s="16"/>
      <c r="M5" s="16"/>
      <c r="N5" s="16"/>
      <c r="O5" s="16"/>
      <c r="P5" s="16"/>
      <c r="Q5" s="16"/>
      <c r="R5" s="16"/>
      <c r="S5" s="16"/>
      <c r="T5" s="16"/>
      <c r="U5" s="16"/>
      <c r="V5" s="16"/>
      <c r="W5" s="16"/>
      <c r="X5" s="16"/>
      <c r="Y5" s="16"/>
      <c r="Z5" s="16"/>
      <c r="AA5" s="16"/>
      <c r="AB5" s="16"/>
      <c r="AC5" s="16"/>
      <c r="AD5" s="16"/>
      <c r="AE5" s="16"/>
      <c r="AF5" s="16"/>
      <c r="AG5" s="16"/>
      <c r="AH5" s="16"/>
      <c r="AI5" s="16"/>
      <c r="AJ5" s="16"/>
      <c r="AK5" s="16"/>
    </row>
    <row r="6" spans="1:37" ht="15" customHeight="1">
      <c r="B6" s="68" t="s">
        <v>931</v>
      </c>
      <c r="C6" s="69">
        <v>0</v>
      </c>
      <c r="D6" s="70">
        <v>0.79659999999999997</v>
      </c>
      <c r="E6" s="70">
        <v>0.8</v>
      </c>
      <c r="F6" s="70">
        <v>0.8</v>
      </c>
      <c r="G6" s="34">
        <v>0.8</v>
      </c>
      <c r="H6" s="34">
        <v>0.81142857142857139</v>
      </c>
      <c r="I6" s="34">
        <v>0.77828571428571425</v>
      </c>
      <c r="J6" s="34">
        <v>0.77829999999999999</v>
      </c>
      <c r="K6" s="34">
        <v>0.76773455377574373</v>
      </c>
      <c r="L6" s="34">
        <v>0.75629290617848965</v>
      </c>
      <c r="M6" s="34">
        <v>0.75171624713958807</v>
      </c>
      <c r="N6" s="34">
        <v>0.74828375286041193</v>
      </c>
      <c r="O6" s="34">
        <v>0.74141876430205955</v>
      </c>
      <c r="P6" s="34">
        <v>0.73913043478260865</v>
      </c>
      <c r="Q6" s="34">
        <v>0.73913043478260865</v>
      </c>
      <c r="R6" s="34">
        <v>0.74141876430205955</v>
      </c>
      <c r="S6" s="34">
        <v>0.72883295194508013</v>
      </c>
      <c r="T6" s="34">
        <v>0.72311212814645309</v>
      </c>
      <c r="U6" s="34">
        <v>0.73229999999999995</v>
      </c>
      <c r="V6" s="34">
        <v>0.73112128146453093</v>
      </c>
      <c r="W6" s="34">
        <v>0.73</v>
      </c>
      <c r="X6" s="34">
        <v>0.72654462242562934</v>
      </c>
      <c r="Y6" s="34">
        <v>0.72425629290617854</v>
      </c>
      <c r="Z6" s="34">
        <v>0.73340961098398172</v>
      </c>
      <c r="AA6" s="34">
        <v>0.73112128146453093</v>
      </c>
      <c r="AB6" s="34">
        <v>0.72852233676975942</v>
      </c>
      <c r="AC6" s="34">
        <v>0.72623138602520043</v>
      </c>
      <c r="AD6" s="34">
        <v>0.72821100917431192</v>
      </c>
      <c r="AE6" s="34">
        <v>0.7259174311926605</v>
      </c>
      <c r="AF6" s="34">
        <v>0.7178899082568807</v>
      </c>
      <c r="AG6" s="34">
        <v>0.72133027522935778</v>
      </c>
      <c r="AH6" s="34">
        <v>0.71903669724770647</v>
      </c>
      <c r="AI6" s="34">
        <v>0.7259174311926605</v>
      </c>
      <c r="AJ6" s="34">
        <v>0.73165137614678899</v>
      </c>
      <c r="AK6" s="34">
        <f>SUM('Boxscore MMR -Availability'!$M:$M)/(SUM('Boxscore MMR -Availability'!$C:$C)-SUM('Boxscore MMR -Availability'!$F:$F))</f>
        <v>0.73509174311926606</v>
      </c>
    </row>
    <row r="7" spans="1:37" ht="15" customHeight="1">
      <c r="B7" s="68" t="s">
        <v>932</v>
      </c>
      <c r="C7" s="71" t="s">
        <v>1021</v>
      </c>
      <c r="D7" s="72">
        <v>701</v>
      </c>
      <c r="E7" s="72">
        <v>701</v>
      </c>
      <c r="F7" s="72">
        <v>704</v>
      </c>
      <c r="G7" s="35">
        <v>704</v>
      </c>
      <c r="H7" s="35">
        <v>710</v>
      </c>
      <c r="I7" s="35">
        <v>681</v>
      </c>
      <c r="J7" s="35">
        <v>681</v>
      </c>
      <c r="K7" s="35">
        <v>671</v>
      </c>
      <c r="L7" s="35">
        <v>661</v>
      </c>
      <c r="M7" s="35">
        <v>657</v>
      </c>
      <c r="N7" s="35">
        <v>654</v>
      </c>
      <c r="O7" s="35">
        <v>648</v>
      </c>
      <c r="P7" s="35">
        <v>646</v>
      </c>
      <c r="Q7" s="35">
        <v>646</v>
      </c>
      <c r="R7" s="35">
        <v>648</v>
      </c>
      <c r="S7" s="35">
        <v>637</v>
      </c>
      <c r="T7" s="35">
        <v>632</v>
      </c>
      <c r="U7" s="35">
        <v>640</v>
      </c>
      <c r="V7" s="35">
        <v>639</v>
      </c>
      <c r="W7" s="35">
        <v>638</v>
      </c>
      <c r="X7" s="35">
        <v>635</v>
      </c>
      <c r="Y7" s="35">
        <v>633</v>
      </c>
      <c r="Z7" s="35">
        <v>641</v>
      </c>
      <c r="AA7" s="35">
        <v>639</v>
      </c>
      <c r="AB7" s="35">
        <v>636</v>
      </c>
      <c r="AC7" s="35">
        <v>634</v>
      </c>
      <c r="AD7" s="35">
        <v>635</v>
      </c>
      <c r="AE7" s="35">
        <v>633</v>
      </c>
      <c r="AF7" s="35">
        <v>626</v>
      </c>
      <c r="AG7" s="35">
        <v>629</v>
      </c>
      <c r="AH7" s="35">
        <v>627</v>
      </c>
      <c r="AI7" s="35">
        <v>633</v>
      </c>
      <c r="AJ7" s="35">
        <v>638</v>
      </c>
      <c r="AK7" s="35">
        <f>SUM('Boxscore MMR -Availability'!$M:$M)</f>
        <v>641</v>
      </c>
    </row>
    <row r="8" spans="1:37" ht="15" customHeight="1">
      <c r="B8" s="68" t="s">
        <v>1022</v>
      </c>
      <c r="C8" s="71" t="s">
        <v>1021</v>
      </c>
      <c r="D8" s="72">
        <v>880</v>
      </c>
      <c r="E8" s="72">
        <v>880</v>
      </c>
      <c r="F8" s="72">
        <v>880</v>
      </c>
      <c r="G8" s="35">
        <v>880</v>
      </c>
      <c r="H8" s="35">
        <v>880</v>
      </c>
      <c r="I8" s="35">
        <v>880</v>
      </c>
      <c r="J8" s="35">
        <v>880</v>
      </c>
      <c r="K8" s="35">
        <v>880</v>
      </c>
      <c r="L8" s="35">
        <v>880</v>
      </c>
      <c r="M8" s="35">
        <v>880</v>
      </c>
      <c r="N8" s="35">
        <v>880</v>
      </c>
      <c r="O8" s="35">
        <v>880</v>
      </c>
      <c r="P8" s="35">
        <v>880</v>
      </c>
      <c r="Q8" s="35">
        <v>880</v>
      </c>
      <c r="R8" s="35">
        <v>880</v>
      </c>
      <c r="S8" s="35">
        <v>880</v>
      </c>
      <c r="T8" s="35">
        <v>880</v>
      </c>
      <c r="U8" s="35">
        <v>880</v>
      </c>
      <c r="V8" s="35">
        <v>880</v>
      </c>
      <c r="W8" s="35">
        <v>880</v>
      </c>
      <c r="X8" s="35">
        <v>880</v>
      </c>
      <c r="Y8" s="35">
        <v>880</v>
      </c>
      <c r="Z8" s="35">
        <v>880</v>
      </c>
      <c r="AA8" s="35">
        <v>880</v>
      </c>
      <c r="AB8" s="35">
        <v>880</v>
      </c>
      <c r="AC8" s="35">
        <v>880</v>
      </c>
      <c r="AD8" s="35">
        <v>880</v>
      </c>
      <c r="AE8" s="35">
        <v>880</v>
      </c>
      <c r="AF8" s="35">
        <v>880</v>
      </c>
      <c r="AG8" s="35">
        <v>880</v>
      </c>
      <c r="AH8" s="35">
        <v>880</v>
      </c>
      <c r="AI8" s="35">
        <v>880</v>
      </c>
      <c r="AJ8" s="35">
        <v>880</v>
      </c>
      <c r="AK8" s="35">
        <v>880</v>
      </c>
    </row>
    <row r="9" spans="1:37" ht="15" customHeight="1">
      <c r="A9" s="39" t="s">
        <v>1023</v>
      </c>
      <c r="B9" s="68" t="s">
        <v>1024</v>
      </c>
      <c r="C9" s="69">
        <v>0</v>
      </c>
      <c r="D9" s="70">
        <v>0.75</v>
      </c>
      <c r="E9" s="70">
        <v>0.80559999999999998</v>
      </c>
      <c r="F9" s="70">
        <v>0.80559999999999998</v>
      </c>
      <c r="G9" s="34">
        <v>0.80555555555555558</v>
      </c>
      <c r="H9" s="34">
        <v>0.80555555555555558</v>
      </c>
      <c r="I9" s="34">
        <v>0.77777777777777779</v>
      </c>
      <c r="J9" s="34">
        <v>0.77780000000000005</v>
      </c>
      <c r="K9" s="34">
        <v>0.77777777777777779</v>
      </c>
      <c r="L9" s="34">
        <v>0.77777777777777779</v>
      </c>
      <c r="M9" s="34">
        <v>0.75</v>
      </c>
      <c r="N9" s="34">
        <v>0.75</v>
      </c>
      <c r="O9" s="34">
        <v>0.69444444444444442</v>
      </c>
      <c r="P9" s="34">
        <v>0.72222222222222221</v>
      </c>
      <c r="Q9" s="34">
        <v>0.72222222222222221</v>
      </c>
      <c r="R9" s="34">
        <v>0.69444444444444442</v>
      </c>
      <c r="S9" s="34">
        <v>0.61111111111111116</v>
      </c>
      <c r="T9" s="34">
        <v>0.55555555555555558</v>
      </c>
      <c r="U9" s="34">
        <v>0.55559999999999998</v>
      </c>
      <c r="V9" s="34">
        <v>0.55555555555555558</v>
      </c>
      <c r="W9" s="34">
        <v>0.55559999999999998</v>
      </c>
      <c r="X9" s="34">
        <v>0.55555555555555558</v>
      </c>
      <c r="Y9" s="34">
        <v>0.52777777777777779</v>
      </c>
      <c r="Z9" s="34">
        <v>0.55555555555555558</v>
      </c>
      <c r="AA9" s="34">
        <v>0.52777777777777779</v>
      </c>
      <c r="AB9" s="34">
        <v>0.52777777777777779</v>
      </c>
      <c r="AC9" s="34">
        <v>0.52777777777777779</v>
      </c>
      <c r="AD9" s="34">
        <v>0.52777777777777779</v>
      </c>
      <c r="AE9" s="34">
        <v>0.52777777777777779</v>
      </c>
      <c r="AF9" s="34">
        <v>0.52777777777777779</v>
      </c>
      <c r="AG9" s="34">
        <v>0.55555555555555558</v>
      </c>
      <c r="AH9" s="34">
        <v>0.52777777777777779</v>
      </c>
      <c r="AI9" s="34">
        <v>0.61111111111111116</v>
      </c>
      <c r="AJ9" s="34">
        <v>0.63888888888888884</v>
      </c>
      <c r="AK9" s="34">
        <f ca="1">SUMIF('Boxscore MMR -Availability'!$A:$M,Data_2!$A9,'Boxscore MMR -Availability'!$M:$M)/(SUMIF('Boxscore MMR -Availability'!$A:$M,Data_2!$A9,'Boxscore MMR -Availability'!$C:$C)-SUMIF('Boxscore MMR -Availability'!$A:$M,Data_2!$A9,'Boxscore MMR -Availability'!$F:$F))</f>
        <v>0.66666666666666663</v>
      </c>
    </row>
    <row r="10" spans="1:37" ht="15" customHeight="1">
      <c r="A10" s="39" t="s">
        <v>1025</v>
      </c>
      <c r="B10" s="68" t="s">
        <v>1026</v>
      </c>
      <c r="C10" s="69">
        <v>0</v>
      </c>
      <c r="D10" s="70">
        <v>0.8165</v>
      </c>
      <c r="E10" s="70">
        <v>0.83389999999999997</v>
      </c>
      <c r="F10" s="70">
        <v>0.83389999999999997</v>
      </c>
      <c r="G10" s="34">
        <v>0.84469696969696972</v>
      </c>
      <c r="H10" s="34">
        <v>0.85199240986717273</v>
      </c>
      <c r="I10" s="34">
        <v>0.81214421252371916</v>
      </c>
      <c r="J10" s="34">
        <v>0.81020000000000003</v>
      </c>
      <c r="K10" s="34">
        <v>0.79506641366223907</v>
      </c>
      <c r="L10" s="34">
        <v>0.78747628083491461</v>
      </c>
      <c r="M10" s="34">
        <v>0.78557874762808344</v>
      </c>
      <c r="N10" s="34">
        <v>0.77798861480075898</v>
      </c>
      <c r="O10" s="34">
        <v>0.77229601518026569</v>
      </c>
      <c r="P10" s="34">
        <v>0.76280834914611007</v>
      </c>
      <c r="Q10" s="34">
        <v>0.7609108159392789</v>
      </c>
      <c r="R10" s="34">
        <v>0.7609108159392789</v>
      </c>
      <c r="S10" s="34">
        <v>0.74383301707779881</v>
      </c>
      <c r="T10" s="34">
        <v>0.73624288425047435</v>
      </c>
      <c r="U10" s="34">
        <v>0.74</v>
      </c>
      <c r="V10" s="34">
        <v>0.73814041745730552</v>
      </c>
      <c r="W10" s="34">
        <v>0.72870000000000001</v>
      </c>
      <c r="X10" s="34">
        <v>0.7115749525616698</v>
      </c>
      <c r="Y10" s="34">
        <v>0.70967741935483875</v>
      </c>
      <c r="Z10" s="34">
        <v>0.71347248576850097</v>
      </c>
      <c r="AA10" s="34">
        <v>0.70777988614800758</v>
      </c>
      <c r="AB10" s="34">
        <v>0.69829222011385195</v>
      </c>
      <c r="AC10" s="34">
        <v>0.69639468690702089</v>
      </c>
      <c r="AD10" s="34">
        <v>0.69639468690702089</v>
      </c>
      <c r="AE10" s="34">
        <v>0.69829222011385195</v>
      </c>
      <c r="AF10" s="34">
        <v>0.6850094876660342</v>
      </c>
      <c r="AG10" s="34">
        <v>0.68311195445920303</v>
      </c>
      <c r="AH10" s="34">
        <v>0.68311195445920303</v>
      </c>
      <c r="AI10" s="34">
        <v>0.6793168880455408</v>
      </c>
      <c r="AJ10" s="34">
        <v>0.6793168880455408</v>
      </c>
      <c r="AK10" s="34" cm="1">
        <f t="array" ref="AK10">_xlfn.LET(
  _xlpm.list, TRIM(_xlfn.TEXTSPLIT(Data_2!$A10,",")),
  SUM(SUMIF('Boxscore MMR -Availability'!$A:$A, _xlpm.list, 'Boxscore MMR -Availability'!$M:$M)) /
  (
    SUM(SUMIF('Boxscore MMR -Availability'!$A:$A, _xlpm.list, 'Boxscore MMR -Availability'!$C:$C)) -
    SUM(SUMIF('Boxscore MMR -Availability'!$A:$A, _xlpm.list, 'Boxscore MMR -Availability'!$F:$F))
  )
)</f>
        <v>0.68121442125237197</v>
      </c>
    </row>
    <row r="11" spans="1:37" ht="15" customHeight="1">
      <c r="A11" s="39" t="s">
        <v>1027</v>
      </c>
      <c r="B11" s="68" t="s">
        <v>1028</v>
      </c>
      <c r="C11" s="69">
        <v>0</v>
      </c>
      <c r="D11" s="70">
        <v>0.70420000000000005</v>
      </c>
      <c r="E11" s="70">
        <v>0.71309999999999996</v>
      </c>
      <c r="F11" s="70">
        <v>0.71309999999999996</v>
      </c>
      <c r="G11" s="34">
        <v>0.71311475409836067</v>
      </c>
      <c r="H11" s="34">
        <v>0.73333333333333328</v>
      </c>
      <c r="I11" s="34">
        <v>0.71250000000000002</v>
      </c>
      <c r="J11" s="34">
        <v>0.7167</v>
      </c>
      <c r="K11" s="34">
        <v>0.71966527196652719</v>
      </c>
      <c r="L11" s="34">
        <v>0.69456066945606698</v>
      </c>
      <c r="M11" s="34">
        <v>0.68619246861924688</v>
      </c>
      <c r="N11" s="34">
        <v>0.69037656903765687</v>
      </c>
      <c r="O11" s="34">
        <v>0.68200836820083677</v>
      </c>
      <c r="P11" s="34">
        <v>0.69874476987447698</v>
      </c>
      <c r="Q11" s="34">
        <v>0.70292887029288698</v>
      </c>
      <c r="R11" s="34">
        <v>0.71548117154811719</v>
      </c>
      <c r="S11" s="34">
        <v>0.72384937238493718</v>
      </c>
      <c r="T11" s="34">
        <v>0.72803347280334729</v>
      </c>
      <c r="U11" s="34">
        <v>0.75729999999999997</v>
      </c>
      <c r="V11" s="34">
        <v>0.75732217573221761</v>
      </c>
      <c r="W11" s="34">
        <v>0.76570000000000005</v>
      </c>
      <c r="X11" s="34">
        <v>0.78661087866108792</v>
      </c>
      <c r="Y11" s="34">
        <v>0.79079497907949792</v>
      </c>
      <c r="Z11" s="34">
        <v>0.81171548117154813</v>
      </c>
      <c r="AA11" s="34">
        <v>0.81171548117154813</v>
      </c>
      <c r="AB11" s="34">
        <v>0.82352941176470584</v>
      </c>
      <c r="AC11" s="34">
        <v>0.82773109243697474</v>
      </c>
      <c r="AD11" s="34">
        <v>0.82773109243697474</v>
      </c>
      <c r="AE11" s="34">
        <v>0.81932773109243695</v>
      </c>
      <c r="AF11" s="34">
        <v>0.81092436974789917</v>
      </c>
      <c r="AG11" s="34">
        <v>0.82773109243697474</v>
      </c>
      <c r="AH11" s="34">
        <v>0.82773109243697474</v>
      </c>
      <c r="AI11" s="34">
        <v>0.84033613445378152</v>
      </c>
      <c r="AJ11" s="34">
        <v>0.8529411764705882</v>
      </c>
      <c r="AK11" s="34" cm="1">
        <f t="array" ref="AK11">_xlfn.LET(
  _xlpm.list, TRIM(_xlfn.TEXTSPLIT(Data_2!$A11,",")),
  SUM(SUMIF('Boxscore MMR -Availability'!$A:$A, _xlpm.list, 'Boxscore MMR -Availability'!$M:$M)) /
  (
    SUM(SUMIF('Boxscore MMR -Availability'!$A:$A, _xlpm.list, 'Boxscore MMR -Availability'!$C:$C)) -
    SUM(SUMIF('Boxscore MMR -Availability'!$A:$A, _xlpm.list, 'Boxscore MMR -Availability'!$F:$F))
  )
)</f>
        <v>0.8529411764705882</v>
      </c>
    </row>
    <row r="12" spans="1:37" ht="15" customHeight="1">
      <c r="A12" s="39" t="s">
        <v>1029</v>
      </c>
      <c r="B12" s="68" t="s">
        <v>1030</v>
      </c>
      <c r="C12" s="69">
        <v>0</v>
      </c>
      <c r="D12" s="70">
        <v>0.875</v>
      </c>
      <c r="E12" s="70">
        <v>0.875</v>
      </c>
      <c r="F12" s="70">
        <v>0.875</v>
      </c>
      <c r="G12" s="34">
        <v>0.875</v>
      </c>
      <c r="H12" s="34">
        <v>0.875</v>
      </c>
      <c r="I12" s="34">
        <v>0.875</v>
      </c>
      <c r="J12" s="34">
        <v>0.875</v>
      </c>
      <c r="K12" s="34">
        <v>0.875</v>
      </c>
      <c r="L12" s="34">
        <v>0.875</v>
      </c>
      <c r="M12" s="34">
        <v>0.875</v>
      </c>
      <c r="N12" s="34">
        <v>0.875</v>
      </c>
      <c r="O12" s="34">
        <v>0.875</v>
      </c>
      <c r="P12" s="34">
        <v>0.875</v>
      </c>
      <c r="Q12" s="34">
        <v>0.875</v>
      </c>
      <c r="R12" s="34">
        <v>0.875</v>
      </c>
      <c r="S12" s="34">
        <v>0.8125</v>
      </c>
      <c r="T12" s="34">
        <v>0.8125</v>
      </c>
      <c r="U12" s="34">
        <v>0.8125</v>
      </c>
      <c r="V12" s="34">
        <v>0.8125</v>
      </c>
      <c r="W12" s="34">
        <v>0.875</v>
      </c>
      <c r="X12" s="34">
        <v>0.875</v>
      </c>
      <c r="Y12" s="34">
        <v>0.875</v>
      </c>
      <c r="Z12" s="34">
        <v>0.875</v>
      </c>
      <c r="AA12" s="34">
        <v>0.875</v>
      </c>
      <c r="AB12" s="34">
        <v>0.875</v>
      </c>
      <c r="AC12" s="34">
        <v>0.875</v>
      </c>
      <c r="AD12" s="34">
        <v>1</v>
      </c>
      <c r="AE12" s="34">
        <v>0.93333333333333335</v>
      </c>
      <c r="AF12" s="34">
        <v>0.93333333333333335</v>
      </c>
      <c r="AG12" s="34">
        <v>0.93333333333333335</v>
      </c>
      <c r="AH12" s="34">
        <v>0.93333333333333335</v>
      </c>
      <c r="AI12" s="34">
        <v>1</v>
      </c>
      <c r="AJ12" s="34">
        <v>1</v>
      </c>
      <c r="AK12" s="34">
        <f ca="1">SUMIF('Boxscore MMR -Availability'!$A:$M,Data_2!$A12,'Boxscore MMR -Availability'!$M:$M)/(SUMIF('Boxscore MMR -Availability'!$A:$M,Data_2!$A12,'Boxscore MMR -Availability'!$C:$C)-SUMIF('Boxscore MMR -Availability'!$A:$M,Data_2!$A12,'Boxscore MMR -Availability'!$F:$F))</f>
        <v>0.93333333333333335</v>
      </c>
    </row>
    <row r="13" spans="1:37" ht="15" customHeight="1">
      <c r="B13" s="68" t="s">
        <v>933</v>
      </c>
      <c r="C13" s="69">
        <v>0</v>
      </c>
      <c r="D13" s="70">
        <v>0.22950000000000001</v>
      </c>
      <c r="E13" s="70">
        <v>0.2205</v>
      </c>
      <c r="F13" s="70">
        <v>0.21249999999999999</v>
      </c>
      <c r="G13" s="34">
        <v>0.21249999999999999</v>
      </c>
      <c r="H13" s="34">
        <v>0.20571428571428571</v>
      </c>
      <c r="I13" s="34">
        <v>0.2422857142857143</v>
      </c>
      <c r="J13" s="34">
        <v>0.23200000000000001</v>
      </c>
      <c r="K13" s="34">
        <v>0.2116704805491991</v>
      </c>
      <c r="L13" s="34">
        <v>0.20480549199084669</v>
      </c>
      <c r="M13" s="34">
        <v>0.22425629290617849</v>
      </c>
      <c r="N13" s="34">
        <v>0.24713958810068651</v>
      </c>
      <c r="O13" s="34">
        <v>0.2494279176201373</v>
      </c>
      <c r="P13" s="34">
        <v>0.25171624713958812</v>
      </c>
      <c r="Q13" s="34">
        <v>0.26887871853546913</v>
      </c>
      <c r="R13" s="34">
        <v>0.26773455377574373</v>
      </c>
      <c r="S13" s="34">
        <v>0.27688787185354691</v>
      </c>
      <c r="T13" s="34">
        <v>0.2780320366132723</v>
      </c>
      <c r="U13" s="34">
        <v>0.27689999999999998</v>
      </c>
      <c r="V13" s="34">
        <v>0.28489702517162474</v>
      </c>
      <c r="W13" s="34">
        <v>0.28599999999999998</v>
      </c>
      <c r="X13" s="34">
        <v>0.2974828375286041</v>
      </c>
      <c r="Y13" s="34">
        <v>0.30549199084668194</v>
      </c>
      <c r="Z13" s="34">
        <v>0.29633867276887871</v>
      </c>
      <c r="AA13" s="34">
        <v>0.29633867276887871</v>
      </c>
      <c r="AB13" s="34">
        <v>0.30927835051546393</v>
      </c>
      <c r="AC13" s="34">
        <v>0.32416953035509738</v>
      </c>
      <c r="AD13" s="34">
        <v>0.31077981651376146</v>
      </c>
      <c r="AE13" s="34">
        <v>0.2993119266055046</v>
      </c>
      <c r="AF13" s="34">
        <v>0.29243119266055045</v>
      </c>
      <c r="AG13" s="34">
        <v>0.26834862385321101</v>
      </c>
      <c r="AH13" s="34">
        <v>0.26146788990825687</v>
      </c>
      <c r="AI13" s="34">
        <v>0.25114678899082571</v>
      </c>
      <c r="AJ13" s="34">
        <v>0.24655963302752293</v>
      </c>
      <c r="AK13" s="34" cm="1">
        <f t="array" ref="AK13">_xlfn.LET(
  _xlpm.num, SUM('Boxscore MMR -Availability'!$G:$G) + SUM('Boxscore MMR -Availability'!$K:$K),
  _xlpm.den, SUM('Boxscore MMR -Availability'!$C:$C) - SUM('Boxscore MMR -Availability'!$F:$F),
  _xlpm.num/_xlpm.den
)</f>
        <v>0.24885321100917432</v>
      </c>
    </row>
    <row r="14" spans="1:37" ht="15" customHeight="1">
      <c r="A14" s="15" t="s">
        <v>1031</v>
      </c>
      <c r="B14" s="16"/>
      <c r="C14" s="16"/>
      <c r="D14" s="16"/>
      <c r="E14" s="16"/>
      <c r="F14" s="16"/>
      <c r="G14" s="16"/>
      <c r="H14" s="16"/>
      <c r="I14" s="16"/>
      <c r="J14" s="16" t="s">
        <v>1032</v>
      </c>
      <c r="K14" s="16"/>
      <c r="L14" s="16"/>
      <c r="M14" s="16"/>
      <c r="N14" s="16"/>
      <c r="O14" s="16"/>
      <c r="P14" s="16"/>
      <c r="Q14" s="16"/>
      <c r="R14" s="16"/>
      <c r="S14" s="16"/>
      <c r="T14" s="16"/>
      <c r="U14" s="16" t="s">
        <v>1032</v>
      </c>
      <c r="V14" s="16"/>
      <c r="W14" s="16"/>
      <c r="X14" s="16"/>
      <c r="Y14" s="16"/>
      <c r="Z14" s="16"/>
      <c r="AA14" s="16"/>
      <c r="AB14" s="16"/>
      <c r="AC14" s="16"/>
      <c r="AD14" s="16"/>
      <c r="AE14" s="16"/>
      <c r="AF14" s="16"/>
      <c r="AG14" s="16"/>
      <c r="AH14" s="16"/>
      <c r="AI14" s="16"/>
      <c r="AJ14" s="16"/>
      <c r="AK14" s="16"/>
    </row>
    <row r="15" spans="1:37" ht="15" customHeight="1">
      <c r="B15" s="68" t="s">
        <v>936</v>
      </c>
      <c r="C15" s="71" t="s">
        <v>1021</v>
      </c>
      <c r="D15" s="72">
        <v>36</v>
      </c>
      <c r="E15" s="72">
        <v>86</v>
      </c>
      <c r="F15" s="72">
        <v>141</v>
      </c>
      <c r="G15" s="35">
        <v>141</v>
      </c>
      <c r="H15" s="35">
        <v>88</v>
      </c>
      <c r="I15" s="35">
        <v>52</v>
      </c>
      <c r="J15" s="35">
        <v>83</v>
      </c>
      <c r="K15" s="35">
        <v>140</v>
      </c>
      <c r="L15" s="35">
        <v>149</v>
      </c>
      <c r="M15" s="35">
        <v>123</v>
      </c>
      <c r="N15" s="35">
        <v>103</v>
      </c>
      <c r="O15" s="35">
        <v>114</v>
      </c>
      <c r="P15" s="35">
        <v>124</v>
      </c>
      <c r="Q15" s="35">
        <v>147</v>
      </c>
      <c r="R15" s="35">
        <v>129</v>
      </c>
      <c r="S15" s="35">
        <v>119</v>
      </c>
      <c r="T15" s="35">
        <v>186</v>
      </c>
      <c r="U15" s="35">
        <v>210</v>
      </c>
      <c r="V15" s="35">
        <v>246</v>
      </c>
      <c r="W15" s="35">
        <v>211</v>
      </c>
      <c r="X15" s="35">
        <v>251</v>
      </c>
      <c r="Y15" s="35">
        <v>220</v>
      </c>
      <c r="Z15" s="35">
        <v>244</v>
      </c>
      <c r="AA15" s="35">
        <v>199</v>
      </c>
      <c r="AB15" s="35">
        <v>230</v>
      </c>
      <c r="AC15" s="35">
        <v>235</v>
      </c>
      <c r="AD15" s="35">
        <v>223</v>
      </c>
      <c r="AE15" s="35">
        <v>235</v>
      </c>
      <c r="AF15" s="35">
        <v>185</v>
      </c>
      <c r="AG15" s="35">
        <v>188</v>
      </c>
      <c r="AH15" s="35">
        <v>176</v>
      </c>
      <c r="AI15" s="35">
        <v>222</v>
      </c>
      <c r="AJ15" s="35">
        <v>200</v>
      </c>
      <c r="AK15" s="35">
        <f>SUM('Boxscore MMR -Lead Activity'!$B:$B)</f>
        <v>189</v>
      </c>
    </row>
    <row r="16" spans="1:37" ht="15" customHeight="1">
      <c r="B16" s="68" t="s">
        <v>937</v>
      </c>
      <c r="C16" s="71" t="s">
        <v>1021</v>
      </c>
      <c r="D16" s="72">
        <v>13</v>
      </c>
      <c r="E16" s="72">
        <v>5</v>
      </c>
      <c r="F16" s="72">
        <v>14</v>
      </c>
      <c r="G16" s="35">
        <v>14</v>
      </c>
      <c r="H16" s="35">
        <v>26</v>
      </c>
      <c r="I16" s="35">
        <v>18</v>
      </c>
      <c r="J16" s="35">
        <v>10</v>
      </c>
      <c r="K16" s="35">
        <v>28</v>
      </c>
      <c r="L16" s="35">
        <v>26</v>
      </c>
      <c r="M16" s="35">
        <v>28</v>
      </c>
      <c r="N16" s="35">
        <v>34</v>
      </c>
      <c r="O16" s="35">
        <v>28</v>
      </c>
      <c r="P16" s="35">
        <v>39</v>
      </c>
      <c r="Q16" s="35">
        <v>38</v>
      </c>
      <c r="R16" s="35">
        <v>24</v>
      </c>
      <c r="S16" s="35">
        <v>26</v>
      </c>
      <c r="T16" s="35">
        <v>25</v>
      </c>
      <c r="U16" s="35">
        <v>19</v>
      </c>
      <c r="V16" s="35">
        <v>26</v>
      </c>
      <c r="W16" s="35">
        <v>28</v>
      </c>
      <c r="X16" s="35">
        <v>38</v>
      </c>
      <c r="Y16" s="35">
        <v>31</v>
      </c>
      <c r="Z16" s="35">
        <v>33</v>
      </c>
      <c r="AA16" s="35">
        <v>18</v>
      </c>
      <c r="AB16" s="35">
        <v>70</v>
      </c>
      <c r="AC16" s="35">
        <v>35</v>
      </c>
      <c r="AD16" s="35">
        <v>33</v>
      </c>
      <c r="AE16" s="35">
        <v>31</v>
      </c>
      <c r="AF16" s="35">
        <v>28</v>
      </c>
      <c r="AG16" s="35">
        <v>38</v>
      </c>
      <c r="AH16" s="35">
        <v>44</v>
      </c>
      <c r="AI16" s="35">
        <v>30</v>
      </c>
      <c r="AJ16" s="35">
        <v>28</v>
      </c>
      <c r="AK16" s="35">
        <f>SUM('Boxscore MMR -Lead Activity'!$N:$N)</f>
        <v>29</v>
      </c>
    </row>
    <row r="17" spans="1:37" ht="15" customHeight="1">
      <c r="B17" s="68" t="s">
        <v>1033</v>
      </c>
      <c r="C17" s="69">
        <v>0</v>
      </c>
      <c r="D17" s="34">
        <f t="shared" ref="D17:F17" si="0">D16/D15</f>
        <v>0.3611111111111111</v>
      </c>
      <c r="E17" s="34">
        <f t="shared" si="0"/>
        <v>5.8139534883720929E-2</v>
      </c>
      <c r="F17" s="34">
        <f t="shared" si="0"/>
        <v>9.9290780141843976E-2</v>
      </c>
      <c r="G17" s="34">
        <v>9.9290780141843976E-2</v>
      </c>
      <c r="H17" s="34">
        <v>0.29545454545454547</v>
      </c>
      <c r="I17" s="34">
        <v>0.34615384615384615</v>
      </c>
      <c r="J17" s="34">
        <v>0.1205</v>
      </c>
      <c r="K17" s="34">
        <v>0.2</v>
      </c>
      <c r="L17" s="34">
        <v>0.17449664429530201</v>
      </c>
      <c r="M17" s="34">
        <v>0.22764227642276422</v>
      </c>
      <c r="N17" s="34">
        <v>0.3300970873786408</v>
      </c>
      <c r="O17" s="34">
        <v>0.24561403508771928</v>
      </c>
      <c r="P17" s="34">
        <v>0.31451612903225806</v>
      </c>
      <c r="Q17" s="34">
        <v>0.25850340136054423</v>
      </c>
      <c r="R17" s="34">
        <v>0.18604651162790697</v>
      </c>
      <c r="S17" s="34">
        <v>0.21848739495798319</v>
      </c>
      <c r="T17" s="34">
        <v>0.13440860215053763</v>
      </c>
      <c r="U17" s="34">
        <v>9.0499999999999997E-2</v>
      </c>
      <c r="V17" s="34">
        <v>0.10569105691056911</v>
      </c>
      <c r="W17" s="34">
        <v>0.13270000000000001</v>
      </c>
      <c r="X17" s="34">
        <v>0.15139442231075698</v>
      </c>
      <c r="Y17" s="34">
        <v>0.1409090909090909</v>
      </c>
      <c r="Z17" s="34">
        <v>0.13524590163934427</v>
      </c>
      <c r="AA17" s="34">
        <v>9.0452261306532666E-2</v>
      </c>
      <c r="AB17" s="34">
        <v>0.30434782608695654</v>
      </c>
      <c r="AC17" s="34">
        <v>0.14893617021276595</v>
      </c>
      <c r="AD17" s="34">
        <v>0.14798206278026907</v>
      </c>
      <c r="AE17" s="34">
        <v>0.13191489361702127</v>
      </c>
      <c r="AF17" s="34">
        <v>0.15135135135135136</v>
      </c>
      <c r="AG17" s="34">
        <v>0.20212765957446807</v>
      </c>
      <c r="AH17" s="34">
        <v>0.25</v>
      </c>
      <c r="AI17" s="34">
        <v>0.13513513513513514</v>
      </c>
      <c r="AJ17" s="34">
        <v>0.14000000000000001</v>
      </c>
      <c r="AK17" s="34">
        <f>AK16/AK15</f>
        <v>0.15343915343915343</v>
      </c>
    </row>
    <row r="18" spans="1:37" ht="15" customHeight="1">
      <c r="B18" s="68" t="s">
        <v>938</v>
      </c>
      <c r="C18" s="71" t="s">
        <v>1021</v>
      </c>
      <c r="D18" s="72">
        <v>3</v>
      </c>
      <c r="E18" s="72">
        <v>11</v>
      </c>
      <c r="F18" s="72">
        <v>9</v>
      </c>
      <c r="G18" s="35">
        <v>9</v>
      </c>
      <c r="H18" s="35">
        <v>7</v>
      </c>
      <c r="I18" s="35">
        <v>5</v>
      </c>
      <c r="J18" s="35">
        <v>12</v>
      </c>
      <c r="K18" s="35">
        <v>29</v>
      </c>
      <c r="L18" s="35">
        <v>23</v>
      </c>
      <c r="M18" s="35">
        <v>16</v>
      </c>
      <c r="N18" s="35">
        <v>13</v>
      </c>
      <c r="O18" s="35">
        <v>21</v>
      </c>
      <c r="P18" s="35">
        <v>26</v>
      </c>
      <c r="Q18" s="35">
        <v>15</v>
      </c>
      <c r="R18" s="35">
        <v>23</v>
      </c>
      <c r="S18" s="35">
        <v>12</v>
      </c>
      <c r="T18" s="35">
        <v>19</v>
      </c>
      <c r="U18" s="35">
        <v>13</v>
      </c>
      <c r="V18" s="35">
        <v>20</v>
      </c>
      <c r="W18" s="35">
        <v>15</v>
      </c>
      <c r="X18" s="35">
        <v>2</v>
      </c>
      <c r="Y18" s="35">
        <v>20</v>
      </c>
      <c r="Z18" s="35">
        <v>23</v>
      </c>
      <c r="AA18" s="35">
        <v>21</v>
      </c>
      <c r="AB18" s="35">
        <v>17</v>
      </c>
      <c r="AC18" s="35">
        <v>18</v>
      </c>
      <c r="AD18" s="35">
        <v>19</v>
      </c>
      <c r="AE18" s="35">
        <v>18</v>
      </c>
      <c r="AF18" s="35">
        <v>16</v>
      </c>
      <c r="AG18" s="35">
        <v>27</v>
      </c>
      <c r="AH18" s="35">
        <v>25</v>
      </c>
      <c r="AI18" s="35">
        <v>19</v>
      </c>
      <c r="AJ18" s="35">
        <v>23</v>
      </c>
      <c r="AK18" s="35">
        <f>SUM('Boxscore MMR- Lead Conversion'!$B:$B)</f>
        <v>17</v>
      </c>
    </row>
    <row r="19" spans="1:37" ht="15" customHeight="1">
      <c r="B19" s="68" t="s">
        <v>1034</v>
      </c>
      <c r="C19" s="71" t="s">
        <v>1021</v>
      </c>
      <c r="D19" s="72">
        <v>0</v>
      </c>
      <c r="E19" s="72">
        <v>0</v>
      </c>
      <c r="F19" s="72">
        <v>3</v>
      </c>
      <c r="G19" s="35">
        <v>3</v>
      </c>
      <c r="H19" s="35">
        <v>5</v>
      </c>
      <c r="I19" s="35">
        <v>1</v>
      </c>
      <c r="J19" s="35">
        <v>4</v>
      </c>
      <c r="K19" s="35">
        <v>2</v>
      </c>
      <c r="L19" s="35">
        <v>2</v>
      </c>
      <c r="M19" s="35">
        <v>1</v>
      </c>
      <c r="N19" s="35">
        <v>6</v>
      </c>
      <c r="O19" s="35">
        <v>5</v>
      </c>
      <c r="P19" s="35">
        <v>11</v>
      </c>
      <c r="Q19" s="35">
        <v>8</v>
      </c>
      <c r="R19" s="35">
        <v>8</v>
      </c>
      <c r="S19" s="35">
        <v>8</v>
      </c>
      <c r="T19" s="35">
        <v>6</v>
      </c>
      <c r="U19" s="35">
        <v>13</v>
      </c>
      <c r="V19" s="35">
        <v>7</v>
      </c>
      <c r="W19" s="35">
        <v>7</v>
      </c>
      <c r="X19" s="35">
        <v>12</v>
      </c>
      <c r="Y19" s="35">
        <v>11</v>
      </c>
      <c r="Z19" s="35">
        <v>12</v>
      </c>
      <c r="AA19" s="35">
        <v>12</v>
      </c>
      <c r="AB19" s="35">
        <v>6</v>
      </c>
      <c r="AC19" s="35">
        <v>16</v>
      </c>
      <c r="AD19" s="35">
        <v>7</v>
      </c>
      <c r="AE19" s="35">
        <v>10</v>
      </c>
      <c r="AF19" s="35">
        <v>12</v>
      </c>
      <c r="AG19" s="35">
        <v>11</v>
      </c>
      <c r="AH19" s="35">
        <v>13</v>
      </c>
      <c r="AI19" s="35">
        <v>13</v>
      </c>
      <c r="AJ19" s="35">
        <v>15</v>
      </c>
      <c r="AK19" s="35">
        <f>SUM('Boxscore MMR- Lead Conversion'!$F:$F)</f>
        <v>5</v>
      </c>
    </row>
    <row r="20" spans="1:37" ht="15" customHeight="1">
      <c r="B20" s="68" t="s">
        <v>1035</v>
      </c>
      <c r="C20" s="71" t="s">
        <v>1021</v>
      </c>
      <c r="D20" s="72">
        <v>3</v>
      </c>
      <c r="E20" s="72">
        <v>9</v>
      </c>
      <c r="F20" s="72">
        <v>5</v>
      </c>
      <c r="G20" s="35">
        <v>5</v>
      </c>
      <c r="H20" s="35">
        <v>-2</v>
      </c>
      <c r="I20" s="35">
        <v>-2</v>
      </c>
      <c r="J20" s="35">
        <v>5</v>
      </c>
      <c r="K20" s="35">
        <v>23</v>
      </c>
      <c r="L20" s="35">
        <v>11</v>
      </c>
      <c r="M20" s="35">
        <v>-3</v>
      </c>
      <c r="N20" s="35">
        <v>-19</v>
      </c>
      <c r="O20" s="35">
        <v>-6</v>
      </c>
      <c r="P20" s="35">
        <v>6</v>
      </c>
      <c r="Q20" s="35">
        <v>-13</v>
      </c>
      <c r="R20" s="35">
        <v>5</v>
      </c>
      <c r="S20" s="35">
        <v>-10</v>
      </c>
      <c r="T20" s="35">
        <v>4</v>
      </c>
      <c r="U20" s="35">
        <v>-9</v>
      </c>
      <c r="V20" s="35">
        <v>3</v>
      </c>
      <c r="W20" s="35">
        <v>4</v>
      </c>
      <c r="X20" s="35">
        <v>-36</v>
      </c>
      <c r="Y20" s="35">
        <v>0</v>
      </c>
      <c r="Z20" s="35">
        <v>-2</v>
      </c>
      <c r="AA20" s="35">
        <v>5</v>
      </c>
      <c r="AB20" s="35">
        <v>-4</v>
      </c>
      <c r="AC20" s="35">
        <v>-14</v>
      </c>
      <c r="AD20" s="35">
        <v>6</v>
      </c>
      <c r="AE20" s="35">
        <v>0</v>
      </c>
      <c r="AF20" s="35">
        <v>-4</v>
      </c>
      <c r="AG20" s="35">
        <v>12</v>
      </c>
      <c r="AH20" s="35">
        <v>2</v>
      </c>
      <c r="AI20" s="35">
        <v>1</v>
      </c>
      <c r="AJ20" s="35">
        <v>-2</v>
      </c>
      <c r="AK20" s="35">
        <f>AK18-AK19-AK21-AK22</f>
        <v>0</v>
      </c>
    </row>
    <row r="21" spans="1:37" ht="15" customHeight="1">
      <c r="B21" s="68" t="s">
        <v>1036</v>
      </c>
      <c r="C21" s="71" t="s">
        <v>1021</v>
      </c>
      <c r="D21" s="72">
        <v>0</v>
      </c>
      <c r="E21" s="72">
        <v>0</v>
      </c>
      <c r="F21" s="72">
        <v>0</v>
      </c>
      <c r="G21" s="35">
        <v>0</v>
      </c>
      <c r="H21" s="35">
        <v>2</v>
      </c>
      <c r="I21" s="35">
        <v>4</v>
      </c>
      <c r="J21" s="35">
        <v>2</v>
      </c>
      <c r="K21" s="35">
        <v>2</v>
      </c>
      <c r="L21" s="35">
        <v>4</v>
      </c>
      <c r="M21" s="35">
        <v>16</v>
      </c>
      <c r="N21" s="35">
        <v>21</v>
      </c>
      <c r="O21" s="35">
        <v>20</v>
      </c>
      <c r="P21" s="35">
        <v>8</v>
      </c>
      <c r="Q21" s="35">
        <v>19</v>
      </c>
      <c r="R21" s="35">
        <v>9</v>
      </c>
      <c r="S21" s="35">
        <v>14</v>
      </c>
      <c r="T21" s="35">
        <v>9</v>
      </c>
      <c r="U21" s="35">
        <v>8</v>
      </c>
      <c r="V21" s="35">
        <v>8</v>
      </c>
      <c r="W21" s="35">
        <v>4</v>
      </c>
      <c r="X21" s="35">
        <v>23</v>
      </c>
      <c r="Y21" s="35">
        <v>5</v>
      </c>
      <c r="Z21" s="35">
        <v>8</v>
      </c>
      <c r="AA21" s="35">
        <v>1</v>
      </c>
      <c r="AB21" s="35">
        <v>5</v>
      </c>
      <c r="AC21" s="35">
        <v>6</v>
      </c>
      <c r="AD21" s="35">
        <v>1</v>
      </c>
      <c r="AE21" s="35">
        <v>2</v>
      </c>
      <c r="AF21" s="35">
        <v>4</v>
      </c>
      <c r="AG21" s="35">
        <v>2</v>
      </c>
      <c r="AH21" s="35">
        <v>3</v>
      </c>
      <c r="AI21" s="35">
        <v>1</v>
      </c>
      <c r="AJ21" s="35">
        <v>0</v>
      </c>
      <c r="AK21" s="35">
        <f>SUM('Boxscore MMR- Lead Conversion'!$C:$C)+SUM('Boxscore MMR- Lead Conversion'!$G:$G)</f>
        <v>0</v>
      </c>
    </row>
    <row r="22" spans="1:37" ht="15" customHeight="1">
      <c r="B22" s="68" t="s">
        <v>1037</v>
      </c>
      <c r="C22" s="71" t="s">
        <v>1021</v>
      </c>
      <c r="D22" s="72">
        <v>0</v>
      </c>
      <c r="E22" s="72">
        <v>2</v>
      </c>
      <c r="F22" s="72">
        <v>1</v>
      </c>
      <c r="G22" s="35">
        <v>1</v>
      </c>
      <c r="H22" s="35">
        <v>2</v>
      </c>
      <c r="I22" s="35">
        <v>2</v>
      </c>
      <c r="J22" s="35">
        <v>1</v>
      </c>
      <c r="K22" s="35">
        <v>2</v>
      </c>
      <c r="L22" s="35">
        <v>6</v>
      </c>
      <c r="M22" s="35">
        <v>2</v>
      </c>
      <c r="N22" s="35">
        <v>5</v>
      </c>
      <c r="O22" s="35">
        <v>2</v>
      </c>
      <c r="P22" s="35">
        <v>1</v>
      </c>
      <c r="Q22" s="35">
        <v>1</v>
      </c>
      <c r="R22" s="35">
        <v>1</v>
      </c>
      <c r="S22" s="35">
        <v>0</v>
      </c>
      <c r="T22" s="35">
        <v>0</v>
      </c>
      <c r="U22" s="35">
        <v>1</v>
      </c>
      <c r="V22" s="35">
        <v>2</v>
      </c>
      <c r="W22" s="35">
        <v>0</v>
      </c>
      <c r="X22" s="35">
        <v>3</v>
      </c>
      <c r="Y22" s="35">
        <v>4</v>
      </c>
      <c r="Z22" s="35">
        <v>5</v>
      </c>
      <c r="AA22" s="35">
        <v>3</v>
      </c>
      <c r="AB22" s="35">
        <v>10</v>
      </c>
      <c r="AC22" s="35">
        <v>10</v>
      </c>
      <c r="AD22" s="35">
        <v>5</v>
      </c>
      <c r="AE22" s="35">
        <v>6</v>
      </c>
      <c r="AF22" s="35">
        <v>4</v>
      </c>
      <c r="AG22" s="35">
        <v>2</v>
      </c>
      <c r="AH22" s="35">
        <v>7</v>
      </c>
      <c r="AI22" s="35">
        <v>4</v>
      </c>
      <c r="AJ22" s="35">
        <v>10</v>
      </c>
      <c r="AK22" s="35">
        <f>SUM('Boxscore MMR- Lead Conversion'!$E:$E)</f>
        <v>12</v>
      </c>
    </row>
    <row r="23" spans="1:37" ht="15" customHeight="1">
      <c r="B23" s="68" t="s">
        <v>939</v>
      </c>
      <c r="C23" s="71" t="s">
        <v>1021</v>
      </c>
      <c r="D23" s="35">
        <f t="shared" ref="D23:F23" si="1">D18-D22-D21</f>
        <v>3</v>
      </c>
      <c r="E23" s="35">
        <f t="shared" si="1"/>
        <v>9</v>
      </c>
      <c r="F23" s="35">
        <f t="shared" si="1"/>
        <v>8</v>
      </c>
      <c r="G23" s="35">
        <v>8</v>
      </c>
      <c r="H23" s="35">
        <v>3</v>
      </c>
      <c r="I23" s="35">
        <v>-1</v>
      </c>
      <c r="J23" s="35">
        <v>9</v>
      </c>
      <c r="K23" s="35">
        <v>25</v>
      </c>
      <c r="L23" s="35">
        <v>13</v>
      </c>
      <c r="M23" s="35">
        <v>-2</v>
      </c>
      <c r="N23" s="35">
        <v>-13</v>
      </c>
      <c r="O23" s="35">
        <v>-1</v>
      </c>
      <c r="P23" s="35">
        <v>17</v>
      </c>
      <c r="Q23" s="35">
        <v>-5</v>
      </c>
      <c r="R23" s="35">
        <v>13</v>
      </c>
      <c r="S23" s="35">
        <v>-2</v>
      </c>
      <c r="T23" s="35">
        <v>10</v>
      </c>
      <c r="U23" s="35">
        <v>4</v>
      </c>
      <c r="V23" s="35">
        <v>10</v>
      </c>
      <c r="W23" s="35">
        <v>11</v>
      </c>
      <c r="X23" s="35">
        <v>-24</v>
      </c>
      <c r="Y23" s="35">
        <v>11</v>
      </c>
      <c r="Z23" s="35">
        <v>10</v>
      </c>
      <c r="AA23" s="35">
        <v>17</v>
      </c>
      <c r="AB23" s="35">
        <v>2</v>
      </c>
      <c r="AC23" s="35">
        <v>2</v>
      </c>
      <c r="AD23" s="35">
        <v>13</v>
      </c>
      <c r="AE23" s="35">
        <v>10</v>
      </c>
      <c r="AF23" s="35">
        <v>8</v>
      </c>
      <c r="AG23" s="35">
        <v>23</v>
      </c>
      <c r="AH23" s="35">
        <v>15</v>
      </c>
      <c r="AI23" s="35">
        <v>14</v>
      </c>
      <c r="AJ23" s="35">
        <v>13</v>
      </c>
      <c r="AK23" s="35">
        <f>AK18-AK22-AK21</f>
        <v>5</v>
      </c>
    </row>
    <row r="24" spans="1:37" ht="15" customHeight="1">
      <c r="B24" s="68" t="s">
        <v>1038</v>
      </c>
      <c r="C24" s="69">
        <v>0</v>
      </c>
      <c r="D24" s="34">
        <f t="shared" ref="D24:F24" si="2">D23/D18</f>
        <v>1</v>
      </c>
      <c r="E24" s="34">
        <f t="shared" si="2"/>
        <v>0.81818181818181823</v>
      </c>
      <c r="F24" s="34">
        <f t="shared" si="2"/>
        <v>0.88888888888888884</v>
      </c>
      <c r="G24" s="34">
        <v>0.88888888888888884</v>
      </c>
      <c r="H24" s="34">
        <v>0.42857142857142855</v>
      </c>
      <c r="I24" s="34">
        <v>-0.2</v>
      </c>
      <c r="J24" s="34">
        <v>0.75</v>
      </c>
      <c r="K24" s="34">
        <v>0.86206896551724133</v>
      </c>
      <c r="L24" s="34">
        <v>0.56521739130434778</v>
      </c>
      <c r="M24" s="34">
        <v>-0.125</v>
      </c>
      <c r="N24" s="34">
        <v>-1</v>
      </c>
      <c r="O24" s="34">
        <v>-4.7619047619047616E-2</v>
      </c>
      <c r="P24" s="34">
        <v>0.65384615384615385</v>
      </c>
      <c r="Q24" s="34">
        <v>-0.33333333333333331</v>
      </c>
      <c r="R24" s="34">
        <v>0.56521739130434778</v>
      </c>
      <c r="S24" s="34">
        <v>-0.16666666666666666</v>
      </c>
      <c r="T24" s="34">
        <v>0.52631578947368418</v>
      </c>
      <c r="U24" s="34">
        <v>0.30769999999999997</v>
      </c>
      <c r="V24" s="34">
        <v>0.5</v>
      </c>
      <c r="W24" s="34">
        <v>0.73329999999999995</v>
      </c>
      <c r="X24" s="34">
        <v>-12</v>
      </c>
      <c r="Y24" s="34">
        <v>0.55000000000000004</v>
      </c>
      <c r="Z24" s="34">
        <v>0.43478260869565216</v>
      </c>
      <c r="AA24" s="34">
        <v>0.80952380952380953</v>
      </c>
      <c r="AB24" s="34">
        <v>0.11764705882352941</v>
      </c>
      <c r="AC24" s="34">
        <v>0.1111111111111111</v>
      </c>
      <c r="AD24" s="34">
        <v>0.68421052631578949</v>
      </c>
      <c r="AE24" s="34">
        <v>0.55555555555555558</v>
      </c>
      <c r="AF24" s="34">
        <v>0.5</v>
      </c>
      <c r="AG24" s="34">
        <v>0.85185185185185186</v>
      </c>
      <c r="AH24" s="34">
        <v>0.6</v>
      </c>
      <c r="AI24" s="34">
        <v>0.73684210526315785</v>
      </c>
      <c r="AJ24" s="34">
        <v>0.56521739130434778</v>
      </c>
      <c r="AK24" s="34">
        <f>AK23/AK18</f>
        <v>0.29411764705882354</v>
      </c>
    </row>
    <row r="25" spans="1:37" ht="15" customHeight="1">
      <c r="B25" s="68" t="s">
        <v>1039</v>
      </c>
      <c r="C25" s="71" t="s">
        <v>1021</v>
      </c>
      <c r="D25" s="72">
        <v>0</v>
      </c>
      <c r="E25" s="72">
        <v>0</v>
      </c>
      <c r="F25" s="72">
        <v>0</v>
      </c>
      <c r="G25" s="35">
        <v>3</v>
      </c>
      <c r="H25" s="35">
        <v>5</v>
      </c>
      <c r="I25" s="35">
        <v>2</v>
      </c>
      <c r="J25" s="35">
        <v>5</v>
      </c>
      <c r="K25" s="35">
        <v>2</v>
      </c>
      <c r="L25" s="35">
        <v>1</v>
      </c>
      <c r="M25" s="35">
        <v>1</v>
      </c>
      <c r="N25" s="35">
        <v>3</v>
      </c>
      <c r="O25" s="35">
        <v>7</v>
      </c>
      <c r="P25" s="35">
        <v>11</v>
      </c>
      <c r="Q25" s="35">
        <v>7</v>
      </c>
      <c r="R25" s="35">
        <v>8</v>
      </c>
      <c r="S25" s="35">
        <v>8</v>
      </c>
      <c r="T25" s="35">
        <v>3</v>
      </c>
      <c r="U25" s="35">
        <v>14</v>
      </c>
      <c r="V25" s="35">
        <v>7</v>
      </c>
      <c r="W25" s="35">
        <v>8</v>
      </c>
      <c r="X25" s="35">
        <v>14</v>
      </c>
      <c r="Y25" s="35">
        <v>11</v>
      </c>
      <c r="Z25" s="35">
        <v>11</v>
      </c>
      <c r="AA25" s="35">
        <v>12</v>
      </c>
      <c r="AB25" s="35">
        <v>5</v>
      </c>
      <c r="AC25" s="35">
        <v>14</v>
      </c>
      <c r="AD25" s="35">
        <v>7</v>
      </c>
      <c r="AE25" s="35">
        <v>10</v>
      </c>
      <c r="AF25" s="35">
        <v>12</v>
      </c>
      <c r="AG25" s="35">
        <v>11</v>
      </c>
      <c r="AH25" s="35">
        <v>13</v>
      </c>
      <c r="AI25" s="35">
        <v>12</v>
      </c>
      <c r="AJ25" s="35">
        <v>16</v>
      </c>
      <c r="AK25" s="35">
        <f>SUM('Boxscore MMR- Lead Conversion'!$H:$H)</f>
        <v>3</v>
      </c>
    </row>
    <row r="26" spans="1:37" ht="15" customHeight="1">
      <c r="B26" s="230" t="s">
        <v>940</v>
      </c>
      <c r="C26" s="258" t="s">
        <v>1021</v>
      </c>
      <c r="D26" s="232">
        <v>0</v>
      </c>
      <c r="E26" s="232">
        <v>0</v>
      </c>
      <c r="F26" s="232">
        <v>0</v>
      </c>
      <c r="G26" s="233">
        <v>3</v>
      </c>
      <c r="H26" s="233">
        <v>4</v>
      </c>
      <c r="I26" s="233">
        <v>2</v>
      </c>
      <c r="J26" s="233">
        <v>5</v>
      </c>
      <c r="K26" s="233">
        <v>2</v>
      </c>
      <c r="L26" s="233">
        <v>1</v>
      </c>
      <c r="M26" s="233">
        <v>1</v>
      </c>
      <c r="N26" s="233">
        <v>3</v>
      </c>
      <c r="O26" s="233">
        <v>7</v>
      </c>
      <c r="P26" s="233">
        <v>11</v>
      </c>
      <c r="Q26" s="233">
        <v>7</v>
      </c>
      <c r="R26" s="233">
        <v>8</v>
      </c>
      <c r="S26" s="233">
        <v>7</v>
      </c>
      <c r="T26" s="233">
        <v>3</v>
      </c>
      <c r="U26" s="233">
        <v>14</v>
      </c>
      <c r="V26" s="233">
        <v>7</v>
      </c>
      <c r="W26" s="233">
        <v>7</v>
      </c>
      <c r="X26" s="233">
        <v>11</v>
      </c>
      <c r="Y26" s="233">
        <v>11</v>
      </c>
      <c r="Z26" s="233">
        <v>11</v>
      </c>
      <c r="AA26" s="233">
        <v>12</v>
      </c>
      <c r="AB26" s="233">
        <v>5</v>
      </c>
      <c r="AC26" s="233">
        <v>14</v>
      </c>
      <c r="AD26" s="233">
        <v>7</v>
      </c>
      <c r="AE26" s="233">
        <v>9</v>
      </c>
      <c r="AF26" s="233">
        <v>12</v>
      </c>
      <c r="AG26" s="233">
        <v>11</v>
      </c>
      <c r="AH26" s="233">
        <v>12</v>
      </c>
      <c r="AI26" s="233">
        <v>11</v>
      </c>
      <c r="AJ26" s="233">
        <v>15</v>
      </c>
      <c r="AK26" s="233">
        <f>SUM('Boxscore MMR- Lead Conversion'!$H:$H)-SUM('Boxscore MMR- Lead Conversion'!$I:$I)</f>
        <v>3</v>
      </c>
    </row>
    <row r="27" spans="1:37" ht="15" customHeight="1">
      <c r="A27" s="224" t="s">
        <v>941</v>
      </c>
      <c r="B27" s="229"/>
      <c r="C27" s="256"/>
      <c r="D27" s="257"/>
      <c r="E27" s="257"/>
      <c r="F27" s="257"/>
      <c r="G27" s="257"/>
      <c r="H27" s="257"/>
      <c r="I27" s="257"/>
      <c r="J27" s="257"/>
      <c r="K27" s="257"/>
      <c r="L27" s="257"/>
      <c r="M27" s="257"/>
      <c r="N27" s="257"/>
      <c r="O27" s="257"/>
      <c r="P27" s="257"/>
      <c r="Q27" s="257"/>
      <c r="R27" s="257"/>
      <c r="S27" s="257"/>
      <c r="T27" s="257"/>
      <c r="U27" s="257" t="s">
        <v>1032</v>
      </c>
      <c r="V27" s="257"/>
      <c r="W27" s="257"/>
      <c r="X27" s="257"/>
      <c r="Y27" s="257"/>
      <c r="Z27" s="257"/>
      <c r="AA27" s="257"/>
      <c r="AB27" s="257"/>
      <c r="AC27" s="257"/>
      <c r="AD27" s="257"/>
      <c r="AE27" s="257"/>
      <c r="AF27" s="257"/>
      <c r="AG27" s="257"/>
      <c r="AH27" s="257"/>
      <c r="AI27" s="257"/>
      <c r="AJ27" s="257"/>
      <c r="AK27" s="257"/>
    </row>
    <row r="28" spans="1:37" ht="15" customHeight="1">
      <c r="A28" s="109"/>
      <c r="B28" s="962" t="s">
        <v>942</v>
      </c>
      <c r="C28" s="260" t="s">
        <v>1021</v>
      </c>
      <c r="D28" s="232"/>
      <c r="E28" s="232"/>
      <c r="F28" s="232"/>
      <c r="G28" s="233"/>
      <c r="H28" s="233"/>
      <c r="I28" s="233"/>
      <c r="J28" s="233"/>
      <c r="K28" s="233"/>
      <c r="L28" s="233"/>
      <c r="M28" s="233"/>
      <c r="N28" s="233">
        <v>90</v>
      </c>
      <c r="O28" s="233">
        <v>103</v>
      </c>
      <c r="P28" s="233">
        <v>113</v>
      </c>
      <c r="Q28" s="233">
        <v>116</v>
      </c>
      <c r="R28" s="233">
        <v>126</v>
      </c>
      <c r="S28" s="233">
        <v>136</v>
      </c>
      <c r="T28" s="233">
        <v>141</v>
      </c>
      <c r="U28" s="233">
        <v>145</v>
      </c>
      <c r="V28" s="233">
        <v>168</v>
      </c>
      <c r="W28" s="233">
        <v>181</v>
      </c>
      <c r="X28" s="233">
        <v>190</v>
      </c>
      <c r="Y28" s="233">
        <v>198</v>
      </c>
      <c r="Z28" s="233">
        <v>205</v>
      </c>
      <c r="AA28" s="233">
        <v>219</v>
      </c>
      <c r="AB28" s="233">
        <v>204</v>
      </c>
      <c r="AC28" s="233">
        <v>219</v>
      </c>
      <c r="AD28" s="233">
        <v>219</v>
      </c>
      <c r="AE28" s="233">
        <v>219</v>
      </c>
      <c r="AF28" s="233">
        <v>219</v>
      </c>
      <c r="AG28" s="233">
        <v>219</v>
      </c>
      <c r="AH28" s="233">
        <v>219</v>
      </c>
      <c r="AI28" s="233">
        <v>219</v>
      </c>
      <c r="AJ28" s="233">
        <v>219</v>
      </c>
      <c r="AK28" s="233">
        <f>App_Pipeline_Intel_4!$C$5</f>
        <v>219</v>
      </c>
    </row>
    <row r="29" spans="1:37" ht="15" customHeight="1">
      <c r="A29" s="109"/>
      <c r="B29" s="962" t="s">
        <v>943</v>
      </c>
      <c r="C29" s="260" t="s">
        <v>1021</v>
      </c>
      <c r="D29" s="232"/>
      <c r="E29" s="232"/>
      <c r="F29" s="232"/>
      <c r="G29" s="233"/>
      <c r="H29" s="233"/>
      <c r="I29" s="233"/>
      <c r="J29" s="233"/>
      <c r="K29" s="233"/>
      <c r="L29" s="233"/>
      <c r="M29" s="233"/>
      <c r="N29" s="233">
        <v>59</v>
      </c>
      <c r="O29" s="233">
        <v>53</v>
      </c>
      <c r="P29" s="233">
        <v>52</v>
      </c>
      <c r="Q29" s="233">
        <v>51</v>
      </c>
      <c r="R29" s="233">
        <v>56</v>
      </c>
      <c r="S29" s="233">
        <v>34</v>
      </c>
      <c r="T29" s="233">
        <v>37</v>
      </c>
      <c r="U29" s="233">
        <v>36</v>
      </c>
      <c r="V29" s="233">
        <v>46</v>
      </c>
      <c r="W29" s="233">
        <v>53</v>
      </c>
      <c r="X29" s="233">
        <v>53</v>
      </c>
      <c r="Y29" s="233">
        <v>38</v>
      </c>
      <c r="Z29" s="233">
        <v>42</v>
      </c>
      <c r="AA29" s="233">
        <v>48</v>
      </c>
      <c r="AB29" s="233">
        <v>69</v>
      </c>
      <c r="AC29" s="233">
        <v>48</v>
      </c>
      <c r="AD29" s="233">
        <v>48</v>
      </c>
      <c r="AE29" s="233">
        <v>48</v>
      </c>
      <c r="AF29" s="233">
        <v>48</v>
      </c>
      <c r="AG29" s="233">
        <v>48</v>
      </c>
      <c r="AH29" s="233">
        <v>48</v>
      </c>
      <c r="AI29" s="233">
        <v>48</v>
      </c>
      <c r="AJ29" s="233">
        <v>48</v>
      </c>
      <c r="AK29" s="233">
        <f>App_Pipeline_Intel_4!$C$6</f>
        <v>48</v>
      </c>
    </row>
    <row r="30" spans="1:37" ht="15" customHeight="1">
      <c r="A30" s="109"/>
      <c r="B30" s="962"/>
      <c r="C30" s="260"/>
      <c r="D30" s="232"/>
      <c r="E30" s="232"/>
      <c r="F30" s="232"/>
      <c r="G30" s="233"/>
      <c r="H30" s="233"/>
      <c r="I30" s="233"/>
      <c r="J30" s="233"/>
      <c r="K30" s="233"/>
      <c r="L30" s="233"/>
      <c r="M30" s="233"/>
      <c r="N30" s="233"/>
      <c r="O30" s="233"/>
      <c r="P30" s="233"/>
      <c r="Q30" s="233"/>
      <c r="R30" s="233"/>
      <c r="S30" s="233"/>
      <c r="T30" s="233"/>
      <c r="U30" s="233"/>
      <c r="V30" s="233"/>
      <c r="W30" s="233"/>
      <c r="X30" s="233"/>
      <c r="Y30" s="233"/>
      <c r="Z30" s="233"/>
      <c r="AA30" s="233"/>
      <c r="AB30" s="233"/>
      <c r="AC30" s="233"/>
      <c r="AD30" s="233"/>
      <c r="AE30" s="233"/>
      <c r="AF30" s="233"/>
      <c r="AG30" s="233"/>
      <c r="AH30" s="233"/>
      <c r="AI30" s="233"/>
      <c r="AJ30" s="233"/>
      <c r="AK30" s="233"/>
    </row>
    <row r="31" spans="1:37" ht="15" customHeight="1">
      <c r="A31" s="109"/>
      <c r="B31" s="962" t="s">
        <v>944</v>
      </c>
      <c r="C31" s="260" t="s">
        <v>1021</v>
      </c>
      <c r="D31" s="232"/>
      <c r="E31" s="232"/>
      <c r="F31" s="232"/>
      <c r="G31" s="233"/>
      <c r="H31" s="233"/>
      <c r="I31" s="233"/>
      <c r="J31" s="233"/>
      <c r="K31" s="233"/>
      <c r="L31" s="233"/>
      <c r="M31" s="233"/>
      <c r="N31" s="233">
        <v>5</v>
      </c>
      <c r="O31" s="233">
        <v>7</v>
      </c>
      <c r="P31" s="233">
        <v>11</v>
      </c>
      <c r="Q31" s="233">
        <v>7</v>
      </c>
      <c r="R31" s="233">
        <v>8</v>
      </c>
      <c r="S31" s="233">
        <v>7</v>
      </c>
      <c r="T31" s="233">
        <v>3</v>
      </c>
      <c r="U31" s="233">
        <v>14</v>
      </c>
      <c r="V31" s="233">
        <v>7</v>
      </c>
      <c r="W31" s="233">
        <v>7</v>
      </c>
      <c r="X31" s="233">
        <v>11</v>
      </c>
      <c r="Y31" s="233">
        <v>11</v>
      </c>
      <c r="Z31" s="233">
        <v>11</v>
      </c>
      <c r="AA31" s="233">
        <v>12</v>
      </c>
      <c r="AB31" s="233">
        <v>5</v>
      </c>
      <c r="AC31" s="233">
        <v>14</v>
      </c>
      <c r="AD31" s="233">
        <v>7</v>
      </c>
      <c r="AE31" s="233">
        <v>9</v>
      </c>
      <c r="AF31" s="233">
        <v>12</v>
      </c>
      <c r="AG31" s="233">
        <v>11</v>
      </c>
      <c r="AH31" s="233">
        <v>12</v>
      </c>
      <c r="AI31" s="233">
        <v>11</v>
      </c>
      <c r="AJ31" s="233">
        <v>15</v>
      </c>
      <c r="AK31" s="233">
        <f>SUM('Boxscore MMR- Lead Conversion'!$H:$H)-SUM('Boxscore MMR- Lead Conversion'!$I:$I)</f>
        <v>3</v>
      </c>
    </row>
    <row r="32" spans="1:37" ht="15" customHeight="1">
      <c r="A32" s="109"/>
      <c r="B32" s="962" t="s">
        <v>945</v>
      </c>
      <c r="C32" s="260" t="s">
        <v>1021</v>
      </c>
      <c r="D32" s="232"/>
      <c r="E32" s="232"/>
      <c r="F32" s="232"/>
      <c r="G32" s="233"/>
      <c r="H32" s="233"/>
      <c r="I32" s="233"/>
      <c r="J32" s="233"/>
      <c r="K32" s="233"/>
      <c r="L32" s="233"/>
      <c r="M32" s="233"/>
      <c r="N32" s="233">
        <v>26</v>
      </c>
      <c r="O32" s="233">
        <v>38</v>
      </c>
      <c r="P32" s="233">
        <v>42</v>
      </c>
      <c r="Q32" s="233">
        <v>40</v>
      </c>
      <c r="R32" s="233">
        <v>40</v>
      </c>
      <c r="S32" s="233">
        <v>73</v>
      </c>
      <c r="T32" s="233">
        <v>75</v>
      </c>
      <c r="U32" s="233">
        <v>74</v>
      </c>
      <c r="V32" s="233">
        <v>80</v>
      </c>
      <c r="W32" s="233">
        <v>72</v>
      </c>
      <c r="X32" s="233">
        <v>66</v>
      </c>
      <c r="Y32" s="233">
        <v>72</v>
      </c>
      <c r="Z32" s="233">
        <v>69</v>
      </c>
      <c r="AA32" s="233">
        <v>62</v>
      </c>
      <c r="AB32" s="233">
        <v>44</v>
      </c>
      <c r="AC32" s="233">
        <v>63</v>
      </c>
      <c r="AD32" s="233">
        <v>63</v>
      </c>
      <c r="AE32" s="233">
        <v>63</v>
      </c>
      <c r="AF32" s="233">
        <v>64</v>
      </c>
      <c r="AG32" s="233">
        <v>64</v>
      </c>
      <c r="AH32" s="233">
        <v>62</v>
      </c>
      <c r="AI32" s="233">
        <v>62</v>
      </c>
      <c r="AJ32" s="233">
        <v>62</v>
      </c>
      <c r="AK32" s="233">
        <f>App_Pipeline_Intel_4!$C$7</f>
        <v>62</v>
      </c>
    </row>
    <row r="33" spans="1:37" ht="15" customHeight="1">
      <c r="A33" s="109"/>
      <c r="B33" s="962" t="s">
        <v>946</v>
      </c>
      <c r="C33" s="260">
        <v>0</v>
      </c>
      <c r="D33" s="261"/>
      <c r="E33" s="261"/>
      <c r="F33" s="261"/>
      <c r="G33" s="262"/>
      <c r="H33" s="262"/>
      <c r="I33" s="262"/>
      <c r="J33" s="262"/>
      <c r="K33" s="262"/>
      <c r="L33" s="262"/>
      <c r="M33" s="262"/>
      <c r="N33" s="262">
        <v>5.5555555555555552E-2</v>
      </c>
      <c r="O33" s="262">
        <v>6.7961165048543687E-2</v>
      </c>
      <c r="P33" s="262">
        <v>9.7345132743362831E-2</v>
      </c>
      <c r="Q33" s="262">
        <v>6.0344827586206899E-2</v>
      </c>
      <c r="R33" s="262">
        <v>6.3492063492063489E-2</v>
      </c>
      <c r="S33" s="262">
        <v>5.1470588235294115E-2</v>
      </c>
      <c r="T33" s="262">
        <v>2.1276595744680851E-2</v>
      </c>
      <c r="U33" s="262">
        <v>9.7000000000000003E-2</v>
      </c>
      <c r="V33" s="262">
        <v>4.1666666666666664E-2</v>
      </c>
      <c r="W33" s="262">
        <v>3.9E-2</v>
      </c>
      <c r="X33" s="262">
        <v>5.7894736842105263E-2</v>
      </c>
      <c r="Y33" s="262">
        <v>5.5555555555555552E-2</v>
      </c>
      <c r="Z33" s="262">
        <v>5.3658536585365853E-2</v>
      </c>
      <c r="AA33" s="262">
        <v>5.4794520547945202E-2</v>
      </c>
      <c r="AB33" s="262">
        <v>2.4509803921568627E-2</v>
      </c>
      <c r="AC33" s="262">
        <v>6.3926940639269403E-2</v>
      </c>
      <c r="AD33" s="262">
        <v>3.1963470319634701E-2</v>
      </c>
      <c r="AE33" s="262">
        <v>4.1095890410958902E-2</v>
      </c>
      <c r="AF33" s="262">
        <v>5.4794520547945202E-2</v>
      </c>
      <c r="AG33" s="262">
        <v>5.0228310502283102E-2</v>
      </c>
      <c r="AH33" s="262">
        <v>5.4794520547945202E-2</v>
      </c>
      <c r="AI33" s="262">
        <v>5.0228310502283102E-2</v>
      </c>
      <c r="AJ33" s="262">
        <v>6.8493150684931503E-2</v>
      </c>
      <c r="AK33" s="262">
        <f>IFERROR(AK31/AK28,0)</f>
        <v>1.3698630136986301E-2</v>
      </c>
    </row>
    <row r="34" spans="1:37" ht="15" customHeight="1">
      <c r="A34" s="109"/>
      <c r="B34" s="962" t="s">
        <v>947</v>
      </c>
      <c r="C34" s="260">
        <v>0</v>
      </c>
      <c r="D34" s="261"/>
      <c r="E34" s="261"/>
      <c r="F34" s="261"/>
      <c r="G34" s="262"/>
      <c r="H34" s="262"/>
      <c r="I34" s="262"/>
      <c r="J34" s="262"/>
      <c r="K34" s="262"/>
      <c r="L34" s="262"/>
      <c r="M34" s="262"/>
      <c r="N34" s="262">
        <v>0.28888888888888886</v>
      </c>
      <c r="O34" s="262">
        <v>0.36893203883495146</v>
      </c>
      <c r="P34" s="262">
        <v>0.37168141592920356</v>
      </c>
      <c r="Q34" s="262">
        <v>0.34482758620689657</v>
      </c>
      <c r="R34" s="262">
        <v>0.31746031746031744</v>
      </c>
      <c r="S34" s="262">
        <v>0.53676470588235292</v>
      </c>
      <c r="T34" s="262">
        <v>0.53191489361702127</v>
      </c>
      <c r="U34" s="262">
        <v>0.51</v>
      </c>
      <c r="V34" s="262">
        <v>0.47619047619047616</v>
      </c>
      <c r="W34" s="262">
        <v>0.39800000000000002</v>
      </c>
      <c r="X34" s="262">
        <v>0.3473684210526316</v>
      </c>
      <c r="Y34" s="262">
        <v>0.36363636363636365</v>
      </c>
      <c r="Z34" s="262">
        <v>0.33658536585365856</v>
      </c>
      <c r="AA34" s="262">
        <v>0.28310502283105021</v>
      </c>
      <c r="AB34" s="262">
        <v>0.21568627450980393</v>
      </c>
      <c r="AC34" s="262">
        <v>0.28767123287671231</v>
      </c>
      <c r="AD34" s="262">
        <v>0.28767123287671231</v>
      </c>
      <c r="AE34" s="262">
        <v>0.28767123287671231</v>
      </c>
      <c r="AF34" s="262">
        <v>0.29223744292237441</v>
      </c>
      <c r="AG34" s="262">
        <v>0.29223744292237441</v>
      </c>
      <c r="AH34" s="262">
        <v>0.28310502283105021</v>
      </c>
      <c r="AI34" s="262">
        <v>0.28310502283105021</v>
      </c>
      <c r="AJ34" s="262">
        <v>0.28310502283105021</v>
      </c>
      <c r="AK34" s="262">
        <f>IFERROR(AK32/AK28,0)</f>
        <v>0.28310502283105021</v>
      </c>
    </row>
    <row r="35" spans="1:37" ht="15" customHeight="1">
      <c r="A35" s="109"/>
      <c r="B35" s="962" t="s">
        <v>948</v>
      </c>
      <c r="C35" s="260" t="s">
        <v>1021</v>
      </c>
      <c r="D35" s="232"/>
      <c r="E35" s="232"/>
      <c r="F35" s="232"/>
      <c r="G35" s="233"/>
      <c r="H35" s="233"/>
      <c r="I35" s="233"/>
      <c r="J35" s="233"/>
      <c r="K35" s="233"/>
      <c r="L35" s="233"/>
      <c r="M35" s="233"/>
      <c r="N35" s="233">
        <v>21</v>
      </c>
      <c r="O35" s="233">
        <v>25</v>
      </c>
      <c r="P35" s="233">
        <v>20</v>
      </c>
      <c r="Q35" s="233">
        <v>25</v>
      </c>
      <c r="R35" s="233">
        <v>30</v>
      </c>
      <c r="S35" s="233">
        <v>11</v>
      </c>
      <c r="T35" s="233">
        <v>13</v>
      </c>
      <c r="U35" s="233">
        <v>18</v>
      </c>
      <c r="V35" s="233">
        <v>21</v>
      </c>
      <c r="W35" s="233">
        <v>22</v>
      </c>
      <c r="X35" s="233">
        <v>17</v>
      </c>
      <c r="Y35" s="233">
        <v>13</v>
      </c>
      <c r="Z35" s="233">
        <v>16</v>
      </c>
      <c r="AA35" s="233">
        <v>21</v>
      </c>
      <c r="AB35" s="233">
        <v>58</v>
      </c>
      <c r="AC35" s="233">
        <v>48</v>
      </c>
      <c r="AD35" s="233">
        <v>48</v>
      </c>
      <c r="AE35" s="233">
        <v>48</v>
      </c>
      <c r="AF35" s="233">
        <v>48</v>
      </c>
      <c r="AG35" s="233">
        <v>48</v>
      </c>
      <c r="AH35" s="233">
        <v>48</v>
      </c>
      <c r="AI35" s="233">
        <v>48</v>
      </c>
      <c r="AJ35" s="233">
        <v>48</v>
      </c>
      <c r="AK35" s="233">
        <f>App_Pipeline_Intel_4!$H$7+App_Pipeline_Intel_4!$H$8+App_Pipeline_Intel_4!$H$9</f>
        <v>48</v>
      </c>
    </row>
    <row r="36" spans="1:37" ht="15" customHeight="1">
      <c r="A36" s="109"/>
      <c r="B36" s="962" t="s">
        <v>949</v>
      </c>
      <c r="C36" s="259">
        <v>0</v>
      </c>
      <c r="D36" s="75"/>
      <c r="E36" s="75"/>
      <c r="F36" s="75"/>
      <c r="G36" s="38"/>
      <c r="H36" s="38"/>
      <c r="I36" s="38"/>
      <c r="J36" s="38"/>
      <c r="K36" s="38"/>
      <c r="L36" s="38"/>
      <c r="M36" s="38"/>
      <c r="N36" s="38">
        <v>11</v>
      </c>
      <c r="O36" s="38">
        <v>11.9</v>
      </c>
      <c r="P36" s="38">
        <v>11.2</v>
      </c>
      <c r="Q36" s="38">
        <v>18.100000000000001</v>
      </c>
      <c r="R36" s="38">
        <v>11.8</v>
      </c>
      <c r="S36" s="38">
        <v>9.8000000000000007</v>
      </c>
      <c r="T36" s="38">
        <v>12.8</v>
      </c>
      <c r="U36" s="38">
        <v>18.100000000000001</v>
      </c>
      <c r="V36" s="38">
        <v>15.8</v>
      </c>
      <c r="W36" s="38">
        <v>8.4</v>
      </c>
      <c r="X36" s="38">
        <v>9.5</v>
      </c>
      <c r="Y36" s="38">
        <v>10.5</v>
      </c>
      <c r="Z36" s="38">
        <v>10.199999999999999</v>
      </c>
      <c r="AA36" s="38">
        <v>10.4</v>
      </c>
      <c r="AB36" s="38">
        <v>9.9</v>
      </c>
      <c r="AC36" s="38">
        <v>10.4</v>
      </c>
      <c r="AD36" s="38">
        <v>10.4</v>
      </c>
      <c r="AE36" s="38">
        <v>10.4</v>
      </c>
      <c r="AF36" s="38">
        <v>10.4</v>
      </c>
      <c r="AG36" s="38">
        <v>10.4</v>
      </c>
      <c r="AH36" s="38">
        <v>10.4</v>
      </c>
      <c r="AI36" s="38">
        <v>10.4</v>
      </c>
      <c r="AJ36" s="38">
        <v>10.4</v>
      </c>
      <c r="AK36" s="38">
        <f>IFERROR(VALUE(LEFT(App_Pipeline_Intel_4!$C$16,FIND(" ",App_Pipeline_Intel_4!$C$16)-1)),0)</f>
        <v>10.4</v>
      </c>
    </row>
    <row r="37" spans="1:37" ht="15" customHeight="1">
      <c r="A37" s="224" t="s">
        <v>1040</v>
      </c>
      <c r="B37" s="225"/>
      <c r="C37" s="226"/>
      <c r="D37" s="227"/>
      <c r="E37" s="227"/>
      <c r="F37" s="228"/>
      <c r="G37" s="228"/>
      <c r="H37" s="228"/>
      <c r="I37" s="228"/>
      <c r="J37" s="228"/>
      <c r="K37" s="228"/>
      <c r="L37" s="228"/>
      <c r="M37" s="228"/>
      <c r="N37" s="228"/>
      <c r="O37" s="316"/>
      <c r="P37" s="316"/>
      <c r="Q37" s="316"/>
      <c r="R37" s="316"/>
      <c r="S37" s="316"/>
      <c r="T37" s="316"/>
      <c r="U37" s="316" t="s">
        <v>1032</v>
      </c>
      <c r="V37" s="316"/>
      <c r="W37" s="316"/>
      <c r="X37" s="316"/>
      <c r="Y37" s="316"/>
      <c r="Z37" s="316"/>
      <c r="AA37" s="316"/>
      <c r="AB37" s="316"/>
      <c r="AC37" s="316"/>
      <c r="AD37" s="316"/>
      <c r="AE37" s="316"/>
      <c r="AF37" s="316"/>
      <c r="AG37" s="316"/>
      <c r="AH37" s="316"/>
      <c r="AI37" s="316"/>
      <c r="AJ37" s="316"/>
      <c r="AK37" s="316"/>
    </row>
    <row r="38" spans="1:37" ht="15" customHeight="1">
      <c r="A38" s="317">
        <v>46082</v>
      </c>
      <c r="B38" s="230" t="s">
        <v>951</v>
      </c>
      <c r="C38" s="231" t="s">
        <v>1021</v>
      </c>
      <c r="D38" s="232"/>
      <c r="E38" s="232"/>
      <c r="F38" s="233"/>
      <c r="G38" s="233"/>
      <c r="H38" s="233"/>
      <c r="I38" s="233"/>
      <c r="J38" s="233"/>
      <c r="K38" s="233"/>
      <c r="L38" s="233"/>
      <c r="M38" s="233"/>
      <c r="N38" s="234">
        <v>68</v>
      </c>
      <c r="O38" s="234">
        <v>65</v>
      </c>
      <c r="P38" s="234">
        <v>66</v>
      </c>
      <c r="Q38" s="234">
        <v>66</v>
      </c>
      <c r="R38" s="234">
        <v>64</v>
      </c>
      <c r="S38" s="234">
        <v>64</v>
      </c>
      <c r="T38" s="234">
        <v>58</v>
      </c>
      <c r="U38" s="234">
        <v>58</v>
      </c>
      <c r="V38" s="234">
        <v>58</v>
      </c>
      <c r="W38" s="234">
        <v>58</v>
      </c>
      <c r="X38" s="234">
        <v>58</v>
      </c>
      <c r="Y38" s="234">
        <v>58</v>
      </c>
      <c r="Z38" s="234">
        <v>58</v>
      </c>
      <c r="AA38" s="234">
        <v>58</v>
      </c>
      <c r="AB38" s="234">
        <v>58</v>
      </c>
      <c r="AC38" s="234">
        <v>58</v>
      </c>
      <c r="AD38" s="234">
        <v>58</v>
      </c>
      <c r="AE38" s="234">
        <v>58</v>
      </c>
      <c r="AF38" s="234">
        <v>58</v>
      </c>
      <c r="AG38" s="234">
        <v>58</v>
      </c>
      <c r="AH38" s="234">
        <v>58</v>
      </c>
      <c r="AI38" s="234">
        <v>58</v>
      </c>
      <c r="AJ38" s="234">
        <v>58</v>
      </c>
      <c r="AK38" s="234">
        <f ca="1">SUMIF('Resident Retention -12 months'!$B:$J,Data_2!$A$38,'Resident Retention -12 months'!$C:$C)-SUMIF('Resident Retention -12 months'!$B:$J,Data_2!$A$38,'Resident Retention -12 months'!$J:$J)</f>
        <v>58</v>
      </c>
    </row>
    <row r="39" spans="1:37" ht="15" customHeight="1">
      <c r="B39" s="230" t="s">
        <v>1041</v>
      </c>
      <c r="C39" s="231" t="s">
        <v>1021</v>
      </c>
      <c r="D39" s="232"/>
      <c r="E39" s="232"/>
      <c r="F39" s="233"/>
      <c r="G39" s="233"/>
      <c r="H39" s="233"/>
      <c r="I39" s="233"/>
      <c r="J39" s="233"/>
      <c r="K39" s="233"/>
      <c r="L39" s="233"/>
      <c r="M39" s="233"/>
      <c r="N39" s="234">
        <v>6</v>
      </c>
      <c r="O39" s="234">
        <v>6</v>
      </c>
      <c r="P39" s="234">
        <v>6</v>
      </c>
      <c r="Q39" s="234">
        <v>6</v>
      </c>
      <c r="R39" s="234">
        <v>6</v>
      </c>
      <c r="S39" s="234">
        <v>6</v>
      </c>
      <c r="T39" s="234">
        <v>6</v>
      </c>
      <c r="U39" s="234">
        <v>6</v>
      </c>
      <c r="V39" s="234">
        <v>6</v>
      </c>
      <c r="W39" s="234">
        <v>6</v>
      </c>
      <c r="X39" s="234">
        <v>6</v>
      </c>
      <c r="Y39" s="234">
        <v>6</v>
      </c>
      <c r="Z39" s="234">
        <v>6</v>
      </c>
      <c r="AA39" s="234">
        <v>6</v>
      </c>
      <c r="AB39" s="234">
        <v>6</v>
      </c>
      <c r="AC39" s="234">
        <v>6</v>
      </c>
      <c r="AD39" s="234">
        <v>6</v>
      </c>
      <c r="AE39" s="234">
        <v>6</v>
      </c>
      <c r="AF39" s="234">
        <v>6</v>
      </c>
      <c r="AG39" s="234">
        <v>6</v>
      </c>
      <c r="AH39" s="234">
        <v>6</v>
      </c>
      <c r="AI39" s="234">
        <v>6</v>
      </c>
      <c r="AJ39" s="234">
        <v>6</v>
      </c>
      <c r="AK39" s="234">
        <f ca="1">SUMIF('Resident Retention -12 months'!$B:$J,Data_2!$A$38,'Resident Retention -12 months'!$D:$D)</f>
        <v>6</v>
      </c>
    </row>
    <row r="40" spans="1:37" ht="15" customHeight="1">
      <c r="B40" s="230" t="s">
        <v>954</v>
      </c>
      <c r="C40" s="231" t="s">
        <v>1021</v>
      </c>
      <c r="D40" s="232"/>
      <c r="E40" s="232"/>
      <c r="F40" s="233"/>
      <c r="G40" s="233"/>
      <c r="H40" s="233"/>
      <c r="I40" s="233"/>
      <c r="J40" s="233"/>
      <c r="K40" s="233"/>
      <c r="L40" s="233"/>
      <c r="M40" s="233"/>
      <c r="N40" s="234">
        <v>8</v>
      </c>
      <c r="O40" s="234">
        <v>7</v>
      </c>
      <c r="P40" s="234">
        <v>9</v>
      </c>
      <c r="Q40" s="234">
        <v>10</v>
      </c>
      <c r="R40" s="234">
        <v>11</v>
      </c>
      <c r="S40" s="234">
        <v>11</v>
      </c>
      <c r="T40" s="234">
        <v>14</v>
      </c>
      <c r="U40" s="234">
        <v>14</v>
      </c>
      <c r="V40" s="234">
        <v>14</v>
      </c>
      <c r="W40" s="234">
        <v>14</v>
      </c>
      <c r="X40" s="234">
        <v>14</v>
      </c>
      <c r="Y40" s="234">
        <v>14</v>
      </c>
      <c r="Z40" s="234">
        <v>14</v>
      </c>
      <c r="AA40" s="234">
        <v>14</v>
      </c>
      <c r="AB40" s="234">
        <v>14</v>
      </c>
      <c r="AC40" s="234">
        <v>14</v>
      </c>
      <c r="AD40" s="234">
        <v>14</v>
      </c>
      <c r="AE40" s="234">
        <v>14</v>
      </c>
      <c r="AF40" s="234">
        <v>14</v>
      </c>
      <c r="AG40" s="234">
        <v>14</v>
      </c>
      <c r="AH40" s="234">
        <v>14</v>
      </c>
      <c r="AI40" s="234">
        <v>14</v>
      </c>
      <c r="AJ40" s="234">
        <v>14</v>
      </c>
      <c r="AK40" s="234">
        <f ca="1">SUMIF('Resident Retention -12 months'!$B:$J,Data_2!$A$38,'Resident Retention -12 months'!$E:$E)</f>
        <v>14</v>
      </c>
    </row>
    <row r="41" spans="1:37" ht="15" customHeight="1">
      <c r="B41" s="68" t="s">
        <v>956</v>
      </c>
      <c r="C41" s="69">
        <v>0</v>
      </c>
      <c r="D41" s="73"/>
      <c r="E41" s="73"/>
      <c r="F41" s="37"/>
      <c r="G41" s="37"/>
      <c r="H41" s="37"/>
      <c r="I41" s="37"/>
      <c r="J41" s="37"/>
      <c r="K41" s="37"/>
      <c r="L41" s="37"/>
      <c r="M41" s="37"/>
      <c r="N41" s="235">
        <v>0.17460000000000001</v>
      </c>
      <c r="O41" s="235">
        <v>0.18461538461538499</v>
      </c>
      <c r="P41" s="235">
        <v>0.28787878787878801</v>
      </c>
      <c r="Q41" s="235">
        <v>0.39393939393939398</v>
      </c>
      <c r="R41" s="235">
        <v>0.453125</v>
      </c>
      <c r="S41" s="235">
        <v>0.453125</v>
      </c>
      <c r="T41" s="235">
        <v>0.65517241379310298</v>
      </c>
      <c r="U41" s="235">
        <v>0.65500000000000003</v>
      </c>
      <c r="V41" s="235">
        <v>0.65517241379310298</v>
      </c>
      <c r="W41" s="235">
        <v>0.65500000000000003</v>
      </c>
      <c r="X41" s="235">
        <v>0.6333333333333333</v>
      </c>
      <c r="Y41" s="235">
        <v>0.6333333333333333</v>
      </c>
      <c r="Z41" s="235">
        <v>0.6333333333333333</v>
      </c>
      <c r="AA41" s="235">
        <v>0.6333333333333333</v>
      </c>
      <c r="AB41" s="235">
        <v>0.6333333333333333</v>
      </c>
      <c r="AC41" s="235">
        <v>0.6333333333333333</v>
      </c>
      <c r="AD41" s="235">
        <v>0.6333333333333333</v>
      </c>
      <c r="AE41" s="235">
        <v>0.6333333333333333</v>
      </c>
      <c r="AF41" s="235">
        <v>0.6333333333333333</v>
      </c>
      <c r="AG41" s="235">
        <v>0.6333333333333333</v>
      </c>
      <c r="AH41" s="235">
        <v>0.6333333333333333</v>
      </c>
      <c r="AI41" s="235">
        <v>0.6333333333333333</v>
      </c>
      <c r="AJ41" s="235">
        <v>0.6333333333333333</v>
      </c>
      <c r="AK41" s="235">
        <f ca="1">(SUMIF('Resident Retention -12 months'!$B:$J,$A$38,'Resident Retention -12 months'!$F:$F)+SUMIF('Resident Retention -12 months'!$B:$J,$A$38,'Resident Retention -12 months'!$H:$H))/AK43</f>
        <v>0.6333333333333333</v>
      </c>
    </row>
    <row r="42" spans="1:37" ht="15" customHeight="1">
      <c r="A42" s="224" t="s">
        <v>1042</v>
      </c>
      <c r="B42" s="225"/>
      <c r="C42" s="226"/>
      <c r="D42" s="227"/>
      <c r="E42" s="227"/>
      <c r="F42" s="228"/>
      <c r="G42" s="228"/>
      <c r="H42" s="228"/>
      <c r="I42" s="228"/>
      <c r="J42" s="228"/>
      <c r="K42" s="228"/>
      <c r="L42" s="228"/>
      <c r="M42" s="228"/>
      <c r="N42" s="228"/>
      <c r="O42" s="316"/>
      <c r="P42" s="316"/>
      <c r="Q42" s="316"/>
      <c r="R42" s="316"/>
      <c r="S42" s="316"/>
      <c r="T42" s="316"/>
      <c r="U42" s="316" t="s">
        <v>1032</v>
      </c>
      <c r="V42" s="316"/>
      <c r="W42" s="316"/>
      <c r="X42" s="316"/>
      <c r="Y42" s="316"/>
      <c r="Z42" s="316"/>
      <c r="AA42" s="316"/>
      <c r="AB42" s="316"/>
      <c r="AC42" s="316"/>
      <c r="AD42" s="316"/>
      <c r="AE42" s="316"/>
      <c r="AF42" s="316"/>
      <c r="AG42" s="316"/>
      <c r="AH42" s="316"/>
      <c r="AI42" s="316"/>
      <c r="AJ42" s="316"/>
      <c r="AK42" s="316"/>
    </row>
    <row r="43" spans="1:37" ht="15" customHeight="1">
      <c r="A43" s="318">
        <v>46113</v>
      </c>
      <c r="B43" s="230" t="s">
        <v>951</v>
      </c>
      <c r="C43" s="231" t="s">
        <v>1021</v>
      </c>
      <c r="D43" s="232"/>
      <c r="E43" s="232"/>
      <c r="F43" s="233"/>
      <c r="G43" s="233"/>
      <c r="H43" s="233"/>
      <c r="I43" s="233"/>
      <c r="J43" s="233"/>
      <c r="K43" s="233"/>
      <c r="L43" s="233"/>
      <c r="M43" s="233"/>
      <c r="N43" s="234">
        <v>62</v>
      </c>
      <c r="O43" s="234">
        <v>62</v>
      </c>
      <c r="P43" s="234">
        <v>62</v>
      </c>
      <c r="Q43" s="234">
        <v>62</v>
      </c>
      <c r="R43" s="234">
        <v>62</v>
      </c>
      <c r="S43" s="234">
        <v>62</v>
      </c>
      <c r="T43" s="234">
        <v>62</v>
      </c>
      <c r="U43" s="234">
        <v>62</v>
      </c>
      <c r="V43" s="234">
        <v>60</v>
      </c>
      <c r="W43" s="234">
        <v>60</v>
      </c>
      <c r="X43" s="234">
        <v>60</v>
      </c>
      <c r="Y43" s="234">
        <v>60</v>
      </c>
      <c r="Z43" s="234">
        <v>60</v>
      </c>
      <c r="AA43" s="234">
        <v>60</v>
      </c>
      <c r="AB43" s="234">
        <v>60</v>
      </c>
      <c r="AC43" s="234">
        <v>60</v>
      </c>
      <c r="AD43" s="234">
        <v>60</v>
      </c>
      <c r="AE43" s="234">
        <v>60</v>
      </c>
      <c r="AF43" s="234">
        <v>60</v>
      </c>
      <c r="AG43" s="234">
        <v>60</v>
      </c>
      <c r="AH43" s="234">
        <v>60</v>
      </c>
      <c r="AI43" s="234">
        <v>60</v>
      </c>
      <c r="AJ43" s="234">
        <v>60</v>
      </c>
      <c r="AK43" s="234">
        <f ca="1">SUMIF('Resident Retention -12 months'!$B:$J,Data_2!$A$43,'Resident Retention -12 months'!$C:$C)-SUMIF('Resident Retention -12 months'!$B:$J,Data_2!$A$43,'Resident Retention -12 months'!$J:$J)</f>
        <v>60</v>
      </c>
    </row>
    <row r="44" spans="1:37" ht="15" customHeight="1">
      <c r="B44" s="230" t="s">
        <v>1041</v>
      </c>
      <c r="C44" s="231" t="s">
        <v>1021</v>
      </c>
      <c r="D44" s="232"/>
      <c r="E44" s="232"/>
      <c r="F44" s="233"/>
      <c r="G44" s="233"/>
      <c r="H44" s="233"/>
      <c r="I44" s="233"/>
      <c r="J44" s="233"/>
      <c r="K44" s="233"/>
      <c r="L44" s="233"/>
      <c r="M44" s="233"/>
      <c r="N44" s="234">
        <v>3</v>
      </c>
      <c r="O44" s="234">
        <v>4</v>
      </c>
      <c r="P44" s="234">
        <v>4</v>
      </c>
      <c r="Q44" s="234">
        <v>4</v>
      </c>
      <c r="R44" s="234">
        <v>4</v>
      </c>
      <c r="S44" s="234">
        <v>4</v>
      </c>
      <c r="T44" s="234">
        <v>5</v>
      </c>
      <c r="U44" s="234">
        <v>5</v>
      </c>
      <c r="V44" s="234">
        <v>6</v>
      </c>
      <c r="W44" s="234">
        <v>6</v>
      </c>
      <c r="X44" s="234">
        <v>6</v>
      </c>
      <c r="Y44" s="234">
        <v>6</v>
      </c>
      <c r="Z44" s="234">
        <v>6</v>
      </c>
      <c r="AA44" s="234">
        <v>6</v>
      </c>
      <c r="AB44" s="234">
        <v>6</v>
      </c>
      <c r="AC44" s="234">
        <v>6</v>
      </c>
      <c r="AD44" s="234">
        <v>6</v>
      </c>
      <c r="AE44" s="234">
        <v>6</v>
      </c>
      <c r="AF44" s="234">
        <v>6</v>
      </c>
      <c r="AG44" s="234">
        <v>6</v>
      </c>
      <c r="AH44" s="234">
        <v>6</v>
      </c>
      <c r="AI44" s="234">
        <v>6</v>
      </c>
      <c r="AJ44" s="234">
        <v>6</v>
      </c>
      <c r="AK44" s="234">
        <f ca="1">SUMIF('Resident Retention -12 months'!$B:$J,Data_2!$A$43,'Resident Retention -12 months'!$D:$D)</f>
        <v>6</v>
      </c>
    </row>
    <row r="45" spans="1:37" ht="15" customHeight="1">
      <c r="B45" s="230" t="s">
        <v>954</v>
      </c>
      <c r="C45" s="231" t="s">
        <v>1021</v>
      </c>
      <c r="D45" s="232"/>
      <c r="E45" s="232"/>
      <c r="F45" s="233"/>
      <c r="G45" s="233"/>
      <c r="H45" s="233"/>
      <c r="I45" s="233"/>
      <c r="J45" s="233"/>
      <c r="K45" s="233"/>
      <c r="L45" s="233"/>
      <c r="M45" s="233"/>
      <c r="N45" s="234">
        <v>7</v>
      </c>
      <c r="O45" s="234">
        <v>7</v>
      </c>
      <c r="P45" s="234">
        <v>10</v>
      </c>
      <c r="Q45" s="234">
        <v>10</v>
      </c>
      <c r="R45" s="234">
        <v>12</v>
      </c>
      <c r="S45" s="234">
        <v>13</v>
      </c>
      <c r="T45" s="234">
        <v>15</v>
      </c>
      <c r="U45" s="234">
        <v>15</v>
      </c>
      <c r="V45" s="234">
        <v>18</v>
      </c>
      <c r="W45" s="234">
        <v>18</v>
      </c>
      <c r="X45" s="234">
        <v>18</v>
      </c>
      <c r="Y45" s="234">
        <v>18</v>
      </c>
      <c r="Z45" s="234">
        <v>18</v>
      </c>
      <c r="AA45" s="234">
        <v>18</v>
      </c>
      <c r="AB45" s="234">
        <v>18</v>
      </c>
      <c r="AC45" s="234">
        <v>18</v>
      </c>
      <c r="AD45" s="234">
        <v>18</v>
      </c>
      <c r="AE45" s="234">
        <v>18</v>
      </c>
      <c r="AF45" s="234">
        <v>18</v>
      </c>
      <c r="AG45" s="234">
        <v>18</v>
      </c>
      <c r="AH45" s="234">
        <v>18</v>
      </c>
      <c r="AI45" s="234">
        <v>18</v>
      </c>
      <c r="AJ45" s="234">
        <v>18</v>
      </c>
      <c r="AK45" s="234">
        <f ca="1">SUMIF('Resident Retention -12 months'!$B:$J,Data_2!$A$43,'Resident Retention -12 months'!$E:$E)</f>
        <v>18</v>
      </c>
    </row>
    <row r="46" spans="1:37" ht="15" customHeight="1">
      <c r="B46" s="68" t="s">
        <v>956</v>
      </c>
      <c r="C46" s="69">
        <v>0</v>
      </c>
      <c r="D46" s="73"/>
      <c r="E46" s="73"/>
      <c r="F46" s="37"/>
      <c r="G46" s="37"/>
      <c r="H46" s="37"/>
      <c r="I46" s="37"/>
      <c r="J46" s="37"/>
      <c r="K46" s="37"/>
      <c r="L46" s="37"/>
      <c r="M46" s="37"/>
      <c r="N46" s="235">
        <v>6.7799999999999999E-2</v>
      </c>
      <c r="O46" s="235">
        <v>9.6774193548387094E-2</v>
      </c>
      <c r="P46" s="235">
        <v>0.241935483870968</v>
      </c>
      <c r="Q46" s="235">
        <v>0.25806451612903197</v>
      </c>
      <c r="R46" s="235">
        <v>0.29032258064516098</v>
      </c>
      <c r="S46" s="235">
        <v>0.38709677419354799</v>
      </c>
      <c r="T46" s="235">
        <v>0.40322580645161299</v>
      </c>
      <c r="U46" s="235">
        <v>0.40300000000000002</v>
      </c>
      <c r="V46" s="235">
        <v>0.483333333333333</v>
      </c>
      <c r="W46" s="235">
        <v>0.51700000000000002</v>
      </c>
      <c r="X46" s="235">
        <v>0.54385964912280704</v>
      </c>
      <c r="Y46" s="235">
        <v>0.54385964912280704</v>
      </c>
      <c r="Z46" s="235">
        <v>0.5535714285714286</v>
      </c>
      <c r="AA46" s="235">
        <v>0.5535714285714286</v>
      </c>
      <c r="AB46" s="235">
        <v>0.5535714285714286</v>
      </c>
      <c r="AC46" s="235">
        <v>0.5535714285714286</v>
      </c>
      <c r="AD46" s="235">
        <v>0.5535714285714286</v>
      </c>
      <c r="AE46" s="235">
        <v>0.5535714285714286</v>
      </c>
      <c r="AF46" s="235">
        <v>0.5535714285714286</v>
      </c>
      <c r="AG46" s="235">
        <v>0.5535714285714286</v>
      </c>
      <c r="AH46" s="235">
        <v>0.5535714285714286</v>
      </c>
      <c r="AI46" s="235">
        <v>0.5535714285714286</v>
      </c>
      <c r="AJ46" s="235">
        <v>0.5535714285714286</v>
      </c>
      <c r="AK46" s="235">
        <f ca="1">(SUMIF('Resident Retention -12 months'!$B:$J,$A$43,'Resident Retention -12 months'!$F:$F)+SUMIF('Resident Retention -12 months'!$B:$J,$A$43,'Resident Retention -12 months'!$H:$H))/AK48</f>
        <v>0.5535714285714286</v>
      </c>
    </row>
    <row r="47" spans="1:37" ht="15" customHeight="1">
      <c r="A47" s="224" t="s">
        <v>1043</v>
      </c>
      <c r="B47" s="225"/>
      <c r="C47" s="226"/>
      <c r="D47" s="227"/>
      <c r="E47" s="227"/>
      <c r="F47" s="228"/>
      <c r="G47" s="228"/>
      <c r="H47" s="228"/>
      <c r="I47" s="228"/>
      <c r="J47" s="228"/>
      <c r="K47" s="228"/>
      <c r="L47" s="228"/>
      <c r="M47" s="228"/>
      <c r="N47" s="228"/>
      <c r="O47" s="316"/>
      <c r="P47" s="316"/>
      <c r="Q47" s="316"/>
      <c r="R47" s="316"/>
      <c r="S47" s="316"/>
      <c r="T47" s="316"/>
      <c r="U47" s="316" t="s">
        <v>1032</v>
      </c>
      <c r="V47" s="316"/>
      <c r="W47" s="316"/>
      <c r="X47" s="316"/>
      <c r="Y47" s="316"/>
      <c r="Z47" s="316"/>
      <c r="AA47" s="316"/>
      <c r="AB47" s="316"/>
      <c r="AC47" s="316"/>
      <c r="AD47" s="316"/>
      <c r="AE47" s="316"/>
      <c r="AF47" s="316"/>
      <c r="AG47" s="316"/>
      <c r="AH47" s="316"/>
      <c r="AI47" s="316"/>
      <c r="AJ47" s="316"/>
      <c r="AK47" s="316"/>
    </row>
    <row r="48" spans="1:37" ht="15" customHeight="1">
      <c r="A48" s="318">
        <v>46143</v>
      </c>
      <c r="B48" s="230" t="s">
        <v>951</v>
      </c>
      <c r="C48" s="231" t="s">
        <v>1021</v>
      </c>
      <c r="D48" s="232"/>
      <c r="E48" s="232"/>
      <c r="F48" s="233"/>
      <c r="G48" s="233"/>
      <c r="H48" s="233"/>
      <c r="I48" s="233"/>
      <c r="J48" s="233"/>
      <c r="K48" s="233"/>
      <c r="L48" s="233"/>
      <c r="M48" s="233"/>
      <c r="N48" s="234">
        <v>55</v>
      </c>
      <c r="O48" s="234">
        <v>55</v>
      </c>
      <c r="P48" s="234">
        <v>55</v>
      </c>
      <c r="Q48" s="234">
        <v>55</v>
      </c>
      <c r="R48" s="234">
        <v>55</v>
      </c>
      <c r="S48" s="234">
        <v>55</v>
      </c>
      <c r="T48" s="234">
        <v>56</v>
      </c>
      <c r="U48" s="234">
        <v>56</v>
      </c>
      <c r="V48" s="234">
        <v>56</v>
      </c>
      <c r="W48" s="234">
        <v>57</v>
      </c>
      <c r="X48" s="234">
        <v>57</v>
      </c>
      <c r="Y48" s="234">
        <v>57</v>
      </c>
      <c r="Z48" s="234">
        <v>56</v>
      </c>
      <c r="AA48" s="234">
        <v>56</v>
      </c>
      <c r="AB48" s="234">
        <v>56</v>
      </c>
      <c r="AC48" s="234">
        <v>56</v>
      </c>
      <c r="AD48" s="234">
        <v>56</v>
      </c>
      <c r="AE48" s="234">
        <v>56</v>
      </c>
      <c r="AF48" s="234">
        <v>56</v>
      </c>
      <c r="AG48" s="234">
        <v>56</v>
      </c>
      <c r="AH48" s="234">
        <v>56</v>
      </c>
      <c r="AI48" s="234">
        <v>56</v>
      </c>
      <c r="AJ48" s="234">
        <v>56</v>
      </c>
      <c r="AK48" s="234">
        <f ca="1">SUMIF('Resident Retention -12 months'!$B:$J,Data_2!$A$48,'Resident Retention -12 months'!$C:$C)-SUMIF('Resident Retention -12 months'!$B:$J,Data_2!$A$48,'Resident Retention -12 months'!$J:$J)</f>
        <v>56</v>
      </c>
    </row>
    <row r="49" spans="1:37" ht="15" customHeight="1">
      <c r="B49" s="230" t="s">
        <v>1041</v>
      </c>
      <c r="C49" s="231" t="s">
        <v>1021</v>
      </c>
      <c r="D49" s="232"/>
      <c r="E49" s="232"/>
      <c r="F49" s="233"/>
      <c r="G49" s="233"/>
      <c r="H49" s="233"/>
      <c r="I49" s="233"/>
      <c r="J49" s="233"/>
      <c r="K49" s="233"/>
      <c r="L49" s="233"/>
      <c r="M49" s="233"/>
      <c r="N49" s="234">
        <v>4</v>
      </c>
      <c r="O49" s="234">
        <v>4</v>
      </c>
      <c r="P49" s="234">
        <v>4</v>
      </c>
      <c r="Q49" s="234">
        <v>4</v>
      </c>
      <c r="R49" s="234">
        <v>4</v>
      </c>
      <c r="S49" s="234">
        <v>6</v>
      </c>
      <c r="T49" s="234">
        <v>6</v>
      </c>
      <c r="U49" s="234">
        <v>6</v>
      </c>
      <c r="V49" s="234">
        <v>6</v>
      </c>
      <c r="W49" s="234">
        <v>8</v>
      </c>
      <c r="X49" s="234">
        <v>9</v>
      </c>
      <c r="Y49" s="234">
        <v>10</v>
      </c>
      <c r="Z49" s="234">
        <v>10</v>
      </c>
      <c r="AA49" s="234">
        <v>10</v>
      </c>
      <c r="AB49" s="234">
        <v>10</v>
      </c>
      <c r="AC49" s="234">
        <v>10</v>
      </c>
      <c r="AD49" s="234">
        <v>10</v>
      </c>
      <c r="AE49" s="234">
        <v>10</v>
      </c>
      <c r="AF49" s="234">
        <v>10</v>
      </c>
      <c r="AG49" s="234">
        <v>10</v>
      </c>
      <c r="AH49" s="234">
        <v>10</v>
      </c>
      <c r="AI49" s="234">
        <v>10</v>
      </c>
      <c r="AJ49" s="234">
        <v>10</v>
      </c>
      <c r="AK49" s="234">
        <f ca="1">SUMIF('Resident Retention -12 months'!$B:$J,Data_2!$A$48,'Resident Retention -12 months'!$D:$D)</f>
        <v>10</v>
      </c>
    </row>
    <row r="50" spans="1:37" ht="15" customHeight="1">
      <c r="B50" s="230" t="s">
        <v>954</v>
      </c>
      <c r="C50" s="231" t="s">
        <v>1021</v>
      </c>
      <c r="D50" s="232"/>
      <c r="E50" s="232"/>
      <c r="F50" s="233"/>
      <c r="G50" s="233"/>
      <c r="H50" s="233"/>
      <c r="I50" s="233"/>
      <c r="J50" s="233"/>
      <c r="K50" s="233"/>
      <c r="L50" s="233"/>
      <c r="M50" s="233"/>
      <c r="N50" s="234">
        <v>4</v>
      </c>
      <c r="O50" s="234">
        <v>4</v>
      </c>
      <c r="P50" s="234">
        <v>8</v>
      </c>
      <c r="Q50" s="234">
        <v>9</v>
      </c>
      <c r="R50" s="234">
        <v>9</v>
      </c>
      <c r="S50" s="234">
        <v>10</v>
      </c>
      <c r="T50" s="234">
        <v>11</v>
      </c>
      <c r="U50" s="234">
        <v>11</v>
      </c>
      <c r="V50" s="234">
        <v>11</v>
      </c>
      <c r="W50" s="234">
        <v>9</v>
      </c>
      <c r="X50" s="234">
        <v>9</v>
      </c>
      <c r="Y50" s="234">
        <v>9</v>
      </c>
      <c r="Z50" s="234">
        <v>10</v>
      </c>
      <c r="AA50" s="234">
        <v>10</v>
      </c>
      <c r="AB50" s="234">
        <v>10</v>
      </c>
      <c r="AC50" s="234">
        <v>10</v>
      </c>
      <c r="AD50" s="234">
        <v>10</v>
      </c>
      <c r="AE50" s="234">
        <v>10</v>
      </c>
      <c r="AF50" s="234">
        <v>10</v>
      </c>
      <c r="AG50" s="234">
        <v>10</v>
      </c>
      <c r="AH50" s="234">
        <v>10</v>
      </c>
      <c r="AI50" s="234">
        <v>10</v>
      </c>
      <c r="AJ50" s="234">
        <v>10</v>
      </c>
      <c r="AK50" s="234">
        <f ca="1">SUMIF('Resident Retention -12 months'!$B:$J,Data_2!$A$48,'Resident Retention -12 months'!$E:$E)</f>
        <v>10</v>
      </c>
    </row>
    <row r="51" spans="1:37" ht="15" customHeight="1">
      <c r="B51" s="68" t="s">
        <v>956</v>
      </c>
      <c r="C51" s="69">
        <v>0</v>
      </c>
      <c r="D51" s="73"/>
      <c r="E51" s="73"/>
      <c r="F51" s="37"/>
      <c r="G51" s="37"/>
      <c r="H51" s="37"/>
      <c r="I51" s="37"/>
      <c r="J51" s="37"/>
      <c r="K51" s="37"/>
      <c r="L51" s="37"/>
      <c r="M51" s="37"/>
      <c r="N51" s="235">
        <v>3.9199999999999999E-2</v>
      </c>
      <c r="O51" s="235">
        <v>5.4545454545454501E-2</v>
      </c>
      <c r="P51" s="235">
        <v>0.109090909090909</v>
      </c>
      <c r="Q51" s="235">
        <v>0.18181818181818199</v>
      </c>
      <c r="R51" s="235">
        <v>0.2</v>
      </c>
      <c r="S51" s="235">
        <v>0.236363636363636</v>
      </c>
      <c r="T51" s="235">
        <v>0.26785714285714302</v>
      </c>
      <c r="U51" s="235">
        <v>0.30399999999999999</v>
      </c>
      <c r="V51" s="235">
        <v>0.33928571428571402</v>
      </c>
      <c r="W51" s="235">
        <v>0.50900000000000001</v>
      </c>
      <c r="X51" s="235">
        <v>0.5636363636363636</v>
      </c>
      <c r="Y51" s="235">
        <v>0.6</v>
      </c>
      <c r="Z51" s="235">
        <v>0.64814814814814814</v>
      </c>
      <c r="AA51" s="235">
        <v>0.64814814814814814</v>
      </c>
      <c r="AB51" s="235">
        <v>0.64814814814814814</v>
      </c>
      <c r="AC51" s="235">
        <v>0.64814814814814814</v>
      </c>
      <c r="AD51" s="235">
        <v>0.625</v>
      </c>
      <c r="AE51" s="235">
        <v>0.625</v>
      </c>
      <c r="AF51" s="235">
        <v>0.625</v>
      </c>
      <c r="AG51" s="235">
        <v>0.625</v>
      </c>
      <c r="AH51" s="235">
        <v>0.625</v>
      </c>
      <c r="AI51" s="235">
        <v>0.625</v>
      </c>
      <c r="AJ51" s="235">
        <v>0.625</v>
      </c>
      <c r="AK51" s="235">
        <f>IFERROR((SUMIF('Resident Retention -12 months'!$B:$B,$A$48,'Resident Retention -12 months'!$F:$F)+SUMIF('Resident Retention -12 months'!$B:$B,$A$48,'Resident Retention -12 months'!$H:$H))/(SUMIF('Resident Retention -12 months'!$B:$B,$A$48,'Resident Retention -12 months'!$C:$C)-SUMIF('Resident Retention -12 months'!$B:$B,$A$48,'Resident Retention -12 months'!$J:$J)),0)</f>
        <v>0.625</v>
      </c>
    </row>
    <row r="52" spans="1:37" ht="15" customHeight="1">
      <c r="B52" s="1138" t="s">
        <v>953</v>
      </c>
      <c r="C52" s="1139" t="s">
        <v>1021</v>
      </c>
      <c r="D52" s="1144" cm="1">
        <f t="array" ref="D52">SUMPRODUCT(((Move_Out_Reasons!H2:H1000="Skipped Without Notice")+(Move_Out_Reasons!H2:H1000="Skipped During Eviction")+(Move_Out_Reasons!H2:H1000="Eviction")+(Move_Out_Reasons!H2:H1000="Failure To Pay"))*(Move_Out_Reasons!F2:F1000&gt;=$A$48)*(Move_Out_Reasons!F2:F1000&lt;=EOMONTH($A$48,0)))</f>
        <v>19</v>
      </c>
      <c r="E52" s="1144" cm="1">
        <f t="array" ref="E52">SUMPRODUCT(((Move_Out_Reasons!H2:H1000="Skipped Without Notice")+(Move_Out_Reasons!H2:H1000="Skipped During Eviction")+(Move_Out_Reasons!H2:H1000="Eviction")+(Move_Out_Reasons!H2:H1000="Failure To Pay"))*(Move_Out_Reasons!F2:F1000&gt;=$A$48)*(Move_Out_Reasons!F2:F1000&lt;=EOMONTH($A$48,0)))</f>
        <v>19</v>
      </c>
      <c r="F52" s="343" cm="1">
        <f t="array" ref="F52">SUMPRODUCT(((Move_Out_Reasons!H2:H1000="Skipped Without Notice")+(Move_Out_Reasons!H2:H1000="Skipped During Eviction")+(Move_Out_Reasons!H2:H1000="Eviction")+(Move_Out_Reasons!H2:H1000="Failure To Pay"))*(Move_Out_Reasons!F2:F1000&gt;=$A$48)*(Move_Out_Reasons!F2:F1000&lt;=EOMONTH($A$48,0)))</f>
        <v>19</v>
      </c>
      <c r="G52" s="343" cm="1">
        <f t="array" ref="G52">SUMPRODUCT(((Move_Out_Reasons!H2:H1000="Skipped Without Notice")+(Move_Out_Reasons!H2:H1000="Skipped During Eviction")+(Move_Out_Reasons!H2:H1000="Eviction")+(Move_Out_Reasons!H2:H1000="Failure To Pay"))*(Move_Out_Reasons!F2:F1000&gt;=$A$48)*(Move_Out_Reasons!F2:F1000&lt;=EOMONTH($A$48,0)))</f>
        <v>19</v>
      </c>
      <c r="H52" s="343" cm="1">
        <f t="array" ref="H52">SUMPRODUCT(((Move_Out_Reasons!H2:H1000="Skipped Without Notice")+(Move_Out_Reasons!H2:H1000="Skipped During Eviction")+(Move_Out_Reasons!H2:H1000="Eviction")+(Move_Out_Reasons!H2:H1000="Failure To Pay"))*(Move_Out_Reasons!F2:F1000&gt;=$A$48)*(Move_Out_Reasons!F2:F1000&lt;=EOMONTH($A$48,0)))</f>
        <v>19</v>
      </c>
      <c r="I52" s="343" cm="1">
        <f t="array" ref="I52">SUMPRODUCT(((Move_Out_Reasons!H2:H1000="Skipped Without Notice")+(Move_Out_Reasons!H2:H1000="Skipped During Eviction")+(Move_Out_Reasons!H2:H1000="Eviction")+(Move_Out_Reasons!H2:H1000="Failure To Pay"))*(Move_Out_Reasons!F2:F1000&gt;=$A$48)*(Move_Out_Reasons!F2:F1000&lt;=EOMONTH($A$48,0)))</f>
        <v>19</v>
      </c>
      <c r="J52" s="343" cm="1">
        <f t="array" ref="J52">SUMPRODUCT(((Move_Out_Reasons!H2:H1000="Skipped Without Notice")+(Move_Out_Reasons!H2:H1000="Skipped During Eviction")+(Move_Out_Reasons!H2:H1000="Eviction")+(Move_Out_Reasons!H2:H1000="Failure To Pay"))*(Move_Out_Reasons!F2:F1000&gt;=$A$48)*(Move_Out_Reasons!F2:F1000&lt;=EOMONTH($A$48,0)))</f>
        <v>19</v>
      </c>
      <c r="K52" s="343" cm="1">
        <f t="array" ref="K52">SUMPRODUCT(((Move_Out_Reasons!H2:H1000="Skipped Without Notice")+(Move_Out_Reasons!H2:H1000="Skipped During Eviction")+(Move_Out_Reasons!H2:H1000="Eviction")+(Move_Out_Reasons!H2:H1000="Failure To Pay"))*(Move_Out_Reasons!F2:F1000&gt;=$A$48)*(Move_Out_Reasons!F2:F1000&lt;=EOMONTH($A$48,0)))</f>
        <v>19</v>
      </c>
      <c r="L52" s="343" cm="1">
        <f t="array" ref="L52">SUMPRODUCT(((Move_Out_Reasons!H2:H1000="Skipped Without Notice")+(Move_Out_Reasons!H2:H1000="Skipped During Eviction")+(Move_Out_Reasons!H2:H1000="Eviction")+(Move_Out_Reasons!H2:H1000="Failure To Pay"))*(Move_Out_Reasons!F2:F1000&gt;=$A$48)*(Move_Out_Reasons!F2:F1000&lt;=EOMONTH($A$48,0)))</f>
        <v>19</v>
      </c>
      <c r="M52" s="343" cm="1">
        <f t="array" ref="M52">SUMPRODUCT(((Move_Out_Reasons!H2:H1000="Skipped Without Notice")+(Move_Out_Reasons!H2:H1000="Skipped During Eviction")+(Move_Out_Reasons!H2:H1000="Eviction")+(Move_Out_Reasons!H2:H1000="Failure To Pay"))*(Move_Out_Reasons!F2:F1000&gt;=$A$48)*(Move_Out_Reasons!F2:F1000&lt;=EOMONTH($A$48,0)))</f>
        <v>19</v>
      </c>
      <c r="N52" s="343" cm="1">
        <f t="array" ref="N52">SUMPRODUCT(((Move_Out_Reasons!H2:H1000="Skipped Without Notice")+(Move_Out_Reasons!H2:H1000="Skipped During Eviction")+(Move_Out_Reasons!H2:H1000="Eviction")+(Move_Out_Reasons!H2:H1000="Failure To Pay"))*(Move_Out_Reasons!F2:F1000&gt;=$A$48)*(Move_Out_Reasons!F2:F1000&lt;=EOMONTH($A$48,0)))</f>
        <v>19</v>
      </c>
      <c r="O52" s="343" cm="1">
        <f t="array" ref="O52">SUMPRODUCT(((Move_Out_Reasons!H2:H1000="Skipped Without Notice")+(Move_Out_Reasons!H2:H1000="Skipped During Eviction")+(Move_Out_Reasons!H2:H1000="Eviction")+(Move_Out_Reasons!H2:H1000="Failure To Pay"))*(Move_Out_Reasons!F2:F1000&gt;=$A$48)*(Move_Out_Reasons!F2:F1000&lt;=EOMONTH($A$48,0)))</f>
        <v>19</v>
      </c>
      <c r="P52" s="343" cm="1">
        <f t="array" ref="P52">SUMPRODUCT(((Move_Out_Reasons!H2:H1000="Skipped Without Notice")+(Move_Out_Reasons!H2:H1000="Skipped During Eviction")+(Move_Out_Reasons!H2:H1000="Eviction")+(Move_Out_Reasons!H2:H1000="Failure To Pay"))*(Move_Out_Reasons!F2:F1000&gt;=$A$48)*(Move_Out_Reasons!F2:F1000&lt;=EOMONTH($A$48,0)))</f>
        <v>19</v>
      </c>
      <c r="Q52" s="343" cm="1">
        <f t="array" ref="Q52">SUMPRODUCT(((Move_Out_Reasons!H2:H1000="Skipped Without Notice")+(Move_Out_Reasons!H2:H1000="Skipped During Eviction")+(Move_Out_Reasons!H2:H1000="Eviction")+(Move_Out_Reasons!H2:H1000="Failure To Pay"))*(Move_Out_Reasons!F2:F1000&gt;=$A$48)*(Move_Out_Reasons!F2:F1000&lt;=EOMONTH($A$48,0)))</f>
        <v>19</v>
      </c>
      <c r="R52" s="343" cm="1">
        <f t="array" ref="R52">SUMPRODUCT(((Move_Out_Reasons!H2:H1000="Skipped Without Notice")+(Move_Out_Reasons!H2:H1000="Skipped During Eviction")+(Move_Out_Reasons!H2:H1000="Eviction")+(Move_Out_Reasons!H2:H1000="Failure To Pay"))*(Move_Out_Reasons!F2:F1000&gt;=$A$48)*(Move_Out_Reasons!F2:F1000&lt;=EOMONTH($A$48,0)))</f>
        <v>19</v>
      </c>
      <c r="S52" s="343" cm="1">
        <f t="array" ref="S52">SUMPRODUCT(((Move_Out_Reasons!H2:H1000="Skipped Without Notice")+(Move_Out_Reasons!H2:H1000="Skipped During Eviction")+(Move_Out_Reasons!H2:H1000="Eviction")+(Move_Out_Reasons!H2:H1000="Failure To Pay"))*(Move_Out_Reasons!F2:F1000&gt;=$A$48)*(Move_Out_Reasons!F2:F1000&lt;=EOMONTH($A$48,0)))</f>
        <v>19</v>
      </c>
      <c r="T52" s="343" cm="1">
        <f t="array" ref="T52">SUMPRODUCT(((Move_Out_Reasons!H2:H1000="Skipped Without Notice")+(Move_Out_Reasons!H2:H1000="Skipped During Eviction")+(Move_Out_Reasons!H2:H1000="Eviction")+(Move_Out_Reasons!H2:H1000="Failure To Pay"))*(Move_Out_Reasons!F2:F1000&gt;=$A$48)*(Move_Out_Reasons!F2:F1000&lt;=EOMONTH($A$48,0)))</f>
        <v>19</v>
      </c>
      <c r="U52" s="343" cm="1">
        <f t="array" ref="U52">SUMPRODUCT(((Move_Out_Reasons!H2:H1000="Skipped Without Notice")+(Move_Out_Reasons!H2:H1000="Skipped During Eviction")+(Move_Out_Reasons!H2:H1000="Eviction")+(Move_Out_Reasons!H2:H1000="Failure To Pay"))*(Move_Out_Reasons!F2:F1000&gt;=$A$48)*(Move_Out_Reasons!F2:F1000&lt;=EOMONTH($A$48,0)))</f>
        <v>19</v>
      </c>
      <c r="V52" s="343" cm="1">
        <f t="array" ref="V52">SUMPRODUCT(((Move_Out_Reasons!H2:H1000="Skipped Without Notice")+(Move_Out_Reasons!H2:H1000="Skipped During Eviction")+(Move_Out_Reasons!H2:H1000="Eviction")+(Move_Out_Reasons!H2:H1000="Failure To Pay"))*(Move_Out_Reasons!F2:F1000&gt;=$A$48)*(Move_Out_Reasons!F2:F1000&lt;=EOMONTH($A$48,0)))</f>
        <v>19</v>
      </c>
      <c r="W52" s="343" cm="1">
        <f t="array" ref="W52">SUMPRODUCT(((Move_Out_Reasons!H2:H1000="Skipped Without Notice")+(Move_Out_Reasons!H2:H1000="Skipped During Eviction")+(Move_Out_Reasons!H2:H1000="Eviction")+(Move_Out_Reasons!H2:H1000="Failure To Pay"))*(Move_Out_Reasons!F2:F1000&gt;=$A$48)*(Move_Out_Reasons!F2:F1000&lt;=EOMONTH($A$48,0)))</f>
        <v>19</v>
      </c>
      <c r="X52" s="343" cm="1">
        <f t="array" ref="X52">SUMPRODUCT(((Move_Out_Reasons!H2:H1000="Skipped Without Notice")+(Move_Out_Reasons!H2:H1000="Skipped During Eviction")+(Move_Out_Reasons!H2:H1000="Eviction")+(Move_Out_Reasons!H2:H1000="Failure To Pay"))*(Move_Out_Reasons!F2:F1000&gt;=$A$48)*(Move_Out_Reasons!F2:F1000&lt;=EOMONTH($A$48,0)))</f>
        <v>19</v>
      </c>
      <c r="Y52" s="343" cm="1">
        <f t="array" ref="Y52">SUMPRODUCT(((Move_Out_Reasons!H2:H1000="Skipped Without Notice")+(Move_Out_Reasons!H2:H1000="Skipped During Eviction")+(Move_Out_Reasons!H2:H1000="Eviction")+(Move_Out_Reasons!H2:H1000="Failure To Pay"))*(Move_Out_Reasons!F2:F1000&gt;=$A$48)*(Move_Out_Reasons!F2:F1000&lt;=EOMONTH($A$48,0)))</f>
        <v>19</v>
      </c>
      <c r="Z52" s="343" cm="1">
        <f t="array" ref="Z52">SUMPRODUCT(((Move_Out_Reasons!H2:H1000="Skipped Without Notice")+(Move_Out_Reasons!H2:H1000="Skipped During Eviction")+(Move_Out_Reasons!H2:H1000="Eviction")+(Move_Out_Reasons!H2:H1000="Failure To Pay"))*(Move_Out_Reasons!F2:F1000&gt;=$A$48)*(Move_Out_Reasons!F2:F1000&lt;=EOMONTH($A$48,0)))</f>
        <v>19</v>
      </c>
      <c r="AA52" s="343" cm="1">
        <f t="array" ref="AA52">SUMPRODUCT(((Move_Out_Reasons!H2:H1000="Skipped Without Notice")+(Move_Out_Reasons!H2:H1000="Skipped During Eviction")+(Move_Out_Reasons!H2:H1000="Eviction")+(Move_Out_Reasons!H2:H1000="Failure To Pay"))*(Move_Out_Reasons!F2:F1000&gt;=$A$48)*(Move_Out_Reasons!F2:F1000&lt;=EOMONTH($A$48,0)))</f>
        <v>19</v>
      </c>
      <c r="AB52" s="343" cm="1">
        <f t="array" ref="AB52">SUMPRODUCT(((Move_Out_Reasons!H2:H1000="Skipped Without Notice")+(Move_Out_Reasons!H2:H1000="Skipped During Eviction")+(Move_Out_Reasons!H2:H1000="Eviction")+(Move_Out_Reasons!H2:H1000="Failure To Pay"))*(Move_Out_Reasons!F2:F1000&gt;=$A$48)*(Move_Out_Reasons!F2:F1000&lt;=EOMONTH($A$48,0)))</f>
        <v>19</v>
      </c>
      <c r="AC52" s="343" cm="1">
        <f t="array" ref="AC52">SUMPRODUCT(((Move_Out_Reasons!H2:H1000="Skipped Without Notice")+(Move_Out_Reasons!H2:H1000="Skipped During Eviction")+(Move_Out_Reasons!H2:H1000="Eviction")+(Move_Out_Reasons!H2:H1000="Failure To Pay"))*(Move_Out_Reasons!F2:F1000&gt;=$A$48)*(Move_Out_Reasons!F2:F1000&lt;=EOMONTH($A$48,0)))</f>
        <v>19</v>
      </c>
      <c r="AD52" s="343">
        <v>19</v>
      </c>
      <c r="AE52" s="343">
        <v>19</v>
      </c>
      <c r="AF52" s="343">
        <v>0</v>
      </c>
      <c r="AG52" s="343">
        <v>0</v>
      </c>
      <c r="AH52" s="343">
        <v>0</v>
      </c>
      <c r="AI52" s="343">
        <v>0</v>
      </c>
      <c r="AJ52" s="343">
        <v>0</v>
      </c>
      <c r="AK52" s="343" cm="1">
        <f t="array" ref="AK52">SUMPRODUCT(((Move_Out_Reasons!N2:N1000="Skipped Without Notice")+(Move_Out_Reasons!N2:N1000="Skipped During Eviction")+(Move_Out_Reasons!N2:N1000="Eviction")+(Move_Out_Reasons!N2:N1000="Failure To Pay"))*(Move_Out_Reasons!L2:L1000&gt;=$A$48)*(Move_Out_Reasons!L2:L1000&lt;=EOMONTH($A$48,0)))</f>
        <v>0</v>
      </c>
    </row>
    <row r="53" spans="1:37" ht="15" customHeight="1">
      <c r="B53" s="1138" t="s">
        <v>957</v>
      </c>
      <c r="C53" s="1139">
        <v>0</v>
      </c>
      <c r="D53" s="1142">
        <f>IFERROR((SUMIF('Resident Retention -12 months'!$B:$B,$A$48,'Resident Retention -12 months'!$F:$F)+SUMIF('Resident Retention -12 months'!$B:$B,$A$48,'Resident Retention -12 months'!$H:$H)+SUMIF('Resident Retention -12 months'!$B:$B,$A$48,'Resident Retention -12 months'!$I:$I))/(SUMIF('Resident Retention -12 months'!$B:$B,$A$48,'Resident Retention -12 months'!$C:$C)-SUMIF('Resident Retention -12 months'!$B:$B,$A$48,'Resident Retention -12 months'!$J:$J)),0)</f>
        <v>0.6428571428571429</v>
      </c>
      <c r="E53" s="1142">
        <f>IFERROR((SUMIF('Resident Retention -12 months'!$B:$B,$A$48,'Resident Retention -12 months'!$F:$F)+SUMIF('Resident Retention -12 months'!$B:$B,$A$48,'Resident Retention -12 months'!$H:$H)+SUMIF('Resident Retention -12 months'!$B:$B,$A$48,'Resident Retention -12 months'!$I:$I))/(SUMIF('Resident Retention -12 months'!$B:$B,$A$48,'Resident Retention -12 months'!$C:$C)-SUMIF('Resident Retention -12 months'!$B:$B,$A$48,'Resident Retention -12 months'!$J:$J)),0)</f>
        <v>0.6428571428571429</v>
      </c>
      <c r="F53" s="1143">
        <f>IFERROR((SUMIF('Resident Retention -12 months'!$B:$B,$A$48,'Resident Retention -12 months'!$F:$F)+SUMIF('Resident Retention -12 months'!$B:$B,$A$48,'Resident Retention -12 months'!$H:$H)+SUMIF('Resident Retention -12 months'!$B:$B,$A$48,'Resident Retention -12 months'!$I:$I))/(SUMIF('Resident Retention -12 months'!$B:$B,$A$48,'Resident Retention -12 months'!$C:$C)-SUMIF('Resident Retention -12 months'!$B:$B,$A$48,'Resident Retention -12 months'!$J:$J)),0)</f>
        <v>0.6428571428571429</v>
      </c>
      <c r="G53" s="1143">
        <f>IFERROR((SUMIF('Resident Retention -12 months'!$B:$B,$A$48,'Resident Retention -12 months'!$F:$F)+SUMIF('Resident Retention -12 months'!$B:$B,$A$48,'Resident Retention -12 months'!$H:$H)+SUMIF('Resident Retention -12 months'!$B:$B,$A$48,'Resident Retention -12 months'!$I:$I))/(SUMIF('Resident Retention -12 months'!$B:$B,$A$48,'Resident Retention -12 months'!$C:$C)-SUMIF('Resident Retention -12 months'!$B:$B,$A$48,'Resident Retention -12 months'!$J:$J)),0)</f>
        <v>0.6428571428571429</v>
      </c>
      <c r="H53" s="1143">
        <f>IFERROR((SUMIF('Resident Retention -12 months'!$B:$B,$A$48,'Resident Retention -12 months'!$F:$F)+SUMIF('Resident Retention -12 months'!$B:$B,$A$48,'Resident Retention -12 months'!$H:$H)+SUMIF('Resident Retention -12 months'!$B:$B,$A$48,'Resident Retention -12 months'!$I:$I))/(SUMIF('Resident Retention -12 months'!$B:$B,$A$48,'Resident Retention -12 months'!$C:$C)-SUMIF('Resident Retention -12 months'!$B:$B,$A$48,'Resident Retention -12 months'!$J:$J)),0)</f>
        <v>0.6428571428571429</v>
      </c>
      <c r="I53" s="1143">
        <f>IFERROR((SUMIF('Resident Retention -12 months'!$B:$B,$A$48,'Resident Retention -12 months'!$F:$F)+SUMIF('Resident Retention -12 months'!$B:$B,$A$48,'Resident Retention -12 months'!$H:$H)+SUMIF('Resident Retention -12 months'!$B:$B,$A$48,'Resident Retention -12 months'!$I:$I))/(SUMIF('Resident Retention -12 months'!$B:$B,$A$48,'Resident Retention -12 months'!$C:$C)-SUMIF('Resident Retention -12 months'!$B:$B,$A$48,'Resident Retention -12 months'!$J:$J)),0)</f>
        <v>0.6428571428571429</v>
      </c>
      <c r="J53" s="1143">
        <f>IFERROR((SUMIF('Resident Retention -12 months'!$B:$B,$A$48,'Resident Retention -12 months'!$F:$F)+SUMIF('Resident Retention -12 months'!$B:$B,$A$48,'Resident Retention -12 months'!$H:$H)+SUMIF('Resident Retention -12 months'!$B:$B,$A$48,'Resident Retention -12 months'!$I:$I))/(SUMIF('Resident Retention -12 months'!$B:$B,$A$48,'Resident Retention -12 months'!$C:$C)-SUMIF('Resident Retention -12 months'!$B:$B,$A$48,'Resident Retention -12 months'!$J:$J)),0)</f>
        <v>0.6428571428571429</v>
      </c>
      <c r="K53" s="1143">
        <f>IFERROR((SUMIF('Resident Retention -12 months'!$B:$B,$A$48,'Resident Retention -12 months'!$F:$F)+SUMIF('Resident Retention -12 months'!$B:$B,$A$48,'Resident Retention -12 months'!$H:$H)+SUMIF('Resident Retention -12 months'!$B:$B,$A$48,'Resident Retention -12 months'!$I:$I))/(SUMIF('Resident Retention -12 months'!$B:$B,$A$48,'Resident Retention -12 months'!$C:$C)-SUMIF('Resident Retention -12 months'!$B:$B,$A$48,'Resident Retention -12 months'!$J:$J)),0)</f>
        <v>0.6428571428571429</v>
      </c>
      <c r="L53" s="1143">
        <f>IFERROR((SUMIF('Resident Retention -12 months'!$B:$B,$A$48,'Resident Retention -12 months'!$F:$F)+SUMIF('Resident Retention -12 months'!$B:$B,$A$48,'Resident Retention -12 months'!$H:$H)+SUMIF('Resident Retention -12 months'!$B:$B,$A$48,'Resident Retention -12 months'!$I:$I))/(SUMIF('Resident Retention -12 months'!$B:$B,$A$48,'Resident Retention -12 months'!$C:$C)-SUMIF('Resident Retention -12 months'!$B:$B,$A$48,'Resident Retention -12 months'!$J:$J)),0)</f>
        <v>0.6428571428571429</v>
      </c>
      <c r="M53" s="1143">
        <f>IFERROR((SUMIF('Resident Retention -12 months'!$B:$B,$A$48,'Resident Retention -12 months'!$F:$F)+SUMIF('Resident Retention -12 months'!$B:$B,$A$48,'Resident Retention -12 months'!$H:$H)+SUMIF('Resident Retention -12 months'!$B:$B,$A$48,'Resident Retention -12 months'!$I:$I))/(SUMIF('Resident Retention -12 months'!$B:$B,$A$48,'Resident Retention -12 months'!$C:$C)-SUMIF('Resident Retention -12 months'!$B:$B,$A$48,'Resident Retention -12 months'!$J:$J)),0)</f>
        <v>0.6428571428571429</v>
      </c>
      <c r="N53" s="1143">
        <f>IFERROR((SUMIF('Resident Retention -12 months'!$B:$B,$A$48,'Resident Retention -12 months'!$F:$F)+SUMIF('Resident Retention -12 months'!$B:$B,$A$48,'Resident Retention -12 months'!$H:$H)+SUMIF('Resident Retention -12 months'!$B:$B,$A$48,'Resident Retention -12 months'!$I:$I))/(SUMIF('Resident Retention -12 months'!$B:$B,$A$48,'Resident Retention -12 months'!$C:$C)-SUMIF('Resident Retention -12 months'!$B:$B,$A$48,'Resident Retention -12 months'!$J:$J)),0)</f>
        <v>0.6428571428571429</v>
      </c>
      <c r="O53" s="1143">
        <f>IFERROR((SUMIF('Resident Retention -12 months'!$B:$B,$A$48,'Resident Retention -12 months'!$F:$F)+SUMIF('Resident Retention -12 months'!$B:$B,$A$48,'Resident Retention -12 months'!$H:$H)+SUMIF('Resident Retention -12 months'!$B:$B,$A$48,'Resident Retention -12 months'!$I:$I))/(SUMIF('Resident Retention -12 months'!$B:$B,$A$48,'Resident Retention -12 months'!$C:$C)-SUMIF('Resident Retention -12 months'!$B:$B,$A$48,'Resident Retention -12 months'!$J:$J)),0)</f>
        <v>0.6428571428571429</v>
      </c>
      <c r="P53" s="1143">
        <f>IFERROR((SUMIF('Resident Retention -12 months'!$B:$B,$A$48,'Resident Retention -12 months'!$F:$F)+SUMIF('Resident Retention -12 months'!$B:$B,$A$48,'Resident Retention -12 months'!$H:$H)+SUMIF('Resident Retention -12 months'!$B:$B,$A$48,'Resident Retention -12 months'!$I:$I))/(SUMIF('Resident Retention -12 months'!$B:$B,$A$48,'Resident Retention -12 months'!$C:$C)-SUMIF('Resident Retention -12 months'!$B:$B,$A$48,'Resident Retention -12 months'!$J:$J)),0)</f>
        <v>0.6428571428571429</v>
      </c>
      <c r="Q53" s="1143">
        <f>IFERROR((SUMIF('Resident Retention -12 months'!$B:$B,$A$48,'Resident Retention -12 months'!$F:$F)+SUMIF('Resident Retention -12 months'!$B:$B,$A$48,'Resident Retention -12 months'!$H:$H)+SUMIF('Resident Retention -12 months'!$B:$B,$A$48,'Resident Retention -12 months'!$I:$I))/(SUMIF('Resident Retention -12 months'!$B:$B,$A$48,'Resident Retention -12 months'!$C:$C)-SUMIF('Resident Retention -12 months'!$B:$B,$A$48,'Resident Retention -12 months'!$J:$J)),0)</f>
        <v>0.6428571428571429</v>
      </c>
      <c r="R53" s="1143">
        <f>IFERROR((SUMIF('Resident Retention -12 months'!$B:$B,$A$48,'Resident Retention -12 months'!$F:$F)+SUMIF('Resident Retention -12 months'!$B:$B,$A$48,'Resident Retention -12 months'!$H:$H)+SUMIF('Resident Retention -12 months'!$B:$B,$A$48,'Resident Retention -12 months'!$I:$I))/(SUMIF('Resident Retention -12 months'!$B:$B,$A$48,'Resident Retention -12 months'!$C:$C)-SUMIF('Resident Retention -12 months'!$B:$B,$A$48,'Resident Retention -12 months'!$J:$J)),0)</f>
        <v>0.6428571428571429</v>
      </c>
      <c r="S53" s="1143">
        <f>IFERROR((SUMIF('Resident Retention -12 months'!$B:$B,$A$48,'Resident Retention -12 months'!$F:$F)+SUMIF('Resident Retention -12 months'!$B:$B,$A$48,'Resident Retention -12 months'!$H:$H)+SUMIF('Resident Retention -12 months'!$B:$B,$A$48,'Resident Retention -12 months'!$I:$I))/(SUMIF('Resident Retention -12 months'!$B:$B,$A$48,'Resident Retention -12 months'!$C:$C)-SUMIF('Resident Retention -12 months'!$B:$B,$A$48,'Resident Retention -12 months'!$J:$J)),0)</f>
        <v>0.6428571428571429</v>
      </c>
      <c r="T53" s="1143">
        <f>IFERROR((SUMIF('Resident Retention -12 months'!$B:$B,$A$48,'Resident Retention -12 months'!$F:$F)+SUMIF('Resident Retention -12 months'!$B:$B,$A$48,'Resident Retention -12 months'!$H:$H)+SUMIF('Resident Retention -12 months'!$B:$B,$A$48,'Resident Retention -12 months'!$I:$I))/(SUMIF('Resident Retention -12 months'!$B:$B,$A$48,'Resident Retention -12 months'!$C:$C)-SUMIF('Resident Retention -12 months'!$B:$B,$A$48,'Resident Retention -12 months'!$J:$J)),0)</f>
        <v>0.6428571428571429</v>
      </c>
      <c r="U53" s="1143">
        <f>IFERROR((SUMIF('Resident Retention -12 months'!$B:$B,$A$48,'Resident Retention -12 months'!$F:$F)+SUMIF('Resident Retention -12 months'!$B:$B,$A$48,'Resident Retention -12 months'!$H:$H)+SUMIF('Resident Retention -12 months'!$B:$B,$A$48,'Resident Retention -12 months'!$I:$I))/(SUMIF('Resident Retention -12 months'!$B:$B,$A$48,'Resident Retention -12 months'!$C:$C)-SUMIF('Resident Retention -12 months'!$B:$B,$A$48,'Resident Retention -12 months'!$J:$J)),0)</f>
        <v>0.6428571428571429</v>
      </c>
      <c r="V53" s="1143">
        <f>IFERROR((SUMIF('Resident Retention -12 months'!$B:$B,$A$48,'Resident Retention -12 months'!$F:$F)+SUMIF('Resident Retention -12 months'!$B:$B,$A$48,'Resident Retention -12 months'!$H:$H)+SUMIF('Resident Retention -12 months'!$B:$B,$A$48,'Resident Retention -12 months'!$I:$I))/(SUMIF('Resident Retention -12 months'!$B:$B,$A$48,'Resident Retention -12 months'!$C:$C)-SUMIF('Resident Retention -12 months'!$B:$B,$A$48,'Resident Retention -12 months'!$J:$J)),0)</f>
        <v>0.6428571428571429</v>
      </c>
      <c r="W53" s="1143">
        <f>IFERROR((SUMIF('Resident Retention -12 months'!$B:$B,$A$48,'Resident Retention -12 months'!$F:$F)+SUMIF('Resident Retention -12 months'!$B:$B,$A$48,'Resident Retention -12 months'!$H:$H)+SUMIF('Resident Retention -12 months'!$B:$B,$A$48,'Resident Retention -12 months'!$I:$I))/(SUMIF('Resident Retention -12 months'!$B:$B,$A$48,'Resident Retention -12 months'!$C:$C)-SUMIF('Resident Retention -12 months'!$B:$B,$A$48,'Resident Retention -12 months'!$J:$J)),0)</f>
        <v>0.6428571428571429</v>
      </c>
      <c r="X53" s="1143">
        <f>IFERROR((SUMIF('Resident Retention -12 months'!$B:$B,$A$48,'Resident Retention -12 months'!$F:$F)+SUMIF('Resident Retention -12 months'!$B:$B,$A$48,'Resident Retention -12 months'!$H:$H)+SUMIF('Resident Retention -12 months'!$B:$B,$A$48,'Resident Retention -12 months'!$I:$I))/(SUMIF('Resident Retention -12 months'!$B:$B,$A$48,'Resident Retention -12 months'!$C:$C)-SUMIF('Resident Retention -12 months'!$B:$B,$A$48,'Resident Retention -12 months'!$J:$J)),0)</f>
        <v>0.6428571428571429</v>
      </c>
      <c r="Y53" s="1143">
        <f>IFERROR((SUMIF('Resident Retention -12 months'!$B:$B,$A$48,'Resident Retention -12 months'!$F:$F)+SUMIF('Resident Retention -12 months'!$B:$B,$A$48,'Resident Retention -12 months'!$H:$H)+SUMIF('Resident Retention -12 months'!$B:$B,$A$48,'Resident Retention -12 months'!$I:$I))/(SUMIF('Resident Retention -12 months'!$B:$B,$A$48,'Resident Retention -12 months'!$C:$C)-SUMIF('Resident Retention -12 months'!$B:$B,$A$48,'Resident Retention -12 months'!$J:$J)),0)</f>
        <v>0.6428571428571429</v>
      </c>
      <c r="Z53" s="1143">
        <f>IFERROR((SUMIF('Resident Retention -12 months'!$B:$B,$A$48,'Resident Retention -12 months'!$F:$F)+SUMIF('Resident Retention -12 months'!$B:$B,$A$48,'Resident Retention -12 months'!$H:$H)+SUMIF('Resident Retention -12 months'!$B:$B,$A$48,'Resident Retention -12 months'!$I:$I))/(SUMIF('Resident Retention -12 months'!$B:$B,$A$48,'Resident Retention -12 months'!$C:$C)-SUMIF('Resident Retention -12 months'!$B:$B,$A$48,'Resident Retention -12 months'!$J:$J)),0)</f>
        <v>0.6428571428571429</v>
      </c>
      <c r="AA53" s="1143">
        <f>IFERROR((SUMIF('Resident Retention -12 months'!$B:$B,$A$48,'Resident Retention -12 months'!$F:$F)+SUMIF('Resident Retention -12 months'!$B:$B,$A$48,'Resident Retention -12 months'!$H:$H)+SUMIF('Resident Retention -12 months'!$B:$B,$A$48,'Resident Retention -12 months'!$I:$I))/(SUMIF('Resident Retention -12 months'!$B:$B,$A$48,'Resident Retention -12 months'!$C:$C)-SUMIF('Resident Retention -12 months'!$B:$B,$A$48,'Resident Retention -12 months'!$J:$J)),0)</f>
        <v>0.6428571428571429</v>
      </c>
      <c r="AB53" s="1143">
        <f>IFERROR((SUMIF('Resident Retention -12 months'!$B:$B,$A$48,'Resident Retention -12 months'!$F:$F)+SUMIF('Resident Retention -12 months'!$B:$B,$A$48,'Resident Retention -12 months'!$H:$H)+SUMIF('Resident Retention -12 months'!$B:$B,$A$48,'Resident Retention -12 months'!$I:$I))/(SUMIF('Resident Retention -12 months'!$B:$B,$A$48,'Resident Retention -12 months'!$C:$C)-SUMIF('Resident Retention -12 months'!$B:$B,$A$48,'Resident Retention -12 months'!$J:$J)),0)</f>
        <v>0.6428571428571429</v>
      </c>
      <c r="AC53" s="1143">
        <f>IFERROR((SUMIF('Resident Retention -12 months'!$B:$B,$A$48,'Resident Retention -12 months'!$F:$F)+SUMIF('Resident Retention -12 months'!$B:$B,$A$48,'Resident Retention -12 months'!$H:$H)+SUMIF('Resident Retention -12 months'!$B:$B,$A$48,'Resident Retention -12 months'!$I:$I))/(SUMIF('Resident Retention -12 months'!$B:$B,$A$48,'Resident Retention -12 months'!$C:$C)-SUMIF('Resident Retention -12 months'!$B:$B,$A$48,'Resident Retention -12 months'!$J:$J)),0)</f>
        <v>0.6428571428571429</v>
      </c>
      <c r="AD53" s="1143">
        <v>0.6428571428571429</v>
      </c>
      <c r="AE53" s="1143">
        <v>0.6428571428571429</v>
      </c>
      <c r="AF53" s="1143">
        <v>0.6428571428571429</v>
      </c>
      <c r="AG53" s="1143">
        <v>0.6428571428571429</v>
      </c>
      <c r="AH53" s="1143">
        <v>0.6428571428571429</v>
      </c>
      <c r="AI53" s="1143">
        <v>0.6428571428571429</v>
      </c>
      <c r="AJ53" s="1143">
        <v>0.6428571428571429</v>
      </c>
      <c r="AK53" s="1143">
        <f>IFERROR((SUMIF('Resident Retention -12 months'!$B:$B,$A$48,'Resident Retention -12 months'!$F:$F)+SUMIF('Resident Retention -12 months'!$B:$B,$A$48,'Resident Retention -12 months'!$H:$H)+SUMIF('Resident Retention -12 months'!$B:$B,$A$48,'Resident Retention -12 months'!$I:$I))/(SUMIF('Resident Retention -12 months'!$B:$B,$A$48,'Resident Retention -12 months'!$C:$C)-SUMIF('Resident Retention -12 months'!$B:$B,$A$48,'Resident Retention -12 months'!$J:$J)),0)</f>
        <v>0.6428571428571429</v>
      </c>
    </row>
    <row r="54" spans="1:37" ht="15" customHeight="1">
      <c r="A54" s="224" t="s">
        <v>1044</v>
      </c>
      <c r="B54" s="225"/>
      <c r="C54" s="226"/>
      <c r="D54" s="227"/>
      <c r="E54" s="227"/>
      <c r="F54" s="228"/>
      <c r="G54" s="228"/>
      <c r="H54" s="228"/>
      <c r="I54" s="228"/>
      <c r="J54" s="228"/>
      <c r="K54" s="228"/>
      <c r="L54" s="228"/>
      <c r="M54" s="228"/>
      <c r="N54" s="228"/>
      <c r="O54" s="316"/>
      <c r="P54" s="316"/>
      <c r="Q54" s="316"/>
      <c r="R54" s="316"/>
      <c r="S54" s="316"/>
      <c r="T54" s="316"/>
      <c r="U54" s="316" t="s">
        <v>1032</v>
      </c>
      <c r="V54" s="316"/>
      <c r="W54" s="316"/>
      <c r="X54" s="316"/>
      <c r="Y54" s="316"/>
      <c r="Z54" s="316"/>
      <c r="AA54" s="316"/>
      <c r="AB54" s="316"/>
      <c r="AC54" s="316"/>
      <c r="AD54" s="316"/>
      <c r="AE54" s="316"/>
      <c r="AF54" s="316"/>
      <c r="AG54" s="316"/>
      <c r="AH54" s="316"/>
      <c r="AI54" s="316"/>
      <c r="AJ54" s="316"/>
      <c r="AK54" s="316"/>
    </row>
    <row r="55" spans="1:37" ht="15" customHeight="1">
      <c r="A55" s="318">
        <v>46174</v>
      </c>
      <c r="B55" s="230" t="s">
        <v>951</v>
      </c>
      <c r="C55" s="231" t="s">
        <v>1021</v>
      </c>
      <c r="D55" s="232"/>
      <c r="E55" s="232"/>
      <c r="F55" s="233"/>
      <c r="G55" s="233"/>
      <c r="H55" s="233"/>
      <c r="I55" s="233"/>
      <c r="J55" s="233"/>
      <c r="K55" s="233"/>
      <c r="L55" s="233"/>
      <c r="M55" s="233"/>
      <c r="N55" s="234"/>
      <c r="O55" s="234"/>
      <c r="P55" s="234"/>
      <c r="Q55" s="234"/>
      <c r="R55" s="234"/>
      <c r="S55" s="234">
        <v>54</v>
      </c>
      <c r="T55" s="234">
        <v>54</v>
      </c>
      <c r="U55" s="234">
        <v>54</v>
      </c>
      <c r="V55" s="234">
        <v>55</v>
      </c>
      <c r="W55" s="234">
        <v>55</v>
      </c>
      <c r="X55" s="234">
        <v>55</v>
      </c>
      <c r="Y55" s="234">
        <v>55</v>
      </c>
      <c r="Z55" s="234">
        <v>54</v>
      </c>
      <c r="AA55" s="234">
        <v>54</v>
      </c>
      <c r="AB55" s="234">
        <v>54</v>
      </c>
      <c r="AC55" s="234">
        <v>54</v>
      </c>
      <c r="AD55" s="234">
        <v>54</v>
      </c>
      <c r="AE55" s="234">
        <v>54</v>
      </c>
      <c r="AF55" s="234">
        <v>54</v>
      </c>
      <c r="AG55" s="234">
        <v>54</v>
      </c>
      <c r="AH55" s="234">
        <v>54</v>
      </c>
      <c r="AI55" s="234">
        <v>54</v>
      </c>
      <c r="AJ55" s="234">
        <v>54</v>
      </c>
      <c r="AK55" s="234">
        <f ca="1">SUMIF('Resident Retention -12 months'!$B:$J,Data_2!$A$55,'Resident Retention -12 months'!$C:$C)-SUMIF('Resident Retention -12 months'!$B:$J,Data_2!$A$55,'Resident Retention -12 months'!$J:$J)</f>
        <v>54</v>
      </c>
    </row>
    <row r="56" spans="1:37" ht="15" customHeight="1">
      <c r="B56" s="230" t="s">
        <v>1041</v>
      </c>
      <c r="C56" s="231" t="s">
        <v>1021</v>
      </c>
      <c r="D56" s="232"/>
      <c r="E56" s="232"/>
      <c r="F56" s="233"/>
      <c r="G56" s="233"/>
      <c r="H56" s="233"/>
      <c r="I56" s="233"/>
      <c r="J56" s="233"/>
      <c r="K56" s="233"/>
      <c r="L56" s="233"/>
      <c r="M56" s="233"/>
      <c r="N56" s="234"/>
      <c r="O56" s="234"/>
      <c r="P56" s="234"/>
      <c r="Q56" s="234"/>
      <c r="R56" s="234"/>
      <c r="S56" s="234">
        <v>10</v>
      </c>
      <c r="T56" s="234">
        <v>10</v>
      </c>
      <c r="U56" s="234">
        <v>10</v>
      </c>
      <c r="V56" s="234">
        <v>11</v>
      </c>
      <c r="W56" s="234">
        <v>14</v>
      </c>
      <c r="X56" s="234">
        <v>14</v>
      </c>
      <c r="Y56" s="234">
        <v>15</v>
      </c>
      <c r="Z56" s="234">
        <v>15</v>
      </c>
      <c r="AA56" s="234">
        <v>17</v>
      </c>
      <c r="AB56" s="234">
        <v>17</v>
      </c>
      <c r="AC56" s="234">
        <v>17</v>
      </c>
      <c r="AD56" s="234">
        <v>17</v>
      </c>
      <c r="AE56" s="234">
        <v>18</v>
      </c>
      <c r="AF56" s="234">
        <v>18</v>
      </c>
      <c r="AG56" s="234">
        <v>18</v>
      </c>
      <c r="AH56" s="234">
        <v>18</v>
      </c>
      <c r="AI56" s="234">
        <v>18</v>
      </c>
      <c r="AJ56" s="234">
        <v>18</v>
      </c>
      <c r="AK56" s="234">
        <f ca="1">SUMIF('Resident Retention -12 months'!$B:$J,Data_2!$A$55,'Resident Retention -12 months'!$D:$D)</f>
        <v>18</v>
      </c>
    </row>
    <row r="57" spans="1:37" ht="15" customHeight="1">
      <c r="B57" s="230" t="s">
        <v>954</v>
      </c>
      <c r="C57" s="231" t="s">
        <v>1021</v>
      </c>
      <c r="D57" s="232"/>
      <c r="E57" s="232"/>
      <c r="F57" s="233"/>
      <c r="G57" s="233"/>
      <c r="H57" s="233"/>
      <c r="I57" s="233"/>
      <c r="J57" s="233"/>
      <c r="K57" s="233"/>
      <c r="L57" s="233"/>
      <c r="M57" s="233"/>
      <c r="N57" s="234"/>
      <c r="O57" s="234"/>
      <c r="P57" s="234"/>
      <c r="Q57" s="234"/>
      <c r="R57" s="234"/>
      <c r="S57" s="234">
        <v>1</v>
      </c>
      <c r="T57" s="234">
        <v>2</v>
      </c>
      <c r="U57" s="234">
        <v>6</v>
      </c>
      <c r="V57" s="234">
        <v>7</v>
      </c>
      <c r="W57" s="234">
        <v>8</v>
      </c>
      <c r="X57" s="234">
        <v>8</v>
      </c>
      <c r="Y57" s="234">
        <v>7</v>
      </c>
      <c r="Z57" s="234">
        <v>9</v>
      </c>
      <c r="AA57" s="234">
        <v>10</v>
      </c>
      <c r="AB57" s="234">
        <v>10</v>
      </c>
      <c r="AC57" s="234">
        <v>10</v>
      </c>
      <c r="AD57" s="234">
        <v>11</v>
      </c>
      <c r="AE57" s="234">
        <v>10</v>
      </c>
      <c r="AF57" s="234">
        <v>10</v>
      </c>
      <c r="AG57" s="234">
        <v>10</v>
      </c>
      <c r="AH57" s="234">
        <v>10</v>
      </c>
      <c r="AI57" s="234">
        <v>10</v>
      </c>
      <c r="AJ57" s="234">
        <v>10</v>
      </c>
      <c r="AK57" s="234">
        <f ca="1">SUMIF('Resident Retention -12 months'!$B:$J,Data_2!$A$55,'Resident Retention -12 months'!$E:$E)</f>
        <v>10</v>
      </c>
    </row>
    <row r="58" spans="1:37" ht="15" customHeight="1">
      <c r="B58" s="68" t="s">
        <v>956</v>
      </c>
      <c r="C58" s="69">
        <v>0</v>
      </c>
      <c r="D58" s="261"/>
      <c r="E58" s="261"/>
      <c r="F58" s="262"/>
      <c r="G58" s="262"/>
      <c r="H58" s="262"/>
      <c r="I58" s="262"/>
      <c r="J58" s="262"/>
      <c r="K58" s="262"/>
      <c r="L58" s="262"/>
      <c r="M58" s="262"/>
      <c r="N58" s="322"/>
      <c r="O58" s="322"/>
      <c r="P58" s="322"/>
      <c r="Q58" s="322"/>
      <c r="R58" s="322"/>
      <c r="S58" s="322">
        <v>1.85185185185185E-2</v>
      </c>
      <c r="T58" s="322">
        <v>7.4074074074074098E-2</v>
      </c>
      <c r="U58" s="322">
        <v>0.14799999999999999</v>
      </c>
      <c r="V58" s="322">
        <v>0.25454545454545502</v>
      </c>
      <c r="W58" s="322">
        <v>0.34499999999999997</v>
      </c>
      <c r="X58" s="322">
        <v>0.34482758620689657</v>
      </c>
      <c r="Y58" s="322">
        <v>0.39655172413793105</v>
      </c>
      <c r="Z58" s="322">
        <v>0.39655172413793105</v>
      </c>
      <c r="AA58" s="322">
        <v>0.39655172413793105</v>
      </c>
      <c r="AB58" s="322">
        <v>0.39655172413793105</v>
      </c>
      <c r="AC58" s="322">
        <v>0.39655172413793105</v>
      </c>
      <c r="AD58" s="322">
        <v>0.42592592592592593</v>
      </c>
      <c r="AE58" s="322">
        <v>0.44444444444444442</v>
      </c>
      <c r="AF58" s="322">
        <v>0.44444444444444442</v>
      </c>
      <c r="AG58" s="322">
        <v>0.44444444444444442</v>
      </c>
      <c r="AH58" s="322">
        <v>0.44444444444444442</v>
      </c>
      <c r="AI58" s="322">
        <v>0.44444444444444442</v>
      </c>
      <c r="AJ58" s="322">
        <v>0.44444444444444442</v>
      </c>
      <c r="AK58" s="322">
        <f>IFERROR((SUMIF('Resident Retention -12 months'!$B:$B,$A$55,'Resident Retention -12 months'!$F:$F)+SUMIF('Resident Retention -12 months'!$B:$B,$A$55,'Resident Retention -12 months'!$H:$H))/(SUMIF('Resident Retention -12 months'!$B:$B,$A$55,'Resident Retention -12 months'!$C:$C)-SUMIF('Resident Retention -12 months'!$B:$B,$A$55,'Resident Retention -12 months'!$J:$J)),0)</f>
        <v>0.44444444444444442</v>
      </c>
    </row>
    <row r="59" spans="1:37" ht="15" customHeight="1">
      <c r="B59" s="1138" t="s">
        <v>953</v>
      </c>
      <c r="C59" s="1139" t="s">
        <v>1021</v>
      </c>
      <c r="D59" s="1144" cm="1">
        <f t="array" ref="D59">SUMPRODUCT(((Move_Out_Reasons!H2:H1000="Skipped Without Notice")+(Move_Out_Reasons!H2:H1000="Skipped During Eviction")+(Move_Out_Reasons!H2:H1000="Eviction")+(Move_Out_Reasons!H2:H1000="Failure To Pay"))*(Move_Out_Reasons!F2:F1000&gt;=$A$55)*(Move_Out_Reasons!F2:F1000&lt;=EOMONTH($A$55,0)))</f>
        <v>8</v>
      </c>
      <c r="E59" s="1144" cm="1">
        <f t="array" ref="E59">SUMPRODUCT(((Move_Out_Reasons!H2:H1000="Skipped Without Notice")+(Move_Out_Reasons!H2:H1000="Skipped During Eviction")+(Move_Out_Reasons!H2:H1000="Eviction")+(Move_Out_Reasons!H2:H1000="Failure To Pay"))*(Move_Out_Reasons!F2:F1000&gt;=$A$55)*(Move_Out_Reasons!F2:F1000&lt;=EOMONTH($A$55,0)))</f>
        <v>8</v>
      </c>
      <c r="F59" s="343" cm="1">
        <f t="array" ref="F59">SUMPRODUCT(((Move_Out_Reasons!H2:H1000="Skipped Without Notice")+(Move_Out_Reasons!H2:H1000="Skipped During Eviction")+(Move_Out_Reasons!H2:H1000="Eviction")+(Move_Out_Reasons!H2:H1000="Failure To Pay"))*(Move_Out_Reasons!F2:F1000&gt;=$A$55)*(Move_Out_Reasons!F2:F1000&lt;=EOMONTH($A$55,0)))</f>
        <v>8</v>
      </c>
      <c r="G59" s="343" cm="1">
        <f t="array" ref="G59">SUMPRODUCT(((Move_Out_Reasons!H2:H1000="Skipped Without Notice")+(Move_Out_Reasons!H2:H1000="Skipped During Eviction")+(Move_Out_Reasons!H2:H1000="Eviction")+(Move_Out_Reasons!H2:H1000="Failure To Pay"))*(Move_Out_Reasons!F2:F1000&gt;=$A$55)*(Move_Out_Reasons!F2:F1000&lt;=EOMONTH($A$55,0)))</f>
        <v>8</v>
      </c>
      <c r="H59" s="343" cm="1">
        <f t="array" ref="H59">SUMPRODUCT(((Move_Out_Reasons!H2:H1000="Skipped Without Notice")+(Move_Out_Reasons!H2:H1000="Skipped During Eviction")+(Move_Out_Reasons!H2:H1000="Eviction")+(Move_Out_Reasons!H2:H1000="Failure To Pay"))*(Move_Out_Reasons!F2:F1000&gt;=$A$55)*(Move_Out_Reasons!F2:F1000&lt;=EOMONTH($A$55,0)))</f>
        <v>8</v>
      </c>
      <c r="I59" s="343" cm="1">
        <f t="array" ref="I59">SUMPRODUCT(((Move_Out_Reasons!H2:H1000="Skipped Without Notice")+(Move_Out_Reasons!H2:H1000="Skipped During Eviction")+(Move_Out_Reasons!H2:H1000="Eviction")+(Move_Out_Reasons!H2:H1000="Failure To Pay"))*(Move_Out_Reasons!F2:F1000&gt;=$A$55)*(Move_Out_Reasons!F2:F1000&lt;=EOMONTH($A$55,0)))</f>
        <v>8</v>
      </c>
      <c r="J59" s="343" cm="1">
        <f t="array" ref="J59">SUMPRODUCT(((Move_Out_Reasons!H2:H1000="Skipped Without Notice")+(Move_Out_Reasons!H2:H1000="Skipped During Eviction")+(Move_Out_Reasons!H2:H1000="Eviction")+(Move_Out_Reasons!H2:H1000="Failure To Pay"))*(Move_Out_Reasons!F2:F1000&gt;=$A$55)*(Move_Out_Reasons!F2:F1000&lt;=EOMONTH($A$55,0)))</f>
        <v>8</v>
      </c>
      <c r="K59" s="343" cm="1">
        <f t="array" ref="K59">SUMPRODUCT(((Move_Out_Reasons!H2:H1000="Skipped Without Notice")+(Move_Out_Reasons!H2:H1000="Skipped During Eviction")+(Move_Out_Reasons!H2:H1000="Eviction")+(Move_Out_Reasons!H2:H1000="Failure To Pay"))*(Move_Out_Reasons!F2:F1000&gt;=$A$55)*(Move_Out_Reasons!F2:F1000&lt;=EOMONTH($A$55,0)))</f>
        <v>8</v>
      </c>
      <c r="L59" s="343" cm="1">
        <f t="array" ref="L59">SUMPRODUCT(((Move_Out_Reasons!H2:H1000="Skipped Without Notice")+(Move_Out_Reasons!H2:H1000="Skipped During Eviction")+(Move_Out_Reasons!H2:H1000="Eviction")+(Move_Out_Reasons!H2:H1000="Failure To Pay"))*(Move_Out_Reasons!F2:F1000&gt;=$A$55)*(Move_Out_Reasons!F2:F1000&lt;=EOMONTH($A$55,0)))</f>
        <v>8</v>
      </c>
      <c r="M59" s="343" cm="1">
        <f t="array" ref="M59">SUMPRODUCT(((Move_Out_Reasons!H2:H1000="Skipped Without Notice")+(Move_Out_Reasons!H2:H1000="Skipped During Eviction")+(Move_Out_Reasons!H2:H1000="Eviction")+(Move_Out_Reasons!H2:H1000="Failure To Pay"))*(Move_Out_Reasons!F2:F1000&gt;=$A$55)*(Move_Out_Reasons!F2:F1000&lt;=EOMONTH($A$55,0)))</f>
        <v>8</v>
      </c>
      <c r="N59" s="343" cm="1">
        <f t="array" ref="N59">SUMPRODUCT(((Move_Out_Reasons!H2:H1000="Skipped Without Notice")+(Move_Out_Reasons!H2:H1000="Skipped During Eviction")+(Move_Out_Reasons!H2:H1000="Eviction")+(Move_Out_Reasons!H2:H1000="Failure To Pay"))*(Move_Out_Reasons!F2:F1000&gt;=$A$55)*(Move_Out_Reasons!F2:F1000&lt;=EOMONTH($A$55,0)))</f>
        <v>8</v>
      </c>
      <c r="O59" s="343" cm="1">
        <f t="array" ref="O59">SUMPRODUCT(((Move_Out_Reasons!H2:H1000="Skipped Without Notice")+(Move_Out_Reasons!H2:H1000="Skipped During Eviction")+(Move_Out_Reasons!H2:H1000="Eviction")+(Move_Out_Reasons!H2:H1000="Failure To Pay"))*(Move_Out_Reasons!F2:F1000&gt;=$A$55)*(Move_Out_Reasons!F2:F1000&lt;=EOMONTH($A$55,0)))</f>
        <v>8</v>
      </c>
      <c r="P59" s="343" cm="1">
        <f t="array" ref="P59">SUMPRODUCT(((Move_Out_Reasons!H2:H1000="Skipped Without Notice")+(Move_Out_Reasons!H2:H1000="Skipped During Eviction")+(Move_Out_Reasons!H2:H1000="Eviction")+(Move_Out_Reasons!H2:H1000="Failure To Pay"))*(Move_Out_Reasons!F2:F1000&gt;=$A$55)*(Move_Out_Reasons!F2:F1000&lt;=EOMONTH($A$55,0)))</f>
        <v>8</v>
      </c>
      <c r="Q59" s="343" cm="1">
        <f t="array" ref="Q59">SUMPRODUCT(((Move_Out_Reasons!H2:H1000="Skipped Without Notice")+(Move_Out_Reasons!H2:H1000="Skipped During Eviction")+(Move_Out_Reasons!H2:H1000="Eviction")+(Move_Out_Reasons!H2:H1000="Failure To Pay"))*(Move_Out_Reasons!F2:F1000&gt;=$A$55)*(Move_Out_Reasons!F2:F1000&lt;=EOMONTH($A$55,0)))</f>
        <v>8</v>
      </c>
      <c r="R59" s="343" cm="1">
        <f t="array" ref="R59">SUMPRODUCT(((Move_Out_Reasons!H2:H1000="Skipped Without Notice")+(Move_Out_Reasons!H2:H1000="Skipped During Eviction")+(Move_Out_Reasons!H2:H1000="Eviction")+(Move_Out_Reasons!H2:H1000="Failure To Pay"))*(Move_Out_Reasons!F2:F1000&gt;=$A$55)*(Move_Out_Reasons!F2:F1000&lt;=EOMONTH($A$55,0)))</f>
        <v>8</v>
      </c>
      <c r="S59" s="343" cm="1">
        <f t="array" ref="S59">SUMPRODUCT(((Move_Out_Reasons!H2:H1000="Skipped Without Notice")+(Move_Out_Reasons!H2:H1000="Skipped During Eviction")+(Move_Out_Reasons!H2:H1000="Eviction")+(Move_Out_Reasons!H2:H1000="Failure To Pay"))*(Move_Out_Reasons!F2:F1000&gt;=$A$55)*(Move_Out_Reasons!F2:F1000&lt;=EOMONTH($A$55,0)))</f>
        <v>8</v>
      </c>
      <c r="T59" s="343" cm="1">
        <f t="array" ref="T59">SUMPRODUCT(((Move_Out_Reasons!H2:H1000="Skipped Without Notice")+(Move_Out_Reasons!H2:H1000="Skipped During Eviction")+(Move_Out_Reasons!H2:H1000="Eviction")+(Move_Out_Reasons!H2:H1000="Failure To Pay"))*(Move_Out_Reasons!F2:F1000&gt;=$A$55)*(Move_Out_Reasons!F2:F1000&lt;=EOMONTH($A$55,0)))</f>
        <v>8</v>
      </c>
      <c r="U59" s="343" cm="1">
        <f t="array" ref="U59">SUMPRODUCT(((Move_Out_Reasons!H2:H1000="Skipped Without Notice")+(Move_Out_Reasons!H2:H1000="Skipped During Eviction")+(Move_Out_Reasons!H2:H1000="Eviction")+(Move_Out_Reasons!H2:H1000="Failure To Pay"))*(Move_Out_Reasons!F2:F1000&gt;=$A$55)*(Move_Out_Reasons!F2:F1000&lt;=EOMONTH($A$55,0)))</f>
        <v>8</v>
      </c>
      <c r="V59" s="343" cm="1">
        <f t="array" ref="V59">SUMPRODUCT(((Move_Out_Reasons!H2:H1000="Skipped Without Notice")+(Move_Out_Reasons!H2:H1000="Skipped During Eviction")+(Move_Out_Reasons!H2:H1000="Eviction")+(Move_Out_Reasons!H2:H1000="Failure To Pay"))*(Move_Out_Reasons!F2:F1000&gt;=$A$55)*(Move_Out_Reasons!F2:F1000&lt;=EOMONTH($A$55,0)))</f>
        <v>8</v>
      </c>
      <c r="W59" s="343" cm="1">
        <f t="array" ref="W59">SUMPRODUCT(((Move_Out_Reasons!H2:H1000="Skipped Without Notice")+(Move_Out_Reasons!H2:H1000="Skipped During Eviction")+(Move_Out_Reasons!H2:H1000="Eviction")+(Move_Out_Reasons!H2:H1000="Failure To Pay"))*(Move_Out_Reasons!F2:F1000&gt;=$A$55)*(Move_Out_Reasons!F2:F1000&lt;=EOMONTH($A$55,0)))</f>
        <v>8</v>
      </c>
      <c r="X59" s="343" cm="1">
        <f t="array" ref="X59">SUMPRODUCT(((Move_Out_Reasons!H2:H1000="Skipped Without Notice")+(Move_Out_Reasons!H2:H1000="Skipped During Eviction")+(Move_Out_Reasons!H2:H1000="Eviction")+(Move_Out_Reasons!H2:H1000="Failure To Pay"))*(Move_Out_Reasons!F2:F1000&gt;=$A$55)*(Move_Out_Reasons!F2:F1000&lt;=EOMONTH($A$55,0)))</f>
        <v>8</v>
      </c>
      <c r="Y59" s="343" cm="1">
        <f t="array" ref="Y59">SUMPRODUCT(((Move_Out_Reasons!H2:H1000="Skipped Without Notice")+(Move_Out_Reasons!H2:H1000="Skipped During Eviction")+(Move_Out_Reasons!H2:H1000="Eviction")+(Move_Out_Reasons!H2:H1000="Failure To Pay"))*(Move_Out_Reasons!F2:F1000&gt;=$A$55)*(Move_Out_Reasons!F2:F1000&lt;=EOMONTH($A$55,0)))</f>
        <v>8</v>
      </c>
      <c r="Z59" s="343" cm="1">
        <f t="array" ref="Z59">SUMPRODUCT(((Move_Out_Reasons!H2:H1000="Skipped Without Notice")+(Move_Out_Reasons!H2:H1000="Skipped During Eviction")+(Move_Out_Reasons!H2:H1000="Eviction")+(Move_Out_Reasons!H2:H1000="Failure To Pay"))*(Move_Out_Reasons!F2:F1000&gt;=$A$55)*(Move_Out_Reasons!F2:F1000&lt;=EOMONTH($A$55,0)))</f>
        <v>8</v>
      </c>
      <c r="AA59" s="343" cm="1">
        <f t="array" ref="AA59">SUMPRODUCT(((Move_Out_Reasons!H2:H1000="Skipped Without Notice")+(Move_Out_Reasons!H2:H1000="Skipped During Eviction")+(Move_Out_Reasons!H2:H1000="Eviction")+(Move_Out_Reasons!H2:H1000="Failure To Pay"))*(Move_Out_Reasons!F2:F1000&gt;=$A$55)*(Move_Out_Reasons!F2:F1000&lt;=EOMONTH($A$55,0)))</f>
        <v>8</v>
      </c>
      <c r="AB59" s="343" cm="1">
        <f t="array" ref="AB59">SUMPRODUCT(((Move_Out_Reasons!H2:H1000="Skipped Without Notice")+(Move_Out_Reasons!H2:H1000="Skipped During Eviction")+(Move_Out_Reasons!H2:H1000="Eviction")+(Move_Out_Reasons!H2:H1000="Failure To Pay"))*(Move_Out_Reasons!F2:F1000&gt;=$A$55)*(Move_Out_Reasons!F2:F1000&lt;=EOMONTH($A$55,0)))</f>
        <v>8</v>
      </c>
      <c r="AC59" s="343" cm="1">
        <f t="array" ref="AC59">SUMPRODUCT(((Move_Out_Reasons!H2:H1000="Skipped Without Notice")+(Move_Out_Reasons!H2:H1000="Skipped During Eviction")+(Move_Out_Reasons!H2:H1000="Eviction")+(Move_Out_Reasons!H2:H1000="Failure To Pay"))*(Move_Out_Reasons!F2:F1000&gt;=$A$55)*(Move_Out_Reasons!F2:F1000&lt;=EOMONTH($A$55,0)))</f>
        <v>8</v>
      </c>
      <c r="AD59" s="343">
        <v>8</v>
      </c>
      <c r="AE59" s="343">
        <v>8</v>
      </c>
      <c r="AF59" s="343">
        <v>0</v>
      </c>
      <c r="AG59" s="343">
        <v>0</v>
      </c>
      <c r="AH59" s="343">
        <v>0</v>
      </c>
      <c r="AI59" s="343">
        <v>0</v>
      </c>
      <c r="AJ59" s="343">
        <v>0</v>
      </c>
      <c r="AK59" s="343" cm="1">
        <f t="array" ref="AK59">SUMPRODUCT(((Move_Out_Reasons!N2:N1000="Skipped Without Notice")+(Move_Out_Reasons!N2:N1000="Skipped During Eviction")+(Move_Out_Reasons!N2:N1000="Eviction")+(Move_Out_Reasons!N2:N1000="Failure To Pay"))*(Move_Out_Reasons!L2:L1000&gt;=$A$55)*(Move_Out_Reasons!L2:L1000&lt;=EOMONTH($A$55,0)))</f>
        <v>0</v>
      </c>
    </row>
    <row r="60" spans="1:37" ht="15" customHeight="1">
      <c r="B60" s="1138" t="s">
        <v>957</v>
      </c>
      <c r="C60" s="1139">
        <v>0</v>
      </c>
      <c r="D60" s="1142">
        <f>IFERROR((SUMIF('Resident Retention -12 months'!$B:$B,$A$55,'Resident Retention -12 months'!$F:$F)+SUMIF('Resident Retention -12 months'!$B:$B,$A$55,'Resident Retention -12 months'!$H:$H)+SUMIF('Resident Retention -12 months'!$B:$B,$A$55,'Resident Retention -12 months'!$I:$I))/(SUMIF('Resident Retention -12 months'!$B:$B,$A$55,'Resident Retention -12 months'!$C:$C)-SUMIF('Resident Retention -12 months'!$B:$B,$A$55,'Resident Retention -12 months'!$J:$J)),0)</f>
        <v>0.48148148148148145</v>
      </c>
      <c r="E60" s="1142">
        <f>IFERROR((SUMIF('Resident Retention -12 months'!$B:$B,$A$55,'Resident Retention -12 months'!$F:$F)+SUMIF('Resident Retention -12 months'!$B:$B,$A$55,'Resident Retention -12 months'!$H:$H)+SUMIF('Resident Retention -12 months'!$B:$B,$A$55,'Resident Retention -12 months'!$I:$I))/(SUMIF('Resident Retention -12 months'!$B:$B,$A$55,'Resident Retention -12 months'!$C:$C)-SUMIF('Resident Retention -12 months'!$B:$B,$A$55,'Resident Retention -12 months'!$J:$J)),0)</f>
        <v>0.48148148148148145</v>
      </c>
      <c r="F60" s="1143">
        <f>IFERROR((SUMIF('Resident Retention -12 months'!$B:$B,$A$55,'Resident Retention -12 months'!$F:$F)+SUMIF('Resident Retention -12 months'!$B:$B,$A$55,'Resident Retention -12 months'!$H:$H)+SUMIF('Resident Retention -12 months'!$B:$B,$A$55,'Resident Retention -12 months'!$I:$I))/(SUMIF('Resident Retention -12 months'!$B:$B,$A$55,'Resident Retention -12 months'!$C:$C)-SUMIF('Resident Retention -12 months'!$B:$B,$A$55,'Resident Retention -12 months'!$J:$J)),0)</f>
        <v>0.48148148148148145</v>
      </c>
      <c r="G60" s="1143">
        <f>IFERROR((SUMIF('Resident Retention -12 months'!$B:$B,$A$55,'Resident Retention -12 months'!$F:$F)+SUMIF('Resident Retention -12 months'!$B:$B,$A$55,'Resident Retention -12 months'!$H:$H)+SUMIF('Resident Retention -12 months'!$B:$B,$A$55,'Resident Retention -12 months'!$I:$I))/(SUMIF('Resident Retention -12 months'!$B:$B,$A$55,'Resident Retention -12 months'!$C:$C)-SUMIF('Resident Retention -12 months'!$B:$B,$A$55,'Resident Retention -12 months'!$J:$J)),0)</f>
        <v>0.48148148148148145</v>
      </c>
      <c r="H60" s="1143">
        <f>IFERROR((SUMIF('Resident Retention -12 months'!$B:$B,$A$55,'Resident Retention -12 months'!$F:$F)+SUMIF('Resident Retention -12 months'!$B:$B,$A$55,'Resident Retention -12 months'!$H:$H)+SUMIF('Resident Retention -12 months'!$B:$B,$A$55,'Resident Retention -12 months'!$I:$I))/(SUMIF('Resident Retention -12 months'!$B:$B,$A$55,'Resident Retention -12 months'!$C:$C)-SUMIF('Resident Retention -12 months'!$B:$B,$A$55,'Resident Retention -12 months'!$J:$J)),0)</f>
        <v>0.48148148148148145</v>
      </c>
      <c r="I60" s="1143">
        <f>IFERROR((SUMIF('Resident Retention -12 months'!$B:$B,$A$55,'Resident Retention -12 months'!$F:$F)+SUMIF('Resident Retention -12 months'!$B:$B,$A$55,'Resident Retention -12 months'!$H:$H)+SUMIF('Resident Retention -12 months'!$B:$B,$A$55,'Resident Retention -12 months'!$I:$I))/(SUMIF('Resident Retention -12 months'!$B:$B,$A$55,'Resident Retention -12 months'!$C:$C)-SUMIF('Resident Retention -12 months'!$B:$B,$A$55,'Resident Retention -12 months'!$J:$J)),0)</f>
        <v>0.48148148148148145</v>
      </c>
      <c r="J60" s="1143">
        <f>IFERROR((SUMIF('Resident Retention -12 months'!$B:$B,$A$55,'Resident Retention -12 months'!$F:$F)+SUMIF('Resident Retention -12 months'!$B:$B,$A$55,'Resident Retention -12 months'!$H:$H)+SUMIF('Resident Retention -12 months'!$B:$B,$A$55,'Resident Retention -12 months'!$I:$I))/(SUMIF('Resident Retention -12 months'!$B:$B,$A$55,'Resident Retention -12 months'!$C:$C)-SUMIF('Resident Retention -12 months'!$B:$B,$A$55,'Resident Retention -12 months'!$J:$J)),0)</f>
        <v>0.48148148148148145</v>
      </c>
      <c r="K60" s="1143">
        <f>IFERROR((SUMIF('Resident Retention -12 months'!$B:$B,$A$55,'Resident Retention -12 months'!$F:$F)+SUMIF('Resident Retention -12 months'!$B:$B,$A$55,'Resident Retention -12 months'!$H:$H)+SUMIF('Resident Retention -12 months'!$B:$B,$A$55,'Resident Retention -12 months'!$I:$I))/(SUMIF('Resident Retention -12 months'!$B:$B,$A$55,'Resident Retention -12 months'!$C:$C)-SUMIF('Resident Retention -12 months'!$B:$B,$A$55,'Resident Retention -12 months'!$J:$J)),0)</f>
        <v>0.48148148148148145</v>
      </c>
      <c r="L60" s="1143">
        <f>IFERROR((SUMIF('Resident Retention -12 months'!$B:$B,$A$55,'Resident Retention -12 months'!$F:$F)+SUMIF('Resident Retention -12 months'!$B:$B,$A$55,'Resident Retention -12 months'!$H:$H)+SUMIF('Resident Retention -12 months'!$B:$B,$A$55,'Resident Retention -12 months'!$I:$I))/(SUMIF('Resident Retention -12 months'!$B:$B,$A$55,'Resident Retention -12 months'!$C:$C)-SUMIF('Resident Retention -12 months'!$B:$B,$A$55,'Resident Retention -12 months'!$J:$J)),0)</f>
        <v>0.48148148148148145</v>
      </c>
      <c r="M60" s="1143">
        <f>IFERROR((SUMIF('Resident Retention -12 months'!$B:$B,$A$55,'Resident Retention -12 months'!$F:$F)+SUMIF('Resident Retention -12 months'!$B:$B,$A$55,'Resident Retention -12 months'!$H:$H)+SUMIF('Resident Retention -12 months'!$B:$B,$A$55,'Resident Retention -12 months'!$I:$I))/(SUMIF('Resident Retention -12 months'!$B:$B,$A$55,'Resident Retention -12 months'!$C:$C)-SUMIF('Resident Retention -12 months'!$B:$B,$A$55,'Resident Retention -12 months'!$J:$J)),0)</f>
        <v>0.48148148148148145</v>
      </c>
      <c r="N60" s="1143">
        <f>IFERROR((SUMIF('Resident Retention -12 months'!$B:$B,$A$55,'Resident Retention -12 months'!$F:$F)+SUMIF('Resident Retention -12 months'!$B:$B,$A$55,'Resident Retention -12 months'!$H:$H)+SUMIF('Resident Retention -12 months'!$B:$B,$A$55,'Resident Retention -12 months'!$I:$I))/(SUMIF('Resident Retention -12 months'!$B:$B,$A$55,'Resident Retention -12 months'!$C:$C)-SUMIF('Resident Retention -12 months'!$B:$B,$A$55,'Resident Retention -12 months'!$J:$J)),0)</f>
        <v>0.48148148148148145</v>
      </c>
      <c r="O60" s="1143">
        <f>IFERROR((SUMIF('Resident Retention -12 months'!$B:$B,$A$55,'Resident Retention -12 months'!$F:$F)+SUMIF('Resident Retention -12 months'!$B:$B,$A$55,'Resident Retention -12 months'!$H:$H)+SUMIF('Resident Retention -12 months'!$B:$B,$A$55,'Resident Retention -12 months'!$I:$I))/(SUMIF('Resident Retention -12 months'!$B:$B,$A$55,'Resident Retention -12 months'!$C:$C)-SUMIF('Resident Retention -12 months'!$B:$B,$A$55,'Resident Retention -12 months'!$J:$J)),0)</f>
        <v>0.48148148148148145</v>
      </c>
      <c r="P60" s="1143">
        <f>IFERROR((SUMIF('Resident Retention -12 months'!$B:$B,$A$55,'Resident Retention -12 months'!$F:$F)+SUMIF('Resident Retention -12 months'!$B:$B,$A$55,'Resident Retention -12 months'!$H:$H)+SUMIF('Resident Retention -12 months'!$B:$B,$A$55,'Resident Retention -12 months'!$I:$I))/(SUMIF('Resident Retention -12 months'!$B:$B,$A$55,'Resident Retention -12 months'!$C:$C)-SUMIF('Resident Retention -12 months'!$B:$B,$A$55,'Resident Retention -12 months'!$J:$J)),0)</f>
        <v>0.48148148148148145</v>
      </c>
      <c r="Q60" s="1143">
        <f>IFERROR((SUMIF('Resident Retention -12 months'!$B:$B,$A$55,'Resident Retention -12 months'!$F:$F)+SUMIF('Resident Retention -12 months'!$B:$B,$A$55,'Resident Retention -12 months'!$H:$H)+SUMIF('Resident Retention -12 months'!$B:$B,$A$55,'Resident Retention -12 months'!$I:$I))/(SUMIF('Resident Retention -12 months'!$B:$B,$A$55,'Resident Retention -12 months'!$C:$C)-SUMIF('Resident Retention -12 months'!$B:$B,$A$55,'Resident Retention -12 months'!$J:$J)),0)</f>
        <v>0.48148148148148145</v>
      </c>
      <c r="R60" s="1143">
        <f>IFERROR((SUMIF('Resident Retention -12 months'!$B:$B,$A$55,'Resident Retention -12 months'!$F:$F)+SUMIF('Resident Retention -12 months'!$B:$B,$A$55,'Resident Retention -12 months'!$H:$H)+SUMIF('Resident Retention -12 months'!$B:$B,$A$55,'Resident Retention -12 months'!$I:$I))/(SUMIF('Resident Retention -12 months'!$B:$B,$A$55,'Resident Retention -12 months'!$C:$C)-SUMIF('Resident Retention -12 months'!$B:$B,$A$55,'Resident Retention -12 months'!$J:$J)),0)</f>
        <v>0.48148148148148145</v>
      </c>
      <c r="S60" s="1143">
        <f>IFERROR((SUMIF('Resident Retention -12 months'!$B:$B,$A$55,'Resident Retention -12 months'!$F:$F)+SUMIF('Resident Retention -12 months'!$B:$B,$A$55,'Resident Retention -12 months'!$H:$H)+SUMIF('Resident Retention -12 months'!$B:$B,$A$55,'Resident Retention -12 months'!$I:$I))/(SUMIF('Resident Retention -12 months'!$B:$B,$A$55,'Resident Retention -12 months'!$C:$C)-SUMIF('Resident Retention -12 months'!$B:$B,$A$55,'Resident Retention -12 months'!$J:$J)),0)</f>
        <v>0.48148148148148145</v>
      </c>
      <c r="T60" s="1143">
        <f>IFERROR((SUMIF('Resident Retention -12 months'!$B:$B,$A$55,'Resident Retention -12 months'!$F:$F)+SUMIF('Resident Retention -12 months'!$B:$B,$A$55,'Resident Retention -12 months'!$H:$H)+SUMIF('Resident Retention -12 months'!$B:$B,$A$55,'Resident Retention -12 months'!$I:$I))/(SUMIF('Resident Retention -12 months'!$B:$B,$A$55,'Resident Retention -12 months'!$C:$C)-SUMIF('Resident Retention -12 months'!$B:$B,$A$55,'Resident Retention -12 months'!$J:$J)),0)</f>
        <v>0.48148148148148145</v>
      </c>
      <c r="U60" s="1143">
        <f>IFERROR((SUMIF('Resident Retention -12 months'!$B:$B,$A$55,'Resident Retention -12 months'!$F:$F)+SUMIF('Resident Retention -12 months'!$B:$B,$A$55,'Resident Retention -12 months'!$H:$H)+SUMIF('Resident Retention -12 months'!$B:$B,$A$55,'Resident Retention -12 months'!$I:$I))/(SUMIF('Resident Retention -12 months'!$B:$B,$A$55,'Resident Retention -12 months'!$C:$C)-SUMIF('Resident Retention -12 months'!$B:$B,$A$55,'Resident Retention -12 months'!$J:$J)),0)</f>
        <v>0.48148148148148145</v>
      </c>
      <c r="V60" s="1143">
        <f>IFERROR((SUMIF('Resident Retention -12 months'!$B:$B,$A$55,'Resident Retention -12 months'!$F:$F)+SUMIF('Resident Retention -12 months'!$B:$B,$A$55,'Resident Retention -12 months'!$H:$H)+SUMIF('Resident Retention -12 months'!$B:$B,$A$55,'Resident Retention -12 months'!$I:$I))/(SUMIF('Resident Retention -12 months'!$B:$B,$A$55,'Resident Retention -12 months'!$C:$C)-SUMIF('Resident Retention -12 months'!$B:$B,$A$55,'Resident Retention -12 months'!$J:$J)),0)</f>
        <v>0.48148148148148145</v>
      </c>
      <c r="W60" s="1143">
        <f>IFERROR((SUMIF('Resident Retention -12 months'!$B:$B,$A$55,'Resident Retention -12 months'!$F:$F)+SUMIF('Resident Retention -12 months'!$B:$B,$A$55,'Resident Retention -12 months'!$H:$H)+SUMIF('Resident Retention -12 months'!$B:$B,$A$55,'Resident Retention -12 months'!$I:$I))/(SUMIF('Resident Retention -12 months'!$B:$B,$A$55,'Resident Retention -12 months'!$C:$C)-SUMIF('Resident Retention -12 months'!$B:$B,$A$55,'Resident Retention -12 months'!$J:$J)),0)</f>
        <v>0.48148148148148145</v>
      </c>
      <c r="X60" s="1143">
        <f>IFERROR((SUMIF('Resident Retention -12 months'!$B:$B,$A$55,'Resident Retention -12 months'!$F:$F)+SUMIF('Resident Retention -12 months'!$B:$B,$A$55,'Resident Retention -12 months'!$H:$H)+SUMIF('Resident Retention -12 months'!$B:$B,$A$55,'Resident Retention -12 months'!$I:$I))/(SUMIF('Resident Retention -12 months'!$B:$B,$A$55,'Resident Retention -12 months'!$C:$C)-SUMIF('Resident Retention -12 months'!$B:$B,$A$55,'Resident Retention -12 months'!$J:$J)),0)</f>
        <v>0.48148148148148145</v>
      </c>
      <c r="Y60" s="1143">
        <f>IFERROR((SUMIF('Resident Retention -12 months'!$B:$B,$A$55,'Resident Retention -12 months'!$F:$F)+SUMIF('Resident Retention -12 months'!$B:$B,$A$55,'Resident Retention -12 months'!$H:$H)+SUMIF('Resident Retention -12 months'!$B:$B,$A$55,'Resident Retention -12 months'!$I:$I))/(SUMIF('Resident Retention -12 months'!$B:$B,$A$55,'Resident Retention -12 months'!$C:$C)-SUMIF('Resident Retention -12 months'!$B:$B,$A$55,'Resident Retention -12 months'!$J:$J)),0)</f>
        <v>0.48148148148148145</v>
      </c>
      <c r="Z60" s="1143">
        <f>IFERROR((SUMIF('Resident Retention -12 months'!$B:$B,$A$55,'Resident Retention -12 months'!$F:$F)+SUMIF('Resident Retention -12 months'!$B:$B,$A$55,'Resident Retention -12 months'!$H:$H)+SUMIF('Resident Retention -12 months'!$B:$B,$A$55,'Resident Retention -12 months'!$I:$I))/(SUMIF('Resident Retention -12 months'!$B:$B,$A$55,'Resident Retention -12 months'!$C:$C)-SUMIF('Resident Retention -12 months'!$B:$B,$A$55,'Resident Retention -12 months'!$J:$J)),0)</f>
        <v>0.48148148148148145</v>
      </c>
      <c r="AA60" s="1143">
        <f>IFERROR((SUMIF('Resident Retention -12 months'!$B:$B,$A$55,'Resident Retention -12 months'!$F:$F)+SUMIF('Resident Retention -12 months'!$B:$B,$A$55,'Resident Retention -12 months'!$H:$H)+SUMIF('Resident Retention -12 months'!$B:$B,$A$55,'Resident Retention -12 months'!$I:$I))/(SUMIF('Resident Retention -12 months'!$B:$B,$A$55,'Resident Retention -12 months'!$C:$C)-SUMIF('Resident Retention -12 months'!$B:$B,$A$55,'Resident Retention -12 months'!$J:$J)),0)</f>
        <v>0.48148148148148145</v>
      </c>
      <c r="AB60" s="1143">
        <f>IFERROR((SUMIF('Resident Retention -12 months'!$B:$B,$A$55,'Resident Retention -12 months'!$F:$F)+SUMIF('Resident Retention -12 months'!$B:$B,$A$55,'Resident Retention -12 months'!$H:$H)+SUMIF('Resident Retention -12 months'!$B:$B,$A$55,'Resident Retention -12 months'!$I:$I))/(SUMIF('Resident Retention -12 months'!$B:$B,$A$55,'Resident Retention -12 months'!$C:$C)-SUMIF('Resident Retention -12 months'!$B:$B,$A$55,'Resident Retention -12 months'!$J:$J)),0)</f>
        <v>0.48148148148148145</v>
      </c>
      <c r="AC60" s="1143">
        <f>IFERROR((SUMIF('Resident Retention -12 months'!$B:$B,$A$55,'Resident Retention -12 months'!$F:$F)+SUMIF('Resident Retention -12 months'!$B:$B,$A$55,'Resident Retention -12 months'!$H:$H)+SUMIF('Resident Retention -12 months'!$B:$B,$A$55,'Resident Retention -12 months'!$I:$I))/(SUMIF('Resident Retention -12 months'!$B:$B,$A$55,'Resident Retention -12 months'!$C:$C)-SUMIF('Resident Retention -12 months'!$B:$B,$A$55,'Resident Retention -12 months'!$J:$J)),0)</f>
        <v>0.48148148148148145</v>
      </c>
      <c r="AD60" s="1143">
        <v>0.48148148148148145</v>
      </c>
      <c r="AE60" s="1143">
        <v>0.48148148148148145</v>
      </c>
      <c r="AF60" s="1143">
        <v>0.48148148148148145</v>
      </c>
      <c r="AG60" s="1143">
        <v>0.48148148148148145</v>
      </c>
      <c r="AH60" s="1143">
        <v>0.48148148148148145</v>
      </c>
      <c r="AI60" s="1143">
        <v>0.48148148148148145</v>
      </c>
      <c r="AJ60" s="1143">
        <v>0.48148148148148145</v>
      </c>
      <c r="AK60" s="1143">
        <f>IFERROR((SUMIF('Resident Retention -12 months'!$B:$B,$A$55,'Resident Retention -12 months'!$F:$F)+SUMIF('Resident Retention -12 months'!$B:$B,$A$55,'Resident Retention -12 months'!$H:$H)+SUMIF('Resident Retention -12 months'!$B:$B,$A$55,'Resident Retention -12 months'!$I:$I))/(SUMIF('Resident Retention -12 months'!$B:$B,$A$55,'Resident Retention -12 months'!$C:$C)-SUMIF('Resident Retention -12 months'!$B:$B,$A$55,'Resident Retention -12 months'!$J:$J)),0)</f>
        <v>0.48148148148148145</v>
      </c>
    </row>
    <row r="61" spans="1:37" ht="15" customHeight="1">
      <c r="A61" s="224" t="s">
        <v>1045</v>
      </c>
      <c r="B61" s="225"/>
      <c r="C61" s="226"/>
      <c r="D61" s="227"/>
      <c r="E61" s="227"/>
      <c r="F61" s="228"/>
      <c r="G61" s="228"/>
      <c r="H61" s="228"/>
      <c r="I61" s="228"/>
      <c r="J61" s="228"/>
      <c r="K61" s="228"/>
      <c r="L61" s="228"/>
      <c r="M61" s="228"/>
      <c r="N61" s="228"/>
      <c r="O61" s="316"/>
      <c r="P61" s="316"/>
      <c r="Q61" s="316"/>
      <c r="R61" s="316"/>
      <c r="S61" s="316"/>
      <c r="T61" s="316"/>
      <c r="U61" s="316"/>
      <c r="V61" s="316"/>
      <c r="W61" s="316"/>
      <c r="X61" s="316"/>
      <c r="Y61" s="316"/>
      <c r="Z61" s="316"/>
      <c r="AA61" s="316"/>
      <c r="AB61" s="316"/>
      <c r="AC61" s="316"/>
      <c r="AD61" s="316"/>
      <c r="AE61" s="316"/>
      <c r="AF61" s="316"/>
      <c r="AG61" s="316"/>
      <c r="AH61" s="316"/>
      <c r="AI61" s="316"/>
      <c r="AJ61" s="316"/>
      <c r="AK61" s="316"/>
    </row>
    <row r="62" spans="1:37" ht="15" customHeight="1">
      <c r="A62" s="318">
        <v>46204</v>
      </c>
      <c r="B62" s="230" t="s">
        <v>951</v>
      </c>
      <c r="C62" s="231" t="s">
        <v>1021</v>
      </c>
      <c r="D62" s="232"/>
      <c r="E62" s="232"/>
      <c r="F62" s="233"/>
      <c r="G62" s="233"/>
      <c r="H62" s="233"/>
      <c r="I62" s="233"/>
      <c r="J62" s="233"/>
      <c r="K62" s="233"/>
      <c r="L62" s="233"/>
      <c r="M62" s="233"/>
      <c r="N62" s="234"/>
      <c r="O62" s="234"/>
      <c r="P62" s="234"/>
      <c r="Q62" s="234"/>
      <c r="R62" s="234"/>
      <c r="S62" s="234"/>
      <c r="T62" s="234"/>
      <c r="U62" s="234"/>
      <c r="V62" s="234"/>
      <c r="W62" s="234"/>
      <c r="X62" s="234">
        <v>73</v>
      </c>
      <c r="Y62" s="234">
        <v>73</v>
      </c>
      <c r="Z62" s="234">
        <v>74</v>
      </c>
      <c r="AA62" s="234">
        <v>74</v>
      </c>
      <c r="AB62" s="234">
        <v>74</v>
      </c>
      <c r="AC62" s="234">
        <v>74</v>
      </c>
      <c r="AD62" s="234">
        <v>74</v>
      </c>
      <c r="AE62" s="234">
        <v>74</v>
      </c>
      <c r="AF62" s="234">
        <v>74</v>
      </c>
      <c r="AG62" s="234">
        <v>74</v>
      </c>
      <c r="AH62" s="234">
        <v>74</v>
      </c>
      <c r="AI62" s="234">
        <v>74</v>
      </c>
      <c r="AJ62" s="234">
        <v>74</v>
      </c>
      <c r="AK62" s="234">
        <f ca="1">SUMIF('Resident Retention -12 months'!$B:$J,Data_2!$A$62,'Resident Retention -12 months'!$C:$C)-SUMIF('Resident Retention -12 months'!$B:$J,Data_2!$A$62,'Resident Retention -12 months'!$J:$J)</f>
        <v>74</v>
      </c>
    </row>
    <row r="63" spans="1:37" ht="15" customHeight="1">
      <c r="B63" s="230" t="s">
        <v>1041</v>
      </c>
      <c r="C63" s="231" t="s">
        <v>1021</v>
      </c>
      <c r="D63" s="232"/>
      <c r="E63" s="232"/>
      <c r="F63" s="233"/>
      <c r="G63" s="233"/>
      <c r="H63" s="233"/>
      <c r="I63" s="233"/>
      <c r="J63" s="233"/>
      <c r="K63" s="233"/>
      <c r="L63" s="233"/>
      <c r="M63" s="233"/>
      <c r="N63" s="234"/>
      <c r="O63" s="234"/>
      <c r="P63" s="234"/>
      <c r="Q63" s="234"/>
      <c r="R63" s="234"/>
      <c r="S63" s="234"/>
      <c r="T63" s="234"/>
      <c r="U63" s="234"/>
      <c r="V63" s="234"/>
      <c r="W63" s="234"/>
      <c r="X63" s="234">
        <v>7</v>
      </c>
      <c r="Y63" s="234">
        <v>8</v>
      </c>
      <c r="Z63" s="234">
        <v>8</v>
      </c>
      <c r="AA63" s="234">
        <v>9</v>
      </c>
      <c r="AB63" s="234">
        <v>9</v>
      </c>
      <c r="AC63" s="234">
        <v>10</v>
      </c>
      <c r="AD63" s="234">
        <v>10</v>
      </c>
      <c r="AE63" s="234">
        <v>11</v>
      </c>
      <c r="AF63" s="234">
        <v>15</v>
      </c>
      <c r="AG63" s="234">
        <v>15</v>
      </c>
      <c r="AH63" s="234">
        <v>16</v>
      </c>
      <c r="AI63" s="234">
        <v>17</v>
      </c>
      <c r="AJ63" s="234">
        <v>17</v>
      </c>
      <c r="AK63" s="234">
        <f ca="1">SUMIF('Resident Retention -12 months'!$B:$J,Data_2!$A$62,'Resident Retention -12 months'!$D:$D)</f>
        <v>17</v>
      </c>
    </row>
    <row r="64" spans="1:37" ht="15" customHeight="1">
      <c r="B64" s="230" t="s">
        <v>954</v>
      </c>
      <c r="C64" s="231" t="s">
        <v>1021</v>
      </c>
      <c r="D64" s="232"/>
      <c r="E64" s="232"/>
      <c r="F64" s="233"/>
      <c r="G64" s="233"/>
      <c r="H64" s="233"/>
      <c r="I64" s="233"/>
      <c r="J64" s="233"/>
      <c r="K64" s="233"/>
      <c r="L64" s="233"/>
      <c r="M64" s="233"/>
      <c r="N64" s="234"/>
      <c r="O64" s="234"/>
      <c r="P64" s="234"/>
      <c r="Q64" s="234"/>
      <c r="R64" s="234"/>
      <c r="S64" s="234"/>
      <c r="T64" s="234"/>
      <c r="U64" s="234"/>
      <c r="V64" s="234"/>
      <c r="W64" s="234"/>
      <c r="X64" s="234">
        <v>11</v>
      </c>
      <c r="Y64" s="234">
        <v>15</v>
      </c>
      <c r="Z64" s="234">
        <v>17</v>
      </c>
      <c r="AA64" s="234">
        <v>21</v>
      </c>
      <c r="AB64" s="234">
        <v>24</v>
      </c>
      <c r="AC64" s="234">
        <v>27</v>
      </c>
      <c r="AD64" s="234">
        <v>27</v>
      </c>
      <c r="AE64" s="234">
        <v>22</v>
      </c>
      <c r="AF64" s="234">
        <v>18</v>
      </c>
      <c r="AG64" s="234">
        <v>17</v>
      </c>
      <c r="AH64" s="234">
        <v>16</v>
      </c>
      <c r="AI64" s="234">
        <v>16</v>
      </c>
      <c r="AJ64" s="234">
        <v>16</v>
      </c>
      <c r="AK64" s="234">
        <f ca="1">SUMIF('Resident Retention -12 months'!$B:$J,Data_2!$A$62,'Resident Retention -12 months'!$E:$E)</f>
        <v>16</v>
      </c>
    </row>
    <row r="65" spans="1:37" ht="15" customHeight="1">
      <c r="B65" s="68" t="s">
        <v>956</v>
      </c>
      <c r="C65" s="69">
        <v>0</v>
      </c>
      <c r="D65" s="261"/>
      <c r="E65" s="261"/>
      <c r="F65" s="262"/>
      <c r="G65" s="262"/>
      <c r="H65" s="262"/>
      <c r="I65" s="262"/>
      <c r="J65" s="262"/>
      <c r="K65" s="262"/>
      <c r="L65" s="262"/>
      <c r="M65" s="262"/>
      <c r="N65" s="322"/>
      <c r="O65" s="322"/>
      <c r="P65" s="322"/>
      <c r="Q65" s="322"/>
      <c r="R65" s="322"/>
      <c r="S65" s="322"/>
      <c r="T65" s="322"/>
      <c r="U65" s="322"/>
      <c r="V65" s="322"/>
      <c r="W65" s="322"/>
      <c r="X65" s="322">
        <v>2.7397260273972601E-2</v>
      </c>
      <c r="Y65" s="322">
        <v>2.7397260273972601E-2</v>
      </c>
      <c r="Z65" s="322">
        <v>6.7567567567567571E-2</v>
      </c>
      <c r="AA65" s="322">
        <v>0.14864864864864866</v>
      </c>
      <c r="AB65" s="322">
        <v>0.22972972972972974</v>
      </c>
      <c r="AC65" s="322">
        <v>0.27027027027027029</v>
      </c>
      <c r="AD65" s="322">
        <v>0.28378378378378377</v>
      </c>
      <c r="AE65" s="322">
        <v>0.40540540540540543</v>
      </c>
      <c r="AF65" s="322">
        <v>0.45945945945945948</v>
      </c>
      <c r="AG65" s="322">
        <v>0.45945945945945948</v>
      </c>
      <c r="AH65" s="322">
        <v>0.47297297297297297</v>
      </c>
      <c r="AI65" s="322">
        <v>0.47297297297297297</v>
      </c>
      <c r="AJ65" s="322">
        <v>0.47297297297297297</v>
      </c>
      <c r="AK65" s="322">
        <f>IFERROR((SUMIF('Resident Retention -12 months'!$B:$B,$A$62,'Resident Retention -12 months'!$F:$F)+SUMIF('Resident Retention -12 months'!$B:$B,$A$62,'Resident Retention -12 months'!$H:$H))/(SUMIF('Resident Retention -12 months'!$B:$B,$A$62,'Resident Retention -12 months'!$C:$C)-SUMIF('Resident Retention -12 months'!$B:$B,$A$62,'Resident Retention -12 months'!$J:$J)),0)</f>
        <v>0.47297297297297297</v>
      </c>
    </row>
    <row r="66" spans="1:37" ht="15" customHeight="1">
      <c r="B66" s="1138" t="s">
        <v>953</v>
      </c>
      <c r="C66" s="1139" t="s">
        <v>1021</v>
      </c>
      <c r="D66" s="1145" cm="1">
        <f t="array" ref="D66">SUMPRODUCT(((Move_Out_Reasons!H2:H1000="Skipped Without Notice")+(Move_Out_Reasons!H2:H1000="Skipped During Eviction")+(Move_Out_Reasons!H2:H1000="Eviction")+(Move_Out_Reasons!H2:H1000="Failure To Pay"))*(Move_Out_Reasons!F2:F1000&gt;=$A$62)*(Move_Out_Reasons!F2:F1000&lt;=EOMONTH($A$62,0)))</f>
        <v>9</v>
      </c>
      <c r="E66" s="1145" cm="1">
        <f t="array" ref="E66">SUMPRODUCT(((Move_Out_Reasons!H2:H1000="Skipped Without Notice")+(Move_Out_Reasons!H2:H1000="Skipped During Eviction")+(Move_Out_Reasons!H2:H1000="Eviction")+(Move_Out_Reasons!H2:H1000="Failure To Pay"))*(Move_Out_Reasons!F2:F1000&gt;=$A$62)*(Move_Out_Reasons!F2:F1000&lt;=EOMONTH($A$62,0)))</f>
        <v>9</v>
      </c>
      <c r="F66" s="1146" cm="1">
        <f t="array" ref="F66">SUMPRODUCT(((Move_Out_Reasons!H2:H1000="Skipped Without Notice")+(Move_Out_Reasons!H2:H1000="Skipped During Eviction")+(Move_Out_Reasons!H2:H1000="Eviction")+(Move_Out_Reasons!H2:H1000="Failure To Pay"))*(Move_Out_Reasons!F2:F1000&gt;=$A$62)*(Move_Out_Reasons!F2:F1000&lt;=EOMONTH($A$62,0)))</f>
        <v>9</v>
      </c>
      <c r="G66" s="1146" cm="1">
        <f t="array" ref="G66">SUMPRODUCT(((Move_Out_Reasons!H2:H1000="Skipped Without Notice")+(Move_Out_Reasons!H2:H1000="Skipped During Eviction")+(Move_Out_Reasons!H2:H1000="Eviction")+(Move_Out_Reasons!H2:H1000="Failure To Pay"))*(Move_Out_Reasons!F2:F1000&gt;=$A$62)*(Move_Out_Reasons!F2:F1000&lt;=EOMONTH($A$62,0)))</f>
        <v>9</v>
      </c>
      <c r="H66" s="1146" cm="1">
        <f t="array" ref="H66">SUMPRODUCT(((Move_Out_Reasons!H2:H1000="Skipped Without Notice")+(Move_Out_Reasons!H2:H1000="Skipped During Eviction")+(Move_Out_Reasons!H2:H1000="Eviction")+(Move_Out_Reasons!H2:H1000="Failure To Pay"))*(Move_Out_Reasons!F2:F1000&gt;=$A$62)*(Move_Out_Reasons!F2:F1000&lt;=EOMONTH($A$62,0)))</f>
        <v>9</v>
      </c>
      <c r="I66" s="1146" cm="1">
        <f t="array" ref="I66">SUMPRODUCT(((Move_Out_Reasons!H2:H1000="Skipped Without Notice")+(Move_Out_Reasons!H2:H1000="Skipped During Eviction")+(Move_Out_Reasons!H2:H1000="Eviction")+(Move_Out_Reasons!H2:H1000="Failure To Pay"))*(Move_Out_Reasons!F2:F1000&gt;=$A$62)*(Move_Out_Reasons!F2:F1000&lt;=EOMONTH($A$62,0)))</f>
        <v>9</v>
      </c>
      <c r="J66" s="1146" cm="1">
        <f t="array" ref="J66">SUMPRODUCT(((Move_Out_Reasons!H2:H1000="Skipped Without Notice")+(Move_Out_Reasons!H2:H1000="Skipped During Eviction")+(Move_Out_Reasons!H2:H1000="Eviction")+(Move_Out_Reasons!H2:H1000="Failure To Pay"))*(Move_Out_Reasons!F2:F1000&gt;=$A$62)*(Move_Out_Reasons!F2:F1000&lt;=EOMONTH($A$62,0)))</f>
        <v>9</v>
      </c>
      <c r="K66" s="1146" cm="1">
        <f t="array" ref="K66">SUMPRODUCT(((Move_Out_Reasons!H2:H1000="Skipped Without Notice")+(Move_Out_Reasons!H2:H1000="Skipped During Eviction")+(Move_Out_Reasons!H2:H1000="Eviction")+(Move_Out_Reasons!H2:H1000="Failure To Pay"))*(Move_Out_Reasons!F2:F1000&gt;=$A$62)*(Move_Out_Reasons!F2:F1000&lt;=EOMONTH($A$62,0)))</f>
        <v>9</v>
      </c>
      <c r="L66" s="1146" cm="1">
        <f t="array" ref="L66">SUMPRODUCT(((Move_Out_Reasons!H2:H1000="Skipped Without Notice")+(Move_Out_Reasons!H2:H1000="Skipped During Eviction")+(Move_Out_Reasons!H2:H1000="Eviction")+(Move_Out_Reasons!H2:H1000="Failure To Pay"))*(Move_Out_Reasons!F2:F1000&gt;=$A$62)*(Move_Out_Reasons!F2:F1000&lt;=EOMONTH($A$62,0)))</f>
        <v>9</v>
      </c>
      <c r="M66" s="1146" cm="1">
        <f t="array" ref="M66">SUMPRODUCT(((Move_Out_Reasons!H2:H1000="Skipped Without Notice")+(Move_Out_Reasons!H2:H1000="Skipped During Eviction")+(Move_Out_Reasons!H2:H1000="Eviction")+(Move_Out_Reasons!H2:H1000="Failure To Pay"))*(Move_Out_Reasons!F2:F1000&gt;=$A$62)*(Move_Out_Reasons!F2:F1000&lt;=EOMONTH($A$62,0)))</f>
        <v>9</v>
      </c>
      <c r="N66" s="1146" cm="1">
        <f t="array" ref="N66">SUMPRODUCT(((Move_Out_Reasons!H2:H1000="Skipped Without Notice")+(Move_Out_Reasons!H2:H1000="Skipped During Eviction")+(Move_Out_Reasons!H2:H1000="Eviction")+(Move_Out_Reasons!H2:H1000="Failure To Pay"))*(Move_Out_Reasons!F2:F1000&gt;=$A$62)*(Move_Out_Reasons!F2:F1000&lt;=EOMONTH($A$62,0)))</f>
        <v>9</v>
      </c>
      <c r="O66" s="1146" cm="1">
        <f t="array" ref="O66">SUMPRODUCT(((Move_Out_Reasons!H2:H1000="Skipped Without Notice")+(Move_Out_Reasons!H2:H1000="Skipped During Eviction")+(Move_Out_Reasons!H2:H1000="Eviction")+(Move_Out_Reasons!H2:H1000="Failure To Pay"))*(Move_Out_Reasons!F2:F1000&gt;=$A$62)*(Move_Out_Reasons!F2:F1000&lt;=EOMONTH($A$62,0)))</f>
        <v>9</v>
      </c>
      <c r="P66" s="1146" cm="1">
        <f t="array" ref="P66">SUMPRODUCT(((Move_Out_Reasons!H2:H1000="Skipped Without Notice")+(Move_Out_Reasons!H2:H1000="Skipped During Eviction")+(Move_Out_Reasons!H2:H1000="Eviction")+(Move_Out_Reasons!H2:H1000="Failure To Pay"))*(Move_Out_Reasons!F2:F1000&gt;=$A$62)*(Move_Out_Reasons!F2:F1000&lt;=EOMONTH($A$62,0)))</f>
        <v>9</v>
      </c>
      <c r="Q66" s="1146" cm="1">
        <f t="array" ref="Q66">SUMPRODUCT(((Move_Out_Reasons!H2:H1000="Skipped Without Notice")+(Move_Out_Reasons!H2:H1000="Skipped During Eviction")+(Move_Out_Reasons!H2:H1000="Eviction")+(Move_Out_Reasons!H2:H1000="Failure To Pay"))*(Move_Out_Reasons!F2:F1000&gt;=$A$62)*(Move_Out_Reasons!F2:F1000&lt;=EOMONTH($A$62,0)))</f>
        <v>9</v>
      </c>
      <c r="R66" s="1146" cm="1">
        <f t="array" ref="R66">SUMPRODUCT(((Move_Out_Reasons!H2:H1000="Skipped Without Notice")+(Move_Out_Reasons!H2:H1000="Skipped During Eviction")+(Move_Out_Reasons!H2:H1000="Eviction")+(Move_Out_Reasons!H2:H1000="Failure To Pay"))*(Move_Out_Reasons!F2:F1000&gt;=$A$62)*(Move_Out_Reasons!F2:F1000&lt;=EOMONTH($A$62,0)))</f>
        <v>9</v>
      </c>
      <c r="S66" s="1146" cm="1">
        <f t="array" ref="S66">SUMPRODUCT(((Move_Out_Reasons!H2:H1000="Skipped Without Notice")+(Move_Out_Reasons!H2:H1000="Skipped During Eviction")+(Move_Out_Reasons!H2:H1000="Eviction")+(Move_Out_Reasons!H2:H1000="Failure To Pay"))*(Move_Out_Reasons!F2:F1000&gt;=$A$62)*(Move_Out_Reasons!F2:F1000&lt;=EOMONTH($A$62,0)))</f>
        <v>9</v>
      </c>
      <c r="T66" s="1146" cm="1">
        <f t="array" ref="T66">SUMPRODUCT(((Move_Out_Reasons!H2:H1000="Skipped Without Notice")+(Move_Out_Reasons!H2:H1000="Skipped During Eviction")+(Move_Out_Reasons!H2:H1000="Eviction")+(Move_Out_Reasons!H2:H1000="Failure To Pay"))*(Move_Out_Reasons!F2:F1000&gt;=$A$62)*(Move_Out_Reasons!F2:F1000&lt;=EOMONTH($A$62,0)))</f>
        <v>9</v>
      </c>
      <c r="U66" s="1146" cm="1">
        <f t="array" ref="U66">SUMPRODUCT(((Move_Out_Reasons!H2:H1000="Skipped Without Notice")+(Move_Out_Reasons!H2:H1000="Skipped During Eviction")+(Move_Out_Reasons!H2:H1000="Eviction")+(Move_Out_Reasons!H2:H1000="Failure To Pay"))*(Move_Out_Reasons!F2:F1000&gt;=$A$62)*(Move_Out_Reasons!F2:F1000&lt;=EOMONTH($A$62,0)))</f>
        <v>9</v>
      </c>
      <c r="V66" s="1146" cm="1">
        <f t="array" ref="V66">SUMPRODUCT(((Move_Out_Reasons!H2:H1000="Skipped Without Notice")+(Move_Out_Reasons!H2:H1000="Skipped During Eviction")+(Move_Out_Reasons!H2:H1000="Eviction")+(Move_Out_Reasons!H2:H1000="Failure To Pay"))*(Move_Out_Reasons!F2:F1000&gt;=$A$62)*(Move_Out_Reasons!F2:F1000&lt;=EOMONTH($A$62,0)))</f>
        <v>9</v>
      </c>
      <c r="W66" s="1146" cm="1">
        <f t="array" ref="W66">SUMPRODUCT(((Move_Out_Reasons!H2:H1000="Skipped Without Notice")+(Move_Out_Reasons!H2:H1000="Skipped During Eviction")+(Move_Out_Reasons!H2:H1000="Eviction")+(Move_Out_Reasons!H2:H1000="Failure To Pay"))*(Move_Out_Reasons!F2:F1000&gt;=$A$62)*(Move_Out_Reasons!F2:F1000&lt;=EOMONTH($A$62,0)))</f>
        <v>9</v>
      </c>
      <c r="X66" s="1146" cm="1">
        <f t="array" ref="X66">SUMPRODUCT(((Move_Out_Reasons!H2:H1000="Skipped Without Notice")+(Move_Out_Reasons!H2:H1000="Skipped During Eviction")+(Move_Out_Reasons!H2:H1000="Eviction")+(Move_Out_Reasons!H2:H1000="Failure To Pay"))*(Move_Out_Reasons!F2:F1000&gt;=$A$62)*(Move_Out_Reasons!F2:F1000&lt;=EOMONTH($A$62,0)))</f>
        <v>9</v>
      </c>
      <c r="Y66" s="1146" cm="1">
        <f t="array" ref="Y66">SUMPRODUCT(((Move_Out_Reasons!H2:H1000="Skipped Without Notice")+(Move_Out_Reasons!H2:H1000="Skipped During Eviction")+(Move_Out_Reasons!H2:H1000="Eviction")+(Move_Out_Reasons!H2:H1000="Failure To Pay"))*(Move_Out_Reasons!F2:F1000&gt;=$A$62)*(Move_Out_Reasons!F2:F1000&lt;=EOMONTH($A$62,0)))</f>
        <v>9</v>
      </c>
      <c r="Z66" s="1146" cm="1">
        <f t="array" ref="Z66">SUMPRODUCT(((Move_Out_Reasons!H2:H1000="Skipped Without Notice")+(Move_Out_Reasons!H2:H1000="Skipped During Eviction")+(Move_Out_Reasons!H2:H1000="Eviction")+(Move_Out_Reasons!H2:H1000="Failure To Pay"))*(Move_Out_Reasons!F2:F1000&gt;=$A$62)*(Move_Out_Reasons!F2:F1000&lt;=EOMONTH($A$62,0)))</f>
        <v>9</v>
      </c>
      <c r="AA66" s="1146" cm="1">
        <f t="array" ref="AA66">SUMPRODUCT(((Move_Out_Reasons!H2:H1000="Skipped Without Notice")+(Move_Out_Reasons!H2:H1000="Skipped During Eviction")+(Move_Out_Reasons!H2:H1000="Eviction")+(Move_Out_Reasons!H2:H1000="Failure To Pay"))*(Move_Out_Reasons!F2:F1000&gt;=$A$62)*(Move_Out_Reasons!F2:F1000&lt;=EOMONTH($A$62,0)))</f>
        <v>9</v>
      </c>
      <c r="AB66" s="1146" cm="1">
        <f t="array" ref="AB66">SUMPRODUCT(((Move_Out_Reasons!H2:H1000="Skipped Without Notice")+(Move_Out_Reasons!H2:H1000="Skipped During Eviction")+(Move_Out_Reasons!H2:H1000="Eviction")+(Move_Out_Reasons!H2:H1000="Failure To Pay"))*(Move_Out_Reasons!F2:F1000&gt;=$A$62)*(Move_Out_Reasons!F2:F1000&lt;=EOMONTH($A$62,0)))</f>
        <v>9</v>
      </c>
      <c r="AC66" s="1146" cm="1">
        <f t="array" ref="AC66">SUMPRODUCT(((Move_Out_Reasons!H2:H1000="Skipped Without Notice")+(Move_Out_Reasons!H2:H1000="Skipped During Eviction")+(Move_Out_Reasons!H2:H1000="Eviction")+(Move_Out_Reasons!H2:H1000="Failure To Pay"))*(Move_Out_Reasons!F2:F1000&gt;=$A$62)*(Move_Out_Reasons!F2:F1000&lt;=EOMONTH($A$62,0)))</f>
        <v>9</v>
      </c>
      <c r="AD66" s="1146">
        <v>3</v>
      </c>
      <c r="AE66" s="1146">
        <v>4</v>
      </c>
      <c r="AF66" s="1146">
        <v>0</v>
      </c>
      <c r="AG66" s="1146">
        <v>0</v>
      </c>
      <c r="AH66" s="1146">
        <v>0</v>
      </c>
      <c r="AI66" s="1146">
        <v>0</v>
      </c>
      <c r="AJ66" s="1146">
        <v>0</v>
      </c>
      <c r="AK66" s="1146" cm="1">
        <f t="array" ref="AK66">SUMPRODUCT(((Move_Out_Reasons!N2:N1000="Skipped Without Notice")+(Move_Out_Reasons!N2:N1000="Skipped During Eviction")+(Move_Out_Reasons!N2:N1000="Eviction")+(Move_Out_Reasons!N2:N1000="Failure To Pay"))*(Move_Out_Reasons!L2:L1000&gt;=$A$62)*(Move_Out_Reasons!L2:L1000&lt;=EOMONTH($A$62,0)))</f>
        <v>0</v>
      </c>
    </row>
    <row r="67" spans="1:37" ht="15" customHeight="1">
      <c r="B67" s="1138" t="s">
        <v>957</v>
      </c>
      <c r="C67" s="1139">
        <v>0</v>
      </c>
      <c r="D67" s="1140">
        <f>IFERROR((SUMIF('Resident Retention -12 months'!$B:$B,$A$62,'Resident Retention -12 months'!$F:$F)+SUMIF('Resident Retention -12 months'!$B:$B,$A$62,'Resident Retention -12 months'!$H:$H)+SUMIF('Resident Retention -12 months'!$B:$B,$A$62,'Resident Retention -12 months'!$I:$I))/(SUMIF('Resident Retention -12 months'!$B:$B,$A$62,'Resident Retention -12 months'!$C:$C)-SUMIF('Resident Retention -12 months'!$B:$B,$A$62,'Resident Retention -12 months'!$J:$J)),0)</f>
        <v>0.55405405405405406</v>
      </c>
      <c r="E67" s="1140">
        <f>IFERROR((SUMIF('Resident Retention -12 months'!$B:$B,$A$62,'Resident Retention -12 months'!$F:$F)+SUMIF('Resident Retention -12 months'!$B:$B,$A$62,'Resident Retention -12 months'!$H:$H)+SUMIF('Resident Retention -12 months'!$B:$B,$A$62,'Resident Retention -12 months'!$I:$I))/(SUMIF('Resident Retention -12 months'!$B:$B,$A$62,'Resident Retention -12 months'!$C:$C)-SUMIF('Resident Retention -12 months'!$B:$B,$A$62,'Resident Retention -12 months'!$J:$J)),0)</f>
        <v>0.55405405405405406</v>
      </c>
      <c r="F67" s="1141">
        <f>IFERROR((SUMIF('Resident Retention -12 months'!$B:$B,$A$62,'Resident Retention -12 months'!$F:$F)+SUMIF('Resident Retention -12 months'!$B:$B,$A$62,'Resident Retention -12 months'!$H:$H)+SUMIF('Resident Retention -12 months'!$B:$B,$A$62,'Resident Retention -12 months'!$I:$I))/(SUMIF('Resident Retention -12 months'!$B:$B,$A$62,'Resident Retention -12 months'!$C:$C)-SUMIF('Resident Retention -12 months'!$B:$B,$A$62,'Resident Retention -12 months'!$J:$J)),0)</f>
        <v>0.55405405405405406</v>
      </c>
      <c r="G67" s="1141">
        <f>IFERROR((SUMIF('Resident Retention -12 months'!$B:$B,$A$62,'Resident Retention -12 months'!$F:$F)+SUMIF('Resident Retention -12 months'!$B:$B,$A$62,'Resident Retention -12 months'!$H:$H)+SUMIF('Resident Retention -12 months'!$B:$B,$A$62,'Resident Retention -12 months'!$I:$I))/(SUMIF('Resident Retention -12 months'!$B:$B,$A$62,'Resident Retention -12 months'!$C:$C)-SUMIF('Resident Retention -12 months'!$B:$B,$A$62,'Resident Retention -12 months'!$J:$J)),0)</f>
        <v>0.55405405405405406</v>
      </c>
      <c r="H67" s="1141">
        <f>IFERROR((SUMIF('Resident Retention -12 months'!$B:$B,$A$62,'Resident Retention -12 months'!$F:$F)+SUMIF('Resident Retention -12 months'!$B:$B,$A$62,'Resident Retention -12 months'!$H:$H)+SUMIF('Resident Retention -12 months'!$B:$B,$A$62,'Resident Retention -12 months'!$I:$I))/(SUMIF('Resident Retention -12 months'!$B:$B,$A$62,'Resident Retention -12 months'!$C:$C)-SUMIF('Resident Retention -12 months'!$B:$B,$A$62,'Resident Retention -12 months'!$J:$J)),0)</f>
        <v>0.55405405405405406</v>
      </c>
      <c r="I67" s="1141">
        <f>IFERROR((SUMIF('Resident Retention -12 months'!$B:$B,$A$62,'Resident Retention -12 months'!$F:$F)+SUMIF('Resident Retention -12 months'!$B:$B,$A$62,'Resident Retention -12 months'!$H:$H)+SUMIF('Resident Retention -12 months'!$B:$B,$A$62,'Resident Retention -12 months'!$I:$I))/(SUMIF('Resident Retention -12 months'!$B:$B,$A$62,'Resident Retention -12 months'!$C:$C)-SUMIF('Resident Retention -12 months'!$B:$B,$A$62,'Resident Retention -12 months'!$J:$J)),0)</f>
        <v>0.55405405405405406</v>
      </c>
      <c r="J67" s="1141">
        <f>IFERROR((SUMIF('Resident Retention -12 months'!$B:$B,$A$62,'Resident Retention -12 months'!$F:$F)+SUMIF('Resident Retention -12 months'!$B:$B,$A$62,'Resident Retention -12 months'!$H:$H)+SUMIF('Resident Retention -12 months'!$B:$B,$A$62,'Resident Retention -12 months'!$I:$I))/(SUMIF('Resident Retention -12 months'!$B:$B,$A$62,'Resident Retention -12 months'!$C:$C)-SUMIF('Resident Retention -12 months'!$B:$B,$A$62,'Resident Retention -12 months'!$J:$J)),0)</f>
        <v>0.55405405405405406</v>
      </c>
      <c r="K67" s="1141">
        <f>IFERROR((SUMIF('Resident Retention -12 months'!$B:$B,$A$62,'Resident Retention -12 months'!$F:$F)+SUMIF('Resident Retention -12 months'!$B:$B,$A$62,'Resident Retention -12 months'!$H:$H)+SUMIF('Resident Retention -12 months'!$B:$B,$A$62,'Resident Retention -12 months'!$I:$I))/(SUMIF('Resident Retention -12 months'!$B:$B,$A$62,'Resident Retention -12 months'!$C:$C)-SUMIF('Resident Retention -12 months'!$B:$B,$A$62,'Resident Retention -12 months'!$J:$J)),0)</f>
        <v>0.55405405405405406</v>
      </c>
      <c r="L67" s="1141">
        <f>IFERROR((SUMIF('Resident Retention -12 months'!$B:$B,$A$62,'Resident Retention -12 months'!$F:$F)+SUMIF('Resident Retention -12 months'!$B:$B,$A$62,'Resident Retention -12 months'!$H:$H)+SUMIF('Resident Retention -12 months'!$B:$B,$A$62,'Resident Retention -12 months'!$I:$I))/(SUMIF('Resident Retention -12 months'!$B:$B,$A$62,'Resident Retention -12 months'!$C:$C)-SUMIF('Resident Retention -12 months'!$B:$B,$A$62,'Resident Retention -12 months'!$J:$J)),0)</f>
        <v>0.55405405405405406</v>
      </c>
      <c r="M67" s="1141">
        <f>IFERROR((SUMIF('Resident Retention -12 months'!$B:$B,$A$62,'Resident Retention -12 months'!$F:$F)+SUMIF('Resident Retention -12 months'!$B:$B,$A$62,'Resident Retention -12 months'!$H:$H)+SUMIF('Resident Retention -12 months'!$B:$B,$A$62,'Resident Retention -12 months'!$I:$I))/(SUMIF('Resident Retention -12 months'!$B:$B,$A$62,'Resident Retention -12 months'!$C:$C)-SUMIF('Resident Retention -12 months'!$B:$B,$A$62,'Resident Retention -12 months'!$J:$J)),0)</f>
        <v>0.55405405405405406</v>
      </c>
      <c r="N67" s="1141">
        <f>IFERROR((SUMIF('Resident Retention -12 months'!$B:$B,$A$62,'Resident Retention -12 months'!$F:$F)+SUMIF('Resident Retention -12 months'!$B:$B,$A$62,'Resident Retention -12 months'!$H:$H)+SUMIF('Resident Retention -12 months'!$B:$B,$A$62,'Resident Retention -12 months'!$I:$I))/(SUMIF('Resident Retention -12 months'!$B:$B,$A$62,'Resident Retention -12 months'!$C:$C)-SUMIF('Resident Retention -12 months'!$B:$B,$A$62,'Resident Retention -12 months'!$J:$J)),0)</f>
        <v>0.55405405405405406</v>
      </c>
      <c r="O67" s="1141">
        <f>IFERROR((SUMIF('Resident Retention -12 months'!$B:$B,$A$62,'Resident Retention -12 months'!$F:$F)+SUMIF('Resident Retention -12 months'!$B:$B,$A$62,'Resident Retention -12 months'!$H:$H)+SUMIF('Resident Retention -12 months'!$B:$B,$A$62,'Resident Retention -12 months'!$I:$I))/(SUMIF('Resident Retention -12 months'!$B:$B,$A$62,'Resident Retention -12 months'!$C:$C)-SUMIF('Resident Retention -12 months'!$B:$B,$A$62,'Resident Retention -12 months'!$J:$J)),0)</f>
        <v>0.55405405405405406</v>
      </c>
      <c r="P67" s="1141">
        <f>IFERROR((SUMIF('Resident Retention -12 months'!$B:$B,$A$62,'Resident Retention -12 months'!$F:$F)+SUMIF('Resident Retention -12 months'!$B:$B,$A$62,'Resident Retention -12 months'!$H:$H)+SUMIF('Resident Retention -12 months'!$B:$B,$A$62,'Resident Retention -12 months'!$I:$I))/(SUMIF('Resident Retention -12 months'!$B:$B,$A$62,'Resident Retention -12 months'!$C:$C)-SUMIF('Resident Retention -12 months'!$B:$B,$A$62,'Resident Retention -12 months'!$J:$J)),0)</f>
        <v>0.55405405405405406</v>
      </c>
      <c r="Q67" s="1141">
        <f>IFERROR((SUMIF('Resident Retention -12 months'!$B:$B,$A$62,'Resident Retention -12 months'!$F:$F)+SUMIF('Resident Retention -12 months'!$B:$B,$A$62,'Resident Retention -12 months'!$H:$H)+SUMIF('Resident Retention -12 months'!$B:$B,$A$62,'Resident Retention -12 months'!$I:$I))/(SUMIF('Resident Retention -12 months'!$B:$B,$A$62,'Resident Retention -12 months'!$C:$C)-SUMIF('Resident Retention -12 months'!$B:$B,$A$62,'Resident Retention -12 months'!$J:$J)),0)</f>
        <v>0.55405405405405406</v>
      </c>
      <c r="R67" s="1141">
        <f>IFERROR((SUMIF('Resident Retention -12 months'!$B:$B,$A$62,'Resident Retention -12 months'!$F:$F)+SUMIF('Resident Retention -12 months'!$B:$B,$A$62,'Resident Retention -12 months'!$H:$H)+SUMIF('Resident Retention -12 months'!$B:$B,$A$62,'Resident Retention -12 months'!$I:$I))/(SUMIF('Resident Retention -12 months'!$B:$B,$A$62,'Resident Retention -12 months'!$C:$C)-SUMIF('Resident Retention -12 months'!$B:$B,$A$62,'Resident Retention -12 months'!$J:$J)),0)</f>
        <v>0.55405405405405406</v>
      </c>
      <c r="S67" s="1141">
        <f>IFERROR((SUMIF('Resident Retention -12 months'!$B:$B,$A$62,'Resident Retention -12 months'!$F:$F)+SUMIF('Resident Retention -12 months'!$B:$B,$A$62,'Resident Retention -12 months'!$H:$H)+SUMIF('Resident Retention -12 months'!$B:$B,$A$62,'Resident Retention -12 months'!$I:$I))/(SUMIF('Resident Retention -12 months'!$B:$B,$A$62,'Resident Retention -12 months'!$C:$C)-SUMIF('Resident Retention -12 months'!$B:$B,$A$62,'Resident Retention -12 months'!$J:$J)),0)</f>
        <v>0.55405405405405406</v>
      </c>
      <c r="T67" s="1141">
        <f>IFERROR((SUMIF('Resident Retention -12 months'!$B:$B,$A$62,'Resident Retention -12 months'!$F:$F)+SUMIF('Resident Retention -12 months'!$B:$B,$A$62,'Resident Retention -12 months'!$H:$H)+SUMIF('Resident Retention -12 months'!$B:$B,$A$62,'Resident Retention -12 months'!$I:$I))/(SUMIF('Resident Retention -12 months'!$B:$B,$A$62,'Resident Retention -12 months'!$C:$C)-SUMIF('Resident Retention -12 months'!$B:$B,$A$62,'Resident Retention -12 months'!$J:$J)),0)</f>
        <v>0.55405405405405406</v>
      </c>
      <c r="U67" s="1141">
        <f>IFERROR((SUMIF('Resident Retention -12 months'!$B:$B,$A$62,'Resident Retention -12 months'!$F:$F)+SUMIF('Resident Retention -12 months'!$B:$B,$A$62,'Resident Retention -12 months'!$H:$H)+SUMIF('Resident Retention -12 months'!$B:$B,$A$62,'Resident Retention -12 months'!$I:$I))/(SUMIF('Resident Retention -12 months'!$B:$B,$A$62,'Resident Retention -12 months'!$C:$C)-SUMIF('Resident Retention -12 months'!$B:$B,$A$62,'Resident Retention -12 months'!$J:$J)),0)</f>
        <v>0.55405405405405406</v>
      </c>
      <c r="V67" s="1141">
        <f>IFERROR((SUMIF('Resident Retention -12 months'!$B:$B,$A$62,'Resident Retention -12 months'!$F:$F)+SUMIF('Resident Retention -12 months'!$B:$B,$A$62,'Resident Retention -12 months'!$H:$H)+SUMIF('Resident Retention -12 months'!$B:$B,$A$62,'Resident Retention -12 months'!$I:$I))/(SUMIF('Resident Retention -12 months'!$B:$B,$A$62,'Resident Retention -12 months'!$C:$C)-SUMIF('Resident Retention -12 months'!$B:$B,$A$62,'Resident Retention -12 months'!$J:$J)),0)</f>
        <v>0.55405405405405406</v>
      </c>
      <c r="W67" s="1141">
        <f>IFERROR((SUMIF('Resident Retention -12 months'!$B:$B,$A$62,'Resident Retention -12 months'!$F:$F)+SUMIF('Resident Retention -12 months'!$B:$B,$A$62,'Resident Retention -12 months'!$H:$H)+SUMIF('Resident Retention -12 months'!$B:$B,$A$62,'Resident Retention -12 months'!$I:$I))/(SUMIF('Resident Retention -12 months'!$B:$B,$A$62,'Resident Retention -12 months'!$C:$C)-SUMIF('Resident Retention -12 months'!$B:$B,$A$62,'Resident Retention -12 months'!$J:$J)),0)</f>
        <v>0.55405405405405406</v>
      </c>
      <c r="X67" s="1141">
        <f>IFERROR((SUMIF('Resident Retention -12 months'!$B:$B,$A$62,'Resident Retention -12 months'!$F:$F)+SUMIF('Resident Retention -12 months'!$B:$B,$A$62,'Resident Retention -12 months'!$H:$H)+SUMIF('Resident Retention -12 months'!$B:$B,$A$62,'Resident Retention -12 months'!$I:$I))/(SUMIF('Resident Retention -12 months'!$B:$B,$A$62,'Resident Retention -12 months'!$C:$C)-SUMIF('Resident Retention -12 months'!$B:$B,$A$62,'Resident Retention -12 months'!$J:$J)),0)</f>
        <v>0.55405405405405406</v>
      </c>
      <c r="Y67" s="1141">
        <f>IFERROR((SUMIF('Resident Retention -12 months'!$B:$B,$A$62,'Resident Retention -12 months'!$F:$F)+SUMIF('Resident Retention -12 months'!$B:$B,$A$62,'Resident Retention -12 months'!$H:$H)+SUMIF('Resident Retention -12 months'!$B:$B,$A$62,'Resident Retention -12 months'!$I:$I))/(SUMIF('Resident Retention -12 months'!$B:$B,$A$62,'Resident Retention -12 months'!$C:$C)-SUMIF('Resident Retention -12 months'!$B:$B,$A$62,'Resident Retention -12 months'!$J:$J)),0)</f>
        <v>0.55405405405405406</v>
      </c>
      <c r="Z67" s="1141">
        <f>IFERROR((SUMIF('Resident Retention -12 months'!$B:$B,$A$62,'Resident Retention -12 months'!$F:$F)+SUMIF('Resident Retention -12 months'!$B:$B,$A$62,'Resident Retention -12 months'!$H:$H)+SUMIF('Resident Retention -12 months'!$B:$B,$A$62,'Resident Retention -12 months'!$I:$I))/(SUMIF('Resident Retention -12 months'!$B:$B,$A$62,'Resident Retention -12 months'!$C:$C)-SUMIF('Resident Retention -12 months'!$B:$B,$A$62,'Resident Retention -12 months'!$J:$J)),0)</f>
        <v>0.55405405405405406</v>
      </c>
      <c r="AA67" s="1141">
        <f>IFERROR((SUMIF('Resident Retention -12 months'!$B:$B,$A$62,'Resident Retention -12 months'!$F:$F)+SUMIF('Resident Retention -12 months'!$B:$B,$A$62,'Resident Retention -12 months'!$H:$H)+SUMIF('Resident Retention -12 months'!$B:$B,$A$62,'Resident Retention -12 months'!$I:$I))/(SUMIF('Resident Retention -12 months'!$B:$B,$A$62,'Resident Retention -12 months'!$C:$C)-SUMIF('Resident Retention -12 months'!$B:$B,$A$62,'Resident Retention -12 months'!$J:$J)),0)</f>
        <v>0.55405405405405406</v>
      </c>
      <c r="AB67" s="1141">
        <f>IFERROR((SUMIF('Resident Retention -12 months'!$B:$B,$A$62,'Resident Retention -12 months'!$F:$F)+SUMIF('Resident Retention -12 months'!$B:$B,$A$62,'Resident Retention -12 months'!$H:$H)+SUMIF('Resident Retention -12 months'!$B:$B,$A$62,'Resident Retention -12 months'!$I:$I))/(SUMIF('Resident Retention -12 months'!$B:$B,$A$62,'Resident Retention -12 months'!$C:$C)-SUMIF('Resident Retention -12 months'!$B:$B,$A$62,'Resident Retention -12 months'!$J:$J)),0)</f>
        <v>0.55405405405405406</v>
      </c>
      <c r="AC67" s="1141">
        <f>IFERROR((SUMIF('Resident Retention -12 months'!$B:$B,$A$62,'Resident Retention -12 months'!$F:$F)+SUMIF('Resident Retention -12 months'!$B:$B,$A$62,'Resident Retention -12 months'!$H:$H)+SUMIF('Resident Retention -12 months'!$B:$B,$A$62,'Resident Retention -12 months'!$I:$I))/(SUMIF('Resident Retention -12 months'!$B:$B,$A$62,'Resident Retention -12 months'!$C:$C)-SUMIF('Resident Retention -12 months'!$B:$B,$A$62,'Resident Retention -12 months'!$J:$J)),0)</f>
        <v>0.55405405405405406</v>
      </c>
      <c r="AD67" s="1141">
        <v>0.5</v>
      </c>
      <c r="AE67" s="1141">
        <v>0.55405405405405406</v>
      </c>
      <c r="AF67" s="1141">
        <v>0.55405405405405406</v>
      </c>
      <c r="AG67" s="1141">
        <v>0.56756756756756754</v>
      </c>
      <c r="AH67" s="1141">
        <v>0.56756756756756754</v>
      </c>
      <c r="AI67" s="1141">
        <v>0.55405405405405406</v>
      </c>
      <c r="AJ67" s="1141">
        <v>0.55405405405405406</v>
      </c>
      <c r="AK67" s="1141">
        <f>IFERROR((SUMIF('Resident Retention -12 months'!$B:$B,$A$62,'Resident Retention -12 months'!$F:$F)+SUMIF('Resident Retention -12 months'!$B:$B,$A$62,'Resident Retention -12 months'!$H:$H)+SUMIF('Resident Retention -12 months'!$B:$B,$A$62,'Resident Retention -12 months'!$I:$I))/(SUMIF('Resident Retention -12 months'!$B:$B,$A$62,'Resident Retention -12 months'!$C:$C)-SUMIF('Resident Retention -12 months'!$B:$B,$A$62,'Resident Retention -12 months'!$J:$J)),0)</f>
        <v>0.55405405405405406</v>
      </c>
    </row>
    <row r="68" spans="1:37" ht="15" customHeight="1">
      <c r="A68" s="224" t="s">
        <v>1046</v>
      </c>
      <c r="B68" s="1227"/>
      <c r="C68" s="1228"/>
      <c r="D68" s="1140"/>
      <c r="E68" s="1140"/>
      <c r="F68" s="1141"/>
      <c r="G68" s="1141"/>
      <c r="H68" s="1141"/>
      <c r="I68" s="1141"/>
      <c r="J68" s="1141"/>
      <c r="K68" s="1141"/>
      <c r="L68" s="1141"/>
      <c r="M68" s="1141"/>
      <c r="N68" s="1141"/>
      <c r="O68" s="1141"/>
      <c r="P68" s="1141"/>
      <c r="Q68" s="1141"/>
      <c r="R68" s="1141"/>
      <c r="S68" s="1141"/>
      <c r="T68" s="1141"/>
      <c r="U68" s="1141"/>
      <c r="V68" s="1141"/>
      <c r="W68" s="1141"/>
      <c r="X68" s="1141"/>
      <c r="Y68" s="1141"/>
      <c r="Z68" s="1141"/>
      <c r="AA68" s="1141"/>
      <c r="AB68" s="1141"/>
      <c r="AC68" s="1141"/>
      <c r="AD68" s="1141"/>
      <c r="AE68" s="1141"/>
      <c r="AF68" s="1141"/>
      <c r="AG68" s="1141"/>
      <c r="AH68" s="1141"/>
      <c r="AI68" s="1141"/>
      <c r="AJ68" s="1141"/>
      <c r="AK68" s="1141"/>
    </row>
    <row r="69" spans="1:37" ht="15" customHeight="1">
      <c r="A69" s="318">
        <v>46235</v>
      </c>
      <c r="B69" s="1138" t="s">
        <v>951</v>
      </c>
      <c r="C69" s="1139" t="s">
        <v>1021</v>
      </c>
      <c r="D69" s="1140"/>
      <c r="E69" s="1140"/>
      <c r="F69" s="1141"/>
      <c r="G69" s="1141"/>
      <c r="H69" s="1141"/>
      <c r="I69" s="1141"/>
      <c r="J69" s="1141"/>
      <c r="K69" s="1141"/>
      <c r="L69" s="1141"/>
      <c r="M69" s="1141"/>
      <c r="N69" s="1141"/>
      <c r="O69" s="1141"/>
      <c r="P69" s="1141"/>
      <c r="Q69" s="1141"/>
      <c r="R69" s="1141"/>
      <c r="S69" s="1141"/>
      <c r="T69" s="1141"/>
      <c r="U69" s="1141"/>
      <c r="V69" s="1141"/>
      <c r="W69" s="1141"/>
      <c r="X69" s="1141"/>
      <c r="Y69" s="1141"/>
      <c r="Z69" s="1141"/>
      <c r="AA69" s="1141"/>
      <c r="AB69" s="1141"/>
      <c r="AC69" s="1141"/>
      <c r="AD69" s="1147">
        <v>51</v>
      </c>
      <c r="AE69" s="1147">
        <v>51</v>
      </c>
      <c r="AF69" s="1147">
        <v>51</v>
      </c>
      <c r="AG69" s="1147">
        <v>51</v>
      </c>
      <c r="AH69" s="1147">
        <v>51</v>
      </c>
      <c r="AI69" s="1147">
        <v>51</v>
      </c>
      <c r="AJ69" s="1147">
        <v>51</v>
      </c>
      <c r="AK69" s="1147">
        <f ca="1">SUMIF('Resident Retention -12 months'!$B:$J,Data_2!$A$69,'Resident Retention -12 months'!$C:$C)-SUMIF('Resident Retention -12 months'!$B:$J,Data_2!$A$69,'Resident Retention -12 months'!$J:$J)</f>
        <v>51</v>
      </c>
    </row>
    <row r="70" spans="1:37" ht="15" customHeight="1">
      <c r="B70" s="1138" t="s">
        <v>1041</v>
      </c>
      <c r="C70" s="1139" t="s">
        <v>1021</v>
      </c>
      <c r="D70" s="1140"/>
      <c r="E70" s="1140"/>
      <c r="F70" s="1141"/>
      <c r="G70" s="1141"/>
      <c r="H70" s="1141"/>
      <c r="I70" s="1141"/>
      <c r="J70" s="1141"/>
      <c r="K70" s="1141"/>
      <c r="L70" s="1141"/>
      <c r="M70" s="1141"/>
      <c r="N70" s="1141"/>
      <c r="O70" s="1141"/>
      <c r="P70" s="1141"/>
      <c r="Q70" s="1141"/>
      <c r="R70" s="1141"/>
      <c r="S70" s="1141"/>
      <c r="T70" s="1141"/>
      <c r="U70" s="1141"/>
      <c r="V70" s="1141"/>
      <c r="W70" s="1141"/>
      <c r="X70" s="1141"/>
      <c r="Y70" s="1141"/>
      <c r="Z70" s="1141"/>
      <c r="AA70" s="1141"/>
      <c r="AB70" s="1141"/>
      <c r="AC70" s="1141"/>
      <c r="AD70" s="1147">
        <v>5</v>
      </c>
      <c r="AE70" s="1147">
        <v>5</v>
      </c>
      <c r="AF70" s="1147">
        <v>5</v>
      </c>
      <c r="AG70" s="1147">
        <v>6</v>
      </c>
      <c r="AH70" s="1147">
        <v>7</v>
      </c>
      <c r="AI70" s="1147">
        <v>7</v>
      </c>
      <c r="AJ70" s="1147">
        <v>8</v>
      </c>
      <c r="AK70" s="1147">
        <f ca="1">SUMIF('Resident Retention -12 months'!$B:$J,Data_2!$A$69,'Resident Retention -12 months'!$D:$D)</f>
        <v>8</v>
      </c>
    </row>
    <row r="71" spans="1:37" ht="15" customHeight="1">
      <c r="B71" s="1138" t="s">
        <v>954</v>
      </c>
      <c r="C71" s="1139" t="s">
        <v>1021</v>
      </c>
      <c r="D71" s="1140"/>
      <c r="E71" s="1140"/>
      <c r="F71" s="1141"/>
      <c r="G71" s="1141"/>
      <c r="H71" s="1141"/>
      <c r="I71" s="1141"/>
      <c r="J71" s="1141"/>
      <c r="K71" s="1141"/>
      <c r="L71" s="1141"/>
      <c r="M71" s="1141"/>
      <c r="N71" s="1141"/>
      <c r="O71" s="1141"/>
      <c r="P71" s="1141"/>
      <c r="Q71" s="1141"/>
      <c r="R71" s="1141"/>
      <c r="S71" s="1141"/>
      <c r="T71" s="1141"/>
      <c r="U71" s="1141"/>
      <c r="V71" s="1141"/>
      <c r="W71" s="1141"/>
      <c r="X71" s="1141"/>
      <c r="Y71" s="1141"/>
      <c r="Z71" s="1141"/>
      <c r="AA71" s="1141"/>
      <c r="AB71" s="1141"/>
      <c r="AC71" s="1141"/>
      <c r="AD71" s="1147">
        <v>11</v>
      </c>
      <c r="AE71" s="1147">
        <v>12</v>
      </c>
      <c r="AF71" s="1147">
        <v>12</v>
      </c>
      <c r="AG71" s="1147">
        <v>11</v>
      </c>
      <c r="AH71" s="1147">
        <v>11</v>
      </c>
      <c r="AI71" s="1147">
        <v>11</v>
      </c>
      <c r="AJ71" s="1147">
        <v>12</v>
      </c>
      <c r="AK71" s="1147">
        <f ca="1">SUMIF('Resident Retention -12 months'!$B:$J,Data_2!$A$69,'Resident Retention -12 months'!$E:$E)</f>
        <v>12</v>
      </c>
    </row>
    <row r="72" spans="1:37" ht="15" customHeight="1">
      <c r="B72" s="1138" t="s">
        <v>956</v>
      </c>
      <c r="C72" s="1139">
        <v>0</v>
      </c>
      <c r="D72" s="1140"/>
      <c r="E72" s="1140"/>
      <c r="F72" s="1141"/>
      <c r="G72" s="1141"/>
      <c r="H72" s="1141"/>
      <c r="I72" s="1141"/>
      <c r="J72" s="1141"/>
      <c r="K72" s="1141"/>
      <c r="L72" s="1141"/>
      <c r="M72" s="1141"/>
      <c r="N72" s="1141"/>
      <c r="O72" s="1141"/>
      <c r="P72" s="1141"/>
      <c r="Q72" s="1141"/>
      <c r="R72" s="1141"/>
      <c r="S72" s="1141"/>
      <c r="T72" s="1141"/>
      <c r="U72" s="1141"/>
      <c r="V72" s="1141"/>
      <c r="W72" s="1141"/>
      <c r="X72" s="1141"/>
      <c r="Y72" s="1141"/>
      <c r="Z72" s="1141"/>
      <c r="AA72" s="1141"/>
      <c r="AB72" s="1141"/>
      <c r="AC72" s="1141"/>
      <c r="AD72" s="1141">
        <v>0.25490196078431371</v>
      </c>
      <c r="AE72" s="1141">
        <v>0.37254901960784315</v>
      </c>
      <c r="AF72" s="1141">
        <v>0.47058823529411764</v>
      </c>
      <c r="AG72" s="1141">
        <v>0.52941176470588236</v>
      </c>
      <c r="AH72" s="1141">
        <v>0.56862745098039214</v>
      </c>
      <c r="AI72" s="1141">
        <v>0.60784313725490191</v>
      </c>
      <c r="AJ72" s="1141">
        <v>0.60784313725490191</v>
      </c>
      <c r="AK72" s="1141">
        <f>IFERROR((SUMIF('Resident Retention -12 months'!$B:$B,$A$69,'Resident Retention -12 months'!$F:$F)+SUMIF('Resident Retention -12 months'!$B:$B,$A$69,'Resident Retention -12 months'!$H:$H))/(SUMIF('Resident Retention -12 months'!$B:$B,$A$69,'Resident Retention -12 months'!$C:$C)-SUMIF('Resident Retention -12 months'!$B:$B,$A$69,'Resident Retention -12 months'!$J:$J)),0)</f>
        <v>0.60784313725490191</v>
      </c>
    </row>
    <row r="73" spans="1:37" ht="15" customHeight="1">
      <c r="B73" s="1138" t="s">
        <v>953</v>
      </c>
      <c r="C73" s="1139" t="s">
        <v>1021</v>
      </c>
      <c r="D73" s="1145" cm="1">
        <f t="array" ref="D73">SUMPRODUCT(((Move_Out_Reasons!H2:H1000="Skipped Without Notice")+(Move_Out_Reasons!H2:H1000="Skipped During Eviction")+(Move_Out_Reasons!H2:H1000="Eviction")+(Move_Out_Reasons!H2:H1000="Failure To Pay"))*(Move_Out_Reasons!F2:F1000&gt;=$A$69)*(Move_Out_Reasons!F2:F1000&lt;=EOMONTH($A$69,0)))</f>
        <v>6</v>
      </c>
      <c r="E73" s="1145" cm="1">
        <f t="array" ref="E73">SUMPRODUCT(((Move_Out_Reasons!H2:H1000="Skipped Without Notice")+(Move_Out_Reasons!H2:H1000="Skipped During Eviction")+(Move_Out_Reasons!H2:H1000="Eviction")+(Move_Out_Reasons!H2:H1000="Failure To Pay"))*(Move_Out_Reasons!F2:F1000&gt;=$A$69)*(Move_Out_Reasons!F2:F1000&lt;=EOMONTH($A$69,0)))</f>
        <v>6</v>
      </c>
      <c r="F73" s="1146" cm="1">
        <f t="array" ref="F73">SUMPRODUCT(((Move_Out_Reasons!H2:H1000="Skipped Without Notice")+(Move_Out_Reasons!H2:H1000="Skipped During Eviction")+(Move_Out_Reasons!H2:H1000="Eviction")+(Move_Out_Reasons!H2:H1000="Failure To Pay"))*(Move_Out_Reasons!F2:F1000&gt;=$A$69)*(Move_Out_Reasons!F2:F1000&lt;=EOMONTH($A$69,0)))</f>
        <v>6</v>
      </c>
      <c r="G73" s="1146" cm="1">
        <f t="array" ref="G73">SUMPRODUCT(((Move_Out_Reasons!H2:H1000="Skipped Without Notice")+(Move_Out_Reasons!H2:H1000="Skipped During Eviction")+(Move_Out_Reasons!H2:H1000="Eviction")+(Move_Out_Reasons!H2:H1000="Failure To Pay"))*(Move_Out_Reasons!F2:F1000&gt;=$A$69)*(Move_Out_Reasons!F2:F1000&lt;=EOMONTH($A$69,0)))</f>
        <v>6</v>
      </c>
      <c r="H73" s="1146" cm="1">
        <f t="array" ref="H73">SUMPRODUCT(((Move_Out_Reasons!H2:H1000="Skipped Without Notice")+(Move_Out_Reasons!H2:H1000="Skipped During Eviction")+(Move_Out_Reasons!H2:H1000="Eviction")+(Move_Out_Reasons!H2:H1000="Failure To Pay"))*(Move_Out_Reasons!F2:F1000&gt;=$A$69)*(Move_Out_Reasons!F2:F1000&lt;=EOMONTH($A$69,0)))</f>
        <v>6</v>
      </c>
      <c r="I73" s="1146" cm="1">
        <f t="array" ref="I73">SUMPRODUCT(((Move_Out_Reasons!H2:H1000="Skipped Without Notice")+(Move_Out_Reasons!H2:H1000="Skipped During Eviction")+(Move_Out_Reasons!H2:H1000="Eviction")+(Move_Out_Reasons!H2:H1000="Failure To Pay"))*(Move_Out_Reasons!F2:F1000&gt;=$A$69)*(Move_Out_Reasons!F2:F1000&lt;=EOMONTH($A$69,0)))</f>
        <v>6</v>
      </c>
      <c r="J73" s="1146" cm="1">
        <f t="array" ref="J73">SUMPRODUCT(((Move_Out_Reasons!H2:H1000="Skipped Without Notice")+(Move_Out_Reasons!H2:H1000="Skipped During Eviction")+(Move_Out_Reasons!H2:H1000="Eviction")+(Move_Out_Reasons!H2:H1000="Failure To Pay"))*(Move_Out_Reasons!F2:F1000&gt;=$A$69)*(Move_Out_Reasons!F2:F1000&lt;=EOMONTH($A$69,0)))</f>
        <v>6</v>
      </c>
      <c r="K73" s="1146" cm="1">
        <f t="array" ref="K73">SUMPRODUCT(((Move_Out_Reasons!H2:H1000="Skipped Without Notice")+(Move_Out_Reasons!H2:H1000="Skipped During Eviction")+(Move_Out_Reasons!H2:H1000="Eviction")+(Move_Out_Reasons!H2:H1000="Failure To Pay"))*(Move_Out_Reasons!F2:F1000&gt;=$A$69)*(Move_Out_Reasons!F2:F1000&lt;=EOMONTH($A$69,0)))</f>
        <v>6</v>
      </c>
      <c r="L73" s="1146" cm="1">
        <f t="array" ref="L73">SUMPRODUCT(((Move_Out_Reasons!H2:H1000="Skipped Without Notice")+(Move_Out_Reasons!H2:H1000="Skipped During Eviction")+(Move_Out_Reasons!H2:H1000="Eviction")+(Move_Out_Reasons!H2:H1000="Failure To Pay"))*(Move_Out_Reasons!F2:F1000&gt;=$A$69)*(Move_Out_Reasons!F2:F1000&lt;=EOMONTH($A$69,0)))</f>
        <v>6</v>
      </c>
      <c r="M73" s="1146" cm="1">
        <f t="array" ref="M73">SUMPRODUCT(((Move_Out_Reasons!H2:H1000="Skipped Without Notice")+(Move_Out_Reasons!H2:H1000="Skipped During Eviction")+(Move_Out_Reasons!H2:H1000="Eviction")+(Move_Out_Reasons!H2:H1000="Failure To Pay"))*(Move_Out_Reasons!F2:F1000&gt;=$A$69)*(Move_Out_Reasons!F2:F1000&lt;=EOMONTH($A$69,0)))</f>
        <v>6</v>
      </c>
      <c r="N73" s="1146" cm="1">
        <f t="array" ref="N73">SUMPRODUCT(((Move_Out_Reasons!H2:H1000="Skipped Without Notice")+(Move_Out_Reasons!H2:H1000="Skipped During Eviction")+(Move_Out_Reasons!H2:H1000="Eviction")+(Move_Out_Reasons!H2:H1000="Failure To Pay"))*(Move_Out_Reasons!F2:F1000&gt;=$A$69)*(Move_Out_Reasons!F2:F1000&lt;=EOMONTH($A$69,0)))</f>
        <v>6</v>
      </c>
      <c r="O73" s="1146" cm="1">
        <f t="array" ref="O73">SUMPRODUCT(((Move_Out_Reasons!H2:H1000="Skipped Without Notice")+(Move_Out_Reasons!H2:H1000="Skipped During Eviction")+(Move_Out_Reasons!H2:H1000="Eviction")+(Move_Out_Reasons!H2:H1000="Failure To Pay"))*(Move_Out_Reasons!F2:F1000&gt;=$A$69)*(Move_Out_Reasons!F2:F1000&lt;=EOMONTH($A$69,0)))</f>
        <v>6</v>
      </c>
      <c r="P73" s="1146" cm="1">
        <f t="array" ref="P73">SUMPRODUCT(((Move_Out_Reasons!H2:H1000="Skipped Without Notice")+(Move_Out_Reasons!H2:H1000="Skipped During Eviction")+(Move_Out_Reasons!H2:H1000="Eviction")+(Move_Out_Reasons!H2:H1000="Failure To Pay"))*(Move_Out_Reasons!F2:F1000&gt;=$A$69)*(Move_Out_Reasons!F2:F1000&lt;=EOMONTH($A$69,0)))</f>
        <v>6</v>
      </c>
      <c r="Q73" s="1146" cm="1">
        <f t="array" ref="Q73">SUMPRODUCT(((Move_Out_Reasons!H2:H1000="Skipped Without Notice")+(Move_Out_Reasons!H2:H1000="Skipped During Eviction")+(Move_Out_Reasons!H2:H1000="Eviction")+(Move_Out_Reasons!H2:H1000="Failure To Pay"))*(Move_Out_Reasons!F2:F1000&gt;=$A$69)*(Move_Out_Reasons!F2:F1000&lt;=EOMONTH($A$69,0)))</f>
        <v>6</v>
      </c>
      <c r="R73" s="1146" cm="1">
        <f t="array" ref="R73">SUMPRODUCT(((Move_Out_Reasons!H2:H1000="Skipped Without Notice")+(Move_Out_Reasons!H2:H1000="Skipped During Eviction")+(Move_Out_Reasons!H2:H1000="Eviction")+(Move_Out_Reasons!H2:H1000="Failure To Pay"))*(Move_Out_Reasons!F2:F1000&gt;=$A$69)*(Move_Out_Reasons!F2:F1000&lt;=EOMONTH($A$69,0)))</f>
        <v>6</v>
      </c>
      <c r="S73" s="1146" cm="1">
        <f t="array" ref="S73">SUMPRODUCT(((Move_Out_Reasons!H2:H1000="Skipped Without Notice")+(Move_Out_Reasons!H2:H1000="Skipped During Eviction")+(Move_Out_Reasons!H2:H1000="Eviction")+(Move_Out_Reasons!H2:H1000="Failure To Pay"))*(Move_Out_Reasons!F2:F1000&gt;=$A$69)*(Move_Out_Reasons!F2:F1000&lt;=EOMONTH($A$69,0)))</f>
        <v>6</v>
      </c>
      <c r="T73" s="1146" cm="1">
        <f t="array" ref="T73">SUMPRODUCT(((Move_Out_Reasons!H2:H1000="Skipped Without Notice")+(Move_Out_Reasons!H2:H1000="Skipped During Eviction")+(Move_Out_Reasons!H2:H1000="Eviction")+(Move_Out_Reasons!H2:H1000="Failure To Pay"))*(Move_Out_Reasons!F2:F1000&gt;=$A$69)*(Move_Out_Reasons!F2:F1000&lt;=EOMONTH($A$69,0)))</f>
        <v>6</v>
      </c>
      <c r="U73" s="1146" cm="1">
        <f t="array" ref="U73">SUMPRODUCT(((Move_Out_Reasons!H2:H1000="Skipped Without Notice")+(Move_Out_Reasons!H2:H1000="Skipped During Eviction")+(Move_Out_Reasons!H2:H1000="Eviction")+(Move_Out_Reasons!H2:H1000="Failure To Pay"))*(Move_Out_Reasons!F2:F1000&gt;=$A$69)*(Move_Out_Reasons!F2:F1000&lt;=EOMONTH($A$69,0)))</f>
        <v>6</v>
      </c>
      <c r="V73" s="1146" cm="1">
        <f t="array" ref="V73">SUMPRODUCT(((Move_Out_Reasons!H2:H1000="Skipped Without Notice")+(Move_Out_Reasons!H2:H1000="Skipped During Eviction")+(Move_Out_Reasons!H2:H1000="Eviction")+(Move_Out_Reasons!H2:H1000="Failure To Pay"))*(Move_Out_Reasons!F2:F1000&gt;=$A$69)*(Move_Out_Reasons!F2:F1000&lt;=EOMONTH($A$69,0)))</f>
        <v>6</v>
      </c>
      <c r="W73" s="1146" cm="1">
        <f t="array" ref="W73">SUMPRODUCT(((Move_Out_Reasons!H2:H1000="Skipped Without Notice")+(Move_Out_Reasons!H2:H1000="Skipped During Eviction")+(Move_Out_Reasons!H2:H1000="Eviction")+(Move_Out_Reasons!H2:H1000="Failure To Pay"))*(Move_Out_Reasons!F2:F1000&gt;=$A$69)*(Move_Out_Reasons!F2:F1000&lt;=EOMONTH($A$69,0)))</f>
        <v>6</v>
      </c>
      <c r="X73" s="1146" cm="1">
        <f t="array" ref="X73">SUMPRODUCT(((Move_Out_Reasons!H2:H1000="Skipped Without Notice")+(Move_Out_Reasons!H2:H1000="Skipped During Eviction")+(Move_Out_Reasons!H2:H1000="Eviction")+(Move_Out_Reasons!H2:H1000="Failure To Pay"))*(Move_Out_Reasons!F2:F1000&gt;=$A$69)*(Move_Out_Reasons!F2:F1000&lt;=EOMONTH($A$69,0)))</f>
        <v>6</v>
      </c>
      <c r="Y73" s="1146" cm="1">
        <f t="array" ref="Y73">SUMPRODUCT(((Move_Out_Reasons!H2:H1000="Skipped Without Notice")+(Move_Out_Reasons!H2:H1000="Skipped During Eviction")+(Move_Out_Reasons!H2:H1000="Eviction")+(Move_Out_Reasons!H2:H1000="Failure To Pay"))*(Move_Out_Reasons!F2:F1000&gt;=$A$69)*(Move_Out_Reasons!F2:F1000&lt;=EOMONTH($A$69,0)))</f>
        <v>6</v>
      </c>
      <c r="Z73" s="1146" cm="1">
        <f t="array" ref="Z73">SUMPRODUCT(((Move_Out_Reasons!H2:H1000="Skipped Without Notice")+(Move_Out_Reasons!H2:H1000="Skipped During Eviction")+(Move_Out_Reasons!H2:H1000="Eviction")+(Move_Out_Reasons!H2:H1000="Failure To Pay"))*(Move_Out_Reasons!F2:F1000&gt;=$A$69)*(Move_Out_Reasons!F2:F1000&lt;=EOMONTH($A$69,0)))</f>
        <v>6</v>
      </c>
      <c r="AA73" s="1146" cm="1">
        <f t="array" ref="AA73">SUMPRODUCT(((Move_Out_Reasons!H2:H1000="Skipped Without Notice")+(Move_Out_Reasons!H2:H1000="Skipped During Eviction")+(Move_Out_Reasons!H2:H1000="Eviction")+(Move_Out_Reasons!H2:H1000="Failure To Pay"))*(Move_Out_Reasons!F2:F1000&gt;=$A$69)*(Move_Out_Reasons!F2:F1000&lt;=EOMONTH($A$69,0)))</f>
        <v>6</v>
      </c>
      <c r="AB73" s="1146" cm="1">
        <f t="array" ref="AB73">SUMPRODUCT(((Move_Out_Reasons!H2:H1000="Skipped Without Notice")+(Move_Out_Reasons!H2:H1000="Skipped During Eviction")+(Move_Out_Reasons!H2:H1000="Eviction")+(Move_Out_Reasons!H2:H1000="Failure To Pay"))*(Move_Out_Reasons!F2:F1000&gt;=$A$69)*(Move_Out_Reasons!F2:F1000&lt;=EOMONTH($A$69,0)))</f>
        <v>6</v>
      </c>
      <c r="AC73" s="1146" cm="1">
        <f t="array" ref="AC73">SUMPRODUCT(((Move_Out_Reasons!H2:H1000="Skipped Without Notice")+(Move_Out_Reasons!H2:H1000="Skipped During Eviction")+(Move_Out_Reasons!H2:H1000="Eviction")+(Move_Out_Reasons!H2:H1000="Failure To Pay"))*(Move_Out_Reasons!F2:F1000&gt;=$A$69)*(Move_Out_Reasons!F2:F1000&lt;=EOMONTH($A$69,0)))</f>
        <v>6</v>
      </c>
      <c r="AD73" s="1146">
        <v>2</v>
      </c>
      <c r="AE73" s="1146">
        <v>2</v>
      </c>
      <c r="AF73" s="1146">
        <v>0</v>
      </c>
      <c r="AG73" s="1146">
        <v>0</v>
      </c>
      <c r="AH73" s="1146">
        <v>0</v>
      </c>
      <c r="AI73" s="1146">
        <v>0</v>
      </c>
      <c r="AJ73" s="1146">
        <v>0</v>
      </c>
      <c r="AK73" s="1146" cm="1">
        <f t="array" ref="AK73">SUMPRODUCT(((Move_Out_Reasons!N2:N1000="Skipped Without Notice")+(Move_Out_Reasons!N2:N1000="Skipped During Eviction")+(Move_Out_Reasons!N2:N1000="Eviction")+(Move_Out_Reasons!N2:N1000="Failure To Pay"))*(Move_Out_Reasons!L2:L1000&gt;=$A$69)*(Move_Out_Reasons!L2:L1000&lt;=EOMONTH($A$69,0)))</f>
        <v>0</v>
      </c>
    </row>
    <row r="74" spans="1:37" ht="15" customHeight="1">
      <c r="B74" s="1138" t="s">
        <v>957</v>
      </c>
      <c r="C74" s="1139">
        <v>0</v>
      </c>
      <c r="D74" s="1140">
        <f>IFERROR((SUMIF('Resident Retention -12 months'!$B:$B,$A$69,'Resident Retention -12 months'!$F:$F)+SUMIF('Resident Retention -12 months'!$B:$B,$A$69,'Resident Retention -12 months'!$H:$H)+SUMIF('Resident Retention -12 months'!$B:$B,$A$69,'Resident Retention -12 months'!$I:$I))/(SUMIF('Resident Retention -12 months'!$B:$B,$A$69,'Resident Retention -12 months'!$C:$C)-SUMIF('Resident Retention -12 months'!$B:$B,$A$69,'Resident Retention -12 months'!$J:$J)),0)</f>
        <v>0.60784313725490191</v>
      </c>
      <c r="E74" s="1140">
        <f>IFERROR((SUMIF('Resident Retention -12 months'!$B:$B,$A$69,'Resident Retention -12 months'!$F:$F)+SUMIF('Resident Retention -12 months'!$B:$B,$A$69,'Resident Retention -12 months'!$H:$H)+SUMIF('Resident Retention -12 months'!$B:$B,$A$69,'Resident Retention -12 months'!$I:$I))/(SUMIF('Resident Retention -12 months'!$B:$B,$A$69,'Resident Retention -12 months'!$C:$C)-SUMIF('Resident Retention -12 months'!$B:$B,$A$69,'Resident Retention -12 months'!$J:$J)),0)</f>
        <v>0.60784313725490191</v>
      </c>
      <c r="F74" s="1141">
        <f>IFERROR((SUMIF('Resident Retention -12 months'!$B:$B,$A$69,'Resident Retention -12 months'!$F:$F)+SUMIF('Resident Retention -12 months'!$B:$B,$A$69,'Resident Retention -12 months'!$H:$H)+SUMIF('Resident Retention -12 months'!$B:$B,$A$69,'Resident Retention -12 months'!$I:$I))/(SUMIF('Resident Retention -12 months'!$B:$B,$A$69,'Resident Retention -12 months'!$C:$C)-SUMIF('Resident Retention -12 months'!$B:$B,$A$69,'Resident Retention -12 months'!$J:$J)),0)</f>
        <v>0.60784313725490191</v>
      </c>
      <c r="G74" s="1141">
        <f>IFERROR((SUMIF('Resident Retention -12 months'!$B:$B,$A$69,'Resident Retention -12 months'!$F:$F)+SUMIF('Resident Retention -12 months'!$B:$B,$A$69,'Resident Retention -12 months'!$H:$H)+SUMIF('Resident Retention -12 months'!$B:$B,$A$69,'Resident Retention -12 months'!$I:$I))/(SUMIF('Resident Retention -12 months'!$B:$B,$A$69,'Resident Retention -12 months'!$C:$C)-SUMIF('Resident Retention -12 months'!$B:$B,$A$69,'Resident Retention -12 months'!$J:$J)),0)</f>
        <v>0.60784313725490191</v>
      </c>
      <c r="H74" s="1141">
        <f>IFERROR((SUMIF('Resident Retention -12 months'!$B:$B,$A$69,'Resident Retention -12 months'!$F:$F)+SUMIF('Resident Retention -12 months'!$B:$B,$A$69,'Resident Retention -12 months'!$H:$H)+SUMIF('Resident Retention -12 months'!$B:$B,$A$69,'Resident Retention -12 months'!$I:$I))/(SUMIF('Resident Retention -12 months'!$B:$B,$A$69,'Resident Retention -12 months'!$C:$C)-SUMIF('Resident Retention -12 months'!$B:$B,$A$69,'Resident Retention -12 months'!$J:$J)),0)</f>
        <v>0.60784313725490191</v>
      </c>
      <c r="I74" s="1141">
        <f>IFERROR((SUMIF('Resident Retention -12 months'!$B:$B,$A$69,'Resident Retention -12 months'!$F:$F)+SUMIF('Resident Retention -12 months'!$B:$B,$A$69,'Resident Retention -12 months'!$H:$H)+SUMIF('Resident Retention -12 months'!$B:$B,$A$69,'Resident Retention -12 months'!$I:$I))/(SUMIF('Resident Retention -12 months'!$B:$B,$A$69,'Resident Retention -12 months'!$C:$C)-SUMIF('Resident Retention -12 months'!$B:$B,$A$69,'Resident Retention -12 months'!$J:$J)),0)</f>
        <v>0.60784313725490191</v>
      </c>
      <c r="J74" s="1141">
        <f>IFERROR((SUMIF('Resident Retention -12 months'!$B:$B,$A$69,'Resident Retention -12 months'!$F:$F)+SUMIF('Resident Retention -12 months'!$B:$B,$A$69,'Resident Retention -12 months'!$H:$H)+SUMIF('Resident Retention -12 months'!$B:$B,$A$69,'Resident Retention -12 months'!$I:$I))/(SUMIF('Resident Retention -12 months'!$B:$B,$A$69,'Resident Retention -12 months'!$C:$C)-SUMIF('Resident Retention -12 months'!$B:$B,$A$69,'Resident Retention -12 months'!$J:$J)),0)</f>
        <v>0.60784313725490191</v>
      </c>
      <c r="K74" s="1141">
        <f>IFERROR((SUMIF('Resident Retention -12 months'!$B:$B,$A$69,'Resident Retention -12 months'!$F:$F)+SUMIF('Resident Retention -12 months'!$B:$B,$A$69,'Resident Retention -12 months'!$H:$H)+SUMIF('Resident Retention -12 months'!$B:$B,$A$69,'Resident Retention -12 months'!$I:$I))/(SUMIF('Resident Retention -12 months'!$B:$B,$A$69,'Resident Retention -12 months'!$C:$C)-SUMIF('Resident Retention -12 months'!$B:$B,$A$69,'Resident Retention -12 months'!$J:$J)),0)</f>
        <v>0.60784313725490191</v>
      </c>
      <c r="L74" s="1141">
        <f>IFERROR((SUMIF('Resident Retention -12 months'!$B:$B,$A$69,'Resident Retention -12 months'!$F:$F)+SUMIF('Resident Retention -12 months'!$B:$B,$A$69,'Resident Retention -12 months'!$H:$H)+SUMIF('Resident Retention -12 months'!$B:$B,$A$69,'Resident Retention -12 months'!$I:$I))/(SUMIF('Resident Retention -12 months'!$B:$B,$A$69,'Resident Retention -12 months'!$C:$C)-SUMIF('Resident Retention -12 months'!$B:$B,$A$69,'Resident Retention -12 months'!$J:$J)),0)</f>
        <v>0.60784313725490191</v>
      </c>
      <c r="M74" s="1141">
        <f>IFERROR((SUMIF('Resident Retention -12 months'!$B:$B,$A$69,'Resident Retention -12 months'!$F:$F)+SUMIF('Resident Retention -12 months'!$B:$B,$A$69,'Resident Retention -12 months'!$H:$H)+SUMIF('Resident Retention -12 months'!$B:$B,$A$69,'Resident Retention -12 months'!$I:$I))/(SUMIF('Resident Retention -12 months'!$B:$B,$A$69,'Resident Retention -12 months'!$C:$C)-SUMIF('Resident Retention -12 months'!$B:$B,$A$69,'Resident Retention -12 months'!$J:$J)),0)</f>
        <v>0.60784313725490191</v>
      </c>
      <c r="N74" s="1141">
        <f>IFERROR((SUMIF('Resident Retention -12 months'!$B:$B,$A$69,'Resident Retention -12 months'!$F:$F)+SUMIF('Resident Retention -12 months'!$B:$B,$A$69,'Resident Retention -12 months'!$H:$H)+SUMIF('Resident Retention -12 months'!$B:$B,$A$69,'Resident Retention -12 months'!$I:$I))/(SUMIF('Resident Retention -12 months'!$B:$B,$A$69,'Resident Retention -12 months'!$C:$C)-SUMIF('Resident Retention -12 months'!$B:$B,$A$69,'Resident Retention -12 months'!$J:$J)),0)</f>
        <v>0.60784313725490191</v>
      </c>
      <c r="O74" s="1141">
        <f>IFERROR((SUMIF('Resident Retention -12 months'!$B:$B,$A$69,'Resident Retention -12 months'!$F:$F)+SUMIF('Resident Retention -12 months'!$B:$B,$A$69,'Resident Retention -12 months'!$H:$H)+SUMIF('Resident Retention -12 months'!$B:$B,$A$69,'Resident Retention -12 months'!$I:$I))/(SUMIF('Resident Retention -12 months'!$B:$B,$A$69,'Resident Retention -12 months'!$C:$C)-SUMIF('Resident Retention -12 months'!$B:$B,$A$69,'Resident Retention -12 months'!$J:$J)),0)</f>
        <v>0.60784313725490191</v>
      </c>
      <c r="P74" s="1141">
        <f>IFERROR((SUMIF('Resident Retention -12 months'!$B:$B,$A$69,'Resident Retention -12 months'!$F:$F)+SUMIF('Resident Retention -12 months'!$B:$B,$A$69,'Resident Retention -12 months'!$H:$H)+SUMIF('Resident Retention -12 months'!$B:$B,$A$69,'Resident Retention -12 months'!$I:$I))/(SUMIF('Resident Retention -12 months'!$B:$B,$A$69,'Resident Retention -12 months'!$C:$C)-SUMIF('Resident Retention -12 months'!$B:$B,$A$69,'Resident Retention -12 months'!$J:$J)),0)</f>
        <v>0.60784313725490191</v>
      </c>
      <c r="Q74" s="1141">
        <f>IFERROR((SUMIF('Resident Retention -12 months'!$B:$B,$A$69,'Resident Retention -12 months'!$F:$F)+SUMIF('Resident Retention -12 months'!$B:$B,$A$69,'Resident Retention -12 months'!$H:$H)+SUMIF('Resident Retention -12 months'!$B:$B,$A$69,'Resident Retention -12 months'!$I:$I))/(SUMIF('Resident Retention -12 months'!$B:$B,$A$69,'Resident Retention -12 months'!$C:$C)-SUMIF('Resident Retention -12 months'!$B:$B,$A$69,'Resident Retention -12 months'!$J:$J)),0)</f>
        <v>0.60784313725490191</v>
      </c>
      <c r="R74" s="1141">
        <f>IFERROR((SUMIF('Resident Retention -12 months'!$B:$B,$A$69,'Resident Retention -12 months'!$F:$F)+SUMIF('Resident Retention -12 months'!$B:$B,$A$69,'Resident Retention -12 months'!$H:$H)+SUMIF('Resident Retention -12 months'!$B:$B,$A$69,'Resident Retention -12 months'!$I:$I))/(SUMIF('Resident Retention -12 months'!$B:$B,$A$69,'Resident Retention -12 months'!$C:$C)-SUMIF('Resident Retention -12 months'!$B:$B,$A$69,'Resident Retention -12 months'!$J:$J)),0)</f>
        <v>0.60784313725490191</v>
      </c>
      <c r="S74" s="1141">
        <f>IFERROR((SUMIF('Resident Retention -12 months'!$B:$B,$A$69,'Resident Retention -12 months'!$F:$F)+SUMIF('Resident Retention -12 months'!$B:$B,$A$69,'Resident Retention -12 months'!$H:$H)+SUMIF('Resident Retention -12 months'!$B:$B,$A$69,'Resident Retention -12 months'!$I:$I))/(SUMIF('Resident Retention -12 months'!$B:$B,$A$69,'Resident Retention -12 months'!$C:$C)-SUMIF('Resident Retention -12 months'!$B:$B,$A$69,'Resident Retention -12 months'!$J:$J)),0)</f>
        <v>0.60784313725490191</v>
      </c>
      <c r="T74" s="1141">
        <f>IFERROR((SUMIF('Resident Retention -12 months'!$B:$B,$A$69,'Resident Retention -12 months'!$F:$F)+SUMIF('Resident Retention -12 months'!$B:$B,$A$69,'Resident Retention -12 months'!$H:$H)+SUMIF('Resident Retention -12 months'!$B:$B,$A$69,'Resident Retention -12 months'!$I:$I))/(SUMIF('Resident Retention -12 months'!$B:$B,$A$69,'Resident Retention -12 months'!$C:$C)-SUMIF('Resident Retention -12 months'!$B:$B,$A$69,'Resident Retention -12 months'!$J:$J)),0)</f>
        <v>0.60784313725490191</v>
      </c>
      <c r="U74" s="1141">
        <f>IFERROR((SUMIF('Resident Retention -12 months'!$B:$B,$A$69,'Resident Retention -12 months'!$F:$F)+SUMIF('Resident Retention -12 months'!$B:$B,$A$69,'Resident Retention -12 months'!$H:$H)+SUMIF('Resident Retention -12 months'!$B:$B,$A$69,'Resident Retention -12 months'!$I:$I))/(SUMIF('Resident Retention -12 months'!$B:$B,$A$69,'Resident Retention -12 months'!$C:$C)-SUMIF('Resident Retention -12 months'!$B:$B,$A$69,'Resident Retention -12 months'!$J:$J)),0)</f>
        <v>0.60784313725490191</v>
      </c>
      <c r="V74" s="1141">
        <f>IFERROR((SUMIF('Resident Retention -12 months'!$B:$B,$A$69,'Resident Retention -12 months'!$F:$F)+SUMIF('Resident Retention -12 months'!$B:$B,$A$69,'Resident Retention -12 months'!$H:$H)+SUMIF('Resident Retention -12 months'!$B:$B,$A$69,'Resident Retention -12 months'!$I:$I))/(SUMIF('Resident Retention -12 months'!$B:$B,$A$69,'Resident Retention -12 months'!$C:$C)-SUMIF('Resident Retention -12 months'!$B:$B,$A$69,'Resident Retention -12 months'!$J:$J)),0)</f>
        <v>0.60784313725490191</v>
      </c>
      <c r="W74" s="1141">
        <f>IFERROR((SUMIF('Resident Retention -12 months'!$B:$B,$A$69,'Resident Retention -12 months'!$F:$F)+SUMIF('Resident Retention -12 months'!$B:$B,$A$69,'Resident Retention -12 months'!$H:$H)+SUMIF('Resident Retention -12 months'!$B:$B,$A$69,'Resident Retention -12 months'!$I:$I))/(SUMIF('Resident Retention -12 months'!$B:$B,$A$69,'Resident Retention -12 months'!$C:$C)-SUMIF('Resident Retention -12 months'!$B:$B,$A$69,'Resident Retention -12 months'!$J:$J)),0)</f>
        <v>0.60784313725490191</v>
      </c>
      <c r="X74" s="1141">
        <f>IFERROR((SUMIF('Resident Retention -12 months'!$B:$B,$A$69,'Resident Retention -12 months'!$F:$F)+SUMIF('Resident Retention -12 months'!$B:$B,$A$69,'Resident Retention -12 months'!$H:$H)+SUMIF('Resident Retention -12 months'!$B:$B,$A$69,'Resident Retention -12 months'!$I:$I))/(SUMIF('Resident Retention -12 months'!$B:$B,$A$69,'Resident Retention -12 months'!$C:$C)-SUMIF('Resident Retention -12 months'!$B:$B,$A$69,'Resident Retention -12 months'!$J:$J)),0)</f>
        <v>0.60784313725490191</v>
      </c>
      <c r="Y74" s="1141">
        <f>IFERROR((SUMIF('Resident Retention -12 months'!$B:$B,$A$69,'Resident Retention -12 months'!$F:$F)+SUMIF('Resident Retention -12 months'!$B:$B,$A$69,'Resident Retention -12 months'!$H:$H)+SUMIF('Resident Retention -12 months'!$B:$B,$A$69,'Resident Retention -12 months'!$I:$I))/(SUMIF('Resident Retention -12 months'!$B:$B,$A$69,'Resident Retention -12 months'!$C:$C)-SUMIF('Resident Retention -12 months'!$B:$B,$A$69,'Resident Retention -12 months'!$J:$J)),0)</f>
        <v>0.60784313725490191</v>
      </c>
      <c r="Z74" s="1141">
        <f>IFERROR((SUMIF('Resident Retention -12 months'!$B:$B,$A$69,'Resident Retention -12 months'!$F:$F)+SUMIF('Resident Retention -12 months'!$B:$B,$A$69,'Resident Retention -12 months'!$H:$H)+SUMIF('Resident Retention -12 months'!$B:$B,$A$69,'Resident Retention -12 months'!$I:$I))/(SUMIF('Resident Retention -12 months'!$B:$B,$A$69,'Resident Retention -12 months'!$C:$C)-SUMIF('Resident Retention -12 months'!$B:$B,$A$69,'Resident Retention -12 months'!$J:$J)),0)</f>
        <v>0.60784313725490191</v>
      </c>
      <c r="AA74" s="1141">
        <f>IFERROR((SUMIF('Resident Retention -12 months'!$B:$B,$A$69,'Resident Retention -12 months'!$F:$F)+SUMIF('Resident Retention -12 months'!$B:$B,$A$69,'Resident Retention -12 months'!$H:$H)+SUMIF('Resident Retention -12 months'!$B:$B,$A$69,'Resident Retention -12 months'!$I:$I))/(SUMIF('Resident Retention -12 months'!$B:$B,$A$69,'Resident Retention -12 months'!$C:$C)-SUMIF('Resident Retention -12 months'!$B:$B,$A$69,'Resident Retention -12 months'!$J:$J)),0)</f>
        <v>0.60784313725490191</v>
      </c>
      <c r="AB74" s="1141">
        <f>IFERROR((SUMIF('Resident Retention -12 months'!$B:$B,$A$69,'Resident Retention -12 months'!$F:$F)+SUMIF('Resident Retention -12 months'!$B:$B,$A$69,'Resident Retention -12 months'!$H:$H)+SUMIF('Resident Retention -12 months'!$B:$B,$A$69,'Resident Retention -12 months'!$I:$I))/(SUMIF('Resident Retention -12 months'!$B:$B,$A$69,'Resident Retention -12 months'!$C:$C)-SUMIF('Resident Retention -12 months'!$B:$B,$A$69,'Resident Retention -12 months'!$J:$J)),0)</f>
        <v>0.60784313725490191</v>
      </c>
      <c r="AC74" s="1141">
        <f>IFERROR((SUMIF('Resident Retention -12 months'!$B:$B,$A$69,'Resident Retention -12 months'!$F:$F)+SUMIF('Resident Retention -12 months'!$B:$B,$A$69,'Resident Retention -12 months'!$H:$H)+SUMIF('Resident Retention -12 months'!$B:$B,$A$69,'Resident Retention -12 months'!$I:$I))/(SUMIF('Resident Retention -12 months'!$B:$B,$A$69,'Resident Retention -12 months'!$C:$C)-SUMIF('Resident Retention -12 months'!$B:$B,$A$69,'Resident Retention -12 months'!$J:$J)),0)</f>
        <v>0.60784313725490191</v>
      </c>
      <c r="AD74" s="1141">
        <v>0.68627450980392157</v>
      </c>
      <c r="AE74" s="1141">
        <v>0.66666666666666663</v>
      </c>
      <c r="AF74" s="1141">
        <v>0.66666666666666663</v>
      </c>
      <c r="AG74" s="1141">
        <v>0.66666666666666663</v>
      </c>
      <c r="AH74" s="1141">
        <v>0.6470588235294118</v>
      </c>
      <c r="AI74" s="1141">
        <v>0.6470588235294118</v>
      </c>
      <c r="AJ74" s="1141">
        <v>0.60784313725490191</v>
      </c>
      <c r="AK74" s="1141">
        <f>IFERROR((SUMIF('Resident Retention -12 months'!$B:$B,$A$69,'Resident Retention -12 months'!$F:$F)+SUMIF('Resident Retention -12 months'!$B:$B,$A$69,'Resident Retention -12 months'!$H:$H)+SUMIF('Resident Retention -12 months'!$B:$B,$A$69,'Resident Retention -12 months'!$I:$I))/(SUMIF('Resident Retention -12 months'!$B:$B,$A$69,'Resident Retention -12 months'!$C:$C)-SUMIF('Resident Retention -12 months'!$B:$B,$A$69,'Resident Retention -12 months'!$J:$J)),0)</f>
        <v>0.60784313725490191</v>
      </c>
    </row>
    <row r="75" spans="1:37" ht="15" customHeight="1">
      <c r="A75" s="224" t="s">
        <v>1047</v>
      </c>
      <c r="B75" s="1227"/>
      <c r="C75" s="1228"/>
      <c r="D75" s="1140"/>
      <c r="E75" s="1140"/>
      <c r="F75" s="1141"/>
      <c r="G75" s="1141"/>
      <c r="H75" s="1141"/>
      <c r="I75" s="1141"/>
      <c r="J75" s="1141"/>
      <c r="K75" s="1141"/>
      <c r="L75" s="1141"/>
      <c r="M75" s="1141"/>
      <c r="N75" s="1141"/>
      <c r="O75" s="1141"/>
      <c r="P75" s="1141"/>
      <c r="Q75" s="1141"/>
      <c r="R75" s="1141"/>
      <c r="S75" s="1141"/>
      <c r="T75" s="1141"/>
      <c r="U75" s="1141"/>
      <c r="V75" s="1141"/>
      <c r="W75" s="1141"/>
      <c r="X75" s="1141"/>
      <c r="Y75" s="1141"/>
      <c r="Z75" s="1141"/>
      <c r="AA75" s="1141"/>
      <c r="AB75" s="1141"/>
      <c r="AC75" s="1141"/>
      <c r="AD75" s="1141"/>
      <c r="AE75" s="1141"/>
      <c r="AF75" s="1141"/>
      <c r="AG75" s="1141"/>
      <c r="AH75" s="1141"/>
      <c r="AI75" s="1141"/>
      <c r="AJ75" s="1141"/>
      <c r="AK75" s="1141"/>
    </row>
    <row r="76" spans="1:37" ht="15" customHeight="1">
      <c r="A76" s="318">
        <v>46266</v>
      </c>
      <c r="B76" s="1138" t="s">
        <v>951</v>
      </c>
      <c r="C76" s="1139" t="s">
        <v>1021</v>
      </c>
      <c r="D76" s="1140"/>
      <c r="E76" s="1140"/>
      <c r="F76" s="1141"/>
      <c r="G76" s="1141"/>
      <c r="H76" s="1141"/>
      <c r="I76" s="1141"/>
      <c r="J76" s="1141"/>
      <c r="K76" s="1141"/>
      <c r="L76" s="1141"/>
      <c r="M76" s="1141"/>
      <c r="N76" s="1141"/>
      <c r="O76" s="1141"/>
      <c r="P76" s="1141"/>
      <c r="Q76" s="1141"/>
      <c r="R76" s="1141"/>
      <c r="S76" s="1141"/>
      <c r="T76" s="1141"/>
      <c r="U76" s="1141"/>
      <c r="V76" s="1141"/>
      <c r="W76" s="1141"/>
      <c r="X76" s="1141"/>
      <c r="Y76" s="1141"/>
      <c r="Z76" s="1141"/>
      <c r="AA76" s="1141"/>
      <c r="AB76" s="1141"/>
      <c r="AC76" s="1141"/>
      <c r="AD76" s="1147"/>
      <c r="AE76" s="1147"/>
      <c r="AF76" s="1147"/>
      <c r="AG76" s="1147">
        <v>53</v>
      </c>
      <c r="AH76" s="1147">
        <v>53</v>
      </c>
      <c r="AI76" s="1147">
        <v>53</v>
      </c>
      <c r="AJ76" s="1147">
        <v>53</v>
      </c>
      <c r="AK76" s="1147">
        <f ca="1">SUMIF('Resident Retention -12 months'!$B:$J,Data_2!$A$76,'Resident Retention -12 months'!$C:$C)-SUMIF('Resident Retention -12 months'!$B:$J,Data_2!$A$76,'Resident Retention -12 months'!$J:$J)</f>
        <v>53</v>
      </c>
    </row>
    <row r="77" spans="1:37" ht="15" customHeight="1">
      <c r="B77" s="1138" t="s">
        <v>1041</v>
      </c>
      <c r="C77" s="1139" t="s">
        <v>1021</v>
      </c>
      <c r="D77" s="1140"/>
      <c r="E77" s="1140"/>
      <c r="F77" s="1141"/>
      <c r="G77" s="1141"/>
      <c r="H77" s="1141"/>
      <c r="I77" s="1141"/>
      <c r="J77" s="1141"/>
      <c r="K77" s="1141"/>
      <c r="L77" s="1141"/>
      <c r="M77" s="1141"/>
      <c r="N77" s="1141"/>
      <c r="O77" s="1141"/>
      <c r="P77" s="1141"/>
      <c r="Q77" s="1141"/>
      <c r="R77" s="1141"/>
      <c r="S77" s="1141"/>
      <c r="T77" s="1141"/>
      <c r="U77" s="1141"/>
      <c r="V77" s="1141"/>
      <c r="W77" s="1141"/>
      <c r="X77" s="1141"/>
      <c r="Y77" s="1141"/>
      <c r="Z77" s="1141"/>
      <c r="AA77" s="1141"/>
      <c r="AB77" s="1141"/>
      <c r="AC77" s="1141"/>
      <c r="AD77" s="1147"/>
      <c r="AE77" s="1147"/>
      <c r="AF77" s="1147"/>
      <c r="AG77" s="1147">
        <v>8</v>
      </c>
      <c r="AH77" s="1147">
        <v>8</v>
      </c>
      <c r="AI77" s="1147">
        <v>9</v>
      </c>
      <c r="AJ77" s="1147">
        <v>9</v>
      </c>
      <c r="AK77" s="1147">
        <f ca="1">SUMIF('Resident Retention -12 months'!$B:$J,Data_2!$A$76,'Resident Retention -12 months'!$D:$D)</f>
        <v>9</v>
      </c>
    </row>
    <row r="78" spans="1:37" ht="15" customHeight="1">
      <c r="B78" s="1138" t="s">
        <v>954</v>
      </c>
      <c r="C78" s="1139" t="s">
        <v>1021</v>
      </c>
      <c r="D78" s="1140"/>
      <c r="E78" s="1140"/>
      <c r="F78" s="1141"/>
      <c r="G78" s="1141"/>
      <c r="H78" s="1141"/>
      <c r="I78" s="1141"/>
      <c r="J78" s="1141"/>
      <c r="K78" s="1141"/>
      <c r="L78" s="1141"/>
      <c r="M78" s="1141"/>
      <c r="N78" s="1141"/>
      <c r="O78" s="1141"/>
      <c r="P78" s="1141"/>
      <c r="Q78" s="1141"/>
      <c r="R78" s="1141"/>
      <c r="S78" s="1141"/>
      <c r="T78" s="1141"/>
      <c r="U78" s="1141"/>
      <c r="V78" s="1141"/>
      <c r="W78" s="1141"/>
      <c r="X78" s="1141"/>
      <c r="Y78" s="1141"/>
      <c r="Z78" s="1141"/>
      <c r="AA78" s="1141"/>
      <c r="AB78" s="1141"/>
      <c r="AC78" s="1141"/>
      <c r="AD78" s="1147"/>
      <c r="AE78" s="1147"/>
      <c r="AF78" s="1147"/>
      <c r="AG78" s="1147">
        <v>8</v>
      </c>
      <c r="AH78" s="1147">
        <v>12</v>
      </c>
      <c r="AI78" s="1147">
        <v>12</v>
      </c>
      <c r="AJ78" s="1147">
        <v>14</v>
      </c>
      <c r="AK78" s="1147">
        <f ca="1">SUMIF('Resident Retention -12 months'!$B:$J,Data_2!$A$76,'Resident Retention -12 months'!$E:$E)</f>
        <v>14</v>
      </c>
    </row>
    <row r="79" spans="1:37" ht="15" customHeight="1">
      <c r="B79" s="1138" t="s">
        <v>956</v>
      </c>
      <c r="C79" s="1139">
        <v>0</v>
      </c>
      <c r="D79" s="1140"/>
      <c r="E79" s="1140"/>
      <c r="F79" s="1141"/>
      <c r="G79" s="1141"/>
      <c r="H79" s="1141"/>
      <c r="I79" s="1141"/>
      <c r="J79" s="1141"/>
      <c r="K79" s="1141"/>
      <c r="L79" s="1141"/>
      <c r="M79" s="1141"/>
      <c r="N79" s="1141"/>
      <c r="O79" s="1141"/>
      <c r="P79" s="1141"/>
      <c r="Q79" s="1141"/>
      <c r="R79" s="1141"/>
      <c r="S79" s="1141"/>
      <c r="T79" s="1141"/>
      <c r="U79" s="1141"/>
      <c r="V79" s="1141"/>
      <c r="W79" s="1141"/>
      <c r="X79" s="1141"/>
      <c r="Y79" s="1141"/>
      <c r="Z79" s="1141"/>
      <c r="AA79" s="1141"/>
      <c r="AB79" s="1141"/>
      <c r="AC79" s="1141"/>
      <c r="AD79" s="1141"/>
      <c r="AE79" s="1141"/>
      <c r="AF79" s="1141"/>
      <c r="AG79" s="1141">
        <v>0.24528301886792453</v>
      </c>
      <c r="AH79" s="1141">
        <v>0.32075471698113206</v>
      </c>
      <c r="AI79" s="1141">
        <v>0.35849056603773582</v>
      </c>
      <c r="AJ79" s="1141">
        <v>0.41509433962264153</v>
      </c>
      <c r="AK79" s="1141">
        <f>IFERROR((SUMIF('Resident Retention -12 months'!$B:$B,$A$76,'Resident Retention -12 months'!$F:$F)+SUMIF('Resident Retention -12 months'!$B:$B,$A$76,'Resident Retention -12 months'!$H:$H))/(SUMIF('Resident Retention -12 months'!$B:$B,$A$76,'Resident Retention -12 months'!$C:$C)-SUMIF('Resident Retention -12 months'!$B:$B,$A$76,'Resident Retention -12 months'!$J:$J)),0)</f>
        <v>0.45283018867924529</v>
      </c>
    </row>
    <row r="80" spans="1:37" ht="15" customHeight="1">
      <c r="B80" s="1138" t="s">
        <v>953</v>
      </c>
      <c r="C80" s="1139" t="s">
        <v>1021</v>
      </c>
      <c r="D80" s="1145"/>
      <c r="E80" s="1145"/>
      <c r="F80" s="1146"/>
      <c r="G80" s="1146"/>
      <c r="H80" s="1146"/>
      <c r="I80" s="1146"/>
      <c r="J80" s="1146"/>
      <c r="K80" s="1146"/>
      <c r="L80" s="1146"/>
      <c r="M80" s="1146"/>
      <c r="N80" s="1146"/>
      <c r="O80" s="1146"/>
      <c r="P80" s="1146"/>
      <c r="Q80" s="1146"/>
      <c r="R80" s="1146"/>
      <c r="S80" s="1146"/>
      <c r="T80" s="1146"/>
      <c r="U80" s="1146"/>
      <c r="V80" s="1146"/>
      <c r="W80" s="1146"/>
      <c r="X80" s="1146"/>
      <c r="Y80" s="1146"/>
      <c r="Z80" s="1146"/>
      <c r="AA80" s="1146"/>
      <c r="AB80" s="1146"/>
      <c r="AC80" s="1146"/>
      <c r="AD80" s="1146"/>
      <c r="AE80" s="1146"/>
      <c r="AF80" s="1146"/>
      <c r="AG80" s="1146">
        <v>0</v>
      </c>
      <c r="AH80" s="1146">
        <v>0</v>
      </c>
      <c r="AI80" s="1146">
        <v>0</v>
      </c>
      <c r="AJ80" s="1146">
        <v>0</v>
      </c>
      <c r="AK80" s="1146" cm="1">
        <f t="array" ref="AK80">SUMPRODUCT(((Move_Out_Reasons!N2:N1000="Skipped Without Notice")+(Move_Out_Reasons!N2:N1000="Skipped During Eviction")+(Move_Out_Reasons!N2:N1000="Eviction")+(Move_Out_Reasons!N2:N1000="Failure To Pay"))*(Move_Out_Reasons!L2:L1000&gt;=$A$76)*(Move_Out_Reasons!L2:L1000&lt;=EOMONTH($A$76,0)))</f>
        <v>0</v>
      </c>
    </row>
    <row r="81" spans="1:37" ht="15" customHeight="1">
      <c r="B81" s="1138" t="s">
        <v>957</v>
      </c>
      <c r="C81" s="1139">
        <v>0</v>
      </c>
      <c r="D81" s="1140"/>
      <c r="E81" s="1140"/>
      <c r="F81" s="1141"/>
      <c r="G81" s="1141"/>
      <c r="H81" s="1141"/>
      <c r="I81" s="1141"/>
      <c r="J81" s="1141"/>
      <c r="K81" s="1141"/>
      <c r="L81" s="1141"/>
      <c r="M81" s="1141"/>
      <c r="N81" s="1141"/>
      <c r="O81" s="1141"/>
      <c r="P81" s="1141"/>
      <c r="Q81" s="1141"/>
      <c r="R81" s="1141"/>
      <c r="S81" s="1141"/>
      <c r="T81" s="1141"/>
      <c r="U81" s="1141"/>
      <c r="V81" s="1141"/>
      <c r="W81" s="1141"/>
      <c r="X81" s="1141"/>
      <c r="Y81" s="1141"/>
      <c r="Z81" s="1141"/>
      <c r="AA81" s="1141"/>
      <c r="AB81" s="1141"/>
      <c r="AC81" s="1141"/>
      <c r="AD81" s="1141"/>
      <c r="AE81" s="1141"/>
      <c r="AF81" s="1141"/>
      <c r="AG81" s="1141">
        <v>0.69811320754716977</v>
      </c>
      <c r="AH81" s="1141">
        <v>0.62264150943396224</v>
      </c>
      <c r="AI81" s="1141">
        <v>0.60377358490566035</v>
      </c>
      <c r="AJ81" s="1141">
        <v>0.56603773584905659</v>
      </c>
      <c r="AK81" s="1141">
        <f>IFERROR((SUMIF('Resident Retention -12 months'!$B:$B,$A$76,'Resident Retention -12 months'!$F:$F)+SUMIF('Resident Retention -12 months'!$B:$B,$A$76,'Resident Retention -12 months'!$H:$H)+SUMIF('Resident Retention -12 months'!$B:$B,$A$76,'Resident Retention -12 months'!$I:$I))/(SUMIF('Resident Retention -12 months'!$B:$B,$A$76,'Resident Retention -12 months'!$C:$C)-SUMIF('Resident Retention -12 months'!$B:$B,$A$76,'Resident Retention -12 months'!$J:$J)),0)</f>
        <v>0.56603773584905659</v>
      </c>
    </row>
    <row r="82" spans="1:37" ht="15" customHeight="1">
      <c r="A82" s="224" t="s">
        <v>1048</v>
      </c>
      <c r="B82" s="1227"/>
      <c r="C82" s="1228"/>
      <c r="D82" s="1140"/>
      <c r="E82" s="1140"/>
      <c r="F82" s="1141"/>
      <c r="G82" s="1141"/>
      <c r="H82" s="1141"/>
      <c r="I82" s="1141"/>
      <c r="J82" s="1141"/>
      <c r="K82" s="1141"/>
      <c r="L82" s="1141"/>
      <c r="M82" s="1141"/>
      <c r="N82" s="1141"/>
      <c r="O82" s="1141"/>
      <c r="P82" s="1141"/>
      <c r="Q82" s="1141"/>
      <c r="R82" s="1141"/>
      <c r="S82" s="1141"/>
      <c r="T82" s="1141"/>
      <c r="U82" s="1141"/>
      <c r="V82" s="1141"/>
      <c r="W82" s="1141"/>
      <c r="X82" s="1141"/>
      <c r="Y82" s="1141"/>
      <c r="Z82" s="1141"/>
      <c r="AA82" s="1141"/>
      <c r="AB82" s="1141"/>
      <c r="AC82" s="1141"/>
      <c r="AD82" s="1141"/>
      <c r="AE82" s="1141"/>
      <c r="AF82" s="1141"/>
      <c r="AG82" s="1141"/>
      <c r="AH82" s="1141"/>
      <c r="AI82" s="1141"/>
      <c r="AJ82" s="1141"/>
      <c r="AK82" s="1141"/>
    </row>
    <row r="83" spans="1:37" ht="15" customHeight="1">
      <c r="A83" s="318">
        <v>46296</v>
      </c>
      <c r="B83" s="1138" t="s">
        <v>951</v>
      </c>
      <c r="C83" s="1139" t="s">
        <v>1021</v>
      </c>
      <c r="D83" s="1140"/>
      <c r="E83" s="1140"/>
      <c r="F83" s="1141"/>
      <c r="G83" s="1141"/>
      <c r="H83" s="1141"/>
      <c r="I83" s="1141"/>
      <c r="J83" s="1141"/>
      <c r="K83" s="1141"/>
      <c r="L83" s="1141"/>
      <c r="M83" s="1141"/>
      <c r="N83" s="1141"/>
      <c r="O83" s="1141"/>
      <c r="P83" s="1141"/>
      <c r="Q83" s="1141"/>
      <c r="R83" s="1141"/>
      <c r="S83" s="1141"/>
      <c r="T83" s="1141"/>
      <c r="U83" s="1141"/>
      <c r="V83" s="1141"/>
      <c r="W83" s="1141"/>
      <c r="X83" s="1141"/>
      <c r="Y83" s="1141"/>
      <c r="Z83" s="1141"/>
      <c r="AA83" s="1141"/>
      <c r="AB83" s="1141"/>
      <c r="AC83" s="1141"/>
      <c r="AD83" s="1147"/>
      <c r="AE83" s="1147"/>
      <c r="AF83" s="1147"/>
      <c r="AG83" s="1147"/>
      <c r="AH83" s="1147"/>
      <c r="AI83" s="1147">
        <v>39</v>
      </c>
      <c r="AJ83" s="1147">
        <v>39</v>
      </c>
      <c r="AK83" s="1147">
        <f ca="1">SUMIF('Resident Retention -12 months'!$B:$J,Data_2!$A$83,'Resident Retention -12 months'!$C:$C)-SUMIF('Resident Retention -12 months'!$B:$J,Data_2!$A$83,'Resident Retention -12 months'!$J:$J)</f>
        <v>39</v>
      </c>
    </row>
    <row r="84" spans="1:37" ht="15" customHeight="1">
      <c r="B84" s="1138" t="s">
        <v>1041</v>
      </c>
      <c r="C84" s="1139" t="s">
        <v>1021</v>
      </c>
      <c r="D84" s="1140"/>
      <c r="E84" s="1140"/>
      <c r="F84" s="1141"/>
      <c r="G84" s="1141"/>
      <c r="H84" s="1141"/>
      <c r="I84" s="1141"/>
      <c r="J84" s="1141"/>
      <c r="K84" s="1141"/>
      <c r="L84" s="1141"/>
      <c r="M84" s="1141"/>
      <c r="N84" s="1141"/>
      <c r="O84" s="1141"/>
      <c r="P84" s="1141"/>
      <c r="Q84" s="1141"/>
      <c r="R84" s="1141"/>
      <c r="S84" s="1141"/>
      <c r="T84" s="1141"/>
      <c r="U84" s="1141"/>
      <c r="V84" s="1141"/>
      <c r="W84" s="1141"/>
      <c r="X84" s="1141"/>
      <c r="Y84" s="1141"/>
      <c r="Z84" s="1141"/>
      <c r="AA84" s="1141"/>
      <c r="AB84" s="1141"/>
      <c r="AC84" s="1141"/>
      <c r="AD84" s="1147"/>
      <c r="AE84" s="1147"/>
      <c r="AF84" s="1147"/>
      <c r="AG84" s="1147"/>
      <c r="AH84" s="1147"/>
      <c r="AI84" s="1147">
        <v>6</v>
      </c>
      <c r="AJ84" s="1147">
        <v>6</v>
      </c>
      <c r="AK84" s="1147">
        <f ca="1">SUMIF('Resident Retention -12 months'!$B:$J,Data_2!$A$83,'Resident Retention -12 months'!$D:$D)</f>
        <v>6</v>
      </c>
    </row>
    <row r="85" spans="1:37" ht="15" customHeight="1">
      <c r="B85" s="1138" t="s">
        <v>954</v>
      </c>
      <c r="C85" s="1139" t="s">
        <v>1021</v>
      </c>
      <c r="D85" s="1140"/>
      <c r="E85" s="1140"/>
      <c r="F85" s="1141"/>
      <c r="G85" s="1141"/>
      <c r="H85" s="1141"/>
      <c r="I85" s="1141"/>
      <c r="J85" s="1141"/>
      <c r="K85" s="1141"/>
      <c r="L85" s="1141"/>
      <c r="M85" s="1141"/>
      <c r="N85" s="1141"/>
      <c r="O85" s="1141"/>
      <c r="P85" s="1141"/>
      <c r="Q85" s="1141"/>
      <c r="R85" s="1141"/>
      <c r="S85" s="1141"/>
      <c r="T85" s="1141"/>
      <c r="U85" s="1141"/>
      <c r="V85" s="1141"/>
      <c r="W85" s="1141"/>
      <c r="X85" s="1141"/>
      <c r="Y85" s="1141"/>
      <c r="Z85" s="1141"/>
      <c r="AA85" s="1141"/>
      <c r="AB85" s="1141"/>
      <c r="AC85" s="1141"/>
      <c r="AD85" s="1147"/>
      <c r="AE85" s="1147"/>
      <c r="AF85" s="1147"/>
      <c r="AG85" s="1147"/>
      <c r="AH85" s="1147"/>
      <c r="AI85" s="1147">
        <v>0</v>
      </c>
      <c r="AJ85" s="1147">
        <v>1</v>
      </c>
      <c r="AK85" s="1147">
        <f ca="1">SUMIF('Resident Retention -12 months'!$B:$J,Data_2!$A$83,'Resident Retention -12 months'!$E:$E)</f>
        <v>3</v>
      </c>
    </row>
    <row r="86" spans="1:37" ht="15" customHeight="1">
      <c r="B86" s="1138" t="s">
        <v>956</v>
      </c>
      <c r="C86" s="1139">
        <v>0</v>
      </c>
      <c r="D86" s="1140"/>
      <c r="E86" s="1140"/>
      <c r="F86" s="1141"/>
      <c r="G86" s="1141"/>
      <c r="H86" s="1141"/>
      <c r="I86" s="1141"/>
      <c r="J86" s="1141"/>
      <c r="K86" s="1141"/>
      <c r="L86" s="1141"/>
      <c r="M86" s="1141"/>
      <c r="N86" s="1141"/>
      <c r="O86" s="1141"/>
      <c r="P86" s="1141"/>
      <c r="Q86" s="1141"/>
      <c r="R86" s="1141"/>
      <c r="S86" s="1141"/>
      <c r="T86" s="1141"/>
      <c r="U86" s="1141"/>
      <c r="V86" s="1141"/>
      <c r="W86" s="1141"/>
      <c r="X86" s="1141"/>
      <c r="Y86" s="1141"/>
      <c r="Z86" s="1141"/>
      <c r="AA86" s="1141"/>
      <c r="AB86" s="1141"/>
      <c r="AC86" s="1141"/>
      <c r="AD86" s="1141"/>
      <c r="AE86" s="1141"/>
      <c r="AF86" s="1141"/>
      <c r="AG86" s="1141"/>
      <c r="AH86" s="1141"/>
      <c r="AI86" s="1141">
        <v>0</v>
      </c>
      <c r="AJ86" s="1141">
        <v>0.12820512820512819</v>
      </c>
      <c r="AK86" s="1141">
        <f>IFERROR((SUMIF('Resident Retention -12 months'!$B:$B,$A$83,'Resident Retention -12 months'!$F:$F)+SUMIF('Resident Retention -12 months'!$B:$B,$A$83,'Resident Retention -12 months'!$H:$H))/(SUMIF('Resident Retention -12 months'!$B:$B,$A$83,'Resident Retention -12 months'!$C:$C)-SUMIF('Resident Retention -12 months'!$B:$B,$A$83,'Resident Retention -12 months'!$J:$J)),0)</f>
        <v>0.38461538461538464</v>
      </c>
    </row>
    <row r="87" spans="1:37" ht="15" customHeight="1">
      <c r="B87" s="1138" t="s">
        <v>953</v>
      </c>
      <c r="C87" s="1139" t="s">
        <v>1021</v>
      </c>
      <c r="D87" s="1145"/>
      <c r="E87" s="1145"/>
      <c r="F87" s="1146"/>
      <c r="G87" s="1146"/>
      <c r="H87" s="1146"/>
      <c r="I87" s="1146"/>
      <c r="J87" s="1146"/>
      <c r="K87" s="1146"/>
      <c r="L87" s="1146"/>
      <c r="M87" s="1146"/>
      <c r="N87" s="1146"/>
      <c r="O87" s="1146"/>
      <c r="P87" s="1146"/>
      <c r="Q87" s="1146"/>
      <c r="R87" s="1146"/>
      <c r="S87" s="1146"/>
      <c r="T87" s="1146"/>
      <c r="U87" s="1146"/>
      <c r="V87" s="1146"/>
      <c r="W87" s="1146"/>
      <c r="X87" s="1146"/>
      <c r="Y87" s="1146"/>
      <c r="Z87" s="1146"/>
      <c r="AA87" s="1146"/>
      <c r="AB87" s="1146"/>
      <c r="AC87" s="1146"/>
      <c r="AD87" s="1146"/>
      <c r="AE87" s="1146"/>
      <c r="AF87" s="1146"/>
      <c r="AG87" s="1146"/>
      <c r="AH87" s="1146"/>
      <c r="AI87" s="1146">
        <v>0</v>
      </c>
      <c r="AJ87" s="1146">
        <v>0</v>
      </c>
      <c r="AK87" s="1146" cm="1">
        <f t="array" ref="AK87">SUMPRODUCT(((Move_Out_Reasons!N2:N1000="Skipped Without Notice")+(Move_Out_Reasons!N2:N1000="Skipped During Eviction")+(Move_Out_Reasons!N2:N1000="Eviction")+(Move_Out_Reasons!N2:N1000="Failure To Pay"))*(Move_Out_Reasons!L2:L1000&gt;=$A$83)*(Move_Out_Reasons!L2:L1000&lt;=EOMONTH($A$83,0)))</f>
        <v>0</v>
      </c>
    </row>
    <row r="88" spans="1:37" ht="15" customHeight="1">
      <c r="B88" s="1138" t="s">
        <v>957</v>
      </c>
      <c r="C88" s="1139">
        <v>0</v>
      </c>
      <c r="D88" s="1140"/>
      <c r="E88" s="1140"/>
      <c r="F88" s="1141"/>
      <c r="G88" s="1141"/>
      <c r="H88" s="1141"/>
      <c r="I88" s="1141"/>
      <c r="J88" s="1141"/>
      <c r="K88" s="1141"/>
      <c r="L88" s="1141"/>
      <c r="M88" s="1141"/>
      <c r="N88" s="1141"/>
      <c r="O88" s="1141"/>
      <c r="P88" s="1141"/>
      <c r="Q88" s="1141"/>
      <c r="R88" s="1141"/>
      <c r="S88" s="1141"/>
      <c r="T88" s="1141"/>
      <c r="U88" s="1141"/>
      <c r="V88" s="1141"/>
      <c r="W88" s="1141"/>
      <c r="X88" s="1141"/>
      <c r="Y88" s="1141"/>
      <c r="Z88" s="1141"/>
      <c r="AA88" s="1141"/>
      <c r="AB88" s="1141"/>
      <c r="AC88" s="1141"/>
      <c r="AD88" s="1141"/>
      <c r="AE88" s="1141"/>
      <c r="AF88" s="1141"/>
      <c r="AG88" s="1141"/>
      <c r="AH88" s="1141"/>
      <c r="AI88" s="1141">
        <v>0.84615384615384615</v>
      </c>
      <c r="AJ88" s="1141">
        <v>0.82051282051282048</v>
      </c>
      <c r="AK88" s="1141">
        <f>IFERROR((SUMIF('Resident Retention -12 months'!$B:$B,$A$83,'Resident Retention -12 months'!$F:$F)+SUMIF('Resident Retention -12 months'!$B:$B,$A$83,'Resident Retention -12 months'!$H:$H)+SUMIF('Resident Retention -12 months'!$B:$B,$A$83,'Resident Retention -12 months'!$I:$I))/(SUMIF('Resident Retention -12 months'!$B:$B,$A$83,'Resident Retention -12 months'!$C:$C)-SUMIF('Resident Retention -12 months'!$B:$B,$A$83,'Resident Retention -12 months'!$J:$J)),0)</f>
        <v>0.76923076923076927</v>
      </c>
    </row>
    <row r="89" spans="1:37" ht="15" customHeight="1">
      <c r="A89" s="640" t="s">
        <v>1049</v>
      </c>
      <c r="B89" s="319"/>
      <c r="C89" s="319"/>
      <c r="D89" s="321"/>
      <c r="E89" s="321"/>
      <c r="F89" s="321"/>
      <c r="G89" s="321"/>
      <c r="H89" s="321"/>
      <c r="I89" s="321"/>
      <c r="J89" s="321"/>
      <c r="K89" s="321"/>
      <c r="L89" s="321"/>
      <c r="M89" s="321"/>
      <c r="N89" s="321"/>
      <c r="O89" s="320"/>
      <c r="P89" s="320"/>
      <c r="Q89" s="320"/>
      <c r="R89" s="320"/>
      <c r="S89" s="320"/>
      <c r="T89" s="320"/>
      <c r="U89" s="320" t="s">
        <v>1032</v>
      </c>
      <c r="V89" s="320"/>
      <c r="W89" s="320"/>
      <c r="X89" s="320"/>
      <c r="Y89" s="320"/>
      <c r="Z89" s="320"/>
      <c r="AA89" s="320"/>
      <c r="AB89" s="320"/>
      <c r="AC89" s="320"/>
      <c r="AD89" s="320"/>
      <c r="AE89" s="320"/>
      <c r="AF89" s="320"/>
      <c r="AG89" s="320"/>
      <c r="AH89" s="320"/>
      <c r="AI89" s="320"/>
      <c r="AJ89" s="320"/>
      <c r="AK89" s="320"/>
    </row>
    <row r="90" spans="1:37" ht="15" customHeight="1">
      <c r="A90" s="109"/>
      <c r="B90" s="641" t="s">
        <v>1050</v>
      </c>
      <c r="C90" s="642" t="s">
        <v>1021</v>
      </c>
      <c r="N90" s="343">
        <v>98</v>
      </c>
      <c r="O90" s="323">
        <v>93</v>
      </c>
      <c r="P90" s="323">
        <v>88</v>
      </c>
      <c r="Q90" s="323">
        <v>82</v>
      </c>
      <c r="R90" s="323">
        <v>79</v>
      </c>
      <c r="S90" s="323">
        <v>79</v>
      </c>
      <c r="T90" s="323">
        <v>79</v>
      </c>
      <c r="U90" s="323">
        <v>79</v>
      </c>
      <c r="V90" s="323">
        <v>65</v>
      </c>
      <c r="W90" s="323">
        <v>54</v>
      </c>
      <c r="X90" s="323">
        <v>47</v>
      </c>
      <c r="Y90" s="323">
        <v>45</v>
      </c>
      <c r="Z90" s="323">
        <v>45</v>
      </c>
      <c r="AA90" s="323">
        <v>49</v>
      </c>
      <c r="AB90" s="323">
        <v>47</v>
      </c>
      <c r="AC90" s="323">
        <v>36</v>
      </c>
      <c r="AD90" s="323">
        <v>35</v>
      </c>
      <c r="AE90" s="323">
        <v>32</v>
      </c>
      <c r="AF90" s="323">
        <v>30</v>
      </c>
      <c r="AG90" s="323">
        <v>29</v>
      </c>
      <c r="AH90" s="323">
        <v>27</v>
      </c>
      <c r="AI90" s="323">
        <v>26</v>
      </c>
      <c r="AJ90" s="323">
        <v>26</v>
      </c>
      <c r="AK90" s="323">
        <f>SUMPRODUCT((Res_Retention!$O$2:$O$14))</f>
        <v>25</v>
      </c>
    </row>
    <row r="91" spans="1:37" ht="15" customHeight="1">
      <c r="A91" s="15" t="s">
        <v>1051</v>
      </c>
      <c r="B91" s="16"/>
      <c r="C91" s="16"/>
      <c r="D91" s="16"/>
      <c r="E91" s="16"/>
      <c r="F91" s="16"/>
      <c r="G91" s="16"/>
      <c r="H91" s="16"/>
      <c r="I91" s="16"/>
      <c r="J91" s="16" t="s">
        <v>1032</v>
      </c>
      <c r="K91" s="16"/>
      <c r="L91" s="16"/>
      <c r="M91" s="16"/>
      <c r="N91" s="16"/>
      <c r="O91" s="16"/>
      <c r="P91" s="16"/>
      <c r="Q91" s="16"/>
      <c r="R91" s="16"/>
      <c r="S91" s="16"/>
      <c r="T91" s="16"/>
      <c r="U91" s="16" t="s">
        <v>1032</v>
      </c>
      <c r="V91" s="16"/>
      <c r="W91" s="16"/>
      <c r="X91" s="16"/>
      <c r="Y91" s="16"/>
      <c r="Z91" s="16"/>
      <c r="AA91" s="16"/>
      <c r="AB91" s="16"/>
      <c r="AC91" s="16"/>
      <c r="AD91" s="16"/>
      <c r="AE91" s="16"/>
      <c r="AF91" s="16"/>
      <c r="AG91" s="16"/>
      <c r="AH91" s="16"/>
      <c r="AI91" s="16"/>
      <c r="AJ91" s="16"/>
      <c r="AK91" s="16"/>
    </row>
    <row r="92" spans="1:37" ht="15" customHeight="1">
      <c r="B92" s="68" t="s">
        <v>1052</v>
      </c>
      <c r="C92" s="71" t="s">
        <v>1021</v>
      </c>
      <c r="D92" s="72">
        <v>0</v>
      </c>
      <c r="E92" s="72">
        <v>0</v>
      </c>
      <c r="F92" s="72">
        <v>3</v>
      </c>
      <c r="G92" s="35">
        <v>3</v>
      </c>
      <c r="H92" s="35">
        <v>4</v>
      </c>
      <c r="I92" s="35">
        <v>2</v>
      </c>
      <c r="J92" s="35">
        <v>3</v>
      </c>
      <c r="K92" s="35">
        <v>2</v>
      </c>
      <c r="L92" s="35">
        <v>0</v>
      </c>
      <c r="M92" s="35">
        <v>1</v>
      </c>
      <c r="N92" s="35">
        <v>3</v>
      </c>
      <c r="O92" s="35">
        <v>7</v>
      </c>
      <c r="P92" s="35">
        <v>8</v>
      </c>
      <c r="Q92" s="35">
        <v>6</v>
      </c>
      <c r="R92" s="35">
        <v>5</v>
      </c>
      <c r="S92" s="35">
        <v>5</v>
      </c>
      <c r="T92" s="35">
        <v>3</v>
      </c>
      <c r="U92" s="35">
        <v>9</v>
      </c>
      <c r="V92" s="35">
        <v>5</v>
      </c>
      <c r="W92" s="35">
        <v>14</v>
      </c>
      <c r="X92" s="35">
        <v>8</v>
      </c>
      <c r="Y92" s="35">
        <v>6</v>
      </c>
      <c r="Z92" s="35">
        <v>9</v>
      </c>
      <c r="AA92" s="35">
        <v>15</v>
      </c>
      <c r="AB92" s="35">
        <v>4</v>
      </c>
      <c r="AC92" s="35">
        <v>8</v>
      </c>
      <c r="AD92" s="35">
        <v>6</v>
      </c>
      <c r="AE92" s="35">
        <v>8</v>
      </c>
      <c r="AF92" s="35">
        <v>7</v>
      </c>
      <c r="AG92" s="35">
        <v>10</v>
      </c>
      <c r="AH92" s="35">
        <v>7</v>
      </c>
      <c r="AI92" s="35">
        <v>10</v>
      </c>
      <c r="AJ92" s="35">
        <v>16</v>
      </c>
      <c r="AK92" s="35">
        <f>SUM('Boxscore MMR-Property Pulse'!$B:$B)</f>
        <v>7</v>
      </c>
    </row>
    <row r="93" spans="1:37" ht="15" customHeight="1">
      <c r="B93" s="68" t="s">
        <v>1053</v>
      </c>
      <c r="C93" s="71" t="s">
        <v>1021</v>
      </c>
      <c r="D93" s="72">
        <v>4</v>
      </c>
      <c r="E93" s="72">
        <v>1</v>
      </c>
      <c r="F93" s="72">
        <v>7</v>
      </c>
      <c r="G93" s="35">
        <v>0</v>
      </c>
      <c r="H93" s="35">
        <v>0</v>
      </c>
      <c r="I93" s="35">
        <v>14</v>
      </c>
      <c r="J93" s="35">
        <v>1</v>
      </c>
      <c r="K93" s="35">
        <v>2</v>
      </c>
      <c r="L93" s="35">
        <v>5</v>
      </c>
      <c r="M93" s="35">
        <v>4</v>
      </c>
      <c r="N93" s="35">
        <v>6</v>
      </c>
      <c r="O93" s="35">
        <v>2</v>
      </c>
      <c r="P93" s="35">
        <v>6</v>
      </c>
      <c r="Q93" s="35">
        <v>7</v>
      </c>
      <c r="R93" s="35">
        <v>2</v>
      </c>
      <c r="S93" s="35">
        <v>14</v>
      </c>
      <c r="T93" s="35">
        <v>6</v>
      </c>
      <c r="U93" s="35">
        <v>2</v>
      </c>
      <c r="V93" s="35">
        <v>4</v>
      </c>
      <c r="W93" s="35">
        <v>12</v>
      </c>
      <c r="X93" s="35">
        <v>8</v>
      </c>
      <c r="Y93" s="35">
        <v>4</v>
      </c>
      <c r="Z93" s="35">
        <v>1</v>
      </c>
      <c r="AA93" s="35">
        <v>17</v>
      </c>
      <c r="AB93" s="35">
        <v>5</v>
      </c>
      <c r="AC93" s="35">
        <v>7</v>
      </c>
      <c r="AD93" s="35">
        <v>5</v>
      </c>
      <c r="AE93" s="35">
        <v>10</v>
      </c>
      <c r="AF93" s="35">
        <v>11</v>
      </c>
      <c r="AG93" s="35">
        <v>6</v>
      </c>
      <c r="AH93" s="35">
        <v>7</v>
      </c>
      <c r="AI93" s="35">
        <v>4</v>
      </c>
      <c r="AJ93" s="35">
        <v>11</v>
      </c>
      <c r="AK93" s="35">
        <f>SUM('Boxscore MMR-Property Pulse'!$G:$G)</f>
        <v>5</v>
      </c>
    </row>
    <row r="94" spans="1:37" ht="15" customHeight="1">
      <c r="B94" s="68" t="s">
        <v>1054</v>
      </c>
      <c r="C94" s="71" t="s">
        <v>1021</v>
      </c>
      <c r="D94" s="35">
        <f t="shared" ref="D94:F94" si="3">D92-D93</f>
        <v>-4</v>
      </c>
      <c r="E94" s="35">
        <f t="shared" si="3"/>
        <v>-1</v>
      </c>
      <c r="F94" s="35">
        <f t="shared" si="3"/>
        <v>-4</v>
      </c>
      <c r="G94" s="35">
        <v>3</v>
      </c>
      <c r="H94" s="35">
        <v>4</v>
      </c>
      <c r="I94" s="35">
        <v>-12</v>
      </c>
      <c r="J94" s="35">
        <v>2</v>
      </c>
      <c r="K94" s="35">
        <v>0</v>
      </c>
      <c r="L94" s="35">
        <v>-5</v>
      </c>
      <c r="M94" s="35">
        <v>-3</v>
      </c>
      <c r="N94" s="35">
        <v>-3</v>
      </c>
      <c r="O94" s="35">
        <v>5</v>
      </c>
      <c r="P94" s="35">
        <v>2</v>
      </c>
      <c r="Q94" s="35">
        <v>-1</v>
      </c>
      <c r="R94" s="35">
        <v>3</v>
      </c>
      <c r="S94" s="35">
        <v>-9</v>
      </c>
      <c r="T94" s="35">
        <v>-3</v>
      </c>
      <c r="U94" s="35">
        <v>7</v>
      </c>
      <c r="V94" s="35">
        <v>1</v>
      </c>
      <c r="W94" s="35">
        <v>2</v>
      </c>
      <c r="X94" s="35">
        <v>0</v>
      </c>
      <c r="Y94" s="35">
        <v>2</v>
      </c>
      <c r="Z94" s="35">
        <v>8</v>
      </c>
      <c r="AA94" s="35">
        <v>-2</v>
      </c>
      <c r="AB94" s="35">
        <v>-1</v>
      </c>
      <c r="AC94" s="35">
        <v>1</v>
      </c>
      <c r="AD94" s="35">
        <v>1</v>
      </c>
      <c r="AE94" s="35">
        <v>-2</v>
      </c>
      <c r="AF94" s="35">
        <v>-4</v>
      </c>
      <c r="AG94" s="35">
        <v>4</v>
      </c>
      <c r="AH94" s="35">
        <v>0</v>
      </c>
      <c r="AI94" s="35">
        <v>6</v>
      </c>
      <c r="AJ94" s="35">
        <v>5</v>
      </c>
      <c r="AK94" s="35">
        <f>AK92-AK93</f>
        <v>2</v>
      </c>
    </row>
    <row r="95" spans="1:37" ht="15" customHeight="1">
      <c r="B95" s="68" t="s">
        <v>1055</v>
      </c>
      <c r="C95" s="71" t="s">
        <v>1021</v>
      </c>
      <c r="D95" s="72">
        <v>2</v>
      </c>
      <c r="E95" s="72">
        <v>1</v>
      </c>
      <c r="F95" s="72">
        <v>4</v>
      </c>
      <c r="G95" s="35">
        <v>0</v>
      </c>
      <c r="H95" s="35">
        <v>1</v>
      </c>
      <c r="I95" s="35">
        <v>7</v>
      </c>
      <c r="J95" s="35">
        <v>3</v>
      </c>
      <c r="K95" s="35">
        <v>2</v>
      </c>
      <c r="L95" s="35">
        <v>1</v>
      </c>
      <c r="M95" s="35">
        <v>2</v>
      </c>
      <c r="N95" s="35">
        <v>2</v>
      </c>
      <c r="O95" s="35">
        <v>1</v>
      </c>
      <c r="P95" s="35">
        <v>2</v>
      </c>
      <c r="Q95" s="35">
        <v>0</v>
      </c>
      <c r="R95" s="35">
        <v>2</v>
      </c>
      <c r="S95" s="35">
        <v>5</v>
      </c>
      <c r="T95" s="35">
        <v>1</v>
      </c>
      <c r="U95" s="35">
        <v>1</v>
      </c>
      <c r="V95" s="35">
        <v>2</v>
      </c>
      <c r="W95" s="35">
        <v>8</v>
      </c>
      <c r="X95" s="35">
        <v>7</v>
      </c>
      <c r="Y95" s="35">
        <v>4</v>
      </c>
      <c r="Z95" s="35">
        <v>1</v>
      </c>
      <c r="AA95" s="35">
        <v>17</v>
      </c>
      <c r="AB95" s="35">
        <v>4</v>
      </c>
      <c r="AC95" s="35">
        <v>5</v>
      </c>
      <c r="AD95" s="35">
        <v>3</v>
      </c>
      <c r="AE95" s="35">
        <v>9</v>
      </c>
      <c r="AF95" s="35">
        <v>10</v>
      </c>
      <c r="AG95" s="35">
        <v>6</v>
      </c>
      <c r="AH95" s="35">
        <v>4</v>
      </c>
      <c r="AI95" s="35">
        <v>3</v>
      </c>
      <c r="AJ95" s="35">
        <v>11</v>
      </c>
      <c r="AK95" s="35">
        <f>SUM('Boxscore MMR-Property Pulse'!$G:$G)-SUM('Boxscore MMR-Property Pulse'!$H:$H)</f>
        <v>3</v>
      </c>
    </row>
    <row r="96" spans="1:37" ht="15" customHeight="1">
      <c r="B96" s="68" t="s">
        <v>1056</v>
      </c>
      <c r="C96" s="71" t="s">
        <v>1021</v>
      </c>
      <c r="D96" s="72">
        <v>2</v>
      </c>
      <c r="E96" s="72">
        <v>0</v>
      </c>
      <c r="F96" s="72">
        <v>3</v>
      </c>
      <c r="G96" s="35">
        <v>0</v>
      </c>
      <c r="H96" s="35">
        <v>-1</v>
      </c>
      <c r="I96" s="35">
        <v>7</v>
      </c>
      <c r="J96" s="35">
        <v>-2</v>
      </c>
      <c r="K96" s="35">
        <v>0</v>
      </c>
      <c r="L96" s="35">
        <v>4</v>
      </c>
      <c r="M96" s="35">
        <v>2</v>
      </c>
      <c r="N96" s="35">
        <v>4</v>
      </c>
      <c r="O96" s="35">
        <v>1</v>
      </c>
      <c r="P96" s="35">
        <v>4</v>
      </c>
      <c r="Q96" s="35">
        <v>7</v>
      </c>
      <c r="R96" s="35">
        <v>0</v>
      </c>
      <c r="S96" s="35">
        <v>9</v>
      </c>
      <c r="T96" s="35">
        <v>5</v>
      </c>
      <c r="U96" s="35">
        <v>1</v>
      </c>
      <c r="V96" s="35">
        <v>2</v>
      </c>
      <c r="W96" s="35">
        <v>4</v>
      </c>
      <c r="X96" s="35">
        <v>1</v>
      </c>
      <c r="Y96" s="35">
        <v>0</v>
      </c>
      <c r="Z96" s="35">
        <v>0</v>
      </c>
      <c r="AA96" s="35">
        <v>0</v>
      </c>
      <c r="AB96" s="35">
        <v>1</v>
      </c>
      <c r="AC96" s="35">
        <v>2</v>
      </c>
      <c r="AD96" s="35">
        <v>2</v>
      </c>
      <c r="AE96" s="35">
        <v>1</v>
      </c>
      <c r="AF96" s="35">
        <v>1</v>
      </c>
      <c r="AG96" s="35">
        <v>0</v>
      </c>
      <c r="AH96" s="35">
        <v>3</v>
      </c>
      <c r="AI96" s="35">
        <v>1</v>
      </c>
      <c r="AJ96" s="35">
        <v>0</v>
      </c>
      <c r="AK96" s="35">
        <f>SUM('Boxscore MMR-Property Pulse'!$H:$H)</f>
        <v>2</v>
      </c>
    </row>
    <row r="97" spans="1:37" ht="15" customHeight="1">
      <c r="A97" s="15" t="s">
        <v>960</v>
      </c>
      <c r="B97" s="16"/>
      <c r="C97" s="16"/>
      <c r="D97" s="16"/>
      <c r="E97" s="16"/>
      <c r="F97" s="16"/>
      <c r="G97" s="16"/>
      <c r="H97" s="16"/>
      <c r="I97" s="16"/>
      <c r="J97" s="16" t="s">
        <v>1032</v>
      </c>
      <c r="K97" s="16"/>
      <c r="L97" s="16"/>
      <c r="M97" s="16"/>
      <c r="N97" s="16"/>
      <c r="O97" s="16"/>
      <c r="P97" s="16"/>
      <c r="Q97" s="16"/>
      <c r="R97" s="16"/>
      <c r="S97" s="16"/>
      <c r="T97" s="16"/>
      <c r="U97" s="16" t="s">
        <v>1032</v>
      </c>
      <c r="V97" s="16"/>
      <c r="W97" s="16"/>
      <c r="X97" s="16"/>
      <c r="Y97" s="16"/>
      <c r="Z97" s="16"/>
      <c r="AA97" s="16"/>
      <c r="AB97" s="16"/>
      <c r="AC97" s="16"/>
      <c r="AD97" s="16"/>
      <c r="AE97" s="16"/>
      <c r="AF97" s="16"/>
      <c r="AG97" s="16"/>
      <c r="AH97" s="16"/>
      <c r="AI97" s="16"/>
      <c r="AJ97" s="16"/>
      <c r="AK97" s="16"/>
    </row>
    <row r="98" spans="1:37" ht="15" customHeight="1">
      <c r="A98" s="40" t="s">
        <v>1057</v>
      </c>
      <c r="B98" s="68" t="s">
        <v>961</v>
      </c>
      <c r="C98" s="71" t="s">
        <v>1058</v>
      </c>
      <c r="D98" s="41">
        <v>815386.07</v>
      </c>
      <c r="E98" s="41">
        <v>815386.07</v>
      </c>
      <c r="F98" s="41">
        <v>816812.07</v>
      </c>
      <c r="G98" s="36">
        <v>933650.76</v>
      </c>
      <c r="H98" s="36">
        <v>938719.71000000008</v>
      </c>
      <c r="I98" s="36">
        <v>921538.96000000008</v>
      </c>
      <c r="J98" s="36">
        <v>794136</v>
      </c>
      <c r="K98" s="36">
        <v>877767.02</v>
      </c>
      <c r="L98" s="36">
        <v>866547.02</v>
      </c>
      <c r="M98" s="36">
        <v>863028.1</v>
      </c>
      <c r="N98" s="36">
        <v>755822</v>
      </c>
      <c r="O98" s="36">
        <v>849001.95000000007</v>
      </c>
      <c r="P98" s="36">
        <v>862037.95</v>
      </c>
      <c r="Q98" s="36">
        <v>896996.30999999994</v>
      </c>
      <c r="R98" s="36">
        <v>919957.46</v>
      </c>
      <c r="S98" s="36">
        <v>801098.4</v>
      </c>
      <c r="T98" s="36">
        <v>859616.05</v>
      </c>
      <c r="U98" s="36">
        <v>877250</v>
      </c>
      <c r="V98" s="36">
        <v>890341.69</v>
      </c>
      <c r="W98" s="36">
        <v>767074</v>
      </c>
      <c r="X98" s="36">
        <v>798082.64</v>
      </c>
      <c r="Y98" s="36">
        <v>845309.62</v>
      </c>
      <c r="Z98" s="36">
        <v>863137.27</v>
      </c>
      <c r="AA98" s="36">
        <v>735979.16999999993</v>
      </c>
      <c r="AB98" s="36">
        <v>752447.62</v>
      </c>
      <c r="AC98" s="36">
        <v>823572.66</v>
      </c>
      <c r="AD98" s="36">
        <v>881238.6</v>
      </c>
      <c r="AE98" s="36">
        <v>888017.91999999993</v>
      </c>
      <c r="AF98" s="36">
        <v>749313.93</v>
      </c>
      <c r="AG98" s="36">
        <v>785785.5</v>
      </c>
      <c r="AH98" s="36">
        <v>794499.11</v>
      </c>
      <c r="AI98" s="36">
        <v>853502.40999999992</v>
      </c>
      <c r="AJ98" s="36">
        <v>733729.79</v>
      </c>
      <c r="AK98" s="36">
        <f>SUM('receipts by charge code-AVA'!$C:$C)</f>
        <v>761341.09</v>
      </c>
    </row>
    <row r="99" spans="1:37" ht="15" customHeight="1">
      <c r="B99" s="68" t="s">
        <v>962</v>
      </c>
      <c r="C99" s="71" t="s">
        <v>1058</v>
      </c>
      <c r="D99" s="41">
        <v>-13618.19</v>
      </c>
      <c r="E99" s="41">
        <v>-10377</v>
      </c>
      <c r="F99" s="41">
        <v>-1750.26</v>
      </c>
      <c r="G99" s="36">
        <v>-16513</v>
      </c>
      <c r="H99" s="36">
        <v>-17183</v>
      </c>
      <c r="I99" s="36">
        <v>-17023</v>
      </c>
      <c r="J99" s="36">
        <v>-4625</v>
      </c>
      <c r="K99" s="36">
        <v>-7749</v>
      </c>
      <c r="L99" s="36">
        <v>-9579</v>
      </c>
      <c r="M99" s="36">
        <v>-12426.42</v>
      </c>
      <c r="N99" s="36">
        <v>-15171.74</v>
      </c>
      <c r="O99" s="36">
        <v>-15446.74</v>
      </c>
      <c r="P99" s="36">
        <v>-15303.42</v>
      </c>
      <c r="Q99" s="36">
        <v>-18575.739999999998</v>
      </c>
      <c r="R99" s="36">
        <v>-19371.739999999998</v>
      </c>
      <c r="S99" s="36">
        <v>-23309.879999999997</v>
      </c>
      <c r="T99" s="36">
        <v>-25409.879999999997</v>
      </c>
      <c r="U99" s="36">
        <v>-25481</v>
      </c>
      <c r="V99" s="36">
        <v>-27839.47</v>
      </c>
      <c r="W99" s="36">
        <v>-44235</v>
      </c>
      <c r="X99" s="36">
        <v>-47312.82</v>
      </c>
      <c r="Y99" s="36">
        <v>-48738.85</v>
      </c>
      <c r="Z99" s="36">
        <v>-49676.35</v>
      </c>
      <c r="AA99" s="36">
        <v>-38358.870000000003</v>
      </c>
      <c r="AB99" s="36">
        <v>-42309.610000000008</v>
      </c>
      <c r="AC99" s="36">
        <v>-43381.280000000006</v>
      </c>
      <c r="AD99" s="36">
        <v>-45074.54</v>
      </c>
      <c r="AE99" s="36">
        <v>-45374.54</v>
      </c>
      <c r="AF99" s="36">
        <v>-78136.570000000007</v>
      </c>
      <c r="AG99" s="36">
        <v>-78286.570000000007</v>
      </c>
      <c r="AH99" s="36">
        <v>-78984.52</v>
      </c>
      <c r="AI99" s="36">
        <v>-81323.520000000004</v>
      </c>
      <c r="AJ99" s="36">
        <v>-57994.31</v>
      </c>
      <c r="AK99" s="36">
        <f>SUMIF('receipts by charge code-AVA'!$G:$G,"&lt;0")</f>
        <v>-60839.31</v>
      </c>
    </row>
    <row r="100" spans="1:37" ht="15" customHeight="1">
      <c r="B100" s="68" t="s">
        <v>963</v>
      </c>
      <c r="C100" s="71" t="s">
        <v>1058</v>
      </c>
      <c r="D100" s="41">
        <v>0</v>
      </c>
      <c r="E100" s="41">
        <v>0</v>
      </c>
      <c r="F100" s="41">
        <v>0</v>
      </c>
      <c r="G100" s="41">
        <v>5882.0599999999995</v>
      </c>
      <c r="H100" s="41">
        <v>5882.0599999999995</v>
      </c>
      <c r="I100" s="41">
        <v>6056.82</v>
      </c>
      <c r="J100" s="41">
        <v>0</v>
      </c>
      <c r="K100" s="41">
        <v>9637.42</v>
      </c>
      <c r="L100" s="41">
        <v>14287.210000000001</v>
      </c>
      <c r="M100" s="41">
        <v>14287.210000000001</v>
      </c>
      <c r="N100" s="41">
        <v>0</v>
      </c>
      <c r="O100" s="41">
        <v>5708.5599999999995</v>
      </c>
      <c r="P100" s="41">
        <v>8679.76</v>
      </c>
      <c r="Q100" s="41">
        <v>8960.8100000000013</v>
      </c>
      <c r="R100" s="41">
        <v>9210.8100000000013</v>
      </c>
      <c r="S100" s="41">
        <v>4126.88</v>
      </c>
      <c r="T100" s="41">
        <v>10205.67</v>
      </c>
      <c r="U100" s="41">
        <v>10206</v>
      </c>
      <c r="V100" s="41">
        <v>10205.67</v>
      </c>
      <c r="W100" s="41">
        <v>0</v>
      </c>
      <c r="X100" s="41">
        <v>8775.24</v>
      </c>
      <c r="Y100" s="41">
        <v>8775.24</v>
      </c>
      <c r="Z100" s="41">
        <v>8775.24</v>
      </c>
      <c r="AA100" s="41">
        <v>8775.24</v>
      </c>
      <c r="AB100" s="41">
        <v>5654.74</v>
      </c>
      <c r="AC100" s="41">
        <v>7635.74</v>
      </c>
      <c r="AD100" s="41">
        <v>7635.74</v>
      </c>
      <c r="AE100" s="41">
        <v>7635.74</v>
      </c>
      <c r="AF100" s="41">
        <v>2950.9400000000005</v>
      </c>
      <c r="AG100" s="41">
        <v>9576.93</v>
      </c>
      <c r="AH100" s="41">
        <v>9886.34</v>
      </c>
      <c r="AI100" s="41">
        <v>9886.34</v>
      </c>
      <c r="AJ100" s="41">
        <v>0</v>
      </c>
      <c r="AK100" s="41">
        <f>SUM('NSF -AVA'!$F:$F)</f>
        <v>1281.68</v>
      </c>
    </row>
    <row r="101" spans="1:37" ht="15" customHeight="1">
      <c r="B101" s="68" t="s">
        <v>1059</v>
      </c>
      <c r="C101" s="71" t="s">
        <v>1058</v>
      </c>
      <c r="D101" s="36">
        <f t="shared" ref="D101:AD101" si="4">D98+D99</f>
        <v>801767.88</v>
      </c>
      <c r="E101" s="36">
        <f t="shared" si="4"/>
        <v>805009.07</v>
      </c>
      <c r="F101" s="36">
        <f t="shared" si="4"/>
        <v>815061.80999999994</v>
      </c>
      <c r="G101" s="36">
        <f t="shared" si="4"/>
        <v>917137.76</v>
      </c>
      <c r="H101" s="36">
        <f t="shared" si="4"/>
        <v>921536.71000000008</v>
      </c>
      <c r="I101" s="36">
        <f t="shared" si="4"/>
        <v>904515.96000000008</v>
      </c>
      <c r="J101" s="36">
        <f t="shared" si="4"/>
        <v>789511</v>
      </c>
      <c r="K101" s="36">
        <f t="shared" si="4"/>
        <v>870018.02</v>
      </c>
      <c r="L101" s="36">
        <f t="shared" si="4"/>
        <v>856968.02</v>
      </c>
      <c r="M101" s="36">
        <f t="shared" si="4"/>
        <v>850601.67999999993</v>
      </c>
      <c r="N101" s="36">
        <f t="shared" si="4"/>
        <v>740650.26</v>
      </c>
      <c r="O101" s="36">
        <f t="shared" si="4"/>
        <v>833555.21000000008</v>
      </c>
      <c r="P101" s="36">
        <f t="shared" si="4"/>
        <v>846734.52999999991</v>
      </c>
      <c r="Q101" s="36">
        <f t="shared" si="4"/>
        <v>878420.57</v>
      </c>
      <c r="R101" s="36">
        <f t="shared" si="4"/>
        <v>900585.72</v>
      </c>
      <c r="S101" s="36">
        <f t="shared" si="4"/>
        <v>777788.52</v>
      </c>
      <c r="T101" s="36">
        <f t="shared" si="4"/>
        <v>834206.17</v>
      </c>
      <c r="U101" s="36">
        <f t="shared" si="4"/>
        <v>851769</v>
      </c>
      <c r="V101" s="36">
        <f t="shared" si="4"/>
        <v>862502.22</v>
      </c>
      <c r="W101" s="36">
        <f t="shared" si="4"/>
        <v>722839</v>
      </c>
      <c r="X101" s="36">
        <f t="shared" si="4"/>
        <v>750769.82000000007</v>
      </c>
      <c r="Y101" s="36">
        <f t="shared" si="4"/>
        <v>796570.77</v>
      </c>
      <c r="Z101" s="36">
        <f t="shared" si="4"/>
        <v>813460.92</v>
      </c>
      <c r="AA101" s="36">
        <f t="shared" si="4"/>
        <v>697620.29999999993</v>
      </c>
      <c r="AB101" s="36">
        <f t="shared" si="4"/>
        <v>710138.01</v>
      </c>
      <c r="AC101" s="36">
        <f t="shared" si="4"/>
        <v>780191.38</v>
      </c>
      <c r="AD101" s="36">
        <f t="shared" si="4"/>
        <v>836164.05999999994</v>
      </c>
      <c r="AE101" s="36">
        <v>842643.37999999989</v>
      </c>
      <c r="AF101" s="36">
        <v>671177.3600000001</v>
      </c>
      <c r="AG101" s="36">
        <v>707498.92999999993</v>
      </c>
      <c r="AH101" s="36">
        <v>715514.59</v>
      </c>
      <c r="AI101" s="36">
        <v>772178.8899999999</v>
      </c>
      <c r="AJ101" s="36">
        <v>675735.48</v>
      </c>
      <c r="AK101" s="36">
        <f>AK98+AK99</f>
        <v>700501.78</v>
      </c>
    </row>
    <row r="102" spans="1:37" ht="15" customHeight="1">
      <c r="B102" s="68" t="s">
        <v>1060</v>
      </c>
      <c r="C102" s="71" t="s">
        <v>1058</v>
      </c>
      <c r="D102" s="36">
        <f>SUM('receipts by charge code-AVA'!$F:$F)-D100</f>
        <v>697188.62000000011</v>
      </c>
      <c r="E102" s="36">
        <f>SUM('receipts by charge code-AVA'!$F:$F)-E100</f>
        <v>697188.62000000011</v>
      </c>
      <c r="F102" s="36">
        <f>SUM('receipts by charge code-AVA'!$F:$F)-F100</f>
        <v>697188.62000000011</v>
      </c>
      <c r="G102" s="36">
        <f>SUM('receipts by charge code-AVA'!$F:$F)-G100</f>
        <v>691306.56</v>
      </c>
      <c r="H102" s="36">
        <f>SUM('receipts by charge code-AVA'!$F:$F)-H100</f>
        <v>691306.56</v>
      </c>
      <c r="I102" s="36">
        <f>SUM('receipts by charge code-AVA'!$F:$F)-I100</f>
        <v>691131.80000000016</v>
      </c>
      <c r="J102" s="36">
        <f>SUM('receipts by charge code-AVA'!$F:$F)-J100</f>
        <v>697188.62000000011</v>
      </c>
      <c r="K102" s="36">
        <f>SUM('receipts by charge code-AVA'!$F:$F)-K100</f>
        <v>687551.20000000007</v>
      </c>
      <c r="L102" s="36">
        <f>SUM('receipts by charge code-AVA'!$F:$F)-L100</f>
        <v>682901.41000000015</v>
      </c>
      <c r="M102" s="36">
        <f>SUM('receipts by charge code-AVA'!$F:$F)-M100</f>
        <v>682901.41000000015</v>
      </c>
      <c r="N102" s="36">
        <f>SUM('receipts by charge code-AVA'!$F:$F)-N100</f>
        <v>697188.62000000011</v>
      </c>
      <c r="O102" s="36">
        <f>SUM('receipts by charge code-AVA'!$F:$F)-O100</f>
        <v>691480.06</v>
      </c>
      <c r="P102" s="36">
        <f>SUM('receipts by charge code-AVA'!$F:$F)-P100</f>
        <v>688508.8600000001</v>
      </c>
      <c r="Q102" s="36">
        <f>SUM('receipts by charge code-AVA'!$F:$F)-Q100</f>
        <v>688227.81</v>
      </c>
      <c r="R102" s="36">
        <f>SUM('receipts by charge code-AVA'!$F:$F)-R100</f>
        <v>687977.81</v>
      </c>
      <c r="S102" s="36">
        <f>SUM('receipts by charge code-AVA'!$F:$F)-S100</f>
        <v>693061.74000000011</v>
      </c>
      <c r="T102" s="36">
        <f>SUM('receipts by charge code-AVA'!$F:$F)-T100</f>
        <v>686982.95000000007</v>
      </c>
      <c r="U102" s="36">
        <f>SUM('receipts by charge code-AVA'!$F:$F)-U100</f>
        <v>686982.62000000011</v>
      </c>
      <c r="V102" s="36">
        <f>SUM('receipts by charge code-AVA'!$F:$F)-V100</f>
        <v>686982.95000000007</v>
      </c>
      <c r="W102" s="36">
        <f>SUM('receipts by charge code-AVA'!$F:$F)-W100</f>
        <v>697188.62000000011</v>
      </c>
      <c r="X102" s="36">
        <f>SUM('receipts by charge code-AVA'!$F:$F)-X100</f>
        <v>688413.38000000012</v>
      </c>
      <c r="Y102" s="36">
        <f>SUM('receipts by charge code-AVA'!$F:$F)-Y100</f>
        <v>688413.38000000012</v>
      </c>
      <c r="Z102" s="36">
        <f>SUM('receipts by charge code-AVA'!$F:$F)-Z100</f>
        <v>688413.38000000012</v>
      </c>
      <c r="AA102" s="36">
        <f>SUM('receipts by charge code-AVA'!$F:$F)-AA100</f>
        <v>688413.38000000012</v>
      </c>
      <c r="AB102" s="36">
        <f>SUM('receipts by charge code-AVA'!$F:$F)-AB100</f>
        <v>691533.88000000012</v>
      </c>
      <c r="AC102" s="36">
        <f>SUM('receipts by charge code-AVA'!$F:$F)-AC100</f>
        <v>689552.88000000012</v>
      </c>
      <c r="AD102" s="36">
        <f>732122.45-AD100</f>
        <v>724486.71</v>
      </c>
      <c r="AE102" s="36">
        <v>746070.71</v>
      </c>
      <c r="AF102" s="36">
        <v>647435.38000000012</v>
      </c>
      <c r="AG102" s="36">
        <v>680020.8</v>
      </c>
      <c r="AH102" s="36">
        <v>704903.62000000011</v>
      </c>
      <c r="AI102" s="36">
        <v>725768.72000000009</v>
      </c>
      <c r="AJ102" s="36">
        <v>483329.54</v>
      </c>
      <c r="AK102" s="36">
        <f>SUM('receipts by charge code-AVA'!$F:$F)-AK100</f>
        <v>695906.94000000006</v>
      </c>
    </row>
    <row r="103" spans="1:37" ht="15" customHeight="1">
      <c r="B103" s="68" t="s">
        <v>966</v>
      </c>
      <c r="C103" s="69">
        <v>0</v>
      </c>
      <c r="D103" s="34">
        <f t="shared" ref="D103:F103" si="5">D102/D101</f>
        <v>0.86956416862197083</v>
      </c>
      <c r="E103" s="34">
        <f t="shared" si="5"/>
        <v>0.86606306187332793</v>
      </c>
      <c r="F103" s="34">
        <f t="shared" si="5"/>
        <v>0.85538128697257965</v>
      </c>
      <c r="G103" s="34">
        <v>0.76732120298423667</v>
      </c>
      <c r="H103" s="34">
        <v>0.8092726300212526</v>
      </c>
      <c r="I103" s="34">
        <v>0.8592324434801506</v>
      </c>
      <c r="J103" s="34">
        <v>0.3448</v>
      </c>
      <c r="K103" s="34">
        <v>0.82869794969302812</v>
      </c>
      <c r="L103" s="34">
        <v>0.88388930872119786</v>
      </c>
      <c r="M103" s="34">
        <v>0.90405760989696637</v>
      </c>
      <c r="N103" s="34">
        <v>0.29537776791806375</v>
      </c>
      <c r="O103" s="34">
        <v>0.80942868012934255</v>
      </c>
      <c r="P103" s="34">
        <v>0.83760814524772198</v>
      </c>
      <c r="Q103" s="34">
        <v>0.84287493501624811</v>
      </c>
      <c r="R103" s="34">
        <v>0.83451509866394558</v>
      </c>
      <c r="S103" s="34">
        <v>0.8184765252509687</v>
      </c>
      <c r="T103" s="34">
        <v>0.80097096745335994</v>
      </c>
      <c r="U103" s="34">
        <v>0.83040000000000003</v>
      </c>
      <c r="V103" s="34">
        <v>0.85353536360326199</v>
      </c>
      <c r="W103" s="34">
        <v>0.78469999999999995</v>
      </c>
      <c r="X103" s="34">
        <v>0.81018932341845618</v>
      </c>
      <c r="Y103" s="34">
        <v>0.81069803726020262</v>
      </c>
      <c r="Z103" s="34">
        <v>0.82072671516446016</v>
      </c>
      <c r="AA103" s="34">
        <v>0.12929056897748953</v>
      </c>
      <c r="AB103" s="34">
        <v>0.85913904542361796</v>
      </c>
      <c r="AC103" s="34">
        <v>0.83138805857946441</v>
      </c>
      <c r="AD103" s="34">
        <v>0.79693045676316843</v>
      </c>
      <c r="AE103" s="34">
        <v>0.88539318970262371</v>
      </c>
      <c r="AF103" s="34">
        <v>0.96462636939958768</v>
      </c>
      <c r="AG103" s="34">
        <v>0.96116159497230635</v>
      </c>
      <c r="AH103" s="34">
        <v>0.98517015564979626</v>
      </c>
      <c r="AI103" s="34">
        <v>0.93989712668783287</v>
      </c>
      <c r="AJ103" s="34">
        <v>0.71526441086088888</v>
      </c>
      <c r="AK103" s="34">
        <f>AK102/AK101</f>
        <v>0.99344064479036731</v>
      </c>
    </row>
    <row r="104" spans="1:37" ht="15" customHeight="1">
      <c r="B104" s="68" t="s">
        <v>1061</v>
      </c>
      <c r="C104" s="69">
        <v>0</v>
      </c>
      <c r="D104" s="34">
        <f>(SUM(D102)-SUM('receipts by charge code-AVA'!A:A))/Data_2!D101</f>
        <v>0.86956416862197083</v>
      </c>
      <c r="E104" s="34">
        <f>(SUM(E102)-SUM('receipts by charge code-AVA'!B:B))/Data_2!E101</f>
        <v>0.86606306187332793</v>
      </c>
      <c r="F104" s="34">
        <f>(SUM(F102)/(Data_2!F101))</f>
        <v>0.85538128697257965</v>
      </c>
      <c r="G104" s="34">
        <v>0.76692371566662798</v>
      </c>
      <c r="H104" s="34">
        <v>0.80887754387233579</v>
      </c>
      <c r="I104" s="34">
        <v>0.85882993631541804</v>
      </c>
      <c r="J104" s="34">
        <v>0.32050000000000001</v>
      </c>
      <c r="K104" s="34">
        <v>0.80002995848968095</v>
      </c>
      <c r="L104" s="34">
        <v>0.85479545763319698</v>
      </c>
      <c r="M104" s="34">
        <v>0.87560780726802079</v>
      </c>
      <c r="N104" s="34">
        <v>0.26897857821776866</v>
      </c>
      <c r="O104" s="34">
        <v>0.78341556018815606</v>
      </c>
      <c r="P104" s="34">
        <v>0.81189213599528132</v>
      </c>
      <c r="Q104" s="34">
        <v>0.81823536624143345</v>
      </c>
      <c r="R104" s="34">
        <v>0.81049825280844101</v>
      </c>
      <c r="S104" s="34">
        <v>0.78734609854618176</v>
      </c>
      <c r="T104" s="34">
        <v>0.7717357734719128</v>
      </c>
      <c r="U104" s="34">
        <v>0.80100000000000005</v>
      </c>
      <c r="V104" s="34">
        <v>0.82459896577164205</v>
      </c>
      <c r="W104" s="34">
        <v>0.72640000000000005</v>
      </c>
      <c r="X104" s="34">
        <v>0.75316320946677573</v>
      </c>
      <c r="Y104" s="34">
        <v>0.75653487229021932</v>
      </c>
      <c r="Z104" s="34">
        <v>0.76768781652832041</v>
      </c>
      <c r="AA104" s="34">
        <v>7.4619573991839744E-2</v>
      </c>
      <c r="AB104" s="34">
        <v>0.80570608768450347</v>
      </c>
      <c r="AC104" s="34">
        <v>0.7808083315353963</v>
      </c>
      <c r="AD104" s="34">
        <v>0.74956662697917686</v>
      </c>
      <c r="AE104" s="34">
        <v>0.83375559183767645</v>
      </c>
      <c r="AF104" s="34">
        <v>0.93060674752199635</v>
      </c>
      <c r="AG104" s="34">
        <v>0.92888850022713121</v>
      </c>
      <c r="AH104" s="34">
        <v>0.95325860511104332</v>
      </c>
      <c r="AI104" s="34">
        <v>0.91032732065493283</v>
      </c>
      <c r="AJ104" s="34">
        <v>0.63268328014980058</v>
      </c>
      <c r="AK104" s="34">
        <f>(SUM(AK102)-SUM('receipts by charge code-AVA'!$D:$D))/Data_2!AK101</f>
        <v>0.91010319773919779</v>
      </c>
    </row>
    <row r="105" spans="1:37" ht="15" customHeight="1">
      <c r="A105" s="15" t="s">
        <v>967</v>
      </c>
      <c r="B105" s="16"/>
      <c r="C105" s="16"/>
      <c r="D105" s="16"/>
      <c r="E105" s="16"/>
      <c r="F105" s="16"/>
      <c r="G105" s="16"/>
      <c r="H105" s="16"/>
      <c r="I105" s="16"/>
      <c r="J105" s="16" t="s">
        <v>1032</v>
      </c>
      <c r="K105" s="16"/>
      <c r="L105" s="16"/>
      <c r="M105" s="16"/>
      <c r="N105" s="16"/>
      <c r="O105" s="16"/>
      <c r="P105" s="16"/>
      <c r="Q105" s="16"/>
      <c r="R105" s="16"/>
      <c r="S105" s="16"/>
      <c r="T105" s="16"/>
      <c r="U105" s="16" t="s">
        <v>1032</v>
      </c>
      <c r="V105" s="16"/>
      <c r="W105" s="16"/>
      <c r="X105" s="16"/>
      <c r="Y105" s="16"/>
      <c r="Z105" s="16"/>
      <c r="AA105" s="16"/>
      <c r="AB105" s="16"/>
      <c r="AC105" s="16"/>
      <c r="AD105" s="16"/>
      <c r="AE105" s="16"/>
      <c r="AF105" s="16"/>
      <c r="AG105" s="16"/>
      <c r="AH105" s="16"/>
      <c r="AI105" s="16"/>
      <c r="AJ105" s="16"/>
      <c r="AK105" s="16"/>
    </row>
    <row r="106" spans="1:37" ht="15" customHeight="1">
      <c r="B106" s="68" t="s">
        <v>968</v>
      </c>
      <c r="C106" s="71" t="s">
        <v>1058</v>
      </c>
      <c r="D106" s="41">
        <v>417869.49</v>
      </c>
      <c r="E106" s="41">
        <v>417869.49</v>
      </c>
      <c r="F106" s="41">
        <v>871131.37</v>
      </c>
      <c r="G106" s="36">
        <v>577717.95999999961</v>
      </c>
      <c r="H106" s="36">
        <v>543166.30999999982</v>
      </c>
      <c r="I106" s="36">
        <v>496527.82000000007</v>
      </c>
      <c r="J106" s="36">
        <v>856635.52</v>
      </c>
      <c r="K106" s="36">
        <f>'trending delinquency'!D14</f>
        <v>628862.97</v>
      </c>
      <c r="L106" s="36">
        <f>'trending delinquency'!D21</f>
        <v>594834.71</v>
      </c>
      <c r="M106" s="36">
        <v>571153.44999999995</v>
      </c>
      <c r="N106" s="36">
        <v>1021329.94</v>
      </c>
      <c r="O106" s="36">
        <v>711072.26</v>
      </c>
      <c r="P106" s="36">
        <v>687575.66</v>
      </c>
      <c r="Q106" s="36">
        <v>698186.29</v>
      </c>
      <c r="R106" s="36">
        <v>692937.99</v>
      </c>
      <c r="S106" s="36">
        <v>819291.5</v>
      </c>
      <c r="T106" s="36">
        <v>853079.77</v>
      </c>
      <c r="U106" s="36">
        <v>830455</v>
      </c>
      <c r="V106" s="36">
        <v>810269.66</v>
      </c>
      <c r="W106" s="36">
        <v>810270</v>
      </c>
      <c r="X106" s="36">
        <v>837078.94</v>
      </c>
      <c r="Y106" s="36">
        <v>836886.1</v>
      </c>
      <c r="Z106" s="36">
        <v>819675.16</v>
      </c>
      <c r="AA106" s="36">
        <v>826042.79</v>
      </c>
      <c r="AB106" s="36">
        <v>896485.43</v>
      </c>
      <c r="AC106" s="36">
        <v>931180.57</v>
      </c>
      <c r="AD106" s="36">
        <v>967085.1</v>
      </c>
      <c r="AE106" s="36">
        <v>952964.29</v>
      </c>
      <c r="AF106" s="36">
        <v>1055946.68</v>
      </c>
      <c r="AG106" s="36">
        <v>1045326.64</v>
      </c>
      <c r="AH106" s="36">
        <v>1024699.33</v>
      </c>
      <c r="AI106" s="36">
        <v>1064127.49</v>
      </c>
      <c r="AJ106" s="36">
        <v>869922.43</v>
      </c>
      <c r="AK106" s="36">
        <f>'trending delinquency'!$D$197</f>
        <v>679015.74</v>
      </c>
    </row>
    <row r="107" spans="1:37" ht="15" customHeight="1">
      <c r="A107" s="40" t="s">
        <v>1062</v>
      </c>
      <c r="B107" s="68" t="s">
        <v>1063</v>
      </c>
      <c r="C107" s="71" t="s">
        <v>1021</v>
      </c>
      <c r="D107" s="72">
        <v>156</v>
      </c>
      <c r="E107" s="72">
        <v>156</v>
      </c>
      <c r="F107" s="72">
        <v>471</v>
      </c>
      <c r="G107" s="35">
        <v>464</v>
      </c>
      <c r="H107" s="35">
        <v>355</v>
      </c>
      <c r="I107" s="35">
        <v>255</v>
      </c>
      <c r="J107" s="35">
        <v>222</v>
      </c>
      <c r="K107" s="35">
        <v>222</v>
      </c>
      <c r="L107" s="35">
        <v>222</v>
      </c>
      <c r="M107" s="35">
        <v>121</v>
      </c>
      <c r="N107" s="35">
        <v>427</v>
      </c>
      <c r="O107" s="35">
        <v>181</v>
      </c>
      <c r="P107" s="35">
        <v>130</v>
      </c>
      <c r="Q107" s="35">
        <v>108</v>
      </c>
      <c r="R107" s="35">
        <v>93</v>
      </c>
      <c r="S107" s="35">
        <v>112</v>
      </c>
      <c r="T107" s="35">
        <v>98</v>
      </c>
      <c r="U107" s="35">
        <v>87</v>
      </c>
      <c r="V107" s="35">
        <v>69</v>
      </c>
      <c r="W107" s="35">
        <v>108</v>
      </c>
      <c r="X107" s="35">
        <v>68</v>
      </c>
      <c r="Y107" s="35">
        <v>54</v>
      </c>
      <c r="Z107" s="35">
        <v>53</v>
      </c>
      <c r="AA107" s="35">
        <v>444</v>
      </c>
      <c r="AB107" s="35">
        <v>64</v>
      </c>
      <c r="AC107" s="35">
        <v>36</v>
      </c>
      <c r="AD107" s="35">
        <v>30</v>
      </c>
      <c r="AE107" s="35">
        <v>24</v>
      </c>
      <c r="AF107" s="35">
        <v>67</v>
      </c>
      <c r="AG107" s="35">
        <v>67</v>
      </c>
      <c r="AH107" s="35">
        <v>52</v>
      </c>
      <c r="AI107" s="35">
        <v>33</v>
      </c>
      <c r="AJ107" s="35">
        <v>214</v>
      </c>
      <c r="AK107" s="35">
        <f>COUNTIF('resident aged receivable'!$E:$E,"Current*")</f>
        <v>65</v>
      </c>
    </row>
    <row r="108" spans="1:37" ht="15" customHeight="1">
      <c r="B108" s="68" t="s">
        <v>1064</v>
      </c>
      <c r="C108" s="71" t="s">
        <v>1021</v>
      </c>
      <c r="D108" s="72">
        <v>0</v>
      </c>
      <c r="E108" s="72">
        <v>0</v>
      </c>
      <c r="F108" s="72">
        <v>0</v>
      </c>
      <c r="G108" s="35">
        <v>27</v>
      </c>
      <c r="H108" s="35">
        <v>23</v>
      </c>
      <c r="I108" s="35">
        <v>13</v>
      </c>
      <c r="J108" s="35">
        <v>9</v>
      </c>
      <c r="K108" s="35">
        <v>9</v>
      </c>
      <c r="L108" s="35">
        <v>9</v>
      </c>
      <c r="M108" s="35">
        <v>13</v>
      </c>
      <c r="N108" s="35">
        <v>26</v>
      </c>
      <c r="O108" s="35">
        <v>8</v>
      </c>
      <c r="P108" s="35">
        <v>7</v>
      </c>
      <c r="Q108" s="35">
        <v>6</v>
      </c>
      <c r="R108" s="35">
        <v>12</v>
      </c>
      <c r="S108" s="35">
        <v>14</v>
      </c>
      <c r="T108" s="35">
        <v>9</v>
      </c>
      <c r="U108" s="35">
        <v>8</v>
      </c>
      <c r="V108" s="35">
        <v>7</v>
      </c>
      <c r="W108" s="35">
        <v>15</v>
      </c>
      <c r="X108" s="35">
        <v>24</v>
      </c>
      <c r="Y108" s="35">
        <v>23</v>
      </c>
      <c r="Z108" s="35">
        <v>20</v>
      </c>
      <c r="AA108" s="35">
        <v>62</v>
      </c>
      <c r="AB108" s="35">
        <v>30</v>
      </c>
      <c r="AC108" s="35">
        <v>30</v>
      </c>
      <c r="AD108" s="35">
        <v>28</v>
      </c>
      <c r="AE108" s="35">
        <v>23</v>
      </c>
      <c r="AF108" s="35">
        <v>28</v>
      </c>
      <c r="AG108" s="35">
        <v>20</v>
      </c>
      <c r="AH108" s="35">
        <v>12</v>
      </c>
      <c r="AI108" s="35">
        <v>11</v>
      </c>
      <c r="AJ108" s="35">
        <v>22</v>
      </c>
      <c r="AK108" s="35">
        <f>COUNTIF('resident aged receivable'!$E:$E,"Notice*")</f>
        <v>16</v>
      </c>
    </row>
    <row r="109" spans="1:37" ht="15" customHeight="1">
      <c r="B109" s="68" t="s">
        <v>1065</v>
      </c>
      <c r="C109" s="71" t="s">
        <v>1021</v>
      </c>
      <c r="D109" s="72">
        <v>0</v>
      </c>
      <c r="E109" s="72">
        <v>0</v>
      </c>
      <c r="F109" s="72">
        <v>0</v>
      </c>
      <c r="G109" s="35">
        <v>0</v>
      </c>
      <c r="H109" s="35">
        <v>0</v>
      </c>
      <c r="I109" s="35">
        <v>30</v>
      </c>
      <c r="J109" s="35">
        <v>30</v>
      </c>
      <c r="K109" s="35">
        <v>30</v>
      </c>
      <c r="L109" s="35">
        <v>30</v>
      </c>
      <c r="M109" s="35">
        <v>51</v>
      </c>
      <c r="N109" s="35">
        <v>55</v>
      </c>
      <c r="O109" s="35">
        <v>79</v>
      </c>
      <c r="P109" s="35">
        <v>86</v>
      </c>
      <c r="Q109" s="35">
        <v>91</v>
      </c>
      <c r="R109" s="35">
        <v>94</v>
      </c>
      <c r="S109" s="35">
        <v>102</v>
      </c>
      <c r="T109" s="35">
        <v>111</v>
      </c>
      <c r="U109" s="35">
        <v>111</v>
      </c>
      <c r="V109" s="35">
        <v>117</v>
      </c>
      <c r="W109" s="35">
        <v>121</v>
      </c>
      <c r="X109" s="35">
        <v>133</v>
      </c>
      <c r="Y109" s="35">
        <v>136</v>
      </c>
      <c r="Z109" s="35">
        <v>137</v>
      </c>
      <c r="AA109" s="35">
        <v>149</v>
      </c>
      <c r="AB109" s="35">
        <v>157</v>
      </c>
      <c r="AC109" s="35">
        <v>167</v>
      </c>
      <c r="AD109" s="35">
        <v>170</v>
      </c>
      <c r="AE109" s="35">
        <v>176</v>
      </c>
      <c r="AF109" s="35">
        <v>188</v>
      </c>
      <c r="AG109" s="35">
        <v>193</v>
      </c>
      <c r="AH109" s="35">
        <v>199</v>
      </c>
      <c r="AI109" s="35">
        <v>205</v>
      </c>
      <c r="AJ109" s="35">
        <v>95</v>
      </c>
      <c r="AK109" s="35">
        <f>COUNTIF('resident aged receivable'!$E:$E,"Past*")</f>
        <v>100</v>
      </c>
    </row>
    <row r="110" spans="1:37" ht="15" customHeight="1">
      <c r="B110" s="68" t="s">
        <v>1066</v>
      </c>
      <c r="C110" s="71" t="s">
        <v>1058</v>
      </c>
      <c r="D110" s="41">
        <v>0</v>
      </c>
      <c r="E110" s="41">
        <v>0</v>
      </c>
      <c r="F110" s="41">
        <v>0</v>
      </c>
      <c r="G110" s="36">
        <v>0</v>
      </c>
      <c r="H110" s="36">
        <v>0</v>
      </c>
      <c r="I110" s="36">
        <v>0</v>
      </c>
      <c r="J110" s="36">
        <v>0</v>
      </c>
      <c r="K110" s="36">
        <v>0</v>
      </c>
      <c r="L110" s="36">
        <v>0</v>
      </c>
      <c r="M110" s="36">
        <v>356590.97000000009</v>
      </c>
      <c r="N110" s="36">
        <v>452589.40000000014</v>
      </c>
      <c r="O110" s="36">
        <v>452512.32000000012</v>
      </c>
      <c r="P110" s="36">
        <v>451412.32000000012</v>
      </c>
      <c r="Q110" s="36">
        <v>447149.93000000011</v>
      </c>
      <c r="R110" s="36">
        <v>447149.93000000011</v>
      </c>
      <c r="S110" s="36">
        <v>530840.34000000008</v>
      </c>
      <c r="T110" s="36">
        <v>530640.34000000008</v>
      </c>
      <c r="U110" s="36">
        <v>526401</v>
      </c>
      <c r="V110" s="36">
        <v>517095.84000000014</v>
      </c>
      <c r="W110" s="36">
        <v>542209</v>
      </c>
      <c r="X110" s="36">
        <v>542930.75000000012</v>
      </c>
      <c r="Y110" s="36">
        <v>542930.75000000012</v>
      </c>
      <c r="Z110" s="36">
        <v>542180.75000000012</v>
      </c>
      <c r="AA110" s="36">
        <v>698639.25999999978</v>
      </c>
      <c r="AB110" s="36">
        <v>698619.1599999998</v>
      </c>
      <c r="AC110" s="36">
        <v>698619.1599999998</v>
      </c>
      <c r="AD110" s="36">
        <v>694869.15999999992</v>
      </c>
      <c r="AE110" s="36">
        <v>688587.32999999984</v>
      </c>
      <c r="AF110" s="36">
        <v>802760.49000000022</v>
      </c>
      <c r="AG110" s="36">
        <v>802760.49000000022</v>
      </c>
      <c r="AH110" s="36">
        <v>798828.07000000018</v>
      </c>
      <c r="AI110" s="36">
        <v>798578.07000000018</v>
      </c>
      <c r="AJ110" s="36">
        <v>473766.57</v>
      </c>
      <c r="AK110" s="36">
        <f>SUM('resident aged receivable'!$L:$L)+SUM('resident aged receivable'!$M:$M)</f>
        <v>473766.57</v>
      </c>
    </row>
    <row r="111" spans="1:37" ht="15" customHeight="1">
      <c r="B111" s="68" t="s">
        <v>1067</v>
      </c>
      <c r="C111" s="71"/>
      <c r="D111" s="1168"/>
      <c r="E111" s="1168"/>
      <c r="F111" s="1168"/>
      <c r="G111" s="1169"/>
      <c r="H111" s="1169"/>
      <c r="I111" s="1169"/>
      <c r="J111" s="1169"/>
      <c r="K111" s="1169"/>
      <c r="L111" s="1169"/>
      <c r="M111" s="1169"/>
      <c r="N111" s="1169"/>
      <c r="O111" s="1169"/>
      <c r="P111" s="1169"/>
      <c r="Q111" s="1169"/>
      <c r="R111" s="1169"/>
      <c r="S111" s="1169"/>
      <c r="T111" s="1169"/>
      <c r="U111" s="1169"/>
      <c r="V111" s="1169"/>
      <c r="W111" s="1169"/>
      <c r="X111" s="1169"/>
      <c r="Y111" s="1169"/>
      <c r="Z111" s="1169"/>
      <c r="AA111" s="1169"/>
      <c r="AB111" s="1169"/>
      <c r="AC111" s="1169"/>
      <c r="AD111" s="1169"/>
      <c r="AE111" s="1169">
        <v>119375.03000000001</v>
      </c>
      <c r="AF111" s="1169">
        <v>159490.72999999998</v>
      </c>
      <c r="AG111" s="1169">
        <v>120454.75999999998</v>
      </c>
      <c r="AH111" s="1169">
        <v>80413.299999999988</v>
      </c>
      <c r="AI111" s="1169">
        <v>68717.829999999987</v>
      </c>
      <c r="AJ111" s="1169">
        <v>311122.52000000014</v>
      </c>
      <c r="AK111" s="1169">
        <f>SUMIF('resident aged receivable'!$E:$E,"Current*",'resident aged receivable'!$I:$I)+SUMIF('resident aged receivable'!$E:$E,"Notice*",'resident aged receivable'!$I:$I)</f>
        <v>121349.64999999998</v>
      </c>
    </row>
    <row r="112" spans="1:37" ht="15" customHeight="1">
      <c r="A112" s="40" t="s">
        <v>1068</v>
      </c>
      <c r="B112" s="68" t="s">
        <v>1069</v>
      </c>
      <c r="C112" s="71" t="s">
        <v>1070</v>
      </c>
      <c r="D112" s="74">
        <f t="shared" ref="D112" si="6">D106/D98*30</f>
        <v>15.374416072621894</v>
      </c>
      <c r="E112" s="74">
        <f>E106/E98*30</f>
        <v>15.374416072621894</v>
      </c>
      <c r="F112" s="74">
        <f>F106/F98*30</f>
        <v>31.995047649087756</v>
      </c>
      <c r="G112" s="74">
        <v>18.563192515368367</v>
      </c>
      <c r="H112" s="74">
        <v>17.358737785531307</v>
      </c>
      <c r="I112" s="74">
        <v>16.164085564000462</v>
      </c>
      <c r="J112" s="74" t="s">
        <v>1071</v>
      </c>
      <c r="K112" s="74">
        <v>16.755622010040888</v>
      </c>
      <c r="L112" s="74">
        <v>16.972572821264794</v>
      </c>
      <c r="M112" s="74">
        <v>19.854050522804528</v>
      </c>
      <c r="N112" s="74">
        <v>40.538510654625028</v>
      </c>
      <c r="O112" s="74">
        <v>25.1261705582655</v>
      </c>
      <c r="P112" s="74">
        <v>23.928493867352362</v>
      </c>
      <c r="Q112" s="74">
        <v>22.986887872481887</v>
      </c>
      <c r="R112" s="74">
        <v>22.596848880381927</v>
      </c>
      <c r="S112" s="74">
        <v>30.681305817113106</v>
      </c>
      <c r="T112" s="74">
        <v>29.771888391334713</v>
      </c>
      <c r="U112" s="74" t="s">
        <v>1072</v>
      </c>
      <c r="V112" s="74">
        <v>27.301978636988235</v>
      </c>
      <c r="W112" s="74" t="s">
        <v>1073</v>
      </c>
      <c r="X112" s="74">
        <v>31.465874511441566</v>
      </c>
      <c r="Y112" s="74">
        <v>29.707893540830636</v>
      </c>
      <c r="Z112" s="74">
        <v>28.489390569358683</v>
      </c>
      <c r="AA112" s="74">
        <v>33.671175367639826</v>
      </c>
      <c r="AB112" s="74">
        <v>35.742770905435258</v>
      </c>
      <c r="AC112" s="74">
        <v>33.919796584796778</v>
      </c>
      <c r="AD112" s="74">
        <v>32.922471848146458</v>
      </c>
      <c r="AE112" s="74">
        <v>32.194089844493227</v>
      </c>
      <c r="AF112" s="74">
        <v>38.153472870843331</v>
      </c>
      <c r="AG112" s="74">
        <v>39.908854515640719</v>
      </c>
      <c r="AH112" s="74">
        <v>38.692277326780136</v>
      </c>
      <c r="AI112" s="74">
        <v>37.403321098999591</v>
      </c>
      <c r="AJ112" s="74">
        <v>35.568506629668121</v>
      </c>
      <c r="AK112" s="74">
        <f>AK106/AK98*30</f>
        <v>26.75603939884553</v>
      </c>
    </row>
    <row r="113" spans="1:37" ht="15" customHeight="1">
      <c r="A113" s="40" t="s">
        <v>1074</v>
      </c>
      <c r="B113" s="68" t="s">
        <v>1075</v>
      </c>
      <c r="C113" s="71">
        <v>0</v>
      </c>
      <c r="D113" s="75">
        <f>(D106/'T12'!$C$24)*DAY(EOMONTH(D4,0))</f>
        <v>13.486406977975351</v>
      </c>
      <c r="E113" s="75">
        <f>(E106/'T12'!$C$24)*DAY(EOMONTH(E4,0))</f>
        <v>13.486406977975351</v>
      </c>
      <c r="F113" s="75">
        <f>(F106/'T12'!$C$24)*DAY(EOMONTH(F4,0))</f>
        <v>28.115075324358394</v>
      </c>
      <c r="G113" s="75">
        <f>(G106/'T12'!$C$24)*DAY(EOMONTH(G4,0))</f>
        <v>18.645389801121109</v>
      </c>
      <c r="H113" s="75">
        <f>(H106/'T12'!$C$24)*DAY(EOMONTH(H4,0))</f>
        <v>17.53026265063075</v>
      </c>
      <c r="I113" s="75">
        <f>(I106/'T12'!$C$24)*DAY(EOMONTH(I4,0))</f>
        <v>16.025042307843268</v>
      </c>
      <c r="J113" s="75">
        <f>(J106/'T12'!$D$24)*DAY(EOMONTH(J4,0))</f>
        <v>24.05181679710806</v>
      </c>
      <c r="K113" s="75">
        <f>(K106/'T12'!$D$24)*DAY(EOMONTH(K4,0))</f>
        <v>17.656630611027268</v>
      </c>
      <c r="L113" s="75">
        <v>14.104579653524391</v>
      </c>
      <c r="M113" s="75">
        <v>16.435058725572802</v>
      </c>
      <c r="N113" s="75">
        <v>35.294555574506411</v>
      </c>
      <c r="O113" s="75">
        <v>24.572842149384041</v>
      </c>
      <c r="P113" s="75">
        <v>23.760859633222864</v>
      </c>
      <c r="Q113" s="75">
        <v>23.751510461431103</v>
      </c>
      <c r="R113" s="75">
        <v>23.94616806958755</v>
      </c>
      <c r="S113" s="75">
        <v>27.399312418274423</v>
      </c>
      <c r="T113" s="75">
        <v>28.529283089034475</v>
      </c>
      <c r="U113" s="75">
        <v>27.8</v>
      </c>
      <c r="V113" s="75">
        <v>27.097597811510308</v>
      </c>
      <c r="W113" s="75">
        <v>28</v>
      </c>
      <c r="X113" s="75">
        <v>28.927311352567337</v>
      </c>
      <c r="Y113" s="75">
        <v>28.927311352567337</v>
      </c>
      <c r="Z113" s="75">
        <v>25.479872209214292</v>
      </c>
      <c r="AA113" s="75">
        <v>24.849495565326823</v>
      </c>
      <c r="AB113" s="75">
        <v>26.968591684173056</v>
      </c>
      <c r="AC113" s="75">
        <v>28.012310893402386</v>
      </c>
      <c r="AD113" s="75">
        <v>29.092411670034242</v>
      </c>
      <c r="AE113" s="75">
        <v>3.5911084928127717</v>
      </c>
      <c r="AF113" s="75">
        <v>4.9578218509809417</v>
      </c>
      <c r="AG113" s="75">
        <v>3.7443758717680025</v>
      </c>
      <c r="AH113" s="75">
        <v>2.4996739048688648</v>
      </c>
      <c r="AI113" s="75">
        <v>2.1361163694340961</v>
      </c>
      <c r="AJ113" s="75">
        <v>9.6713459646730318</v>
      </c>
      <c r="AK113" s="75">
        <f>((SUMIF('resident aged receivable'!$E:$E,"Current*",'resident aged receivable'!$I:$I)+SUMIF('resident aged receivable'!$E:$E,"Notice*",'resident aged receivable'!$I:$I))/'T12'!$D$24)*DAY(EOMONTH(AK4,0))</f>
        <v>3.772193822041503</v>
      </c>
    </row>
    <row r="114" spans="1:37" ht="15" customHeight="1">
      <c r="A114" s="40" t="s">
        <v>1076</v>
      </c>
      <c r="B114" s="68" t="s">
        <v>1077</v>
      </c>
      <c r="C114" s="71">
        <v>0</v>
      </c>
      <c r="D114" s="75">
        <f>(D106/AVERAGE('T12'!$D$24,'T12'!$C$24))*DAY(EOMONTH(D4,0))</f>
        <v>13.233347878762123</v>
      </c>
      <c r="E114" s="75">
        <f>(E106/AVERAGE('T12'!$D$24,'T12'!$C$24))*DAY(EOMONTH(E4,0))</f>
        <v>13.233347878762123</v>
      </c>
      <c r="F114" s="75">
        <f>(F106/AVERAGE('T12'!$D$24,'T12'!$C$24))*DAY(EOMONTH(F4,0))</f>
        <v>27.587523720175504</v>
      </c>
      <c r="G114" s="75">
        <f>(G106/AVERAGE('T12'!$D$24,'T12'!$C$24))*DAY(EOMONTH(G4,0))</f>
        <v>18.295527487514764</v>
      </c>
      <c r="H114" s="75">
        <f>(H106/AVERAGE('T12'!$D$24,'T12'!$C$24))*DAY(EOMONTH(H4,0))</f>
        <v>17.201324595996581</v>
      </c>
      <c r="I114" s="75">
        <f>(I106/AVERAGE('T12'!$D$24,'T12'!$C$24))*DAY(EOMONTH(I4,0))</f>
        <v>15.724348225431298</v>
      </c>
      <c r="J114" s="75">
        <f>(J106/AVERAGE('T12'!$C$24,'T12'!$D$24))*DAY(EOMONTH(J4,0))</f>
        <v>24.503125370478099</v>
      </c>
      <c r="K114" s="75">
        <f>(K106/AVERAGE('T12'!$C$24,'T12'!$D$24))*DAY(EOMONTH(K4,0))</f>
        <v>17.987939835557142</v>
      </c>
      <c r="L114" s="75">
        <v>13.802562555173177</v>
      </c>
      <c r="M114" s="75">
        <v>16.081686008410308</v>
      </c>
      <c r="N114" s="75">
        <v>33.427680487691575</v>
      </c>
      <c r="O114" s="75">
        <v>23.273082850132397</v>
      </c>
      <c r="P114" s="75">
        <v>22.504049449087585</v>
      </c>
      <c r="Q114" s="75">
        <v>22.495194793677072</v>
      </c>
      <c r="R114" s="75">
        <v>22.679556155480196</v>
      </c>
      <c r="S114" s="75">
        <v>25.95004941107906</v>
      </c>
      <c r="T114" s="75">
        <v>27.020251257448614</v>
      </c>
      <c r="U114" s="75">
        <v>26.3</v>
      </c>
      <c r="V114" s="75">
        <v>25.664293738307101</v>
      </c>
      <c r="W114" s="75">
        <v>26.5</v>
      </c>
      <c r="X114" s="75">
        <v>27.397226159154354</v>
      </c>
      <c r="Y114" s="75">
        <v>27.397226159154354</v>
      </c>
      <c r="Z114" s="75">
        <v>25.95797683113932</v>
      </c>
      <c r="AA114" s="75">
        <v>25.315771792489056</v>
      </c>
      <c r="AB114" s="75">
        <v>27.474630655842201</v>
      </c>
      <c r="AC114" s="75">
        <v>28.537934224593709</v>
      </c>
      <c r="AD114" s="75">
        <v>29.638302024906547</v>
      </c>
      <c r="AE114" s="75">
        <v>3.6584920948242097</v>
      </c>
      <c r="AF114" s="75">
        <v>5.050850478525537</v>
      </c>
      <c r="AG114" s="75">
        <v>3.8146353846814716</v>
      </c>
      <c r="AH114" s="75">
        <v>2.5465778154305116</v>
      </c>
      <c r="AI114" s="75">
        <v>2.1761984821232967</v>
      </c>
      <c r="AJ114" s="75">
        <v>9.8528192141453719</v>
      </c>
      <c r="AK114" s="75">
        <f>((SUMIF('resident aged receivable'!$E:$E,"Current*",'resident aged receivable'!$I:$I)+SUMIF('resident aged receivable'!$E:$E,"Notice*",'resident aged receivable'!$I:$I))/AVERAGE('T12'!$C$24,'T12'!$D$24))*DAY(EOMONTH(AK4,0))</f>
        <v>3.8429753113012048</v>
      </c>
    </row>
    <row r="115" spans="1:37" ht="15" customHeight="1">
      <c r="A115" s="40"/>
      <c r="B115" s="1138" t="s">
        <v>971</v>
      </c>
      <c r="C115" s="1166"/>
      <c r="D115" s="1167">
        <f>IF(OR(D$4="",D103=""),"",(1-D103)*DAY(EOMONTH(D$4,0)))</f>
        <v>4.0435107727189044</v>
      </c>
      <c r="E115" s="1167">
        <f t="shared" ref="E115:AD115" si="7">IF(OR(E$4="",E103=""),"",(1-E103)*DAY(EOMONTH(E$4,0)))</f>
        <v>4.1520450819268344</v>
      </c>
      <c r="F115" s="1167">
        <f t="shared" si="7"/>
        <v>4.4831801038500307</v>
      </c>
      <c r="G115" s="1167">
        <f t="shared" si="7"/>
        <v>7.2130427074886629</v>
      </c>
      <c r="H115" s="1167">
        <f t="shared" si="7"/>
        <v>5.9125484693411696</v>
      </c>
      <c r="I115" s="1167">
        <f t="shared" si="7"/>
        <v>4.3637942521153317</v>
      </c>
      <c r="J115" s="1167">
        <f t="shared" si="7"/>
        <v>18.345600000000001</v>
      </c>
      <c r="K115" s="1167">
        <f t="shared" si="7"/>
        <v>4.796457408595213</v>
      </c>
      <c r="L115" s="1167">
        <f t="shared" si="7"/>
        <v>3.2510993558064598</v>
      </c>
      <c r="M115" s="1167">
        <f t="shared" si="7"/>
        <v>2.6863869228849415</v>
      </c>
      <c r="N115" s="1167">
        <f t="shared" si="7"/>
        <v>21.843289194540024</v>
      </c>
      <c r="O115" s="1167">
        <f t="shared" si="7"/>
        <v>5.9077109159903811</v>
      </c>
      <c r="P115" s="1167">
        <f t="shared" si="7"/>
        <v>5.0341474973206184</v>
      </c>
      <c r="Q115" s="1167">
        <f t="shared" si="7"/>
        <v>4.8708770144963083</v>
      </c>
      <c r="R115" s="1167">
        <f t="shared" si="7"/>
        <v>5.1300319414176876</v>
      </c>
      <c r="S115" s="1167">
        <f t="shared" si="7"/>
        <v>5.4457042424709385</v>
      </c>
      <c r="T115" s="1167">
        <f t="shared" si="7"/>
        <v>5.9708709763992021</v>
      </c>
      <c r="U115" s="1167">
        <f t="shared" si="7"/>
        <v>5.0879999999999992</v>
      </c>
      <c r="V115" s="1167">
        <f t="shared" si="7"/>
        <v>4.3939390919021406</v>
      </c>
      <c r="W115" s="1167">
        <f t="shared" si="7"/>
        <v>6.6743000000000015</v>
      </c>
      <c r="X115" s="1167">
        <f t="shared" si="7"/>
        <v>5.8841309740278582</v>
      </c>
      <c r="Y115" s="1167">
        <f t="shared" si="7"/>
        <v>5.8683608449337186</v>
      </c>
      <c r="Z115" s="1167">
        <f t="shared" si="7"/>
        <v>5.5574718299017345</v>
      </c>
      <c r="AA115" s="1167">
        <f t="shared" si="7"/>
        <v>26.121282930675317</v>
      </c>
      <c r="AB115" s="1167">
        <f t="shared" si="7"/>
        <v>4.2258286372914613</v>
      </c>
      <c r="AC115" s="1167">
        <f t="shared" si="7"/>
        <v>5.0583582426160678</v>
      </c>
      <c r="AD115" s="1167">
        <f t="shared" si="7"/>
        <v>6.092086297104947</v>
      </c>
      <c r="AE115" s="1167">
        <v>3.4382043089212888</v>
      </c>
      <c r="AF115" s="1167">
        <v>1.096582548612782</v>
      </c>
      <c r="AG115" s="1167">
        <v>1.2039905558585029</v>
      </c>
      <c r="AH115" s="1167">
        <v>0.45972517485631581</v>
      </c>
      <c r="AI115" s="1167">
        <v>1.8631890726771809</v>
      </c>
      <c r="AJ115" s="1167">
        <v>8.8268032633124456</v>
      </c>
      <c r="AK115" s="1167">
        <f t="shared" ref="AK115" si="8">IF(OR(AK$4="",AK103=""),"",(1-AK103)*DAY(EOMONTH(AK$4,0)))</f>
        <v>0.20334001149861336</v>
      </c>
    </row>
    <row r="116" spans="1:37" ht="15" customHeight="1">
      <c r="A116" s="40"/>
      <c r="B116" s="1138" t="s">
        <v>1078</v>
      </c>
      <c r="C116" s="1166"/>
      <c r="D116" s="1167" t="e">
        <f>IF(OR(D$4="",D103=""),"",IF(OR(C$4="",MONTH(D$4)&lt;&gt;MONTH(C$4),NOT(ISNUMBER(C116))),(1-D103/2)*DAY(D$4),C116+(1-(D103+C103)/2)*(D$4-C$4)))</f>
        <v>#VALUE!</v>
      </c>
      <c r="E116" s="1167">
        <f t="shared" ref="E116:AK116" si="9">IF(OR(E$4="",E103=""),"",IF(OR(D$4="",MONTH(E$4)&lt;&gt;MONTH(D$4),NOT(ISNUMBER(D116))),(1-E103/2)*DAY(E$4),D116+(1-(E103+D103)/2)*(E$4-D$4)))</f>
        <v>16.442085602836748</v>
      </c>
      <c r="F116" s="1167">
        <f t="shared" si="9"/>
        <v>2.861546782568551</v>
      </c>
      <c r="G116" s="1167">
        <f t="shared" si="9"/>
        <v>4.1820880677196941</v>
      </c>
      <c r="H116" s="1167">
        <f t="shared" si="9"/>
        <v>5.6640096522004812</v>
      </c>
      <c r="I116" s="1167">
        <f t="shared" si="9"/>
        <v>6.8242418949455699</v>
      </c>
      <c r="J116" s="1167">
        <f t="shared" si="9"/>
        <v>1.6552</v>
      </c>
      <c r="K116" s="1167">
        <f t="shared" si="9"/>
        <v>4.5479571760744015</v>
      </c>
      <c r="L116" s="1167">
        <f t="shared" si="9"/>
        <v>5.5539017716246102</v>
      </c>
      <c r="M116" s="1167">
        <f t="shared" si="9"/>
        <v>6.2960875564610355</v>
      </c>
      <c r="N116" s="1167">
        <f t="shared" si="9"/>
        <v>1.7046222320819362</v>
      </c>
      <c r="O116" s="1167">
        <f t="shared" si="9"/>
        <v>4.8377996639160141</v>
      </c>
      <c r="P116" s="1167">
        <f t="shared" si="9"/>
        <v>6.0731707750962887</v>
      </c>
      <c r="Q116" s="1167">
        <f t="shared" si="9"/>
        <v>7.1914799941723935</v>
      </c>
      <c r="R116" s="1167">
        <f t="shared" si="9"/>
        <v>8.3206148762917156</v>
      </c>
      <c r="S116" s="1167">
        <f t="shared" si="9"/>
        <v>3.5445704242470937</v>
      </c>
      <c r="T116" s="1167">
        <f t="shared" si="9"/>
        <v>4.8765041997819436</v>
      </c>
      <c r="U116" s="1167">
        <f t="shared" si="9"/>
        <v>6.1667058136951836</v>
      </c>
      <c r="V116" s="1167">
        <f t="shared" si="9"/>
        <v>7.2729320410837666</v>
      </c>
      <c r="W116" s="1167">
        <f t="shared" si="9"/>
        <v>2.4306000000000001</v>
      </c>
      <c r="X116" s="1167">
        <f t="shared" si="9"/>
        <v>3.8484873680354035</v>
      </c>
      <c r="Y116" s="1167">
        <f t="shared" si="9"/>
        <v>5.1753816056600979</v>
      </c>
      <c r="Z116" s="1167">
        <f t="shared" si="9"/>
        <v>6.4653949721737778</v>
      </c>
      <c r="AA116" s="1167">
        <f t="shared" si="9"/>
        <v>0.93535471551125526</v>
      </c>
      <c r="AB116" s="1167">
        <f t="shared" si="9"/>
        <v>4.4758510651073786</v>
      </c>
      <c r="AC116" s="1167">
        <f t="shared" si="9"/>
        <v>5.5590062010965902</v>
      </c>
      <c r="AD116" s="1167">
        <f t="shared" si="9"/>
        <v>6.8598913973973756</v>
      </c>
      <c r="AE116" s="1167">
        <v>7.9717586347671023</v>
      </c>
      <c r="AF116" s="1167">
        <v>3.1061208918012366</v>
      </c>
      <c r="AG116" s="1167">
        <v>3.3658630164996075</v>
      </c>
      <c r="AH116" s="1167">
        <v>3.553701889322249</v>
      </c>
      <c r="AI116" s="1167">
        <v>3.815966401140547</v>
      </c>
      <c r="AJ116" s="1167">
        <v>1.9271033837086669</v>
      </c>
      <c r="AK116" s="1167">
        <f t="shared" si="9"/>
        <v>2.9466356889292702</v>
      </c>
    </row>
    <row r="117" spans="1:37" ht="15" customHeight="1">
      <c r="A117" s="40"/>
      <c r="B117" s="1138" t="s">
        <v>1079</v>
      </c>
      <c r="C117" s="1166"/>
      <c r="D117" s="1167" t="e">
        <f>IF(D$4="","",IF(OR(C$4="",MONTH(D$4)&lt;&gt;MONTH(C$4)),IF(ISNUMBER(C116),C116+(1-C103)*(DAY(EOMONTH(C$4,0))-DAY(C$4)),""),IF(ISNUMBER(C117),C117,"")))</f>
        <v>#VALUE!</v>
      </c>
      <c r="E117" s="1167" t="str">
        <f t="shared" ref="E117:AK117" si="10">IF(E$4="","",IF(OR(D$4="",MONTH(E$4)&lt;&gt;MONTH(D$4)),IF(ISNUMBER(D116),D116+(1-D103)*(DAY(EOMONTH(D$4,0))-DAY(D$4)),""),IF(ISNUMBER(D117),D117,"")))</f>
        <v/>
      </c>
      <c r="F117" s="1167">
        <f t="shared" si="10"/>
        <v>16.709959479090092</v>
      </c>
      <c r="G117" s="1167">
        <f t="shared" si="10"/>
        <v>16.709959479090092</v>
      </c>
      <c r="H117" s="1167">
        <f t="shared" si="10"/>
        <v>16.709959479090092</v>
      </c>
      <c r="I117" s="1167">
        <f t="shared" si="10"/>
        <v>16.709959479090092</v>
      </c>
      <c r="J117" s="1167">
        <f t="shared" si="10"/>
        <v>7.5280796775448167</v>
      </c>
      <c r="K117" s="1167">
        <f t="shared" si="10"/>
        <v>7.5280796775448167</v>
      </c>
      <c r="L117" s="1167">
        <f t="shared" si="10"/>
        <v>7.5280796775448167</v>
      </c>
      <c r="M117" s="1167">
        <f t="shared" si="10"/>
        <v>7.5280796775448167</v>
      </c>
      <c r="N117" s="1167">
        <f t="shared" si="10"/>
        <v>6.7757995069762034</v>
      </c>
      <c r="O117" s="1167">
        <f t="shared" si="10"/>
        <v>6.7757995069762034</v>
      </c>
      <c r="P117" s="1167">
        <f t="shared" si="10"/>
        <v>6.7757995069762034</v>
      </c>
      <c r="Q117" s="1167">
        <f t="shared" si="10"/>
        <v>6.7757995069762034</v>
      </c>
      <c r="R117" s="1167">
        <f t="shared" si="10"/>
        <v>6.7757995069762034</v>
      </c>
      <c r="S117" s="1167">
        <f t="shared" si="10"/>
        <v>8.4860997776277696</v>
      </c>
      <c r="T117" s="1167">
        <f t="shared" si="10"/>
        <v>8.4860997776277696</v>
      </c>
      <c r="U117" s="1167">
        <f t="shared" si="10"/>
        <v>8.4860997776277696</v>
      </c>
      <c r="V117" s="1167">
        <f t="shared" si="10"/>
        <v>8.4860997776277696</v>
      </c>
      <c r="W117" s="1167">
        <f t="shared" si="10"/>
        <v>7.7123259502739803</v>
      </c>
      <c r="X117" s="1167">
        <f t="shared" si="10"/>
        <v>7.7123259502739803</v>
      </c>
      <c r="Y117" s="1167">
        <f t="shared" si="10"/>
        <v>7.7123259502739803</v>
      </c>
      <c r="Z117" s="1167">
        <f t="shared" si="10"/>
        <v>7.7123259502739803</v>
      </c>
      <c r="AA117" s="1167">
        <f t="shared" si="10"/>
        <v>7.5410346811870168</v>
      </c>
      <c r="AB117" s="1167">
        <f t="shared" si="10"/>
        <v>7.5410346811870168</v>
      </c>
      <c r="AC117" s="1167">
        <f t="shared" si="10"/>
        <v>7.5410346811870168</v>
      </c>
      <c r="AD117" s="1167">
        <f t="shared" si="10"/>
        <v>7.5410346811870168</v>
      </c>
      <c r="AE117" s="1167">
        <v>7.5410346811870168</v>
      </c>
      <c r="AF117" s="1167">
        <v>8.0863654450644784</v>
      </c>
      <c r="AG117" s="1167">
        <v>8.0863654450644784</v>
      </c>
      <c r="AH117" s="1167">
        <v>8.0863654450644784</v>
      </c>
      <c r="AI117" s="1167">
        <v>8.0863654450644784</v>
      </c>
      <c r="AJ117" s="1167">
        <v>4.0563778943892155</v>
      </c>
      <c r="AK117" s="1167">
        <f t="shared" si="10"/>
        <v>4.0563778943892155</v>
      </c>
    </row>
    <row r="118" spans="1:37" ht="15" customHeight="1">
      <c r="A118" s="40"/>
      <c r="B118" s="1138" t="s">
        <v>970</v>
      </c>
      <c r="C118" s="1166"/>
      <c r="D118" s="1167" t="e">
        <f>IF(D$4="","",IF(OR(C$4="",MONTH(D$4)&lt;&gt;MONTH(C$4)),IF(ISNUMBER(D117),IF(ISNUMBER(C117),(D117+C117)/2,D117),""),IF(ISNUMBER(C118),C118,"")))</f>
        <v>#VALUE!</v>
      </c>
      <c r="E118" s="1167" t="str">
        <f t="shared" ref="E118:AK118" si="11">IF(E$4="","",IF(OR(D$4="",MONTH(E$4)&lt;&gt;MONTH(D$4)),IF(ISNUMBER(E117),IF(ISNUMBER(D117),(E117+D117)/2,E117),""),IF(ISNUMBER(D118),D118,"")))</f>
        <v/>
      </c>
      <c r="F118" s="1167">
        <f t="shared" si="11"/>
        <v>16.709959479090092</v>
      </c>
      <c r="G118" s="1167">
        <f t="shared" si="11"/>
        <v>16.709959479090092</v>
      </c>
      <c r="H118" s="1167">
        <f t="shared" si="11"/>
        <v>16.709959479090092</v>
      </c>
      <c r="I118" s="1167">
        <f t="shared" si="11"/>
        <v>16.709959479090092</v>
      </c>
      <c r="J118" s="1167">
        <f t="shared" si="11"/>
        <v>12.119019578317454</v>
      </c>
      <c r="K118" s="1167">
        <f t="shared" si="11"/>
        <v>12.119019578317454</v>
      </c>
      <c r="L118" s="1167">
        <f t="shared" si="11"/>
        <v>12.119019578317454</v>
      </c>
      <c r="M118" s="1167">
        <f t="shared" si="11"/>
        <v>12.119019578317454</v>
      </c>
      <c r="N118" s="1167">
        <f t="shared" si="11"/>
        <v>7.1519395922605096</v>
      </c>
      <c r="O118" s="1167">
        <f t="shared" si="11"/>
        <v>7.1519395922605096</v>
      </c>
      <c r="P118" s="1167">
        <f t="shared" si="11"/>
        <v>7.1519395922605096</v>
      </c>
      <c r="Q118" s="1167">
        <f t="shared" si="11"/>
        <v>7.1519395922605096</v>
      </c>
      <c r="R118" s="1167">
        <f t="shared" si="11"/>
        <v>7.1519395922605096</v>
      </c>
      <c r="S118" s="1167">
        <f t="shared" si="11"/>
        <v>7.6309496423019869</v>
      </c>
      <c r="T118" s="1167">
        <f t="shared" si="11"/>
        <v>7.6309496423019869</v>
      </c>
      <c r="U118" s="1167">
        <f t="shared" si="11"/>
        <v>7.6309496423019869</v>
      </c>
      <c r="V118" s="1167">
        <f t="shared" si="11"/>
        <v>7.6309496423019869</v>
      </c>
      <c r="W118" s="1167">
        <f t="shared" si="11"/>
        <v>8.0992128639508749</v>
      </c>
      <c r="X118" s="1167">
        <f t="shared" si="11"/>
        <v>8.0992128639508749</v>
      </c>
      <c r="Y118" s="1167">
        <f t="shared" si="11"/>
        <v>8.0992128639508749</v>
      </c>
      <c r="Z118" s="1167">
        <f t="shared" si="11"/>
        <v>8.0992128639508749</v>
      </c>
      <c r="AA118" s="1167">
        <f t="shared" si="11"/>
        <v>7.6266803157304981</v>
      </c>
      <c r="AB118" s="1167">
        <f t="shared" si="11"/>
        <v>7.6266803157304981</v>
      </c>
      <c r="AC118" s="1167">
        <f t="shared" si="11"/>
        <v>7.6266803157304981</v>
      </c>
      <c r="AD118" s="1167">
        <f t="shared" si="11"/>
        <v>7.6266803157304981</v>
      </c>
      <c r="AE118" s="1167">
        <v>7.6266803157304981</v>
      </c>
      <c r="AF118" s="1167">
        <v>7.8137000631257472</v>
      </c>
      <c r="AG118" s="1167">
        <v>7.8137000631257472</v>
      </c>
      <c r="AH118" s="1167">
        <v>7.8137000631257472</v>
      </c>
      <c r="AI118" s="1167">
        <v>7.8137000631257472</v>
      </c>
      <c r="AJ118" s="1167">
        <v>6.0713716697268474</v>
      </c>
      <c r="AK118" s="1167">
        <f t="shared" si="11"/>
        <v>6.0713716697268474</v>
      </c>
    </row>
    <row r="119" spans="1:37" ht="15" customHeight="1">
      <c r="A119" s="15" t="s">
        <v>972</v>
      </c>
      <c r="B119" s="16"/>
      <c r="C119" s="16"/>
      <c r="D119" s="16"/>
      <c r="E119" s="16"/>
      <c r="F119" s="16"/>
      <c r="G119" s="16"/>
      <c r="H119" s="16"/>
      <c r="I119" s="16"/>
      <c r="J119" s="16" t="s">
        <v>1032</v>
      </c>
      <c r="K119" s="16"/>
      <c r="L119" s="16"/>
      <c r="M119" s="16"/>
      <c r="N119" s="16"/>
      <c r="O119" s="16"/>
      <c r="P119" s="16"/>
      <c r="Q119" s="16"/>
      <c r="R119" s="16"/>
      <c r="S119" s="16"/>
      <c r="T119" s="16"/>
      <c r="U119" s="16" t="s">
        <v>1032</v>
      </c>
      <c r="V119" s="16"/>
      <c r="W119" s="16"/>
      <c r="X119" s="16"/>
      <c r="Y119" s="16"/>
      <c r="Z119" s="16"/>
      <c r="AA119" s="16"/>
      <c r="AB119" s="16"/>
      <c r="AC119" s="16"/>
      <c r="AD119" s="16"/>
      <c r="AE119" s="16"/>
      <c r="AF119" s="16"/>
      <c r="AG119" s="16"/>
      <c r="AH119" s="16"/>
      <c r="AI119" s="16"/>
      <c r="AJ119" s="16"/>
      <c r="AK119" s="16"/>
    </row>
    <row r="120" spans="1:37" ht="15" customHeight="1">
      <c r="B120" s="68" t="s">
        <v>973</v>
      </c>
      <c r="C120" s="71" t="s">
        <v>1021</v>
      </c>
      <c r="D120" s="72">
        <v>20</v>
      </c>
      <c r="E120" s="72">
        <v>115</v>
      </c>
      <c r="F120" s="72">
        <v>141</v>
      </c>
      <c r="G120" s="35">
        <v>107</v>
      </c>
      <c r="H120" s="35">
        <v>249</v>
      </c>
      <c r="I120" s="35">
        <v>340</v>
      </c>
      <c r="J120" s="35">
        <v>114</v>
      </c>
      <c r="K120" s="35">
        <v>39</v>
      </c>
      <c r="L120" s="35">
        <v>63</v>
      </c>
      <c r="M120" s="35">
        <v>90</v>
      </c>
      <c r="N120" s="35">
        <v>47</v>
      </c>
      <c r="O120" s="35">
        <v>60</v>
      </c>
      <c r="P120" s="35">
        <v>96</v>
      </c>
      <c r="Q120" s="35">
        <v>77</v>
      </c>
      <c r="R120" s="35">
        <v>89</v>
      </c>
      <c r="S120" s="35">
        <v>102</v>
      </c>
      <c r="T120" s="35">
        <v>102</v>
      </c>
      <c r="U120" s="35">
        <v>91</v>
      </c>
      <c r="V120" s="35">
        <v>123</v>
      </c>
      <c r="W120" s="35">
        <v>162</v>
      </c>
      <c r="X120" s="35">
        <v>128</v>
      </c>
      <c r="Y120" s="35">
        <v>105</v>
      </c>
      <c r="Z120" s="35">
        <v>125</v>
      </c>
      <c r="AA120" s="35">
        <v>126</v>
      </c>
      <c r="AB120" s="35">
        <v>201</v>
      </c>
      <c r="AC120" s="35">
        <v>128</v>
      </c>
      <c r="AD120" s="35">
        <v>145</v>
      </c>
      <c r="AE120" s="35">
        <v>141</v>
      </c>
      <c r="AF120" s="35">
        <v>125</v>
      </c>
      <c r="AG120" s="35">
        <v>154</v>
      </c>
      <c r="AH120" s="35">
        <v>114</v>
      </c>
      <c r="AI120" s="35">
        <v>161</v>
      </c>
      <c r="AJ120" s="35">
        <v>180</v>
      </c>
      <c r="AK120" s="35">
        <f>'Work order summary-Maintenance '!$B$2</f>
        <v>133</v>
      </c>
    </row>
    <row r="121" spans="1:37" ht="15" customHeight="1">
      <c r="B121" s="68" t="s">
        <v>974</v>
      </c>
      <c r="C121" s="71" t="s">
        <v>1021</v>
      </c>
      <c r="D121" s="72">
        <v>0</v>
      </c>
      <c r="E121" s="72">
        <v>56</v>
      </c>
      <c r="F121" s="72">
        <v>46</v>
      </c>
      <c r="G121" s="35">
        <v>95</v>
      </c>
      <c r="H121" s="35">
        <v>71</v>
      </c>
      <c r="I121" s="35">
        <v>63</v>
      </c>
      <c r="J121" s="35">
        <v>121</v>
      </c>
      <c r="K121" s="35">
        <v>77</v>
      </c>
      <c r="L121" s="35">
        <v>112</v>
      </c>
      <c r="M121" s="35">
        <v>78</v>
      </c>
      <c r="N121" s="35">
        <v>45</v>
      </c>
      <c r="O121" s="35">
        <v>64</v>
      </c>
      <c r="P121" s="35">
        <v>139</v>
      </c>
      <c r="Q121" s="35">
        <v>75</v>
      </c>
      <c r="R121" s="35">
        <v>91</v>
      </c>
      <c r="S121" s="35">
        <v>80</v>
      </c>
      <c r="T121" s="35">
        <v>88</v>
      </c>
      <c r="U121" s="35">
        <v>108</v>
      </c>
      <c r="V121" s="35">
        <v>103</v>
      </c>
      <c r="W121" s="35">
        <v>142</v>
      </c>
      <c r="X121" s="35">
        <v>146</v>
      </c>
      <c r="Y121" s="35">
        <v>86</v>
      </c>
      <c r="Z121" s="35">
        <v>143</v>
      </c>
      <c r="AA121" s="35">
        <v>95</v>
      </c>
      <c r="AB121" s="35">
        <v>127</v>
      </c>
      <c r="AC121" s="35">
        <v>132</v>
      </c>
      <c r="AD121" s="35">
        <v>131</v>
      </c>
      <c r="AE121" s="35">
        <v>113</v>
      </c>
      <c r="AF121" s="35">
        <v>21</v>
      </c>
      <c r="AG121" s="35">
        <v>109</v>
      </c>
      <c r="AH121" s="35">
        <v>156</v>
      </c>
      <c r="AI121" s="35">
        <v>63</v>
      </c>
      <c r="AJ121" s="35">
        <v>116</v>
      </c>
      <c r="AK121" s="35">
        <f>'Work order summary-Maintenance '!$D$2</f>
        <v>142</v>
      </c>
    </row>
    <row r="122" spans="1:37" ht="15" customHeight="1">
      <c r="B122" s="68" t="s">
        <v>975</v>
      </c>
      <c r="C122" s="71" t="s">
        <v>1021</v>
      </c>
      <c r="D122" s="72">
        <v>20</v>
      </c>
      <c r="E122" s="72">
        <f t="shared" ref="E122:L122" si="12">MAX(E120-E121,0)</f>
        <v>59</v>
      </c>
      <c r="F122" s="72">
        <f t="shared" si="12"/>
        <v>95</v>
      </c>
      <c r="G122" s="72">
        <f t="shared" si="12"/>
        <v>12</v>
      </c>
      <c r="H122" s="72">
        <f t="shared" si="12"/>
        <v>178</v>
      </c>
      <c r="I122" s="72">
        <f t="shared" si="12"/>
        <v>277</v>
      </c>
      <c r="J122" s="72">
        <f t="shared" si="12"/>
        <v>0</v>
      </c>
      <c r="K122" s="72">
        <f t="shared" si="12"/>
        <v>0</v>
      </c>
      <c r="L122" s="72">
        <f t="shared" si="12"/>
        <v>0</v>
      </c>
      <c r="M122" s="72">
        <v>12</v>
      </c>
      <c r="N122" s="72">
        <v>2</v>
      </c>
      <c r="O122" s="72">
        <v>0</v>
      </c>
      <c r="P122" s="72">
        <v>58</v>
      </c>
      <c r="Q122" s="72">
        <v>76</v>
      </c>
      <c r="R122" s="72">
        <v>70</v>
      </c>
      <c r="S122" s="72">
        <v>85</v>
      </c>
      <c r="T122" s="72">
        <v>99</v>
      </c>
      <c r="U122" s="72">
        <v>82</v>
      </c>
      <c r="V122" s="72">
        <v>101</v>
      </c>
      <c r="W122" s="72">
        <v>117</v>
      </c>
      <c r="X122" s="72">
        <v>90</v>
      </c>
      <c r="Y122" s="72">
        <v>107</v>
      </c>
      <c r="Z122" s="72">
        <v>86</v>
      </c>
      <c r="AA122" s="72">
        <v>116</v>
      </c>
      <c r="AB122" s="72">
        <v>171</v>
      </c>
      <c r="AC122" s="72">
        <v>145</v>
      </c>
      <c r="AD122" s="72">
        <v>140</v>
      </c>
      <c r="AE122" s="72">
        <v>130</v>
      </c>
      <c r="AF122" s="72">
        <v>226</v>
      </c>
      <c r="AG122" s="72">
        <v>221</v>
      </c>
      <c r="AH122" s="72">
        <v>160</v>
      </c>
      <c r="AI122" s="72">
        <v>242</v>
      </c>
      <c r="AJ122" s="72">
        <v>282</v>
      </c>
      <c r="AK122" s="72">
        <f>'Work order summary-Maintenance '!$E$2</f>
        <v>260</v>
      </c>
    </row>
    <row r="123" spans="1:37" ht="15" customHeight="1">
      <c r="B123" s="68" t="s">
        <v>976</v>
      </c>
      <c r="C123" s="69">
        <v>0</v>
      </c>
      <c r="D123" s="37">
        <f t="shared" ref="D123:F123" si="13">D121/D120</f>
        <v>0</v>
      </c>
      <c r="E123" s="37">
        <f t="shared" si="13"/>
        <v>0.48695652173913045</v>
      </c>
      <c r="F123" s="37">
        <f t="shared" si="13"/>
        <v>0.32624113475177308</v>
      </c>
      <c r="G123" s="37">
        <v>0.88785046728971961</v>
      </c>
      <c r="H123" s="37">
        <v>0.28514056224899598</v>
      </c>
      <c r="I123" s="37">
        <v>0.18529411764705883</v>
      </c>
      <c r="J123" s="37">
        <f>IFERROR(J121/J120,0)</f>
        <v>1.0614035087719298</v>
      </c>
      <c r="K123" s="37">
        <v>1.9743589743589745</v>
      </c>
      <c r="L123" s="37">
        <v>1.7777777777777777</v>
      </c>
      <c r="M123" s="37">
        <v>0.8666666666666667</v>
      </c>
      <c r="N123" s="37">
        <v>0.95744680851063835</v>
      </c>
      <c r="O123" s="37">
        <v>1.0666666666666667</v>
      </c>
      <c r="P123" s="37">
        <v>1.4479166666666667</v>
      </c>
      <c r="Q123" s="37">
        <v>0.97402597402597402</v>
      </c>
      <c r="R123" s="37">
        <v>1.0224719101123596</v>
      </c>
      <c r="S123" s="37">
        <v>0.78431372549019607</v>
      </c>
      <c r="T123" s="37">
        <v>0.86274509803921573</v>
      </c>
      <c r="U123" s="37">
        <v>1.1870000000000001</v>
      </c>
      <c r="V123" s="37">
        <v>0.83739837398373984</v>
      </c>
      <c r="W123" s="37">
        <v>0.877</v>
      </c>
      <c r="X123" s="37">
        <v>1.140625</v>
      </c>
      <c r="Y123" s="37">
        <v>0.81904761904761902</v>
      </c>
      <c r="Z123" s="37">
        <v>1.1439999999999999</v>
      </c>
      <c r="AA123" s="37">
        <v>0.75396825396825395</v>
      </c>
      <c r="AB123" s="37">
        <v>0.63184079601990051</v>
      </c>
      <c r="AC123" s="37">
        <v>1.03125</v>
      </c>
      <c r="AD123" s="37">
        <v>0.90344827586206899</v>
      </c>
      <c r="AE123" s="37">
        <v>0.8014184397163121</v>
      </c>
      <c r="AF123" s="37">
        <v>0.16800000000000001</v>
      </c>
      <c r="AG123" s="37">
        <v>0.70779220779220775</v>
      </c>
      <c r="AH123" s="37">
        <v>1.368421052631579</v>
      </c>
      <c r="AI123" s="37">
        <v>0.39130434782608697</v>
      </c>
      <c r="AJ123" s="37">
        <v>0.64444444444444449</v>
      </c>
      <c r="AK123" s="37">
        <f>IFERROR(AK121/AK120,0)</f>
        <v>1.0676691729323309</v>
      </c>
    </row>
    <row r="124" spans="1:37" ht="15" customHeight="1">
      <c r="B124" s="68" t="s">
        <v>1080</v>
      </c>
      <c r="C124" s="71">
        <v>0</v>
      </c>
      <c r="D124" s="75">
        <v>0</v>
      </c>
      <c r="E124" s="75">
        <v>0</v>
      </c>
      <c r="F124" s="75">
        <v>3.77</v>
      </c>
      <c r="G124" s="38">
        <v>2.36</v>
      </c>
      <c r="H124" s="38">
        <v>8.17</v>
      </c>
      <c r="I124" s="38">
        <v>11.53</v>
      </c>
      <c r="J124" s="38"/>
      <c r="K124" s="38">
        <v>3.39</v>
      </c>
      <c r="L124" s="38">
        <v>0.62</v>
      </c>
      <c r="M124" s="38">
        <v>1.93</v>
      </c>
      <c r="N124" s="38">
        <v>10.31</v>
      </c>
      <c r="O124" s="38">
        <v>15.42</v>
      </c>
      <c r="P124" s="38">
        <v>0.6</v>
      </c>
      <c r="Q124" s="38">
        <v>0.54</v>
      </c>
      <c r="R124" s="38">
        <v>0.73</v>
      </c>
      <c r="S124" s="38">
        <v>11.9</v>
      </c>
      <c r="T124" s="890">
        <v>0.62</v>
      </c>
      <c r="U124" s="890">
        <v>0.76</v>
      </c>
      <c r="V124" s="890">
        <v>0.53</v>
      </c>
      <c r="W124" s="890">
        <v>0.59</v>
      </c>
      <c r="X124" s="890">
        <v>0.67</v>
      </c>
      <c r="Y124" s="890">
        <v>0.69</v>
      </c>
      <c r="Z124" s="890">
        <v>0.82</v>
      </c>
      <c r="AA124" s="890">
        <v>0.64</v>
      </c>
      <c r="AB124" s="890">
        <v>2.5</v>
      </c>
      <c r="AC124" s="890">
        <v>0.7</v>
      </c>
      <c r="AD124" s="890">
        <v>2.79</v>
      </c>
      <c r="AE124" s="890">
        <v>3.21</v>
      </c>
      <c r="AF124" s="890">
        <v>3.6</v>
      </c>
      <c r="AG124" s="890">
        <v>3.72</v>
      </c>
      <c r="AH124" s="890">
        <v>3.12</v>
      </c>
      <c r="AI124" s="890">
        <v>3.65</v>
      </c>
      <c r="AJ124" s="890">
        <v>3.67</v>
      </c>
      <c r="AK124" s="890">
        <f>'Work order summary-Maintenance '!$R$5</f>
        <v>3.19</v>
      </c>
    </row>
    <row r="125" spans="1:37" ht="15" customHeight="1">
      <c r="A125" s="15" t="s">
        <v>977</v>
      </c>
      <c r="B125" s="16"/>
      <c r="C125" s="16"/>
      <c r="D125" s="16"/>
      <c r="E125" s="16"/>
      <c r="F125" s="16"/>
      <c r="G125" s="16"/>
      <c r="H125" s="16"/>
      <c r="I125" s="16"/>
      <c r="J125" s="16" t="s">
        <v>1032</v>
      </c>
      <c r="K125" s="16"/>
      <c r="L125" s="16"/>
      <c r="M125" s="16"/>
      <c r="N125" s="16"/>
      <c r="O125" s="16"/>
      <c r="P125" s="16"/>
      <c r="Q125" s="16"/>
      <c r="R125" s="16"/>
      <c r="S125" s="16"/>
      <c r="T125" s="16"/>
      <c r="U125" s="16" t="s">
        <v>1032</v>
      </c>
      <c r="V125" s="16"/>
      <c r="W125" s="16"/>
      <c r="X125" s="16"/>
      <c r="Y125" s="16"/>
      <c r="Z125" s="16"/>
      <c r="AA125" s="16"/>
      <c r="AB125" s="16"/>
      <c r="AC125" s="16"/>
      <c r="AD125" s="16"/>
      <c r="AE125" s="16"/>
      <c r="AF125" s="16"/>
      <c r="AG125" s="16"/>
      <c r="AH125" s="16"/>
      <c r="AI125" s="16"/>
      <c r="AJ125" s="16"/>
      <c r="AK125" s="16"/>
    </row>
    <row r="126" spans="1:37" ht="15" customHeight="1">
      <c r="B126" s="68" t="s">
        <v>978</v>
      </c>
      <c r="C126" s="71" t="s">
        <v>1058</v>
      </c>
      <c r="D126" s="41">
        <v>1086</v>
      </c>
      <c r="E126" s="41">
        <v>1086</v>
      </c>
      <c r="F126" s="41">
        <v>1132.8599999999999</v>
      </c>
      <c r="G126" s="36">
        <v>1132.8576363636364</v>
      </c>
      <c r="H126" s="36">
        <v>1133.1664090909089</v>
      </c>
      <c r="I126" s="36">
        <v>1132.7798636363636</v>
      </c>
      <c r="J126" s="36">
        <v>1134</v>
      </c>
      <c r="K126" s="36">
        <v>1018.2983181818181</v>
      </c>
      <c r="L126" s="36">
        <v>1018.2983181818181</v>
      </c>
      <c r="M126" s="36">
        <v>1018.2983181818181</v>
      </c>
      <c r="N126" s="36">
        <v>1019.3172272727272</v>
      </c>
      <c r="O126" s="36">
        <v>1019.3172272727272</v>
      </c>
      <c r="P126" s="36">
        <v>1019.3172272727272</v>
      </c>
      <c r="Q126" s="36">
        <v>1019.3172272727272</v>
      </c>
      <c r="R126" s="36">
        <v>1018.2983181818181</v>
      </c>
      <c r="S126" s="36">
        <v>1017.3914999999998</v>
      </c>
      <c r="T126" s="36">
        <v>1017.3914999999998</v>
      </c>
      <c r="U126" s="36">
        <v>983</v>
      </c>
      <c r="V126" s="36">
        <v>990.80486363636351</v>
      </c>
      <c r="W126" s="36">
        <v>983</v>
      </c>
      <c r="X126" s="36">
        <v>982.80513636363628</v>
      </c>
      <c r="Y126" s="36">
        <v>990.80486363636351</v>
      </c>
      <c r="Z126" s="36">
        <v>982.80513636363628</v>
      </c>
      <c r="AA126" s="36">
        <v>990.80486363636351</v>
      </c>
      <c r="AB126" s="36">
        <v>990.79818181818166</v>
      </c>
      <c r="AC126" s="36">
        <v>990.79818181818166</v>
      </c>
      <c r="AD126" s="36">
        <v>990.86218181818174</v>
      </c>
      <c r="AE126" s="36">
        <v>982.86245454545451</v>
      </c>
      <c r="AF126" s="36">
        <v>982.86245454545451</v>
      </c>
      <c r="AG126" s="36">
        <v>990.86218181818174</v>
      </c>
      <c r="AH126" s="36">
        <v>990.86218181818174</v>
      </c>
      <c r="AI126" s="36">
        <v>982.86245454545451</v>
      </c>
      <c r="AJ126" s="36">
        <v>990.86218181818174</v>
      </c>
      <c r="AK126" s="36">
        <f>SUMPRODUCT('Boxscore MMR -Availability'!$C:$C,'Boxscore MMR -Availability'!$D:$D)/SUM('Boxscore MMR -Availability'!$C:$C)</f>
        <v>990.86218181818174</v>
      </c>
    </row>
    <row r="127" spans="1:37" ht="15" customHeight="1">
      <c r="B127" s="68" t="s">
        <v>979</v>
      </c>
      <c r="C127" s="71" t="s">
        <v>1058</v>
      </c>
      <c r="D127" s="41">
        <v>1136</v>
      </c>
      <c r="E127" s="41">
        <v>1041</v>
      </c>
      <c r="F127" s="41">
        <v>1174</v>
      </c>
      <c r="G127" s="36">
        <v>1173.8837015942195</v>
      </c>
      <c r="H127" s="36">
        <v>1173.4649148340584</v>
      </c>
      <c r="I127" s="36">
        <v>1161.0344829833739</v>
      </c>
      <c r="J127" s="36">
        <v>1148</v>
      </c>
      <c r="K127" s="36">
        <v>1147.500554760248</v>
      </c>
      <c r="L127" s="36">
        <v>1104.4610735412643</v>
      </c>
      <c r="M127" s="36">
        <v>1212.3344424376849</v>
      </c>
      <c r="N127" s="36">
        <v>1128</v>
      </c>
      <c r="O127" s="36">
        <v>1119.7213500678811</v>
      </c>
      <c r="P127" s="36">
        <v>1116.7309207034079</v>
      </c>
      <c r="Q127" s="36">
        <v>1118.8471276214691</v>
      </c>
      <c r="R127" s="36">
        <v>1118.4532597685452</v>
      </c>
      <c r="S127" s="36">
        <v>1120.0644186849661</v>
      </c>
      <c r="T127" s="36">
        <v>1119.8958681834042</v>
      </c>
      <c r="U127" s="36">
        <v>1119</v>
      </c>
      <c r="V127" s="36">
        <v>1119.2708391720923</v>
      </c>
      <c r="W127" s="36">
        <v>1114</v>
      </c>
      <c r="X127" s="36">
        <v>1059.6882424582814</v>
      </c>
      <c r="Y127" s="36">
        <v>1052.6462803620841</v>
      </c>
      <c r="Z127" s="36">
        <v>1055.6180129013972</v>
      </c>
      <c r="AA127" s="36">
        <v>1051.4334693569633</v>
      </c>
      <c r="AB127" s="36">
        <v>1049.8347323511723</v>
      </c>
      <c r="AC127" s="36">
        <v>1053.7205077370793</v>
      </c>
      <c r="AD127" s="36">
        <v>1060.2725009783326</v>
      </c>
      <c r="AE127" s="36">
        <v>1061.5215916960892</v>
      </c>
      <c r="AF127" s="36">
        <v>1061.5215916960892</v>
      </c>
      <c r="AG127" s="36">
        <v>1061.5215916960892</v>
      </c>
      <c r="AH127" s="36">
        <v>1061.5215916960892</v>
      </c>
      <c r="AI127" s="36">
        <v>1061.5215916960892</v>
      </c>
      <c r="AJ127" s="36">
        <v>992.14677491109251</v>
      </c>
      <c r="AK127" s="36">
        <f>'T12'!$J$15</f>
        <v>992.13586978505498</v>
      </c>
    </row>
    <row r="128" spans="1:37" ht="15" customHeight="1">
      <c r="B128" s="68" t="s">
        <v>1081</v>
      </c>
      <c r="C128" s="71" t="s">
        <v>1058</v>
      </c>
      <c r="D128" s="41">
        <v>50</v>
      </c>
      <c r="E128" s="41">
        <v>50</v>
      </c>
      <c r="F128" s="41">
        <v>41</v>
      </c>
      <c r="G128" s="36">
        <v>40.446201594219382</v>
      </c>
      <c r="H128" s="36">
        <v>39.670596652240185</v>
      </c>
      <c r="I128" s="36">
        <v>27.98334661973756</v>
      </c>
      <c r="J128" s="36">
        <v>129</v>
      </c>
      <c r="K128" s="36">
        <v>129.12669112388429</v>
      </c>
      <c r="L128" s="36">
        <v>-1.4845400950994878</v>
      </c>
      <c r="M128" s="36">
        <v>106.58455607404855</v>
      </c>
      <c r="N128" s="36">
        <v>105.1636231775707</v>
      </c>
      <c r="O128" s="36">
        <v>110.12973709032825</v>
      </c>
      <c r="P128" s="36">
        <v>105.12887560745938</v>
      </c>
      <c r="Q128" s="36">
        <v>105.12887560745938</v>
      </c>
      <c r="R128" s="36">
        <v>105.12887560745938</v>
      </c>
      <c r="S128" s="36">
        <v>103.91328232132967</v>
      </c>
      <c r="T128" s="36">
        <v>101.06405000158594</v>
      </c>
      <c r="U128" s="36">
        <v>136</v>
      </c>
      <c r="V128" s="36">
        <v>135.68333917209236</v>
      </c>
      <c r="W128" s="36">
        <v>131</v>
      </c>
      <c r="X128" s="36">
        <v>75.02915154919053</v>
      </c>
      <c r="Y128" s="36">
        <v>61.315598543902247</v>
      </c>
      <c r="Z128" s="36">
        <v>72.111194719578947</v>
      </c>
      <c r="AA128" s="36">
        <v>60.552787538781494</v>
      </c>
      <c r="AB128" s="36">
        <v>56.972232351172387</v>
      </c>
      <c r="AC128" s="36">
        <v>62.918235009806715</v>
      </c>
      <c r="AD128" s="36">
        <v>68.242955523787202</v>
      </c>
      <c r="AE128" s="36">
        <v>78.640909877907404</v>
      </c>
      <c r="AF128" s="36">
        <v>78.640909877907404</v>
      </c>
      <c r="AG128" s="36">
        <v>3</v>
      </c>
      <c r="AH128" s="36">
        <v>3</v>
      </c>
      <c r="AI128" s="36">
        <v>2.6236061502380221</v>
      </c>
      <c r="AJ128" s="36">
        <v>1.2660930929106571</v>
      </c>
      <c r="AK128" s="36">
        <f>'T12'!$J$14</f>
        <v>1.2551879668730634</v>
      </c>
    </row>
    <row r="129" spans="2:37" ht="15" customHeight="1">
      <c r="B129" s="68" t="s">
        <v>1082</v>
      </c>
      <c r="C129" s="71" t="s">
        <v>1021</v>
      </c>
      <c r="D129" s="72">
        <v>2</v>
      </c>
      <c r="E129" s="72">
        <v>11</v>
      </c>
      <c r="F129" s="72">
        <v>34</v>
      </c>
      <c r="G129" s="35">
        <v>36</v>
      </c>
      <c r="H129" s="35">
        <v>43</v>
      </c>
      <c r="I129" s="35">
        <v>22</v>
      </c>
      <c r="J129" s="35">
        <v>57</v>
      </c>
      <c r="K129" s="35">
        <v>61</v>
      </c>
      <c r="L129" s="35">
        <v>72</v>
      </c>
      <c r="M129" s="35">
        <v>68</v>
      </c>
      <c r="N129" s="35">
        <v>67</v>
      </c>
      <c r="O129" s="35">
        <v>65</v>
      </c>
      <c r="P129" s="35">
        <v>53</v>
      </c>
      <c r="Q129" s="35">
        <v>38</v>
      </c>
      <c r="R129" s="35">
        <v>23</v>
      </c>
      <c r="S129" s="35">
        <v>54</v>
      </c>
      <c r="T129" s="35">
        <v>46</v>
      </c>
      <c r="U129" s="35">
        <v>41</v>
      </c>
      <c r="V129" s="35">
        <v>9</v>
      </c>
      <c r="W129" s="35">
        <v>19</v>
      </c>
      <c r="X129" s="35">
        <v>17</v>
      </c>
      <c r="Y129" s="35">
        <v>15</v>
      </c>
      <c r="Z129" s="35">
        <v>10</v>
      </c>
      <c r="AA129" s="35">
        <v>25</v>
      </c>
      <c r="AB129" s="35">
        <v>18</v>
      </c>
      <c r="AC129" s="35">
        <v>12</v>
      </c>
      <c r="AD129" s="35">
        <v>9</v>
      </c>
      <c r="AE129" s="35">
        <v>7</v>
      </c>
      <c r="AF129" s="35">
        <v>27</v>
      </c>
      <c r="AG129" s="35">
        <v>37</v>
      </c>
      <c r="AH129" s="35">
        <v>23</v>
      </c>
      <c r="AI129" s="35">
        <v>16</v>
      </c>
      <c r="AJ129" s="35">
        <v>31</v>
      </c>
      <c r="AK129" s="35">
        <f ca="1">COUNTIFS(
  'lease trade out NER -AVA'!$F:$F, "&gt;=" &amp; TODAY()-30,
  'lease trade out NER -AVA'!$F:$F, "&lt;=" &amp; TODAY()
)</f>
        <v>28</v>
      </c>
    </row>
    <row r="130" spans="2:37" ht="15" customHeight="1"/>
    <row r="136" spans="2:37">
      <c r="E136" s="31"/>
      <c r="F136" s="31"/>
      <c r="G136" s="31"/>
      <c r="H136" s="31"/>
      <c r="I136" s="30"/>
    </row>
    <row r="137" spans="2:37">
      <c r="E137" s="31"/>
      <c r="F137" s="31"/>
      <c r="G137" s="31"/>
      <c r="H137" s="31"/>
      <c r="I137" s="30"/>
    </row>
    <row r="138" spans="2:37">
      <c r="E138" s="31"/>
      <c r="F138" s="31"/>
      <c r="G138" s="31"/>
      <c r="H138" s="31"/>
      <c r="I138" s="30"/>
    </row>
    <row r="139" spans="2:37">
      <c r="E139" s="31"/>
      <c r="F139" s="31"/>
      <c r="G139" s="31"/>
      <c r="H139" s="31"/>
      <c r="I139" s="30"/>
    </row>
    <row r="140" spans="2:37">
      <c r="E140" s="30"/>
      <c r="F140" s="30"/>
      <c r="G140" s="30"/>
      <c r="H140" s="30"/>
      <c r="I140" s="30"/>
    </row>
    <row r="141" spans="2:37">
      <c r="E141" s="30"/>
      <c r="F141" s="30"/>
      <c r="G141" s="30"/>
      <c r="H141" s="30"/>
      <c r="I141" s="30"/>
    </row>
    <row r="142" spans="2:37">
      <c r="E142" s="30"/>
      <c r="F142" s="30"/>
      <c r="G142" s="30"/>
      <c r="H142" s="30"/>
      <c r="I142" s="30"/>
    </row>
  </sheetData>
  <pageMargins left="1" right="1" top="1" bottom="1" header="0.5" footer="0.5"/>
  <pageSetup paperSize="9" scale="27" orientation="landscape" horizontalDpi="300" verticalDpi="300" r:id="rId1"/>
  <rowBreaks count="2" manualBreakCount="2">
    <brk id="46" max="21" man="1"/>
    <brk id="129" max="16383" man="1"/>
  </rowBreaks>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35046A-69E6-4C35-BFC1-03CEBAAD4439}">
  <sheetPr>
    <tabColor rgb="FF002060"/>
  </sheetPr>
  <dimension ref="A1:AE193"/>
  <sheetViews>
    <sheetView showGridLines="0" tabSelected="1" zoomScaleNormal="100" workbookViewId="0">
      <pane ySplit="3" topLeftCell="A4" activePane="bottomLeft" state="frozen"/>
      <selection activeCell="C6" sqref="C6"/>
      <selection pane="bottomLeft" activeCell="L154" sqref="L154"/>
    </sheetView>
  </sheetViews>
  <sheetFormatPr defaultColWidth="8.5546875" defaultRowHeight="14.4" outlineLevelRow="1"/>
  <cols>
    <col min="1" max="1" width="3.5546875" style="973" customWidth="1"/>
    <col min="2" max="2" width="15.44140625" style="973" customWidth="1"/>
    <col min="3" max="3" width="16.88671875" style="973" customWidth="1"/>
    <col min="4" max="4" width="13.6640625" style="973" customWidth="1"/>
    <col min="5" max="5" width="12.88671875" style="973" bestFit="1" customWidth="1"/>
    <col min="6" max="6" width="7.109375" style="973" bestFit="1" customWidth="1"/>
    <col min="7" max="7" width="19" style="973" bestFit="1" customWidth="1"/>
    <col min="8" max="8" width="7.33203125" style="973" bestFit="1" customWidth="1"/>
    <col min="9" max="9" width="6.33203125" style="973" bestFit="1" customWidth="1"/>
    <col min="10" max="10" width="9.44140625" style="973" bestFit="1" customWidth="1"/>
    <col min="11" max="11" width="40.44140625" style="93" customWidth="1"/>
    <col min="12" max="12" width="63.44140625" style="973" bestFit="1" customWidth="1"/>
    <col min="13" max="13" width="8.5546875" style="973"/>
    <col min="14" max="14" width="27.33203125" style="973" hidden="1" customWidth="1"/>
    <col min="15" max="15" width="8.5546875" style="973"/>
    <col min="16" max="16" width="0" style="973" hidden="1" customWidth="1"/>
    <col min="17" max="16384" width="8.5546875" style="93"/>
  </cols>
  <sheetData>
    <row r="1" spans="1:31" ht="19.5" customHeight="1">
      <c r="B1" s="1242" t="s">
        <v>783</v>
      </c>
      <c r="C1" s="1242"/>
      <c r="D1" s="1242"/>
      <c r="E1" s="1242"/>
      <c r="F1" s="1242"/>
      <c r="G1" s="1242"/>
      <c r="H1" s="1242"/>
      <c r="I1" s="1242"/>
      <c r="J1" s="1242"/>
      <c r="K1" s="973"/>
      <c r="N1" s="974" t="s">
        <v>1083</v>
      </c>
      <c r="P1" s="975" t="s">
        <v>1084</v>
      </c>
      <c r="Q1" s="973"/>
      <c r="R1" s="973"/>
      <c r="S1" s="973"/>
      <c r="T1" s="973"/>
      <c r="U1" s="973"/>
      <c r="V1" s="973"/>
      <c r="W1" s="973"/>
      <c r="X1" s="973"/>
      <c r="Y1" s="973"/>
      <c r="Z1" s="973"/>
      <c r="AE1"/>
    </row>
    <row r="2" spans="1:31" ht="12.75" customHeight="1">
      <c r="B2" s="1243" t="s">
        <v>1085</v>
      </c>
      <c r="C2" s="1243"/>
      <c r="D2" s="1243"/>
      <c r="E2" s="1243"/>
      <c r="F2" s="1243"/>
      <c r="G2" s="1243"/>
      <c r="H2" s="1243"/>
      <c r="I2" s="1243"/>
      <c r="J2" s="1243"/>
      <c r="K2" s="973"/>
      <c r="N2" s="976" t="s">
        <v>1086</v>
      </c>
      <c r="P2" s="977" t="s">
        <v>1087</v>
      </c>
      <c r="Q2" s="973"/>
      <c r="R2" s="973"/>
      <c r="S2" s="973"/>
      <c r="T2" s="973"/>
      <c r="U2" s="973"/>
      <c r="V2" s="973"/>
      <c r="W2" s="973"/>
      <c r="X2" s="973"/>
      <c r="Y2" s="973"/>
      <c r="Z2" s="973"/>
    </row>
    <row r="3" spans="1:31" ht="12.75" customHeight="1">
      <c r="B3" s="978" t="s">
        <v>1088</v>
      </c>
      <c r="C3" s="979">
        <f>Dashboard_1!F3</f>
        <v>46244</v>
      </c>
      <c r="D3" s="979"/>
      <c r="G3" s="980" t="s">
        <v>1089</v>
      </c>
      <c r="H3" s="981">
        <v>200</v>
      </c>
      <c r="I3" s="982" t="s">
        <v>1090</v>
      </c>
      <c r="K3" s="973"/>
      <c r="N3" s="983" t="s">
        <v>1091</v>
      </c>
      <c r="P3" s="984" t="s">
        <v>1092</v>
      </c>
      <c r="Q3" s="973"/>
      <c r="R3" s="973"/>
      <c r="S3" s="973"/>
      <c r="T3" s="973"/>
      <c r="U3" s="973"/>
      <c r="V3" s="973"/>
      <c r="W3" s="973"/>
      <c r="X3" s="973"/>
      <c r="Y3" s="973"/>
      <c r="Z3" s="973"/>
    </row>
    <row r="4" spans="1:31" ht="12.75" customHeight="1">
      <c r="B4" s="985" t="s">
        <v>1093</v>
      </c>
      <c r="C4" s="986"/>
      <c r="D4" s="986"/>
      <c r="E4" s="986"/>
      <c r="F4" s="986"/>
      <c r="G4" s="986"/>
      <c r="H4" s="986"/>
      <c r="I4" s="986"/>
      <c r="J4" s="986"/>
      <c r="K4" s="986"/>
      <c r="L4" s="986"/>
      <c r="M4" s="992"/>
      <c r="N4" s="983" t="s">
        <v>1094</v>
      </c>
      <c r="P4" s="984" t="s">
        <v>1095</v>
      </c>
      <c r="Q4" s="973"/>
      <c r="R4" s="973"/>
      <c r="S4" s="973"/>
      <c r="T4" s="973"/>
      <c r="U4" s="973"/>
      <c r="V4" s="973"/>
      <c r="W4" s="973"/>
      <c r="X4" s="973"/>
      <c r="Y4" s="973"/>
      <c r="Z4" s="973"/>
    </row>
    <row r="5" spans="1:31" ht="12" customHeight="1">
      <c r="B5" s="989" t="s">
        <v>1096</v>
      </c>
      <c r="C5" s="990">
        <f>SUMIF('resident aged receivable'!I:I,"&gt;0",'resident aged receivable'!I:I)</f>
        <v>678540.74000000046</v>
      </c>
      <c r="D5" s="990"/>
      <c r="G5" s="989" t="s">
        <v>1097</v>
      </c>
      <c r="H5" s="990">
        <f>SUMIF('resident aged receivable'!J:J,"&gt;0",'resident aged receivable'!J:J)</f>
        <v>69897.569999999992</v>
      </c>
      <c r="J5" s="992"/>
      <c r="K5"/>
      <c r="L5" s="992"/>
      <c r="M5" s="992"/>
      <c r="N5" s="983" t="s">
        <v>1098</v>
      </c>
      <c r="P5" s="984" t="s">
        <v>1099</v>
      </c>
      <c r="Q5" s="973"/>
      <c r="R5" s="973"/>
      <c r="S5" s="973"/>
      <c r="T5" s="973"/>
      <c r="U5" s="973"/>
      <c r="V5" s="973"/>
      <c r="W5" s="973"/>
      <c r="X5" s="973"/>
      <c r="Y5" s="973"/>
      <c r="Z5" s="973"/>
    </row>
    <row r="6" spans="1:31" ht="8.1" customHeight="1">
      <c r="B6" s="989" t="s">
        <v>1100</v>
      </c>
      <c r="C6" s="991">
        <f>COUNTIF('resident aged receivable'!I:I,"&gt;0")</f>
        <v>181</v>
      </c>
      <c r="D6" s="991"/>
      <c r="G6" s="989" t="s">
        <v>1101</v>
      </c>
      <c r="H6" s="990">
        <f>SUMIF('resident aged receivable'!K:K,"&gt;0",'resident aged receivable'!K:K)</f>
        <v>134876.59999999998</v>
      </c>
      <c r="J6" s="992"/>
      <c r="K6"/>
      <c r="L6" s="992"/>
      <c r="M6" s="992"/>
      <c r="N6" s="983" t="s">
        <v>1102</v>
      </c>
      <c r="P6" s="984" t="s">
        <v>1103</v>
      </c>
      <c r="Q6" s="973"/>
      <c r="R6" s="973"/>
      <c r="S6" s="973"/>
      <c r="T6" s="973"/>
      <c r="U6" s="973"/>
      <c r="V6" s="973"/>
      <c r="W6" s="973"/>
      <c r="X6" s="973"/>
      <c r="Y6" s="973"/>
      <c r="Z6" s="973"/>
    </row>
    <row r="7" spans="1:31" ht="12" customHeight="1">
      <c r="B7" s="989" t="s">
        <v>1104</v>
      </c>
      <c r="C7" s="991">
        <f>COUNTIF('resident aged receivable'!E:E,"Past - Eviction")+COUNTIF('resident aged receivable'!E:E,"Current - Eviction")</f>
        <v>36</v>
      </c>
      <c r="D7" s="991"/>
      <c r="G7" s="989" t="s">
        <v>1105</v>
      </c>
      <c r="H7" s="990">
        <f>SUMIFS('resident aged receivable'!I:I,'resident aged receivable'!E:E,"Past - Eviction")+SUMIFS('resident aged receivable'!I:I,'resident aged receivable'!E:E,"Current - Eviction")</f>
        <v>395614.87999999995</v>
      </c>
      <c r="J7" s="992"/>
      <c r="K7"/>
      <c r="L7" s="992"/>
      <c r="M7" s="992"/>
      <c r="N7" s="983" t="s">
        <v>1106</v>
      </c>
      <c r="P7" s="984" t="s">
        <v>1107</v>
      </c>
      <c r="Q7" s="973"/>
      <c r="R7" s="973"/>
      <c r="S7" s="973"/>
      <c r="T7" s="973"/>
      <c r="U7" s="973"/>
      <c r="V7" s="973"/>
      <c r="W7" s="973"/>
      <c r="X7" s="973"/>
      <c r="Y7" s="973"/>
      <c r="Z7" s="973"/>
    </row>
    <row r="8" spans="1:31" ht="12" customHeight="1">
      <c r="B8" s="989" t="s">
        <v>1108</v>
      </c>
      <c r="C8" s="991">
        <f>COUNTIF('resident aged receivable'!E:E,"Past - Skip")</f>
        <v>20</v>
      </c>
      <c r="D8" s="991"/>
      <c r="G8" s="989" t="s">
        <v>1109</v>
      </c>
      <c r="H8" s="990">
        <f>SUMIFS('resident aged receivable'!I:I,'resident aged receivable'!E:E,"Past - Skip")</f>
        <v>108529.98999999999</v>
      </c>
      <c r="J8" s="992"/>
      <c r="K8"/>
      <c r="L8" s="992"/>
      <c r="M8" s="992"/>
      <c r="N8" s="983" t="s">
        <v>1110</v>
      </c>
      <c r="P8" s="984" t="s">
        <v>1111</v>
      </c>
      <c r="Q8" s="973"/>
      <c r="R8" s="973"/>
      <c r="S8" s="973"/>
      <c r="T8" s="973"/>
      <c r="U8" s="973"/>
      <c r="V8" s="973"/>
      <c r="W8" s="973"/>
      <c r="X8" s="973"/>
      <c r="Y8" s="973"/>
      <c r="Z8" s="973"/>
    </row>
    <row r="9" spans="1:31" ht="12" customHeight="1">
      <c r="B9" s="989" t="s">
        <v>1112</v>
      </c>
      <c r="C9" s="990">
        <f>SUMIFS('resident aged receivable'!I:I,'resident aged receivable'!E:E,"Current - Grace Period")+SUMIFS('resident aged receivable'!I:I,'resident aged receivable'!E:E,"Notice - Grace Period")+SUMIFS('resident aged receivable'!I:I,'resident aged receivable'!E:E,"Current - Eviction")</f>
        <v>814.34</v>
      </c>
      <c r="D9" s="990"/>
      <c r="G9" s="989" t="s">
        <v>1113</v>
      </c>
      <c r="H9" s="990">
        <f>SUMIFS('resident aged receivable'!I:I,'resident aged receivable'!E:E,"Current")+SUMIFS('resident aged receivable'!I:I,'resident aged receivable'!E:E,"Current - Month To Month")</f>
        <v>53820.460000000014</v>
      </c>
      <c r="J9" s="992"/>
      <c r="K9"/>
      <c r="L9" s="992"/>
      <c r="M9" s="992"/>
      <c r="N9" s="983" t="s">
        <v>1114</v>
      </c>
      <c r="P9" s="984" t="s">
        <v>1115</v>
      </c>
      <c r="Q9" s="973"/>
      <c r="R9" s="973"/>
      <c r="S9" s="973"/>
      <c r="T9" s="973"/>
      <c r="U9" s="973"/>
      <c r="V9" s="973"/>
      <c r="W9" s="973"/>
      <c r="X9" s="973"/>
      <c r="Y9" s="973"/>
      <c r="Z9" s="973"/>
    </row>
    <row r="10" spans="1:31" ht="12" customHeight="1">
      <c r="A10" s="992"/>
      <c r="B10" s="1021" t="s">
        <v>1116</v>
      </c>
      <c r="C10" s="1023"/>
      <c r="D10" s="1023"/>
      <c r="E10" s="1023"/>
      <c r="F10" s="1023"/>
      <c r="G10" s="1023"/>
      <c r="H10" s="1023"/>
      <c r="I10" s="1023"/>
      <c r="J10" s="1023"/>
      <c r="K10" s="101"/>
      <c r="L10" s="1023"/>
      <c r="M10" s="992"/>
      <c r="N10" s="992" t="s">
        <v>1117</v>
      </c>
      <c r="O10" s="992"/>
      <c r="P10" s="984" t="s">
        <v>2661</v>
      </c>
      <c r="Q10" s="973"/>
      <c r="R10" s="973"/>
      <c r="S10" s="973"/>
      <c r="T10" s="973"/>
      <c r="U10" s="973"/>
      <c r="V10" s="973"/>
      <c r="W10" s="973"/>
      <c r="X10" s="973"/>
      <c r="Y10" s="973"/>
      <c r="Z10" s="973"/>
    </row>
    <row r="11" spans="1:31" ht="12" customHeight="1">
      <c r="A11" s="992"/>
      <c r="B11" s="989" t="s">
        <v>1118</v>
      </c>
      <c r="C11" s="1024">
        <f>SUM(LeaseLock!L2:L500)</f>
        <v>624444.32999999984</v>
      </c>
      <c r="D11" s="1025" t="s">
        <v>1119</v>
      </c>
      <c r="E11" s="1026">
        <f>COUNTIF(LeaseLock!F2:F500,"Open")</f>
        <v>8</v>
      </c>
      <c r="F11" s="992"/>
      <c r="G11" s="1025" t="s">
        <v>1120</v>
      </c>
      <c r="H11" s="1027">
        <f>IFERROR(SUM(LeaseLock!M2:M500)/SUM(LeaseLock!L2:L500),0)</f>
        <v>0.14971715733250396</v>
      </c>
      <c r="I11" s="992"/>
      <c r="J11" s="1136" t="s">
        <v>1121</v>
      </c>
      <c r="K11" s="1137">
        <f>IFERROR(SUM(LeaseLock!M2:M500)/SUM(LeaseLock!W2:W500),0)</f>
        <v>0.62358996941615341</v>
      </c>
      <c r="L11" s="992"/>
      <c r="M11" s="992"/>
      <c r="N11" s="992" t="s">
        <v>1122</v>
      </c>
      <c r="O11" s="992"/>
      <c r="P11" s="984"/>
      <c r="Q11" s="973"/>
      <c r="R11" s="973"/>
      <c r="S11" s="973"/>
      <c r="T11" s="973"/>
      <c r="U11" s="973"/>
      <c r="V11" s="973"/>
      <c r="W11" s="973"/>
      <c r="X11" s="973"/>
      <c r="Y11" s="973"/>
      <c r="Z11" s="973"/>
    </row>
    <row r="12" spans="1:31" ht="12" customHeight="1">
      <c r="A12" s="992"/>
      <c r="B12" s="989" t="s">
        <v>1123</v>
      </c>
      <c r="C12" s="1024">
        <f>SUM(LeaseLock!M2:M500)</f>
        <v>93490.03</v>
      </c>
      <c r="D12" s="1028" t="s">
        <v>1124</v>
      </c>
      <c r="E12" s="1029">
        <f>SUM('resident aged receivable'!N2:N460)</f>
        <v>78</v>
      </c>
      <c r="F12" s="992"/>
      <c r="G12" s="1025" t="s">
        <v>1125</v>
      </c>
      <c r="H12" s="1024">
        <f>SUM(LeaseLock!L2:L500)-SUM(LeaseLock!M2:M500)</f>
        <v>530954.29999999981</v>
      </c>
      <c r="I12" s="992"/>
      <c r="J12" s="992"/>
      <c r="K12"/>
      <c r="L12" s="992"/>
      <c r="M12" s="992"/>
      <c r="N12" s="992" t="s">
        <v>1126</v>
      </c>
      <c r="O12" s="992"/>
      <c r="P12" s="984"/>
      <c r="Q12" s="973"/>
      <c r="R12" s="973"/>
      <c r="S12" s="973"/>
      <c r="T12" s="973"/>
      <c r="U12" s="973"/>
      <c r="V12" s="973"/>
      <c r="W12" s="973"/>
      <c r="X12" s="973"/>
      <c r="Y12" s="973"/>
      <c r="Z12" s="973"/>
    </row>
    <row r="13" spans="1:31" ht="12" customHeight="1">
      <c r="A13" s="992"/>
      <c r="B13" s="989" t="s">
        <v>1127</v>
      </c>
      <c r="C13" s="1026">
        <f>COUNTA(LeaseLock!A2:A500)</f>
        <v>206</v>
      </c>
      <c r="D13" s="1028" t="s">
        <v>1128</v>
      </c>
      <c r="E13" s="1030">
        <f>E12*1500</f>
        <v>117000</v>
      </c>
      <c r="F13" s="992"/>
      <c r="G13" s="1025" t="s">
        <v>1129</v>
      </c>
      <c r="H13" s="1031" t="str">
        <f>COUNTIF(LeaseLock!F2:F500,"Claim Denied")&amp;" ("&amp;TEXT(IFERROR(COUNTIF(LeaseLock!F2:F500,"Claim Denied")/COUNTA(LeaseLock!A2:A500),0),"0%")&amp;")"</f>
        <v>34 (17%)</v>
      </c>
      <c r="I13" s="992"/>
      <c r="J13" s="992"/>
      <c r="K13"/>
      <c r="L13" s="992"/>
      <c r="M13" s="992"/>
      <c r="N13" s="992" t="s">
        <v>1130</v>
      </c>
      <c r="O13" s="992"/>
      <c r="P13" s="984"/>
      <c r="Q13" s="973"/>
      <c r="R13" s="973"/>
      <c r="S13" s="973"/>
      <c r="T13" s="973"/>
      <c r="U13" s="973"/>
      <c r="V13" s="973"/>
      <c r="W13" s="973"/>
      <c r="X13" s="973"/>
      <c r="Y13" s="973"/>
      <c r="Z13" s="973"/>
    </row>
    <row r="14" spans="1:31" ht="12" customHeight="1">
      <c r="A14" s="992"/>
      <c r="B14" s="1062" t="s">
        <v>1131</v>
      </c>
      <c r="C14" s="992"/>
      <c r="D14" s="1025" t="s">
        <v>1132</v>
      </c>
      <c r="E14" s="1032">
        <f>SUMIFS(LeaseLock!L2:L500,LeaseLock!F2:F500,"Open")+E12*1500</f>
        <v>162276.1</v>
      </c>
      <c r="F14" s="992"/>
      <c r="G14" s="1025" t="s">
        <v>1133</v>
      </c>
      <c r="H14" s="1024">
        <f>IFERROR(SUM(LeaseLock!M2:M500)/COUNTA(LeaseLock!A2:A500),0)</f>
        <v>453.83509708737864</v>
      </c>
      <c r="I14" s="992"/>
      <c r="J14" s="992"/>
      <c r="K14"/>
      <c r="L14" s="992"/>
      <c r="M14" s="992"/>
      <c r="N14" s="992" t="s">
        <v>1134</v>
      </c>
      <c r="O14" s="992"/>
      <c r="P14" s="992"/>
      <c r="Q14" s="973"/>
      <c r="R14" s="973"/>
      <c r="S14" s="973"/>
      <c r="T14" s="973"/>
      <c r="U14" s="973"/>
      <c r="V14" s="973"/>
      <c r="W14" s="973"/>
      <c r="X14" s="973"/>
      <c r="Y14" s="973"/>
      <c r="Z14" s="973"/>
    </row>
    <row r="15" spans="1:31" ht="12.75" customHeight="1">
      <c r="B15" s="985" t="s">
        <v>1135</v>
      </c>
      <c r="C15" s="986"/>
      <c r="D15" s="986"/>
      <c r="E15" s="986"/>
      <c r="F15" s="986"/>
      <c r="G15" s="986"/>
      <c r="H15" s="986"/>
      <c r="I15" s="986"/>
      <c r="J15" s="986"/>
      <c r="K15" s="987"/>
      <c r="L15" s="988"/>
      <c r="N15" s="983" t="s">
        <v>1136</v>
      </c>
      <c r="P15" s="984"/>
      <c r="Q15" s="973"/>
      <c r="R15" s="973"/>
      <c r="S15" s="973"/>
      <c r="T15" s="973"/>
      <c r="U15" s="973"/>
      <c r="V15" s="973"/>
      <c r="W15" s="973"/>
      <c r="X15" s="973"/>
      <c r="Y15" s="973"/>
      <c r="Z15" s="973"/>
    </row>
    <row r="16" spans="1:31" ht="12" customHeight="1">
      <c r="A16" s="992"/>
      <c r="B16" s="994" t="s">
        <v>1137</v>
      </c>
      <c r="C16" s="994" t="s">
        <v>1138</v>
      </c>
      <c r="D16" s="994" t="s">
        <v>1139</v>
      </c>
      <c r="E16" s="994" t="s">
        <v>1140</v>
      </c>
      <c r="F16" s="994" t="s">
        <v>1141</v>
      </c>
      <c r="G16" s="994" t="s">
        <v>929</v>
      </c>
      <c r="H16" s="993" t="s">
        <v>1142</v>
      </c>
      <c r="I16" s="994" t="s">
        <v>1143</v>
      </c>
      <c r="J16" s="994" t="s">
        <v>1144</v>
      </c>
      <c r="K16" s="994" t="s">
        <v>1145</v>
      </c>
      <c r="L16" s="995" t="s">
        <v>1146</v>
      </c>
      <c r="N16" s="983" t="s">
        <v>1147</v>
      </c>
      <c r="P16" s="984"/>
      <c r="Q16" s="973"/>
      <c r="R16" s="973"/>
      <c r="S16" s="973"/>
      <c r="T16" s="973"/>
      <c r="U16" s="973"/>
      <c r="V16" s="973"/>
      <c r="W16" s="973"/>
      <c r="X16" s="973"/>
      <c r="Y16" s="973"/>
      <c r="Z16" s="973"/>
    </row>
    <row r="17" spans="1:26" ht="12" customHeight="1">
      <c r="A17" s="996" cm="1">
        <f t="array" ref="A17">IFERROR(_xlfn.LET(_xlpm.n,ROW()-16,_xlpm.adj,IF((((ISNUMBER(SEARCH("Eviction",'resident aged receivable'!$E$2:$E$460)))+(ISNUMBER(SEARCH("Past",'resident aged receivable'!$E$2:$E$460)))+(ISNUMBER(SEARCH("Skip",'resident aged receivable'!$E$2:$E$460)))+(ISNUMBER(SEARCH("Collections",'resident aged receivable'!$E$2:$E$460)))+(COUNTIF($N$3:$N$24,'resident aged receivable'!$D$2:$D$460)&gt;0))&gt;0)*(((((LEFT('resident aged receivable'!$E$2:$E$460,7)="Current")+(LEFT('resident aged receivable'!$E$2:$E$460,6)="Notice"))=0)+(COUNTIF($N$3:$N$24,'resident aged receivable'!$D$2:$D$460)&gt;0))&gt;0)*(COUNTIF($P$3:$P$24,'resident aged receivable'!$D$2:$D$460)=0)*('resident aged receivable'!$I$2:$I$460&gt;0),'resident aged receivable'!$I$2:$I$460-ROW('resident aged receivable'!$I$2:$I$460)/1000000),_xlpm.tgt,LARGE(_xlpm.adj,_xlpm.n),MATCH(_xlpm.tgt,_xlpm.adj,0)+1),"")</f>
        <v>131</v>
      </c>
      <c r="B17" s="997" t="str" cm="1">
        <f t="array" ref="B17">IF($A17="","",INDEX('resident aged receivable'!$B:$B,$A17))</f>
        <v>W12-1-1202</v>
      </c>
      <c r="C17" s="997" t="str" cm="1">
        <f t="array" ref="C17">IF($A17="","",INDEX('resident aged receivable'!$D:$D,$A17))</f>
        <v>Harris, Mahogany</v>
      </c>
      <c r="D17" s="998" cm="1">
        <f t="array" ref="D17">IF($A17="","",INDEX('resident aged receivable'!$F:$F,$A17))</f>
        <v>45569</v>
      </c>
      <c r="E17" s="998" cm="1">
        <f t="array" ref="E17">IF($A17="","",_xlfn.LET(_xlpm.leaseEnd,INDEX('resident aged receivable'!$H:$H,$A17),_xlpm.moLookup,IFERROR(_xlfn.LET(_xlpm.lastFirst,C17,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46169</v>
      </c>
      <c r="F17" s="999" t="str">
        <f t="shared" ref="F17:F48" si="0">IF(D17="","",IF(D17&lt;DATE(2025,12,15),"IPS","CAF"))</f>
        <v>IPS</v>
      </c>
      <c r="G17" s="1000" t="str" cm="1">
        <f t="array" ref="G17">IF($A17="","",IF(COUNTIF($N$3:$N$24,C17)&gt;0,"Former",_xlfn.LET(_xlpm.s,INDEX('resident aged receivable'!$E:$E,$A17),IF(ISNUMBER(SEARCH("Eviction",_xlpm.s)),"Eviction",IF(ISNUMBER(SEARCH("Skip",_xlpm.s)),"Skip",IF(ISNUMBER(SEARCH("Past",_xlpm.s))+ISNUMBER(SEARCH("Collections",_xlpm.s)),"Former",_xlpm.s))))))</f>
        <v>Eviction</v>
      </c>
      <c r="H17" s="1001" cm="1">
        <f t="array" ref="H17">IF($A17="","",INDEX('resident aged receivable'!$I:$I,$A17))</f>
        <v>42277.71</v>
      </c>
      <c r="I17" s="1001" cm="1">
        <f t="array" ref="I17">IF($A17="","",INDEX('resident aged receivable'!$J:$J,$A17))</f>
        <v>0</v>
      </c>
      <c r="J17" s="1001" cm="1">
        <f t="array" ref="J17">IF($A17="","",INDEX('resident aged receivable'!$K:$K,$A17))</f>
        <v>0</v>
      </c>
      <c r="K17" s="1020" t="str" cm="1">
        <f t="array" ref="K17">IF($C17="","",IFERROR(_xlfn.LET(_xlpm.unit,B17,_xlpm.resident,C17,_xlpm.lastName,IFERROR(LEFT(_xlpm.resident,FIND(",",_xlpm.resident)-1),_xlpm.resident),_xlpm.llMatch,(LeaseLock!$D$2:$D$500=_xlpm.unit)*ISNUMBER(SEARCH(_xlpm.lastName,LeaseLock!$C$2:$C$500)),_xlpm.hasLL,SUMPRODUCT(_xlpm.llMatch)&gt;0,_xlpm.llStatus,IF(_xlpm.hasLL,_xlfn.LET(_xlpm.stat,LOOKUP(2,1/_xlpm.llMatch,LeaseLock!$F$2:$F$500),_xlpm.sub,LOOKUP(2,1/_xlpm.llMatch,LeaseLock!$G$2:$G$500),_xlpm.paid,LOOKUP(2,1/_xlpm.llMatch,LeaseLock!$M$2:$M$500),IF(_xlpm.stat="Claim Denied","Claim Denied ("&amp;_xlpm.sub&amp;")",IF(_xlpm.stat="Open","Open - "&amp;_xlpm.sub,IF(_xlpm.paid&gt;0,_xlpm.stat&amp;" - $"&amp;TEXT(_xlpm.paid,"#,##0.00")&amp;" paid",_xlpm.stat&amp;" - no payment")))),""),_xlpm.rsiMatches,ISNUMBER(SEARCH(_xlpm.lastName,Evictions_RSI!$B$3:$B$200))*(Evictions_RSI!$B$3:$B$200&lt;&gt;""),_xlpm.hasRSI,SUMPRODUCT(_xlpm.rsiMatches)&gt;0,_xlpm.rsiStatus,IF(_xlpm.hasRSI,_xlfn.LET(_xlpm.dates,IF(_xlpm.rsiMatches,IFERROR(DATEVALUE(SUBSTITUTE(Evictions_RSI!$A$3:$A$200,_xlfn.UNICHAR(8204),"")),0),0),_xlpm.latestRow,MATCH(MAX(_xlpm.dates),_xlpm.dates,0),TRIM(SUBSTITUTE(INDEX(Evictions_RSI!$I$3:$I$200,_xlpm.latestRow),_xlfn.UNICHAR(8204),""))),""),IF(AND(_xlpm.llStatus="",_xlpm.rsiStatus=""),"",IF(_xlpm.llStatus="","RSI: "&amp;_xlpm.rsiStatus,IF(_xlpm.rsiStatus="","LL: "&amp;_xlpm.llStatus,"LL: "&amp;_xlpm.llStatus&amp;" | RSI: "&amp;_xlpm.rsiStatus)))),""))</f>
        <v>LL: Claim Denied () | RSI: COC - JOA Pending (Notes)</v>
      </c>
      <c r="L17" s="1002"/>
      <c r="N17" s="983" t="s">
        <v>1148</v>
      </c>
      <c r="P17" s="984"/>
      <c r="Q17" s="973"/>
      <c r="R17" s="973"/>
      <c r="S17" s="973"/>
      <c r="T17" s="973"/>
      <c r="U17" s="973"/>
      <c r="V17" s="973"/>
      <c r="W17" s="973"/>
      <c r="X17" s="973"/>
      <c r="Y17" s="973"/>
      <c r="Z17" s="973"/>
    </row>
    <row r="18" spans="1:26" ht="12" customHeight="1">
      <c r="A18" s="996" cm="1">
        <f t="array" ref="A18">IFERROR(_xlfn.LET(_xlpm.n,ROW()-16,_xlpm.adj,IF((((ISNUMBER(SEARCH("Eviction",'resident aged receivable'!$E$2:$E$460)))+(ISNUMBER(SEARCH("Past",'resident aged receivable'!$E$2:$E$460)))+(ISNUMBER(SEARCH("Skip",'resident aged receivable'!$E$2:$E$460)))+(ISNUMBER(SEARCH("Collections",'resident aged receivable'!$E$2:$E$460)))+(COUNTIF($N$3:$N$24,'resident aged receivable'!$D$2:$D$460)&gt;0))&gt;0)*(((((LEFT('resident aged receivable'!$E$2:$E$460,7)="Current")+(LEFT('resident aged receivable'!$E$2:$E$460,6)="Notice"))=0)+(COUNTIF($N$3:$N$24,'resident aged receivable'!$D$2:$D$460)&gt;0))&gt;0)*(COUNTIF($P$3:$P$24,'resident aged receivable'!$D$2:$D$460)=0)*('resident aged receivable'!$I$2:$I$460&gt;0),'resident aged receivable'!$I$2:$I$460-ROW('resident aged receivable'!$I$2:$I$460)/1000000),_xlpm.tgt,LARGE(_xlpm.adj,_xlpm.n),MATCH(_xlpm.tgt,_xlpm.adj,0)+1),"")</f>
        <v>161</v>
      </c>
      <c r="B18" s="997" t="str" cm="1">
        <f t="array" ref="B18">IF($A18="","",INDEX('resident aged receivable'!$B:$B,$A18))</f>
        <v>W19-2-2067</v>
      </c>
      <c r="C18" s="997" t="str" cm="1">
        <f t="array" ref="C18">IF($A18="","",INDEX('resident aged receivable'!$D:$D,$A18))</f>
        <v>Taylor, Talika</v>
      </c>
      <c r="D18" s="998" cm="1">
        <f t="array" ref="D18">IF($A18="","",INDEX('resident aged receivable'!$F:$F,$A18))</f>
        <v>45818</v>
      </c>
      <c r="E18" s="998" cm="1">
        <f t="array" ref="E18">IF($A18="","",_xlfn.LET(_xlpm.leaseEnd,INDEX('resident aged receivable'!$H:$H,$A18),_xlpm.moLookup,IFERROR(_xlfn.LET(_xlpm.lastFirst,C18,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46182</v>
      </c>
      <c r="F18" s="999" t="str">
        <f t="shared" si="0"/>
        <v>IPS</v>
      </c>
      <c r="G18" s="1000" t="str" cm="1">
        <f t="array" ref="G18">IF($A18="","",IF(COUNTIF($N$3:$N$24,C18)&gt;0,"Former",_xlfn.LET(_xlpm.s,INDEX('resident aged receivable'!$E:$E,$A18),IF(ISNUMBER(SEARCH("Eviction",_xlpm.s)),"Eviction",IF(ISNUMBER(SEARCH("Skip",_xlpm.s)),"Skip",IF(ISNUMBER(SEARCH("Past",_xlpm.s))+ISNUMBER(SEARCH("Collections",_xlpm.s)),"Former",_xlpm.s))))))</f>
        <v>Eviction</v>
      </c>
      <c r="H18" s="1001" cm="1">
        <f t="array" ref="H18">IF($A18="","",INDEX('resident aged receivable'!$I:$I,$A18))</f>
        <v>22415.68</v>
      </c>
      <c r="I18" s="1001" cm="1">
        <f t="array" ref="I18">IF($A18="","",INDEX('resident aged receivable'!$J:$J,$A18))</f>
        <v>0</v>
      </c>
      <c r="J18" s="1001" cm="1">
        <f t="array" ref="J18">IF($A18="","",INDEX('resident aged receivable'!$K:$K,$A18))</f>
        <v>0</v>
      </c>
      <c r="K18" s="1020" t="str" cm="1">
        <f t="array" ref="K18">IF($C18="","",IFERROR(_xlfn.LET(_xlpm.unit,B18,_xlpm.resident,C18,_xlpm.lastName,IFERROR(LEFT(_xlpm.resident,FIND(",",_xlpm.resident)-1),_xlpm.resident),_xlpm.llMatch,(LeaseLock!$D$2:$D$500=_xlpm.unit)*ISNUMBER(SEARCH(_xlpm.lastName,LeaseLock!$C$2:$C$500)),_xlpm.hasLL,SUMPRODUCT(_xlpm.llMatch)&gt;0,_xlpm.llStatus,IF(_xlpm.hasLL,_xlfn.LET(_xlpm.stat,LOOKUP(2,1/_xlpm.llMatch,LeaseLock!$F$2:$F$500),_xlpm.sub,LOOKUP(2,1/_xlpm.llMatch,LeaseLock!$G$2:$G$500),_xlpm.paid,LOOKUP(2,1/_xlpm.llMatch,LeaseLock!$M$2:$M$500),IF(_xlpm.stat="Claim Denied","Claim Denied ("&amp;_xlpm.sub&amp;")",IF(_xlpm.stat="Open","Open - "&amp;_xlpm.sub,IF(_xlpm.paid&gt;0,_xlpm.stat&amp;" - $"&amp;TEXT(_xlpm.paid,"#,##0.00")&amp;" paid",_xlpm.stat&amp;" - no payment")))),""),_xlpm.rsiMatches,ISNUMBER(SEARCH(_xlpm.lastName,Evictions_RSI!$B$3:$B$200))*(Evictions_RSI!$B$3:$B$200&lt;&gt;""),_xlpm.hasRSI,SUMPRODUCT(_xlpm.rsiMatches)&gt;0,_xlpm.rsiStatus,IF(_xlpm.hasRSI,_xlfn.LET(_xlpm.dates,IF(_xlpm.rsiMatches,IFERROR(DATEVALUE(SUBSTITUTE(Evictions_RSI!$A$3:$A$200,_xlfn.UNICHAR(8204),"")),0),0),_xlpm.latestRow,MATCH(MAX(_xlpm.dates),_xlpm.dates,0),TRIM(SUBSTITUTE(INDEX(Evictions_RSI!$I$3:$I$200,_xlpm.latestRow),_xlfn.UNICHAR(8204),""))),""),IF(AND(_xlpm.llStatus="",_xlpm.rsiStatus=""),"",IF(_xlpm.llStatus="","RSI: "&amp;_xlpm.rsiStatus,IF(_xlpm.rsiStatus="","LL: "&amp;_xlpm.llStatus,"LL: "&amp;_xlpm.llStatus&amp;" | RSI: "&amp;_xlpm.rsiStatus)))),""))</f>
        <v>LL: Open - Pending Documentation | RSI: Granted (Notes)</v>
      </c>
      <c r="L18" s="1002" t="s">
        <v>1149</v>
      </c>
      <c r="N18" s="983" t="s">
        <v>1150</v>
      </c>
      <c r="Q18" s="973"/>
      <c r="R18" s="973"/>
      <c r="S18" s="973"/>
      <c r="T18" s="973"/>
      <c r="U18" s="973"/>
      <c r="V18" s="973"/>
      <c r="W18" s="973"/>
      <c r="X18" s="973"/>
      <c r="Y18" s="973"/>
      <c r="Z18" s="973"/>
    </row>
    <row r="19" spans="1:26" ht="12" customHeight="1">
      <c r="A19" s="996" cm="1">
        <f t="array" ref="A19">IFERROR(_xlfn.LET(_xlpm.n,ROW()-16,_xlpm.adj,IF((((ISNUMBER(SEARCH("Eviction",'resident aged receivable'!$E$2:$E$460)))+(ISNUMBER(SEARCH("Past",'resident aged receivable'!$E$2:$E$460)))+(ISNUMBER(SEARCH("Skip",'resident aged receivable'!$E$2:$E$460)))+(ISNUMBER(SEARCH("Collections",'resident aged receivable'!$E$2:$E$460)))+(COUNTIF($N$3:$N$24,'resident aged receivable'!$D$2:$D$460)&gt;0))&gt;0)*(((((LEFT('resident aged receivable'!$E$2:$E$460,7)="Current")+(LEFT('resident aged receivable'!$E$2:$E$460,6)="Notice"))=0)+(COUNTIF($N$3:$N$24,'resident aged receivable'!$D$2:$D$460)&gt;0))&gt;0)*(COUNTIF($P$3:$P$24,'resident aged receivable'!$D$2:$D$460)=0)*('resident aged receivable'!$I$2:$I$460&gt;0),'resident aged receivable'!$I$2:$I$460-ROW('resident aged receivable'!$I$2:$I$460)/1000000),_xlpm.tgt,LARGE(_xlpm.adj,_xlpm.n),MATCH(_xlpm.tgt,_xlpm.adj,0)+1),"")</f>
        <v>176</v>
      </c>
      <c r="B19" s="997" t="str" cm="1">
        <f t="array" ref="B19">IF($A19="","",INDEX('resident aged receivable'!$B:$B,$A19))</f>
        <v>W24-2-2039</v>
      </c>
      <c r="C19" s="997" t="str" cm="1">
        <f t="array" ref="C19">IF($A19="","",INDEX('resident aged receivable'!$D:$D,$A19))</f>
        <v>Fridia, Rodrinesha</v>
      </c>
      <c r="D19" s="998" cm="1">
        <f t="array" ref="D19">IF($A19="","",INDEX('resident aged receivable'!$F:$F,$A19))</f>
        <v>45590</v>
      </c>
      <c r="E19" s="998" cm="1">
        <f t="array" ref="E19">IF($A19="","",_xlfn.LET(_xlpm.leaseEnd,INDEX('resident aged receivable'!$H:$H,$A19),_xlpm.moLookup,IFERROR(_xlfn.LET(_xlpm.lastFirst,C19,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46170</v>
      </c>
      <c r="F19" s="999" t="str">
        <f t="shared" si="0"/>
        <v>IPS</v>
      </c>
      <c r="G19" s="1000" t="str" cm="1">
        <f t="array" ref="G19">IF($A19="","",IF(COUNTIF($N$3:$N$24,C19)&gt;0,"Former",_xlfn.LET(_xlpm.s,INDEX('resident aged receivable'!$E:$E,$A19),IF(ISNUMBER(SEARCH("Eviction",_xlpm.s)),"Eviction",IF(ISNUMBER(SEARCH("Skip",_xlpm.s)),"Skip",IF(ISNUMBER(SEARCH("Past",_xlpm.s))+ISNUMBER(SEARCH("Collections",_xlpm.s)),"Former",_xlpm.s))))))</f>
        <v>Eviction</v>
      </c>
      <c r="H19" s="1001" cm="1">
        <f t="array" ref="H19">IF($A19="","",INDEX('resident aged receivable'!$I:$I,$A19))</f>
        <v>21493.39</v>
      </c>
      <c r="I19" s="1001" cm="1">
        <f t="array" ref="I19">IF($A19="","",INDEX('resident aged receivable'!$J:$J,$A19))</f>
        <v>0</v>
      </c>
      <c r="J19" s="1001" cm="1">
        <f t="array" ref="J19">IF($A19="","",INDEX('resident aged receivable'!$K:$K,$A19))</f>
        <v>0</v>
      </c>
      <c r="K19" s="1020" t="str" cm="1">
        <f t="array" ref="K19">IF($C19="","",IFERROR(_xlfn.LET(_xlpm.unit,B19,_xlpm.resident,C19,_xlpm.lastName,IFERROR(LEFT(_xlpm.resident,FIND(",",_xlpm.resident)-1),_xlpm.resident),_xlpm.llMatch,(LeaseLock!$D$2:$D$500=_xlpm.unit)*ISNUMBER(SEARCH(_xlpm.lastName,LeaseLock!$C$2:$C$500)),_xlpm.hasLL,SUMPRODUCT(_xlpm.llMatch)&gt;0,_xlpm.llStatus,IF(_xlpm.hasLL,_xlfn.LET(_xlpm.stat,LOOKUP(2,1/_xlpm.llMatch,LeaseLock!$F$2:$F$500),_xlpm.sub,LOOKUP(2,1/_xlpm.llMatch,LeaseLock!$G$2:$G$500),_xlpm.paid,LOOKUP(2,1/_xlpm.llMatch,LeaseLock!$M$2:$M$500),IF(_xlpm.stat="Claim Denied","Claim Denied ("&amp;_xlpm.sub&amp;")",IF(_xlpm.stat="Open","Open - "&amp;_xlpm.sub,IF(_xlpm.paid&gt;0,_xlpm.stat&amp;" - $"&amp;TEXT(_xlpm.paid,"#,##0.00")&amp;" paid",_xlpm.stat&amp;" - no payment")))),""),_xlpm.rsiMatches,ISNUMBER(SEARCH(_xlpm.lastName,Evictions_RSI!$B$3:$B$200))*(Evictions_RSI!$B$3:$B$200&lt;&gt;""),_xlpm.hasRSI,SUMPRODUCT(_xlpm.rsiMatches)&gt;0,_xlpm.rsiStatus,IF(_xlpm.hasRSI,_xlfn.LET(_xlpm.dates,IF(_xlpm.rsiMatches,IFERROR(DATEVALUE(SUBSTITUTE(Evictions_RSI!$A$3:$A$200,_xlfn.UNICHAR(8204),"")),0),0),_xlpm.latestRow,MATCH(MAX(_xlpm.dates),_xlpm.dates,0),TRIM(SUBSTITUTE(INDEX(Evictions_RSI!$I$3:$I$200,_xlpm.latestRow),_xlfn.UNICHAR(8204),""))),""),IF(AND(_xlpm.llStatus="",_xlpm.rsiStatus=""),"",IF(_xlpm.llStatus="","RSI: "&amp;_xlpm.rsiStatus,IF(_xlpm.rsiStatus="","LL: "&amp;_xlpm.llStatus,"LL: "&amp;_xlpm.llStatus&amp;" | RSI: "&amp;_xlpm.rsiStatus)))),""))</f>
        <v>LL: Open -  | RSI: Rent Suit Concluded (Notes)</v>
      </c>
      <c r="L19" s="1002"/>
      <c r="N19" s="983" t="s">
        <v>2485</v>
      </c>
      <c r="Q19" s="973"/>
      <c r="R19" s="973"/>
      <c r="S19" s="973"/>
      <c r="T19" s="973"/>
      <c r="U19" s="973"/>
      <c r="V19" s="973"/>
      <c r="W19" s="973"/>
      <c r="X19" s="973"/>
      <c r="Y19" s="973"/>
      <c r="Z19" s="973"/>
    </row>
    <row r="20" spans="1:26" ht="12" customHeight="1">
      <c r="A20" s="996" cm="1">
        <f t="array" ref="A20">IFERROR(_xlfn.LET(_xlpm.n,ROW()-16,_xlpm.adj,IF((((ISNUMBER(SEARCH("Eviction",'resident aged receivable'!$E$2:$E$460)))+(ISNUMBER(SEARCH("Past",'resident aged receivable'!$E$2:$E$460)))+(ISNUMBER(SEARCH("Skip",'resident aged receivable'!$E$2:$E$460)))+(ISNUMBER(SEARCH("Collections",'resident aged receivable'!$E$2:$E$460)))+(COUNTIF($N$3:$N$24,'resident aged receivable'!$D$2:$D$460)&gt;0))&gt;0)*(((((LEFT('resident aged receivable'!$E$2:$E$460,7)="Current")+(LEFT('resident aged receivable'!$E$2:$E$460,6)="Notice"))=0)+(COUNTIF($N$3:$N$24,'resident aged receivable'!$D$2:$D$460)&gt;0))&gt;0)*(COUNTIF($P$3:$P$24,'resident aged receivable'!$D$2:$D$460)=0)*('resident aged receivable'!$I$2:$I$460&gt;0),'resident aged receivable'!$I$2:$I$460-ROW('resident aged receivable'!$I$2:$I$460)/1000000),_xlpm.tgt,LARGE(_xlpm.adj,_xlpm.n),MATCH(_xlpm.tgt,_xlpm.adj,0)+1),"")</f>
        <v>58</v>
      </c>
      <c r="B20" s="997" t="str" cm="1">
        <f t="array" ref="B20">IF($A20="","",INDEX('resident aged receivable'!$B:$B,$A20))</f>
        <v>S26-414</v>
      </c>
      <c r="C20" s="997" t="str" cm="1">
        <f t="array" ref="C20">IF($A20="","",INDEX('resident aged receivable'!$D:$D,$A20))</f>
        <v>Cooks, Tatiana</v>
      </c>
      <c r="D20" s="998" cm="1">
        <f t="array" ref="D20">IF($A20="","",INDEX('resident aged receivable'!$F:$F,$A20))</f>
        <v>45890</v>
      </c>
      <c r="E20" s="998" cm="1">
        <f t="array" ref="E20">IF($A20="","",_xlfn.LET(_xlpm.leaseEnd,INDEX('resident aged receivable'!$H:$H,$A20),_xlpm.moLookup,IFERROR(_xlfn.LET(_xlpm.lastFirst,C20,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46254</v>
      </c>
      <c r="F20" s="999" t="str">
        <f t="shared" si="0"/>
        <v>IPS</v>
      </c>
      <c r="G20" s="1000" t="str" cm="1">
        <f t="array" ref="G20">IF($A20="","",IF(COUNTIF($N$3:$N$24,C20)&gt;0,"Former",_xlfn.LET(_xlpm.s,INDEX('resident aged receivable'!$E:$E,$A20),IF(ISNUMBER(SEARCH("Eviction",_xlpm.s)),"Eviction",IF(ISNUMBER(SEARCH("Skip",_xlpm.s)),"Skip",IF(ISNUMBER(SEARCH("Past",_xlpm.s))+ISNUMBER(SEARCH("Collections",_xlpm.s)),"Former",_xlpm.s))))))</f>
        <v>Former</v>
      </c>
      <c r="H20" s="1001" cm="1">
        <f t="array" ref="H20">IF($A20="","",INDEX('resident aged receivable'!$I:$I,$A20))</f>
        <v>19396.38</v>
      </c>
      <c r="I20" s="1001" cm="1">
        <f t="array" ref="I20">IF($A20="","",INDEX('resident aged receivable'!$J:$J,$A20))</f>
        <v>0</v>
      </c>
      <c r="J20" s="1001" cm="1">
        <f t="array" ref="J20">IF($A20="","",INDEX('resident aged receivable'!$K:$K,$A20))</f>
        <v>0</v>
      </c>
      <c r="K20" s="1020" t="str" cm="1">
        <f t="array" ref="K20">IF($C20="","",IFERROR(_xlfn.LET(_xlpm.unit,B20,_xlpm.resident,C20,_xlpm.lastName,IFERROR(LEFT(_xlpm.resident,FIND(",",_xlpm.resident)-1),_xlpm.resident),_xlpm.llMatch,(LeaseLock!$D$2:$D$500=_xlpm.unit)*ISNUMBER(SEARCH(_xlpm.lastName,LeaseLock!$C$2:$C$500)),_xlpm.hasLL,SUMPRODUCT(_xlpm.llMatch)&gt;0,_xlpm.llStatus,IF(_xlpm.hasLL,_xlfn.LET(_xlpm.stat,LOOKUP(2,1/_xlpm.llMatch,LeaseLock!$F$2:$F$500),_xlpm.sub,LOOKUP(2,1/_xlpm.llMatch,LeaseLock!$G$2:$G$500),_xlpm.paid,LOOKUP(2,1/_xlpm.llMatch,LeaseLock!$M$2:$M$500),IF(_xlpm.stat="Claim Denied","Claim Denied ("&amp;_xlpm.sub&amp;")",IF(_xlpm.stat="Open","Open - "&amp;_xlpm.sub,IF(_xlpm.paid&gt;0,_xlpm.stat&amp;" - $"&amp;TEXT(_xlpm.paid,"#,##0.00")&amp;" paid",_xlpm.stat&amp;" - no payment")))),""),_xlpm.rsiMatches,ISNUMBER(SEARCH(_xlpm.lastName,Evictions_RSI!$B$3:$B$200))*(Evictions_RSI!$B$3:$B$200&lt;&gt;""),_xlpm.hasRSI,SUMPRODUCT(_xlpm.rsiMatches)&gt;0,_xlpm.rsiStatus,IF(_xlpm.hasRSI,_xlfn.LET(_xlpm.dates,IF(_xlpm.rsiMatches,IFERROR(DATEVALUE(SUBSTITUTE(Evictions_RSI!$A$3:$A$200,_xlfn.UNICHAR(8204),"")),0),0),_xlpm.latestRow,MATCH(MAX(_xlpm.dates),_xlpm.dates,0),TRIM(SUBSTITUTE(INDEX(Evictions_RSI!$I$3:$I$200,_xlpm.latestRow),_xlfn.UNICHAR(8204),""))),""),IF(AND(_xlpm.llStatus="",_xlpm.rsiStatus=""),"",IF(_xlpm.llStatus="","RSI: "&amp;_xlpm.rsiStatus,IF(_xlpm.rsiStatus="","LL: "&amp;_xlpm.llStatus,"LL: "&amp;_xlpm.llStatus&amp;" | RSI: "&amp;_xlpm.rsiStatus)))),""))</f>
        <v>LL: Claim Denied () | RSI: Dismissed (Notes)</v>
      </c>
      <c r="L20" s="1002"/>
      <c r="N20" s="983" t="s">
        <v>2622</v>
      </c>
      <c r="Q20" s="973"/>
      <c r="R20" s="973"/>
      <c r="S20" s="973"/>
      <c r="T20" s="973"/>
      <c r="U20" s="973"/>
      <c r="V20" s="973"/>
      <c r="W20" s="973"/>
      <c r="X20" s="973"/>
      <c r="Y20" s="973"/>
      <c r="Z20" s="973"/>
    </row>
    <row r="21" spans="1:26" ht="12" customHeight="1">
      <c r="A21" s="996" cm="1">
        <f t="array" ref="A21">IFERROR(_xlfn.LET(_xlpm.n,ROW()-16,_xlpm.adj,IF((((ISNUMBER(SEARCH("Eviction",'resident aged receivable'!$E$2:$E$460)))+(ISNUMBER(SEARCH("Past",'resident aged receivable'!$E$2:$E$460)))+(ISNUMBER(SEARCH("Skip",'resident aged receivable'!$E$2:$E$460)))+(ISNUMBER(SEARCH("Collections",'resident aged receivable'!$E$2:$E$460)))+(COUNTIF($N$3:$N$24,'resident aged receivable'!$D$2:$D$460)&gt;0))&gt;0)*(((((LEFT('resident aged receivable'!$E$2:$E$460,7)="Current")+(LEFT('resident aged receivable'!$E$2:$E$460,6)="Notice"))=0)+(COUNTIF($N$3:$N$24,'resident aged receivable'!$D$2:$D$460)&gt;0))&gt;0)*(COUNTIF($P$3:$P$24,'resident aged receivable'!$D$2:$D$460)=0)*('resident aged receivable'!$I$2:$I$460&gt;0),'resident aged receivable'!$I$2:$I$460-ROW('resident aged receivable'!$I$2:$I$460)/1000000),_xlpm.tgt,LARGE(_xlpm.adj,_xlpm.n),MATCH(_xlpm.tgt,_xlpm.adj,0)+1),"")</f>
        <v>15</v>
      </c>
      <c r="B21" s="997" t="str" cm="1">
        <f t="array" ref="B21">IF($A21="","",INDEX('resident aged receivable'!$B:$B,$A21))</f>
        <v>N09-1037</v>
      </c>
      <c r="C21" s="997" t="str" cm="1">
        <f t="array" ref="C21">IF($A21="","",INDEX('resident aged receivable'!$D:$D,$A21))</f>
        <v>Flores, Estanislao</v>
      </c>
      <c r="D21" s="998" cm="1">
        <f t="array" ref="D21">IF($A21="","",INDEX('resident aged receivable'!$F:$F,$A21))</f>
        <v>45646</v>
      </c>
      <c r="E21" s="998" cm="1">
        <f t="array" ref="E21">IF($A21="","",_xlfn.LET(_xlpm.leaseEnd,INDEX('resident aged receivable'!$H:$H,$A21),_xlpm.moLookup,IFERROR(_xlfn.LET(_xlpm.lastFirst,C21,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46204</v>
      </c>
      <c r="F21" s="999" t="str">
        <f t="shared" si="0"/>
        <v>IPS</v>
      </c>
      <c r="G21" s="1000" t="str" cm="1">
        <f t="array" ref="G21">IF($A21="","",IF(COUNTIF($N$3:$N$24,C21)&gt;0,"Former",_xlfn.LET(_xlpm.s,INDEX('resident aged receivable'!$E:$E,$A21),IF(ISNUMBER(SEARCH("Eviction",_xlpm.s)),"Eviction",IF(ISNUMBER(SEARCH("Skip",_xlpm.s)),"Skip",IF(ISNUMBER(SEARCH("Past",_xlpm.s))+ISNUMBER(SEARCH("Collections",_xlpm.s)),"Former",_xlpm.s))))))</f>
        <v>Eviction</v>
      </c>
      <c r="H21" s="1001" cm="1">
        <f t="array" ref="H21">IF($A21="","",INDEX('resident aged receivable'!$I:$I,$A21))</f>
        <v>17611.689999999999</v>
      </c>
      <c r="I21" s="1001" cm="1">
        <f t="array" ref="I21">IF($A21="","",INDEX('resident aged receivable'!$J:$J,$A21))</f>
        <v>0</v>
      </c>
      <c r="J21" s="1001" cm="1">
        <f t="array" ref="J21">IF($A21="","",INDEX('resident aged receivable'!$K:$K,$A21))</f>
        <v>2888.78</v>
      </c>
      <c r="K21" s="1020" t="str" cm="1">
        <f t="array" ref="K21">IF($C21="","",IFERROR(_xlfn.LET(_xlpm.unit,B21,_xlpm.resident,C21,_xlpm.lastName,IFERROR(LEFT(_xlpm.resident,FIND(",",_xlpm.resident)-1),_xlpm.resident),_xlpm.llMatch,(LeaseLock!$D$2:$D$500=_xlpm.unit)*ISNUMBER(SEARCH(_xlpm.lastName,LeaseLock!$C$2:$C$500)),_xlpm.hasLL,SUMPRODUCT(_xlpm.llMatch)&gt;0,_xlpm.llStatus,IF(_xlpm.hasLL,_xlfn.LET(_xlpm.stat,LOOKUP(2,1/_xlpm.llMatch,LeaseLock!$F$2:$F$500),_xlpm.sub,LOOKUP(2,1/_xlpm.llMatch,LeaseLock!$G$2:$G$500),_xlpm.paid,LOOKUP(2,1/_xlpm.llMatch,LeaseLock!$M$2:$M$500),IF(_xlpm.stat="Claim Denied","Claim Denied ("&amp;_xlpm.sub&amp;")",IF(_xlpm.stat="Open","Open - "&amp;_xlpm.sub,IF(_xlpm.paid&gt;0,_xlpm.stat&amp;" - $"&amp;TEXT(_xlpm.paid,"#,##0.00")&amp;" paid",_xlpm.stat&amp;" - no payment")))),""),_xlpm.rsiMatches,ISNUMBER(SEARCH(_xlpm.lastName,Evictions_RSI!$B$3:$B$200))*(Evictions_RSI!$B$3:$B$200&lt;&gt;""),_xlpm.hasRSI,SUMPRODUCT(_xlpm.rsiMatches)&gt;0,_xlpm.rsiStatus,IF(_xlpm.hasRSI,_xlfn.LET(_xlpm.dates,IF(_xlpm.rsiMatches,IFERROR(DATEVALUE(SUBSTITUTE(Evictions_RSI!$A$3:$A$200,_xlfn.UNICHAR(8204),"")),0),0),_xlpm.latestRow,MATCH(MAX(_xlpm.dates),_xlpm.dates,0),TRIM(SUBSTITUTE(INDEX(Evictions_RSI!$I$3:$I$200,_xlpm.latestRow),_xlfn.UNICHAR(8204),""))),""),IF(AND(_xlpm.llStatus="",_xlpm.rsiStatus=""),"",IF(_xlpm.llStatus="","RSI: "&amp;_xlpm.rsiStatus,IF(_xlpm.rsiStatus="","LL: "&amp;_xlpm.llStatus,"LL: "&amp;_xlpm.llStatus&amp;" | RSI: "&amp;_xlpm.rsiStatus)))),""))</f>
        <v>RSI: COC - JOA Pending (Notes)</v>
      </c>
      <c r="L21" s="1002"/>
      <c r="N21" s="983" t="s">
        <v>2665</v>
      </c>
      <c r="Q21" s="973"/>
      <c r="R21" s="973"/>
      <c r="S21" s="973"/>
      <c r="T21" s="973"/>
      <c r="U21" s="973"/>
      <c r="V21" s="973"/>
      <c r="W21" s="973"/>
      <c r="X21" s="973"/>
      <c r="Y21" s="973"/>
      <c r="Z21" s="973"/>
    </row>
    <row r="22" spans="1:26" ht="12" customHeight="1">
      <c r="A22" s="996" cm="1">
        <f t="array" ref="A22">IFERROR(_xlfn.LET(_xlpm.n,ROW()-16,_xlpm.adj,IF((((ISNUMBER(SEARCH("Eviction",'resident aged receivable'!$E$2:$E$460)))+(ISNUMBER(SEARCH("Past",'resident aged receivable'!$E$2:$E$460)))+(ISNUMBER(SEARCH("Skip",'resident aged receivable'!$E$2:$E$460)))+(ISNUMBER(SEARCH("Collections",'resident aged receivable'!$E$2:$E$460)))+(COUNTIF($N$3:$N$24,'resident aged receivable'!$D$2:$D$460)&gt;0))&gt;0)*(((((LEFT('resident aged receivable'!$E$2:$E$460,7)="Current")+(LEFT('resident aged receivable'!$E$2:$E$460,6)="Notice"))=0)+(COUNTIF($N$3:$N$24,'resident aged receivable'!$D$2:$D$460)&gt;0))&gt;0)*(COUNTIF($P$3:$P$24,'resident aged receivable'!$D$2:$D$460)=0)*('resident aged receivable'!$I$2:$I$460&gt;0),'resident aged receivable'!$I$2:$I$460-ROW('resident aged receivable'!$I$2:$I$460)/1000000),_xlpm.tgt,LARGE(_xlpm.adj,_xlpm.n),MATCH(_xlpm.tgt,_xlpm.adj,0)+1),"")</f>
        <v>152</v>
      </c>
      <c r="B22" s="997" t="str" cm="1">
        <f t="array" ref="B22">IF($A22="","",INDEX('resident aged receivable'!$B:$B,$A22))</f>
        <v>W17-2-1074</v>
      </c>
      <c r="C22" s="997" t="str" cm="1">
        <f t="array" ref="C22">IF($A22="","",INDEX('resident aged receivable'!$D:$D,$A22))</f>
        <v>Harris, Dynisha</v>
      </c>
      <c r="D22" s="998" cm="1">
        <f t="array" ref="D22">IF($A22="","",INDEX('resident aged receivable'!$F:$F,$A22))</f>
        <v>45696</v>
      </c>
      <c r="E22" s="998" cm="1">
        <f t="array" ref="E22">IF($A22="","",_xlfn.LET(_xlpm.leaseEnd,INDEX('resident aged receivable'!$H:$H,$A22),_xlpm.moLookup,IFERROR(_xlfn.LET(_xlpm.lastFirst,C22,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46060</v>
      </c>
      <c r="F22" s="999" t="str">
        <f t="shared" si="0"/>
        <v>IPS</v>
      </c>
      <c r="G22" s="1000" t="str" cm="1">
        <f t="array" ref="G22">IF($A22="","",IF(COUNTIF($N$3:$N$24,C22)&gt;0,"Former",_xlfn.LET(_xlpm.s,INDEX('resident aged receivable'!$E:$E,$A22),IF(ISNUMBER(SEARCH("Eviction",_xlpm.s)),"Eviction",IF(ISNUMBER(SEARCH("Skip",_xlpm.s)),"Skip",IF(ISNUMBER(SEARCH("Past",_xlpm.s))+ISNUMBER(SEARCH("Collections",_xlpm.s)),"Former",_xlpm.s))))))</f>
        <v>Eviction</v>
      </c>
      <c r="H22" s="1001" cm="1">
        <f t="array" ref="H22">IF($A22="","",INDEX('resident aged receivable'!$I:$I,$A22))</f>
        <v>16185.1</v>
      </c>
      <c r="I22" s="1001" cm="1">
        <f t="array" ref="I22">IF($A22="","",INDEX('resident aged receivable'!$J:$J,$A22))</f>
        <v>0</v>
      </c>
      <c r="J22" s="1001" cm="1">
        <f t="array" ref="J22">IF($A22="","",INDEX('resident aged receivable'!$K:$K,$A22))</f>
        <v>0</v>
      </c>
      <c r="K22" s="1020" t="str" cm="1">
        <f t="array" ref="K22">IF($C22="","",IFERROR(_xlfn.LET(_xlpm.unit,B22,_xlpm.resident,C22,_xlpm.lastName,IFERROR(LEFT(_xlpm.resident,FIND(",",_xlpm.resident)-1),_xlpm.resident),_xlpm.llMatch,(LeaseLock!$D$2:$D$500=_xlpm.unit)*ISNUMBER(SEARCH(_xlpm.lastName,LeaseLock!$C$2:$C$500)),_xlpm.hasLL,SUMPRODUCT(_xlpm.llMatch)&gt;0,_xlpm.llStatus,IF(_xlpm.hasLL,_xlfn.LET(_xlpm.stat,LOOKUP(2,1/_xlpm.llMatch,LeaseLock!$F$2:$F$500),_xlpm.sub,LOOKUP(2,1/_xlpm.llMatch,LeaseLock!$G$2:$G$500),_xlpm.paid,LOOKUP(2,1/_xlpm.llMatch,LeaseLock!$M$2:$M$500),IF(_xlpm.stat="Claim Denied","Claim Denied ("&amp;_xlpm.sub&amp;")",IF(_xlpm.stat="Open","Open - "&amp;_xlpm.sub,IF(_xlpm.paid&gt;0,_xlpm.stat&amp;" - $"&amp;TEXT(_xlpm.paid,"#,##0.00")&amp;" paid",_xlpm.stat&amp;" - no payment")))),""),_xlpm.rsiMatches,ISNUMBER(SEARCH(_xlpm.lastName,Evictions_RSI!$B$3:$B$200))*(Evictions_RSI!$B$3:$B$200&lt;&gt;""),_xlpm.hasRSI,SUMPRODUCT(_xlpm.rsiMatches)&gt;0,_xlpm.rsiStatus,IF(_xlpm.hasRSI,_xlfn.LET(_xlpm.dates,IF(_xlpm.rsiMatches,IFERROR(DATEVALUE(SUBSTITUTE(Evictions_RSI!$A$3:$A$200,_xlfn.UNICHAR(8204),"")),0),0),_xlpm.latestRow,MATCH(MAX(_xlpm.dates),_xlpm.dates,0),TRIM(SUBSTITUTE(INDEX(Evictions_RSI!$I$3:$I$200,_xlpm.latestRow),_xlfn.UNICHAR(8204),""))),""),IF(AND(_xlpm.llStatus="",_xlpm.rsiStatus=""),"",IF(_xlpm.llStatus="","RSI: "&amp;_xlpm.rsiStatus,IF(_xlpm.rsiStatus="","LL: "&amp;_xlpm.llStatus,"LL: "&amp;_xlpm.llStatus&amp;" | RSI: "&amp;_xlpm.rsiStatus)))),""))</f>
        <v>LL: Claim Denied () | RSI: COC - JOA Pending (Notes)</v>
      </c>
      <c r="L22" s="1002"/>
      <c r="N22" s="983" t="s">
        <v>2709</v>
      </c>
      <c r="Q22" s="973"/>
      <c r="R22" s="973"/>
      <c r="S22" s="973"/>
      <c r="T22" s="973"/>
      <c r="U22" s="973"/>
      <c r="V22" s="973"/>
      <c r="W22" s="973"/>
      <c r="X22" s="973"/>
      <c r="Y22" s="973"/>
      <c r="Z22" s="973"/>
    </row>
    <row r="23" spans="1:26" ht="12" customHeight="1">
      <c r="A23" s="996" cm="1">
        <f t="array" ref="A23">IFERROR(_xlfn.LET(_xlpm.n,ROW()-16,_xlpm.adj,IF((((ISNUMBER(SEARCH("Eviction",'resident aged receivable'!$E$2:$E$460)))+(ISNUMBER(SEARCH("Past",'resident aged receivable'!$E$2:$E$460)))+(ISNUMBER(SEARCH("Skip",'resident aged receivable'!$E$2:$E$460)))+(ISNUMBER(SEARCH("Collections",'resident aged receivable'!$E$2:$E$460)))+(COUNTIF($N$3:$N$24,'resident aged receivable'!$D$2:$D$460)&gt;0))&gt;0)*(((((LEFT('resident aged receivable'!$E$2:$E$460,7)="Current")+(LEFT('resident aged receivable'!$E$2:$E$460,6)="Notice"))=0)+(COUNTIF($N$3:$N$24,'resident aged receivable'!$D$2:$D$460)&gt;0))&gt;0)*(COUNTIF($P$3:$P$24,'resident aged receivable'!$D$2:$D$460)=0)*('resident aged receivable'!$I$2:$I$460&gt;0),'resident aged receivable'!$I$2:$I$460-ROW('resident aged receivable'!$I$2:$I$460)/1000000),_xlpm.tgt,LARGE(_xlpm.adj,_xlpm.n),MATCH(_xlpm.tgt,_xlpm.adj,0)+1),"")</f>
        <v>108</v>
      </c>
      <c r="B23" s="997" t="str" cm="1">
        <f t="array" ref="B23">IF($A23="","",INDEX('resident aged receivable'!$B:$B,$A23))</f>
        <v>W05-1-0516</v>
      </c>
      <c r="C23" s="997" t="str" cm="1">
        <f t="array" ref="C23">IF($A23="","",INDEX('resident aged receivable'!$D:$D,$A23))</f>
        <v>Sparks, Dija</v>
      </c>
      <c r="D23" s="998" cm="1">
        <f t="array" ref="D23">IF($A23="","",INDEX('resident aged receivable'!$F:$F,$A23))</f>
        <v>45521</v>
      </c>
      <c r="E23" s="998" cm="1">
        <f t="array" ref="E23">IF($A23="","",_xlfn.LET(_xlpm.leaseEnd,INDEX('resident aged receivable'!$H:$H,$A23),_xlpm.moLookup,IFERROR(_xlfn.LET(_xlpm.lastFirst,C23,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46311</v>
      </c>
      <c r="F23" s="999" t="str">
        <f t="shared" si="0"/>
        <v>IPS</v>
      </c>
      <c r="G23" s="1000" t="str" cm="1">
        <f t="array" ref="G23">IF($A23="","",IF(COUNTIF($N$3:$N$24,C23)&gt;0,"Former",_xlfn.LET(_xlpm.s,INDEX('resident aged receivable'!$E:$E,$A23),IF(ISNUMBER(SEARCH("Eviction",_xlpm.s)),"Eviction",IF(ISNUMBER(SEARCH("Skip",_xlpm.s)),"Skip",IF(ISNUMBER(SEARCH("Past",_xlpm.s))+ISNUMBER(SEARCH("Collections",_xlpm.s)),"Former",_xlpm.s))))))</f>
        <v>Eviction</v>
      </c>
      <c r="H23" s="1001" cm="1">
        <f t="array" ref="H23">IF($A23="","",INDEX('resident aged receivable'!$I:$I,$A23))</f>
        <v>16067.66</v>
      </c>
      <c r="I23" s="1001" cm="1">
        <f t="array" ref="I23">IF($A23="","",INDEX('resident aged receivable'!$J:$J,$A23))</f>
        <v>0</v>
      </c>
      <c r="J23" s="1001" cm="1">
        <f t="array" ref="J23">IF($A23="","",INDEX('resident aged receivable'!$K:$K,$A23))</f>
        <v>4384.6899999999996</v>
      </c>
      <c r="K23" s="1020" t="str" cm="1">
        <f t="array" ref="K23">IF($C23="","",IFERROR(_xlfn.LET(_xlpm.unit,B23,_xlpm.resident,C23,_xlpm.lastName,IFERROR(LEFT(_xlpm.resident,FIND(",",_xlpm.resident)-1),_xlpm.resident),_xlpm.llMatch,(LeaseLock!$D$2:$D$500=_xlpm.unit)*ISNUMBER(SEARCH(_xlpm.lastName,LeaseLock!$C$2:$C$500)),_xlpm.hasLL,SUMPRODUCT(_xlpm.llMatch)&gt;0,_xlpm.llStatus,IF(_xlpm.hasLL,_xlfn.LET(_xlpm.stat,LOOKUP(2,1/_xlpm.llMatch,LeaseLock!$F$2:$F$500),_xlpm.sub,LOOKUP(2,1/_xlpm.llMatch,LeaseLock!$G$2:$G$500),_xlpm.paid,LOOKUP(2,1/_xlpm.llMatch,LeaseLock!$M$2:$M$500),IF(_xlpm.stat="Claim Denied","Claim Denied ("&amp;_xlpm.sub&amp;")",IF(_xlpm.stat="Open","Open - "&amp;_xlpm.sub,IF(_xlpm.paid&gt;0,_xlpm.stat&amp;" - $"&amp;TEXT(_xlpm.paid,"#,##0.00")&amp;" paid",_xlpm.stat&amp;" - no payment")))),""),_xlpm.rsiMatches,ISNUMBER(SEARCH(_xlpm.lastName,Evictions_RSI!$B$3:$B$200))*(Evictions_RSI!$B$3:$B$200&lt;&gt;""),_xlpm.hasRSI,SUMPRODUCT(_xlpm.rsiMatches)&gt;0,_xlpm.rsiStatus,IF(_xlpm.hasRSI,_xlfn.LET(_xlpm.dates,IF(_xlpm.rsiMatches,IFERROR(DATEVALUE(SUBSTITUTE(Evictions_RSI!$A$3:$A$200,_xlfn.UNICHAR(8204),"")),0),0),_xlpm.latestRow,MATCH(MAX(_xlpm.dates),_xlpm.dates,0),TRIM(SUBSTITUTE(INDEX(Evictions_RSI!$I$3:$I$200,_xlpm.latestRow),_xlfn.UNICHAR(8204),""))),""),IF(AND(_xlpm.llStatus="",_xlpm.rsiStatus=""),"",IF(_xlpm.llStatus="","RSI: "&amp;_xlpm.rsiStatus,IF(_xlpm.rsiStatus="","LL: "&amp;_xlpm.llStatus,"LL: "&amp;_xlpm.llStatus&amp;" | RSI: "&amp;_xlpm.rsiStatus)))),""))</f>
        <v>RSI: LC Handling Appeal (Notes)</v>
      </c>
      <c r="L23" s="1002"/>
      <c r="N23" s="983"/>
      <c r="Q23" s="973"/>
      <c r="R23" s="973"/>
      <c r="S23" s="973"/>
      <c r="T23" s="973"/>
      <c r="U23" s="973"/>
      <c r="V23" s="973"/>
      <c r="W23" s="973"/>
      <c r="X23" s="973"/>
      <c r="Y23" s="973"/>
      <c r="Z23" s="973"/>
    </row>
    <row r="24" spans="1:26" ht="12" customHeight="1">
      <c r="A24" s="996" cm="1">
        <f t="array" ref="A24">IFERROR(_xlfn.LET(_xlpm.n,ROW()-16,_xlpm.adj,IF((((ISNUMBER(SEARCH("Eviction",'resident aged receivable'!$E$2:$E$460)))+(ISNUMBER(SEARCH("Past",'resident aged receivable'!$E$2:$E$460)))+(ISNUMBER(SEARCH("Skip",'resident aged receivable'!$E$2:$E$460)))+(ISNUMBER(SEARCH("Collections",'resident aged receivable'!$E$2:$E$460)))+(COUNTIF($N$3:$N$24,'resident aged receivable'!$D$2:$D$460)&gt;0))&gt;0)*(((((LEFT('resident aged receivable'!$E$2:$E$460,7)="Current")+(LEFT('resident aged receivable'!$E$2:$E$460,6)="Notice"))=0)+(COUNTIF($N$3:$N$24,'resident aged receivable'!$D$2:$D$460)&gt;0))&gt;0)*(COUNTIF($P$3:$P$24,'resident aged receivable'!$D$2:$D$460)=0)*('resident aged receivable'!$I$2:$I$460&gt;0),'resident aged receivable'!$I$2:$I$460-ROW('resident aged receivable'!$I$2:$I$460)/1000000),_xlpm.tgt,LARGE(_xlpm.adj,_xlpm.n),MATCH(_xlpm.tgt,_xlpm.adj,0)+1),"")</f>
        <v>126</v>
      </c>
      <c r="B24" s="997" t="str" cm="1">
        <f t="array" ref="B24">IF($A24="","",INDEX('resident aged receivable'!$B:$B,$A24))</f>
        <v>W11-1-1105</v>
      </c>
      <c r="C24" s="997" t="str" cm="1">
        <f t="array" ref="C24">IF($A24="","",INDEX('resident aged receivable'!$D:$D,$A24))</f>
        <v>Hishaw, Ilona</v>
      </c>
      <c r="D24" s="998" cm="1">
        <f t="array" ref="D24">IF($A24="","",INDEX('resident aged receivable'!$F:$F,$A24))</f>
        <v>45765</v>
      </c>
      <c r="E24" s="998" cm="1">
        <f t="array" ref="E24">IF($A24="","",_xlfn.LET(_xlpm.leaseEnd,INDEX('resident aged receivable'!$H:$H,$A24),_xlpm.moLookup,IFERROR(_xlfn.LET(_xlpm.lastFirst,C24,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46170</v>
      </c>
      <c r="F24" s="999" t="str">
        <f t="shared" si="0"/>
        <v>IPS</v>
      </c>
      <c r="G24" s="1000" t="str" cm="1">
        <f t="array" ref="G24">IF($A24="","",IF(COUNTIF($N$3:$N$24,C24)&gt;0,"Former",_xlfn.LET(_xlpm.s,INDEX('resident aged receivable'!$E:$E,$A24),IF(ISNUMBER(SEARCH("Eviction",_xlpm.s)),"Eviction",IF(ISNUMBER(SEARCH("Skip",_xlpm.s)),"Skip",IF(ISNUMBER(SEARCH("Past",_xlpm.s))+ISNUMBER(SEARCH("Collections",_xlpm.s)),"Former",_xlpm.s))))))</f>
        <v>Eviction</v>
      </c>
      <c r="H24" s="1001" cm="1">
        <f t="array" ref="H24">IF($A24="","",INDEX('resident aged receivable'!$I:$I,$A24))</f>
        <v>15427.4</v>
      </c>
      <c r="I24" s="1001" cm="1">
        <f t="array" ref="I24">IF($A24="","",INDEX('resident aged receivable'!$J:$J,$A24))</f>
        <v>0</v>
      </c>
      <c r="J24" s="1001" cm="1">
        <f t="array" ref="J24">IF($A24="","",INDEX('resident aged receivable'!$K:$K,$A24))</f>
        <v>0</v>
      </c>
      <c r="K24" s="1020" t="str" cm="1">
        <f t="array" ref="K24">IF($C24="","",IFERROR(_xlfn.LET(_xlpm.unit,B24,_xlpm.resident,C24,_xlpm.lastName,IFERROR(LEFT(_xlpm.resident,FIND(",",_xlpm.resident)-1),_xlpm.resident),_xlpm.llMatch,(LeaseLock!$D$2:$D$500=_xlpm.unit)*ISNUMBER(SEARCH(_xlpm.lastName,LeaseLock!$C$2:$C$500)),_xlpm.hasLL,SUMPRODUCT(_xlpm.llMatch)&gt;0,_xlpm.llStatus,IF(_xlpm.hasLL,_xlfn.LET(_xlpm.stat,LOOKUP(2,1/_xlpm.llMatch,LeaseLock!$F$2:$F$500),_xlpm.sub,LOOKUP(2,1/_xlpm.llMatch,LeaseLock!$G$2:$G$500),_xlpm.paid,LOOKUP(2,1/_xlpm.llMatch,LeaseLock!$M$2:$M$500),IF(_xlpm.stat="Claim Denied","Claim Denied ("&amp;_xlpm.sub&amp;")",IF(_xlpm.stat="Open","Open - "&amp;_xlpm.sub,IF(_xlpm.paid&gt;0,_xlpm.stat&amp;" - $"&amp;TEXT(_xlpm.paid,"#,##0.00")&amp;" paid",_xlpm.stat&amp;" - no payment")))),""),_xlpm.rsiMatches,ISNUMBER(SEARCH(_xlpm.lastName,Evictions_RSI!$B$3:$B$200))*(Evictions_RSI!$B$3:$B$200&lt;&gt;""),_xlpm.hasRSI,SUMPRODUCT(_xlpm.rsiMatches)&gt;0,_xlpm.rsiStatus,IF(_xlpm.hasRSI,_xlfn.LET(_xlpm.dates,IF(_xlpm.rsiMatches,IFERROR(DATEVALUE(SUBSTITUTE(Evictions_RSI!$A$3:$A$200,_xlfn.UNICHAR(8204),"")),0),0),_xlpm.latestRow,MATCH(MAX(_xlpm.dates),_xlpm.dates,0),TRIM(SUBSTITUTE(INDEX(Evictions_RSI!$I$3:$I$200,_xlpm.latestRow),_xlfn.UNICHAR(8204),""))),""),IF(AND(_xlpm.llStatus="",_xlpm.rsiStatus=""),"",IF(_xlpm.llStatus="","RSI: "&amp;_xlpm.rsiStatus,IF(_xlpm.rsiStatus="","LL: "&amp;_xlpm.llStatus,"LL: "&amp;_xlpm.llStatus&amp;" | RSI: "&amp;_xlpm.rsiStatus)))),""))</f>
        <v>LL: Open - Pending Documentation</v>
      </c>
      <c r="L24" s="1002"/>
      <c r="N24" s="983"/>
      <c r="Q24" s="973"/>
      <c r="R24" s="973"/>
      <c r="S24" s="973"/>
      <c r="T24" s="973"/>
      <c r="U24" s="973"/>
      <c r="V24" s="973"/>
      <c r="W24" s="973"/>
      <c r="X24" s="973"/>
      <c r="Y24" s="973"/>
      <c r="Z24" s="973"/>
    </row>
    <row r="25" spans="1:26" ht="12" customHeight="1">
      <c r="A25" s="996" cm="1">
        <f t="array" ref="A25">IFERROR(_xlfn.LET(_xlpm.n,ROW()-16,_xlpm.adj,IF((((ISNUMBER(SEARCH("Eviction",'resident aged receivable'!$E$2:$E$460)))+(ISNUMBER(SEARCH("Past",'resident aged receivable'!$E$2:$E$460)))+(ISNUMBER(SEARCH("Skip",'resident aged receivable'!$E$2:$E$460)))+(ISNUMBER(SEARCH("Collections",'resident aged receivable'!$E$2:$E$460)))+(COUNTIF($N$3:$N$24,'resident aged receivable'!$D$2:$D$460)&gt;0))&gt;0)*(((((LEFT('resident aged receivable'!$E$2:$E$460,7)="Current")+(LEFT('resident aged receivable'!$E$2:$E$460,6)="Notice"))=0)+(COUNTIF($N$3:$N$24,'resident aged receivable'!$D$2:$D$460)&gt;0))&gt;0)*(COUNTIF($P$3:$P$24,'resident aged receivable'!$D$2:$D$460)=0)*('resident aged receivable'!$I$2:$I$460&gt;0),'resident aged receivable'!$I$2:$I$460-ROW('resident aged receivable'!$I$2:$I$460)/1000000),_xlpm.tgt,LARGE(_xlpm.adj,_xlpm.n),MATCH(_xlpm.tgt,_xlpm.adj,0)+1),"")</f>
        <v>141</v>
      </c>
      <c r="B25" s="997" t="str" cm="1">
        <f t="array" ref="B25">IF($A25="","",INDEX('resident aged receivable'!$B:$B,$A25))</f>
        <v>W14-1-1416</v>
      </c>
      <c r="C25" s="997" t="str" cm="1">
        <f t="array" ref="C25">IF($A25="","",INDEX('resident aged receivable'!$D:$D,$A25))</f>
        <v>Allen, Quentin</v>
      </c>
      <c r="D25" s="998" cm="1">
        <f t="array" ref="D25">IF($A25="","",INDEX('resident aged receivable'!$F:$F,$A25))</f>
        <v>45807</v>
      </c>
      <c r="E25" s="998" cm="1">
        <f t="array" ref="E25">IF($A25="","",_xlfn.LET(_xlpm.leaseEnd,INDEX('resident aged receivable'!$H:$H,$A25),_xlpm.moLookup,IFERROR(_xlfn.LET(_xlpm.lastFirst,C25,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46171</v>
      </c>
      <c r="F25" s="999" t="str">
        <f t="shared" si="0"/>
        <v>IPS</v>
      </c>
      <c r="G25" s="1000" t="str" cm="1">
        <f t="array" ref="G25">IF($A25="","",IF(COUNTIF($N$3:$N$24,C25)&gt;0,"Former",_xlfn.LET(_xlpm.s,INDEX('resident aged receivable'!$E:$E,$A25),IF(ISNUMBER(SEARCH("Eviction",_xlpm.s)),"Eviction",IF(ISNUMBER(SEARCH("Skip",_xlpm.s)),"Skip",IF(ISNUMBER(SEARCH("Past",_xlpm.s))+ISNUMBER(SEARCH("Collections",_xlpm.s)),"Former",_xlpm.s))))))</f>
        <v>Former</v>
      </c>
      <c r="H25" s="1001" cm="1">
        <f t="array" ref="H25">IF($A25="","",INDEX('resident aged receivable'!$I:$I,$A25))</f>
        <v>14597.27</v>
      </c>
      <c r="I25" s="1001" cm="1">
        <f t="array" ref="I25">IF($A25="","",INDEX('resident aged receivable'!$J:$J,$A25))</f>
        <v>0</v>
      </c>
      <c r="J25" s="1001" cm="1">
        <f t="array" ref="J25">IF($A25="","",INDEX('resident aged receivable'!$K:$K,$A25))</f>
        <v>0</v>
      </c>
      <c r="K25" s="1020" t="str" cm="1">
        <f t="array" ref="K25">IF($C25="","",IFERROR(_xlfn.LET(_xlpm.unit,B25,_xlpm.resident,C25,_xlpm.lastName,IFERROR(LEFT(_xlpm.resident,FIND(",",_xlpm.resident)-1),_xlpm.resident),_xlpm.llMatch,(LeaseLock!$D$2:$D$500=_xlpm.unit)*ISNUMBER(SEARCH(_xlpm.lastName,LeaseLock!$C$2:$C$500)),_xlpm.hasLL,SUMPRODUCT(_xlpm.llMatch)&gt;0,_xlpm.llStatus,IF(_xlpm.hasLL,_xlfn.LET(_xlpm.stat,LOOKUP(2,1/_xlpm.llMatch,LeaseLock!$F$2:$F$500),_xlpm.sub,LOOKUP(2,1/_xlpm.llMatch,LeaseLock!$G$2:$G$500),_xlpm.paid,LOOKUP(2,1/_xlpm.llMatch,LeaseLock!$M$2:$M$500),IF(_xlpm.stat="Claim Denied","Claim Denied ("&amp;_xlpm.sub&amp;")",IF(_xlpm.stat="Open","Open - "&amp;_xlpm.sub,IF(_xlpm.paid&gt;0,_xlpm.stat&amp;" - $"&amp;TEXT(_xlpm.paid,"#,##0.00")&amp;" paid",_xlpm.stat&amp;" - no payment")))),""),_xlpm.rsiMatches,ISNUMBER(SEARCH(_xlpm.lastName,Evictions_RSI!$B$3:$B$200))*(Evictions_RSI!$B$3:$B$200&lt;&gt;""),_xlpm.hasRSI,SUMPRODUCT(_xlpm.rsiMatches)&gt;0,_xlpm.rsiStatus,IF(_xlpm.hasRSI,_xlfn.LET(_xlpm.dates,IF(_xlpm.rsiMatches,IFERROR(DATEVALUE(SUBSTITUTE(Evictions_RSI!$A$3:$A$200,_xlfn.UNICHAR(8204),"")),0),0),_xlpm.latestRow,MATCH(MAX(_xlpm.dates),_xlpm.dates,0),TRIM(SUBSTITUTE(INDEX(Evictions_RSI!$I$3:$I$200,_xlpm.latestRow),_xlfn.UNICHAR(8204),""))),""),IF(AND(_xlpm.llStatus="",_xlpm.rsiStatus=""),"",IF(_xlpm.llStatus="","RSI: "&amp;_xlpm.rsiStatus,IF(_xlpm.rsiStatus="","LL: "&amp;_xlpm.llStatus,"LL: "&amp;_xlpm.llStatus&amp;" | RSI: "&amp;_xlpm.rsiStatus)))),""))</f>
        <v/>
      </c>
      <c r="L25" s="1002"/>
      <c r="Q25" s="973"/>
      <c r="R25" s="973"/>
      <c r="S25" s="973"/>
      <c r="T25" s="973"/>
      <c r="U25" s="973"/>
      <c r="V25" s="973"/>
      <c r="W25" s="973"/>
      <c r="X25" s="973"/>
      <c r="Y25" s="973"/>
      <c r="Z25" s="973"/>
    </row>
    <row r="26" spans="1:26" ht="12" customHeight="1">
      <c r="A26" s="996" cm="1">
        <f t="array" ref="A26">IFERROR(_xlfn.LET(_xlpm.n,ROW()-16,_xlpm.adj,IF((((ISNUMBER(SEARCH("Eviction",'resident aged receivable'!$E$2:$E$460)))+(ISNUMBER(SEARCH("Past",'resident aged receivable'!$E$2:$E$460)))+(ISNUMBER(SEARCH("Skip",'resident aged receivable'!$E$2:$E$460)))+(ISNUMBER(SEARCH("Collections",'resident aged receivable'!$E$2:$E$460)))+(COUNTIF($N$3:$N$24,'resident aged receivable'!$D$2:$D$460)&gt;0))&gt;0)*(((((LEFT('resident aged receivable'!$E$2:$E$460,7)="Current")+(LEFT('resident aged receivable'!$E$2:$E$460,6)="Notice"))=0)+(COUNTIF($N$3:$N$24,'resident aged receivable'!$D$2:$D$460)&gt;0))&gt;0)*(COUNTIF($P$3:$P$24,'resident aged receivable'!$D$2:$D$460)=0)*('resident aged receivable'!$I$2:$I$460&gt;0),'resident aged receivable'!$I$2:$I$460-ROW('resident aged receivable'!$I$2:$I$460)/1000000),_xlpm.tgt,LARGE(_xlpm.adj,_xlpm.n),MATCH(_xlpm.tgt,_xlpm.adj,0)+1),"")</f>
        <v>149</v>
      </c>
      <c r="B26" s="997" t="str" cm="1">
        <f t="array" ref="B26">IF($A26="","",INDEX('resident aged receivable'!$B:$B,$A26))</f>
        <v>W15-2-3088</v>
      </c>
      <c r="C26" s="997" t="str" cm="1">
        <f t="array" ref="C26">IF($A26="","",INDEX('resident aged receivable'!$D:$D,$A26))</f>
        <v>Clark, Briana</v>
      </c>
      <c r="D26" s="998" cm="1">
        <f t="array" ref="D26">IF($A26="","",INDEX('resident aged receivable'!$F:$F,$A26))</f>
        <v>45618</v>
      </c>
      <c r="E26" s="998" cm="1">
        <f t="array" ref="E26">IF($A26="","",_xlfn.LET(_xlpm.leaseEnd,INDEX('resident aged receivable'!$H:$H,$A26),_xlpm.moLookup,IFERROR(_xlfn.LET(_xlpm.lastFirst,C26,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46169</v>
      </c>
      <c r="F26" s="999" t="str">
        <f t="shared" si="0"/>
        <v>IPS</v>
      </c>
      <c r="G26" s="1000" t="str" cm="1">
        <f t="array" ref="G26">IF($A26="","",IF(COUNTIF($N$3:$N$24,C26)&gt;0,"Former",_xlfn.LET(_xlpm.s,INDEX('resident aged receivable'!$E:$E,$A26),IF(ISNUMBER(SEARCH("Eviction",_xlpm.s)),"Eviction",IF(ISNUMBER(SEARCH("Skip",_xlpm.s)),"Skip",IF(ISNUMBER(SEARCH("Past",_xlpm.s))+ISNUMBER(SEARCH("Collections",_xlpm.s)),"Former",_xlpm.s))))))</f>
        <v>Eviction</v>
      </c>
      <c r="H26" s="1001" cm="1">
        <f t="array" ref="H26">IF($A26="","",INDEX('resident aged receivable'!$I:$I,$A26))</f>
        <v>14025.43</v>
      </c>
      <c r="I26" s="1001" cm="1">
        <f t="array" ref="I26">IF($A26="","",INDEX('resident aged receivable'!$J:$J,$A26))</f>
        <v>0</v>
      </c>
      <c r="J26" s="1001" cm="1">
        <f t="array" ref="J26">IF($A26="","",INDEX('resident aged receivable'!$K:$K,$A26))</f>
        <v>0</v>
      </c>
      <c r="K26" s="1020" t="str" cm="1">
        <f t="array" ref="K26">IF($C26="","",IFERROR(_xlfn.LET(_xlpm.unit,B26,_xlpm.resident,C26,_xlpm.lastName,IFERROR(LEFT(_xlpm.resident,FIND(",",_xlpm.resident)-1),_xlpm.resident),_xlpm.llMatch,(LeaseLock!$D$2:$D$500=_xlpm.unit)*ISNUMBER(SEARCH(_xlpm.lastName,LeaseLock!$C$2:$C$500)),_xlpm.hasLL,SUMPRODUCT(_xlpm.llMatch)&gt;0,_xlpm.llStatus,IF(_xlpm.hasLL,_xlfn.LET(_xlpm.stat,LOOKUP(2,1/_xlpm.llMatch,LeaseLock!$F$2:$F$500),_xlpm.sub,LOOKUP(2,1/_xlpm.llMatch,LeaseLock!$G$2:$G$500),_xlpm.paid,LOOKUP(2,1/_xlpm.llMatch,LeaseLock!$M$2:$M$500),IF(_xlpm.stat="Claim Denied","Claim Denied ("&amp;_xlpm.sub&amp;")",IF(_xlpm.stat="Open","Open - "&amp;_xlpm.sub,IF(_xlpm.paid&gt;0,_xlpm.stat&amp;" - $"&amp;TEXT(_xlpm.paid,"#,##0.00")&amp;" paid",_xlpm.stat&amp;" - no payment")))),""),_xlpm.rsiMatches,ISNUMBER(SEARCH(_xlpm.lastName,Evictions_RSI!$B$3:$B$200))*(Evictions_RSI!$B$3:$B$200&lt;&gt;""),_xlpm.hasRSI,SUMPRODUCT(_xlpm.rsiMatches)&gt;0,_xlpm.rsiStatus,IF(_xlpm.hasRSI,_xlfn.LET(_xlpm.dates,IF(_xlpm.rsiMatches,IFERROR(DATEVALUE(SUBSTITUTE(Evictions_RSI!$A$3:$A$200,_xlfn.UNICHAR(8204),"")),0),0),_xlpm.latestRow,MATCH(MAX(_xlpm.dates),_xlpm.dates,0),TRIM(SUBSTITUTE(INDEX(Evictions_RSI!$I$3:$I$200,_xlpm.latestRow),_xlfn.UNICHAR(8204),""))),""),IF(AND(_xlpm.llStatus="",_xlpm.rsiStatus=""),"",IF(_xlpm.llStatus="","RSI: "&amp;_xlpm.rsiStatus,IF(_xlpm.rsiStatus="","LL: "&amp;_xlpm.llStatus,"LL: "&amp;_xlpm.llStatus&amp;" | RSI: "&amp;_xlpm.rsiStatus)))),""))</f>
        <v>LL: Claim Denied (Claim Denied) | RSI: COC - JOA Pending (Notes)</v>
      </c>
      <c r="L26" s="1002"/>
      <c r="Q26" s="973"/>
      <c r="R26" s="973"/>
      <c r="S26" s="973"/>
      <c r="T26" s="973"/>
      <c r="U26" s="973"/>
      <c r="V26" s="973"/>
      <c r="W26" s="973"/>
      <c r="X26" s="973"/>
      <c r="Y26" s="973"/>
      <c r="Z26" s="973"/>
    </row>
    <row r="27" spans="1:26" ht="12" customHeight="1">
      <c r="A27" s="996" cm="1">
        <f t="array" ref="A27">IFERROR(_xlfn.LET(_xlpm.n,ROW()-16,_xlpm.adj,IF((((ISNUMBER(SEARCH("Eviction",'resident aged receivable'!$E$2:$E$460)))+(ISNUMBER(SEARCH("Past",'resident aged receivable'!$E$2:$E$460)))+(ISNUMBER(SEARCH("Skip",'resident aged receivable'!$E$2:$E$460)))+(ISNUMBER(SEARCH("Collections",'resident aged receivable'!$E$2:$E$460)))+(COUNTIF($N$3:$N$24,'resident aged receivable'!$D$2:$D$460)&gt;0))&gt;0)*(((((LEFT('resident aged receivable'!$E$2:$E$460,7)="Current")+(LEFT('resident aged receivable'!$E$2:$E$460,6)="Notice"))=0)+(COUNTIF($N$3:$N$24,'resident aged receivable'!$D$2:$D$460)&gt;0))&gt;0)*(COUNTIF($P$3:$P$24,'resident aged receivable'!$D$2:$D$460)=0)*('resident aged receivable'!$I$2:$I$460&gt;0),'resident aged receivable'!$I$2:$I$460-ROW('resident aged receivable'!$I$2:$I$460)/1000000),_xlpm.tgt,LARGE(_xlpm.adj,_xlpm.n),MATCH(_xlpm.tgt,_xlpm.adj,0)+1),"")</f>
        <v>169</v>
      </c>
      <c r="B27" s="997" t="str" cm="1">
        <f t="array" ref="B27">IF($A27="","",INDEX('resident aged receivable'!$B:$B,$A27))</f>
        <v>W22-2-1050</v>
      </c>
      <c r="C27" s="997" t="str" cm="1">
        <f t="array" ref="C27">IF($A27="","",INDEX('resident aged receivable'!$D:$D,$A27))</f>
        <v>Shamar, Malik</v>
      </c>
      <c r="D27" s="998" cm="1">
        <f t="array" ref="D27">IF($A27="","",INDEX('resident aged receivable'!$F:$F,$A27))</f>
        <v>45955</v>
      </c>
      <c r="E27" s="998" cm="1">
        <f t="array" ref="E27">IF($A27="","",_xlfn.LET(_xlpm.leaseEnd,INDEX('resident aged receivable'!$H:$H,$A27),_xlpm.moLookup,IFERROR(_xlfn.LET(_xlpm.lastFirst,C27,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46319</v>
      </c>
      <c r="F27" s="999" t="str">
        <f t="shared" si="0"/>
        <v>IPS</v>
      </c>
      <c r="G27" s="1000" t="str" cm="1">
        <f t="array" ref="G27">IF($A27="","",IF(COUNTIF($N$3:$N$24,C27)&gt;0,"Former",_xlfn.LET(_xlpm.s,INDEX('resident aged receivable'!$E:$E,$A27),IF(ISNUMBER(SEARCH("Eviction",_xlpm.s)),"Eviction",IF(ISNUMBER(SEARCH("Skip",_xlpm.s)),"Skip",IF(ISNUMBER(SEARCH("Past",_xlpm.s))+ISNUMBER(SEARCH("Collections",_xlpm.s)),"Former",_xlpm.s))))))</f>
        <v>Eviction</v>
      </c>
      <c r="H27" s="1001" cm="1">
        <f t="array" ref="H27">IF($A27="","",INDEX('resident aged receivable'!$I:$I,$A27))</f>
        <v>13778.24</v>
      </c>
      <c r="I27" s="1001" cm="1">
        <f t="array" ref="I27">IF($A27="","",INDEX('resident aged receivable'!$J:$J,$A27))</f>
        <v>0</v>
      </c>
      <c r="J27" s="1001" cm="1">
        <f t="array" ref="J27">IF($A27="","",INDEX('resident aged receivable'!$K:$K,$A27))</f>
        <v>0</v>
      </c>
      <c r="K27" s="1020" t="str" cm="1">
        <f t="array" ref="K27">IF($C27="","",IFERROR(_xlfn.LET(_xlpm.unit,B27,_xlpm.resident,C27,_xlpm.lastName,IFERROR(LEFT(_xlpm.resident,FIND(",",_xlpm.resident)-1),_xlpm.resident),_xlpm.llMatch,(LeaseLock!$D$2:$D$500=_xlpm.unit)*ISNUMBER(SEARCH(_xlpm.lastName,LeaseLock!$C$2:$C$500)),_xlpm.hasLL,SUMPRODUCT(_xlpm.llMatch)&gt;0,_xlpm.llStatus,IF(_xlpm.hasLL,_xlfn.LET(_xlpm.stat,LOOKUP(2,1/_xlpm.llMatch,LeaseLock!$F$2:$F$500),_xlpm.sub,LOOKUP(2,1/_xlpm.llMatch,LeaseLock!$G$2:$G$500),_xlpm.paid,LOOKUP(2,1/_xlpm.llMatch,LeaseLock!$M$2:$M$500),IF(_xlpm.stat="Claim Denied","Claim Denied ("&amp;_xlpm.sub&amp;")",IF(_xlpm.stat="Open","Open - "&amp;_xlpm.sub,IF(_xlpm.paid&gt;0,_xlpm.stat&amp;" - $"&amp;TEXT(_xlpm.paid,"#,##0.00")&amp;" paid",_xlpm.stat&amp;" - no payment")))),""),_xlpm.rsiMatches,ISNUMBER(SEARCH(_xlpm.lastName,Evictions_RSI!$B$3:$B$200))*(Evictions_RSI!$B$3:$B$200&lt;&gt;""),_xlpm.hasRSI,SUMPRODUCT(_xlpm.rsiMatches)&gt;0,_xlpm.rsiStatus,IF(_xlpm.hasRSI,_xlfn.LET(_xlpm.dates,IF(_xlpm.rsiMatches,IFERROR(DATEVALUE(SUBSTITUTE(Evictions_RSI!$A$3:$A$200,_xlfn.UNICHAR(8204),"")),0),0),_xlpm.latestRow,MATCH(MAX(_xlpm.dates),_xlpm.dates,0),TRIM(SUBSTITUTE(INDEX(Evictions_RSI!$I$3:$I$200,_xlpm.latestRow),_xlfn.UNICHAR(8204),""))),""),IF(AND(_xlpm.llStatus="",_xlpm.rsiStatus=""),"",IF(_xlpm.llStatus="","RSI: "&amp;_xlpm.rsiStatus,IF(_xlpm.rsiStatus="","LL: "&amp;_xlpm.llStatus,"LL: "&amp;_xlpm.llStatus&amp;" | RSI: "&amp;_xlpm.rsiStatus)))),""))</f>
        <v>LL: Open -  | RSI: Rent Suit Concluded (Notes)</v>
      </c>
      <c r="L27" s="1002"/>
      <c r="Q27" s="973"/>
      <c r="R27" s="973"/>
      <c r="S27" s="973"/>
      <c r="T27" s="973"/>
      <c r="U27" s="973"/>
      <c r="V27" s="973"/>
      <c r="W27" s="973"/>
      <c r="X27" s="973"/>
      <c r="Y27" s="973"/>
      <c r="Z27" s="973"/>
    </row>
    <row r="28" spans="1:26" ht="12" customHeight="1">
      <c r="A28" s="996" cm="1">
        <f t="array" ref="A28">IFERROR(_xlfn.LET(_xlpm.n,ROW()-16,_xlpm.adj,IF((((ISNUMBER(SEARCH("Eviction",'resident aged receivable'!$E$2:$E$460)))+(ISNUMBER(SEARCH("Past",'resident aged receivable'!$E$2:$E$460)))+(ISNUMBER(SEARCH("Skip",'resident aged receivable'!$E$2:$E$460)))+(ISNUMBER(SEARCH("Collections",'resident aged receivable'!$E$2:$E$460)))+(COUNTIF($N$3:$N$24,'resident aged receivable'!$D$2:$D$460)&gt;0))&gt;0)*(((((LEFT('resident aged receivable'!$E$2:$E$460,7)="Current")+(LEFT('resident aged receivable'!$E$2:$E$460,6)="Notice"))=0)+(COUNTIF($N$3:$N$24,'resident aged receivable'!$D$2:$D$460)&gt;0))&gt;0)*(COUNTIF($P$3:$P$24,'resident aged receivable'!$D$2:$D$460)=0)*('resident aged receivable'!$I$2:$I$460&gt;0),'resident aged receivable'!$I$2:$I$460-ROW('resident aged receivable'!$I$2:$I$460)/1000000),_xlpm.tgt,LARGE(_xlpm.adj,_xlpm.n),MATCH(_xlpm.tgt,_xlpm.adj,0)+1),"")</f>
        <v>93</v>
      </c>
      <c r="B28" s="997" t="str" cm="1">
        <f t="array" ref="B28">IF($A28="","",INDEX('resident aged receivable'!$B:$B,$A28))</f>
        <v>W02-1-0215</v>
      </c>
      <c r="C28" s="997" t="str" cm="1">
        <f t="array" ref="C28">IF($A28="","",INDEX('resident aged receivable'!$D:$D,$A28))</f>
        <v>Diaz, Ingrid</v>
      </c>
      <c r="D28" s="998" cm="1">
        <f t="array" ref="D28">IF($A28="","",INDEX('resident aged receivable'!$F:$F,$A28))</f>
        <v>45643</v>
      </c>
      <c r="E28" s="998" cm="1">
        <f t="array" ref="E28">IF($A28="","",_xlfn.LET(_xlpm.leaseEnd,INDEX('resident aged receivable'!$H:$H,$A28),_xlpm.moLookup,IFERROR(_xlfn.LET(_xlpm.lastFirst,C28,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46069</v>
      </c>
      <c r="F28" s="999" t="str">
        <f t="shared" si="0"/>
        <v>IPS</v>
      </c>
      <c r="G28" s="1000" t="str" cm="1">
        <f t="array" ref="G28">IF($A28="","",IF(COUNTIF($N$3:$N$24,C28)&gt;0,"Former",_xlfn.LET(_xlpm.s,INDEX('resident aged receivable'!$E:$E,$A28),IF(ISNUMBER(SEARCH("Eviction",_xlpm.s)),"Eviction",IF(ISNUMBER(SEARCH("Skip",_xlpm.s)),"Skip",IF(ISNUMBER(SEARCH("Past",_xlpm.s))+ISNUMBER(SEARCH("Collections",_xlpm.s)),"Former",_xlpm.s))))))</f>
        <v>Eviction</v>
      </c>
      <c r="H28" s="1001" cm="1">
        <f t="array" ref="H28">IF($A28="","",INDEX('resident aged receivable'!$I:$I,$A28))</f>
        <v>12713.45</v>
      </c>
      <c r="I28" s="1001" cm="1">
        <f t="array" ref="I28">IF($A28="","",INDEX('resident aged receivable'!$J:$J,$A28))</f>
        <v>0</v>
      </c>
      <c r="J28" s="1001" cm="1">
        <f t="array" ref="J28">IF($A28="","",INDEX('resident aged receivable'!$K:$K,$A28))</f>
        <v>0</v>
      </c>
      <c r="K28" s="1020" t="str" cm="1">
        <f t="array" ref="K28">IF($C28="","",IFERROR(_xlfn.LET(_xlpm.unit,B28,_xlpm.resident,C28,_xlpm.lastName,IFERROR(LEFT(_xlpm.resident,FIND(",",_xlpm.resident)-1),_xlpm.resident),_xlpm.llMatch,(LeaseLock!$D$2:$D$500=_xlpm.unit)*ISNUMBER(SEARCH(_xlpm.lastName,LeaseLock!$C$2:$C$500)),_xlpm.hasLL,SUMPRODUCT(_xlpm.llMatch)&gt;0,_xlpm.llStatus,IF(_xlpm.hasLL,_xlfn.LET(_xlpm.stat,LOOKUP(2,1/_xlpm.llMatch,LeaseLock!$F$2:$F$500),_xlpm.sub,LOOKUP(2,1/_xlpm.llMatch,LeaseLock!$G$2:$G$500),_xlpm.paid,LOOKUP(2,1/_xlpm.llMatch,LeaseLock!$M$2:$M$500),IF(_xlpm.stat="Claim Denied","Claim Denied ("&amp;_xlpm.sub&amp;")",IF(_xlpm.stat="Open","Open - "&amp;_xlpm.sub,IF(_xlpm.paid&gt;0,_xlpm.stat&amp;" - $"&amp;TEXT(_xlpm.paid,"#,##0.00")&amp;" paid",_xlpm.stat&amp;" - no payment")))),""),_xlpm.rsiMatches,ISNUMBER(SEARCH(_xlpm.lastName,Evictions_RSI!$B$3:$B$200))*(Evictions_RSI!$B$3:$B$200&lt;&gt;""),_xlpm.hasRSI,SUMPRODUCT(_xlpm.rsiMatches)&gt;0,_xlpm.rsiStatus,IF(_xlpm.hasRSI,_xlfn.LET(_xlpm.dates,IF(_xlpm.rsiMatches,IFERROR(DATEVALUE(SUBSTITUTE(Evictions_RSI!$A$3:$A$200,_xlfn.UNICHAR(8204),"")),0),0),_xlpm.latestRow,MATCH(MAX(_xlpm.dates),_xlpm.dates,0),TRIM(SUBSTITUTE(INDEX(Evictions_RSI!$I$3:$I$200,_xlpm.latestRow),_xlfn.UNICHAR(8204),""))),""),IF(AND(_xlpm.llStatus="",_xlpm.rsiStatus=""),"",IF(_xlpm.llStatus="","RSI: "&amp;_xlpm.rsiStatus,IF(_xlpm.rsiStatus="","LL: "&amp;_xlpm.llStatus,"LL: "&amp;_xlpm.llStatus&amp;" | RSI: "&amp;_xlpm.rsiStatus)))),""))</f>
        <v>LL: Claim Denied () | RSI: COC - JOA Pending (Notes)</v>
      </c>
      <c r="L28" s="1002"/>
      <c r="Q28" s="973"/>
      <c r="R28" s="973"/>
      <c r="S28" s="973"/>
      <c r="T28" s="973"/>
      <c r="U28" s="973"/>
      <c r="V28" s="973"/>
      <c r="W28" s="973"/>
      <c r="X28" s="973"/>
      <c r="Y28" s="973"/>
      <c r="Z28" s="973"/>
    </row>
    <row r="29" spans="1:26" ht="12" customHeight="1">
      <c r="A29" s="996" cm="1">
        <f t="array" ref="A29">IFERROR(_xlfn.LET(_xlpm.n,ROW()-16,_xlpm.adj,IF((((ISNUMBER(SEARCH("Eviction",'resident aged receivable'!$E$2:$E$460)))+(ISNUMBER(SEARCH("Past",'resident aged receivable'!$E$2:$E$460)))+(ISNUMBER(SEARCH("Skip",'resident aged receivable'!$E$2:$E$460)))+(ISNUMBER(SEARCH("Collections",'resident aged receivable'!$E$2:$E$460)))+(COUNTIF($N$3:$N$24,'resident aged receivable'!$D$2:$D$460)&gt;0))&gt;0)*(((((LEFT('resident aged receivable'!$E$2:$E$460,7)="Current")+(LEFT('resident aged receivable'!$E$2:$E$460,6)="Notice"))=0)+(COUNTIF($N$3:$N$24,'resident aged receivable'!$D$2:$D$460)&gt;0))&gt;0)*(COUNTIF($P$3:$P$24,'resident aged receivable'!$D$2:$D$460)=0)*('resident aged receivable'!$I$2:$I$460&gt;0),'resident aged receivable'!$I$2:$I$460-ROW('resident aged receivable'!$I$2:$I$460)/1000000),_xlpm.tgt,LARGE(_xlpm.adj,_xlpm.n),MATCH(_xlpm.tgt,_xlpm.adj,0)+1),"")</f>
        <v>117</v>
      </c>
      <c r="B29" s="997" t="str" cm="1">
        <f t="array" ref="B29">IF($A29="","",INDEX('resident aged receivable'!$B:$B,$A29))</f>
        <v>W08-1-0808</v>
      </c>
      <c r="C29" s="997" t="str" cm="1">
        <f t="array" ref="C29">IF($A29="","",INDEX('resident aged receivable'!$D:$D,$A29))</f>
        <v>Santini, Eric</v>
      </c>
      <c r="D29" s="998" cm="1">
        <f t="array" ref="D29">IF($A29="","",INDEX('resident aged receivable'!$F:$F,$A29))</f>
        <v>44176</v>
      </c>
      <c r="E29" s="998" cm="1">
        <f t="array" ref="E29">IF($A29="","",_xlfn.LET(_xlpm.leaseEnd,INDEX('resident aged receivable'!$H:$H,$A29),_xlpm.moLookup,IFERROR(_xlfn.LET(_xlpm.lastFirst,C29,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46143</v>
      </c>
      <c r="F29" s="999" t="str">
        <f t="shared" si="0"/>
        <v>IPS</v>
      </c>
      <c r="G29" s="1000" t="str" cm="1">
        <f t="array" ref="G29">IF($A29="","",IF(COUNTIF($N$3:$N$24,C29)&gt;0,"Former",_xlfn.LET(_xlpm.s,INDEX('resident aged receivable'!$E:$E,$A29),IF(ISNUMBER(SEARCH("Eviction",_xlpm.s)),"Eviction",IF(ISNUMBER(SEARCH("Skip",_xlpm.s)),"Skip",IF(ISNUMBER(SEARCH("Past",_xlpm.s))+ISNUMBER(SEARCH("Collections",_xlpm.s)),"Former",_xlpm.s))))))</f>
        <v>Skip</v>
      </c>
      <c r="H29" s="1001" cm="1">
        <f t="array" ref="H29">IF($A29="","",INDEX('resident aged receivable'!$I:$I,$A29))</f>
        <v>12548.52</v>
      </c>
      <c r="I29" s="1001" cm="1">
        <f t="array" ref="I29">IF($A29="","",INDEX('resident aged receivable'!$J:$J,$A29))</f>
        <v>0</v>
      </c>
      <c r="J29" s="1001" cm="1">
        <f t="array" ref="J29">IF($A29="","",INDEX('resident aged receivable'!$K:$K,$A29))</f>
        <v>0</v>
      </c>
      <c r="K29" s="1020" t="str" cm="1">
        <f t="array" ref="K29">IF($C29="","",IFERROR(_xlfn.LET(_xlpm.unit,B29,_xlpm.resident,C29,_xlpm.lastName,IFERROR(LEFT(_xlpm.resident,FIND(",",_xlpm.resident)-1),_xlpm.resident),_xlpm.llMatch,(LeaseLock!$D$2:$D$500=_xlpm.unit)*ISNUMBER(SEARCH(_xlpm.lastName,LeaseLock!$C$2:$C$500)),_xlpm.hasLL,SUMPRODUCT(_xlpm.llMatch)&gt;0,_xlpm.llStatus,IF(_xlpm.hasLL,_xlfn.LET(_xlpm.stat,LOOKUP(2,1/_xlpm.llMatch,LeaseLock!$F$2:$F$500),_xlpm.sub,LOOKUP(2,1/_xlpm.llMatch,LeaseLock!$G$2:$G$500),_xlpm.paid,LOOKUP(2,1/_xlpm.llMatch,LeaseLock!$M$2:$M$500),IF(_xlpm.stat="Claim Denied","Claim Denied ("&amp;_xlpm.sub&amp;")",IF(_xlpm.stat="Open","Open - "&amp;_xlpm.sub,IF(_xlpm.paid&gt;0,_xlpm.stat&amp;" - $"&amp;TEXT(_xlpm.paid,"#,##0.00")&amp;" paid",_xlpm.stat&amp;" - no payment")))),""),_xlpm.rsiMatches,ISNUMBER(SEARCH(_xlpm.lastName,Evictions_RSI!$B$3:$B$200))*(Evictions_RSI!$B$3:$B$200&lt;&gt;""),_xlpm.hasRSI,SUMPRODUCT(_xlpm.rsiMatches)&gt;0,_xlpm.rsiStatus,IF(_xlpm.hasRSI,_xlfn.LET(_xlpm.dates,IF(_xlpm.rsiMatches,IFERROR(DATEVALUE(SUBSTITUTE(Evictions_RSI!$A$3:$A$200,_xlfn.UNICHAR(8204),"")),0),0),_xlpm.latestRow,MATCH(MAX(_xlpm.dates),_xlpm.dates,0),TRIM(SUBSTITUTE(INDEX(Evictions_RSI!$I$3:$I$200,_xlpm.latestRow),_xlfn.UNICHAR(8204),""))),""),IF(AND(_xlpm.llStatus="",_xlpm.rsiStatus=""),"",IF(_xlpm.llStatus="","RSI: "&amp;_xlpm.rsiStatus,IF(_xlpm.rsiStatus="","LL: "&amp;_xlpm.llStatus,"LL: "&amp;_xlpm.llStatus&amp;" | RSI: "&amp;_xlpm.rsiStatus)))),""))</f>
        <v>LL: Closed - $750.00 paid | RSI: Dismissed (Tenant Vacated) (Notes)</v>
      </c>
      <c r="L29" s="1002"/>
      <c r="Q29" s="973"/>
      <c r="R29" s="973"/>
      <c r="S29" s="973"/>
      <c r="T29" s="973"/>
      <c r="U29" s="973"/>
      <c r="V29" s="973"/>
      <c r="W29" s="973"/>
      <c r="X29" s="973"/>
      <c r="Y29" s="973"/>
      <c r="Z29" s="973"/>
    </row>
    <row r="30" spans="1:26" ht="12" customHeight="1">
      <c r="A30" s="996" cm="1">
        <f t="array" ref="A30">IFERROR(_xlfn.LET(_xlpm.n,ROW()-16,_xlpm.adj,IF((((ISNUMBER(SEARCH("Eviction",'resident aged receivable'!$E$2:$E$460)))+(ISNUMBER(SEARCH("Past",'resident aged receivable'!$E$2:$E$460)))+(ISNUMBER(SEARCH("Skip",'resident aged receivable'!$E$2:$E$460)))+(ISNUMBER(SEARCH("Collections",'resident aged receivable'!$E$2:$E$460)))+(COUNTIF($N$3:$N$24,'resident aged receivable'!$D$2:$D$460)&gt;0))&gt;0)*(((((LEFT('resident aged receivable'!$E$2:$E$460,7)="Current")+(LEFT('resident aged receivable'!$E$2:$E$460,6)="Notice"))=0)+(COUNTIF($N$3:$N$24,'resident aged receivable'!$D$2:$D$460)&gt;0))&gt;0)*(COUNTIF($P$3:$P$24,'resident aged receivable'!$D$2:$D$460)=0)*('resident aged receivable'!$I$2:$I$460&gt;0),'resident aged receivable'!$I$2:$I$460-ROW('resident aged receivable'!$I$2:$I$460)/1000000),_xlpm.tgt,LARGE(_xlpm.adj,_xlpm.n),MATCH(_xlpm.tgt,_xlpm.adj,0)+1),"")</f>
        <v>173</v>
      </c>
      <c r="B30" s="997" t="str" cm="1">
        <f t="array" ref="B30">IF($A30="","",INDEX('resident aged receivable'!$B:$B,$A30))</f>
        <v>W23-2-2041</v>
      </c>
      <c r="C30" s="997" t="str" cm="1">
        <f t="array" ref="C30">IF($A30="","",INDEX('resident aged receivable'!$D:$D,$A30))</f>
        <v>Cortez, Elieser</v>
      </c>
      <c r="D30" s="998" cm="1">
        <f t="array" ref="D30">IF($A30="","",INDEX('resident aged receivable'!$F:$F,$A30))</f>
        <v>45224</v>
      </c>
      <c r="E30" s="998" cm="1">
        <f t="array" ref="E30">IF($A30="","",_xlfn.LET(_xlpm.leaseEnd,INDEX('resident aged receivable'!$H:$H,$A30),_xlpm.moLookup,IFERROR(_xlfn.LET(_xlpm.lastFirst,C30,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46169</v>
      </c>
      <c r="F30" s="999" t="str">
        <f t="shared" si="0"/>
        <v>IPS</v>
      </c>
      <c r="G30" s="1000" t="str" cm="1">
        <f t="array" ref="G30">IF($A30="","",IF(COUNTIF($N$3:$N$24,C30)&gt;0,"Former",_xlfn.LET(_xlpm.s,INDEX('resident aged receivable'!$E:$E,$A30),IF(ISNUMBER(SEARCH("Eviction",_xlpm.s)),"Eviction",IF(ISNUMBER(SEARCH("Skip",_xlpm.s)),"Skip",IF(ISNUMBER(SEARCH("Past",_xlpm.s))+ISNUMBER(SEARCH("Collections",_xlpm.s)),"Former",_xlpm.s))))))</f>
        <v>Eviction</v>
      </c>
      <c r="H30" s="1001" cm="1">
        <f t="array" ref="H30">IF($A30="","",INDEX('resident aged receivable'!$I:$I,$A30))</f>
        <v>12265.64</v>
      </c>
      <c r="I30" s="1001" cm="1">
        <f t="array" ref="I30">IF($A30="","",INDEX('resident aged receivable'!$J:$J,$A30))</f>
        <v>0</v>
      </c>
      <c r="J30" s="1001" cm="1">
        <f t="array" ref="J30">IF($A30="","",INDEX('resident aged receivable'!$K:$K,$A30))</f>
        <v>0</v>
      </c>
      <c r="K30" s="1020" t="str" cm="1">
        <f t="array" ref="K30">IF($C30="","",IFERROR(_xlfn.LET(_xlpm.unit,B30,_xlpm.resident,C30,_xlpm.lastName,IFERROR(LEFT(_xlpm.resident,FIND(",",_xlpm.resident)-1),_xlpm.resident),_xlpm.llMatch,(LeaseLock!$D$2:$D$500=_xlpm.unit)*ISNUMBER(SEARCH(_xlpm.lastName,LeaseLock!$C$2:$C$500)),_xlpm.hasLL,SUMPRODUCT(_xlpm.llMatch)&gt;0,_xlpm.llStatus,IF(_xlpm.hasLL,_xlfn.LET(_xlpm.stat,LOOKUP(2,1/_xlpm.llMatch,LeaseLock!$F$2:$F$500),_xlpm.sub,LOOKUP(2,1/_xlpm.llMatch,LeaseLock!$G$2:$G$500),_xlpm.paid,LOOKUP(2,1/_xlpm.llMatch,LeaseLock!$M$2:$M$500),IF(_xlpm.stat="Claim Denied","Claim Denied ("&amp;_xlpm.sub&amp;")",IF(_xlpm.stat="Open","Open - "&amp;_xlpm.sub,IF(_xlpm.paid&gt;0,_xlpm.stat&amp;" - $"&amp;TEXT(_xlpm.paid,"#,##0.00")&amp;" paid",_xlpm.stat&amp;" - no payment")))),""),_xlpm.rsiMatches,ISNUMBER(SEARCH(_xlpm.lastName,Evictions_RSI!$B$3:$B$200))*(Evictions_RSI!$B$3:$B$200&lt;&gt;""),_xlpm.hasRSI,SUMPRODUCT(_xlpm.rsiMatches)&gt;0,_xlpm.rsiStatus,IF(_xlpm.hasRSI,_xlfn.LET(_xlpm.dates,IF(_xlpm.rsiMatches,IFERROR(DATEVALUE(SUBSTITUTE(Evictions_RSI!$A$3:$A$200,_xlfn.UNICHAR(8204),"")),0),0),_xlpm.latestRow,MATCH(MAX(_xlpm.dates),_xlpm.dates,0),TRIM(SUBSTITUTE(INDEX(Evictions_RSI!$I$3:$I$200,_xlpm.latestRow),_xlfn.UNICHAR(8204),""))),""),IF(AND(_xlpm.llStatus="",_xlpm.rsiStatus=""),"",IF(_xlpm.llStatus="","RSI: "&amp;_xlpm.rsiStatus,IF(_xlpm.rsiStatus="","LL: "&amp;_xlpm.llStatus,"LL: "&amp;_xlpm.llStatus&amp;" | RSI: "&amp;_xlpm.rsiStatus)))),""))</f>
        <v>LL: Claim Denied (Claim Denied) | RSI: COC - JOA Pending (Notes)</v>
      </c>
      <c r="L30" s="1002"/>
      <c r="Q30" s="973"/>
      <c r="R30" s="973"/>
      <c r="S30" s="973"/>
      <c r="T30" s="973"/>
      <c r="U30" s="973"/>
      <c r="V30" s="973"/>
      <c r="W30" s="973"/>
      <c r="X30" s="973"/>
      <c r="Y30" s="973"/>
      <c r="Z30" s="973"/>
    </row>
    <row r="31" spans="1:26" ht="12" customHeight="1">
      <c r="A31" s="996" cm="1">
        <f t="array" ref="A31">IFERROR(_xlfn.LET(_xlpm.n,ROW()-16,_xlpm.adj,IF((((ISNUMBER(SEARCH("Eviction",'resident aged receivable'!$E$2:$E$460)))+(ISNUMBER(SEARCH("Past",'resident aged receivable'!$E$2:$E$460)))+(ISNUMBER(SEARCH("Skip",'resident aged receivable'!$E$2:$E$460)))+(ISNUMBER(SEARCH("Collections",'resident aged receivable'!$E$2:$E$460)))+(COUNTIF($N$3:$N$24,'resident aged receivable'!$D$2:$D$460)&gt;0))&gt;0)*(((((LEFT('resident aged receivable'!$E$2:$E$460,7)="Current")+(LEFT('resident aged receivable'!$E$2:$E$460,6)="Notice"))=0)+(COUNTIF($N$3:$N$24,'resident aged receivable'!$D$2:$D$460)&gt;0))&gt;0)*(COUNTIF($P$3:$P$24,'resident aged receivable'!$D$2:$D$460)=0)*('resident aged receivable'!$I$2:$I$460&gt;0),'resident aged receivable'!$I$2:$I$460-ROW('resident aged receivable'!$I$2:$I$460)/1000000),_xlpm.tgt,LARGE(_xlpm.adj,_xlpm.n),MATCH(_xlpm.tgt,_xlpm.adj,0)+1),"")</f>
        <v>91</v>
      </c>
      <c r="B31" s="997" t="str" cm="1">
        <f t="array" ref="B31">IF($A31="","",INDEX('resident aged receivable'!$B:$B,$A31))</f>
        <v>W01-1-0110</v>
      </c>
      <c r="C31" s="997" t="str" cm="1">
        <f t="array" ref="C31">IF($A31="","",INDEX('resident aged receivable'!$D:$D,$A31))</f>
        <v>Ortega, Maricela</v>
      </c>
      <c r="D31" s="998" cm="1">
        <f t="array" ref="D31">IF($A31="","",INDEX('resident aged receivable'!$F:$F,$A31))</f>
        <v>45383</v>
      </c>
      <c r="E31" s="998" cm="1">
        <f t="array" ref="E31">IF($A31="","",_xlfn.LET(_xlpm.leaseEnd,INDEX('resident aged receivable'!$H:$H,$A31),_xlpm.moLookup,IFERROR(_xlfn.LET(_xlpm.lastFirst,C31,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46171</v>
      </c>
      <c r="F31" s="999" t="str">
        <f t="shared" si="0"/>
        <v>IPS</v>
      </c>
      <c r="G31" s="1000" t="str" cm="1">
        <f t="array" ref="G31">IF($A31="","",IF(COUNTIF($N$3:$N$24,C31)&gt;0,"Former",_xlfn.LET(_xlpm.s,INDEX('resident aged receivable'!$E:$E,$A31),IF(ISNUMBER(SEARCH("Eviction",_xlpm.s)),"Eviction",IF(ISNUMBER(SEARCH("Skip",_xlpm.s)),"Skip",IF(ISNUMBER(SEARCH("Past",_xlpm.s))+ISNUMBER(SEARCH("Collections",_xlpm.s)),"Former",_xlpm.s))))))</f>
        <v>Skip</v>
      </c>
      <c r="H31" s="1001" cm="1">
        <f t="array" ref="H31">IF($A31="","",INDEX('resident aged receivable'!$I:$I,$A31))</f>
        <v>12091.67</v>
      </c>
      <c r="I31" s="1001" cm="1">
        <f t="array" ref="I31">IF($A31="","",INDEX('resident aged receivable'!$J:$J,$A31))</f>
        <v>0</v>
      </c>
      <c r="J31" s="1001" cm="1">
        <f t="array" ref="J31">IF($A31="","",INDEX('resident aged receivable'!$K:$K,$A31))</f>
        <v>0</v>
      </c>
      <c r="K31" s="1020" t="str" cm="1">
        <f t="array" ref="K31">IF($C31="","",IFERROR(_xlfn.LET(_xlpm.unit,B31,_xlpm.resident,C31,_xlpm.lastName,IFERROR(LEFT(_xlpm.resident,FIND(",",_xlpm.resident)-1),_xlpm.resident),_xlpm.llMatch,(LeaseLock!$D$2:$D$500=_xlpm.unit)*ISNUMBER(SEARCH(_xlpm.lastName,LeaseLock!$C$2:$C$500)),_xlpm.hasLL,SUMPRODUCT(_xlpm.llMatch)&gt;0,_xlpm.llStatus,IF(_xlpm.hasLL,_xlfn.LET(_xlpm.stat,LOOKUP(2,1/_xlpm.llMatch,LeaseLock!$F$2:$F$500),_xlpm.sub,LOOKUP(2,1/_xlpm.llMatch,LeaseLock!$G$2:$G$500),_xlpm.paid,LOOKUP(2,1/_xlpm.llMatch,LeaseLock!$M$2:$M$500),IF(_xlpm.stat="Claim Denied","Claim Denied ("&amp;_xlpm.sub&amp;")",IF(_xlpm.stat="Open","Open - "&amp;_xlpm.sub,IF(_xlpm.paid&gt;0,_xlpm.stat&amp;" - $"&amp;TEXT(_xlpm.paid,"#,##0.00")&amp;" paid",_xlpm.stat&amp;" - no payment")))),""),_xlpm.rsiMatches,ISNUMBER(SEARCH(_xlpm.lastName,Evictions_RSI!$B$3:$B$200))*(Evictions_RSI!$B$3:$B$200&lt;&gt;""),_xlpm.hasRSI,SUMPRODUCT(_xlpm.rsiMatches)&gt;0,_xlpm.rsiStatus,IF(_xlpm.hasRSI,_xlfn.LET(_xlpm.dates,IF(_xlpm.rsiMatches,IFERROR(DATEVALUE(SUBSTITUTE(Evictions_RSI!$A$3:$A$200,_xlfn.UNICHAR(8204),"")),0),0),_xlpm.latestRow,MATCH(MAX(_xlpm.dates),_xlpm.dates,0),TRIM(SUBSTITUTE(INDEX(Evictions_RSI!$I$3:$I$200,_xlpm.latestRow),_xlfn.UNICHAR(8204),""))),""),IF(AND(_xlpm.llStatus="",_xlpm.rsiStatus=""),"",IF(_xlpm.llStatus="","RSI: "&amp;_xlpm.rsiStatus,IF(_xlpm.rsiStatus="","LL: "&amp;_xlpm.llStatus,"LL: "&amp;_xlpm.llStatus&amp;" | RSI: "&amp;_xlpm.rsiStatus)))),""))</f>
        <v>LL: Open - Pending Documentation | RSI: Dismissed (Tenant Vacated) (Notes)</v>
      </c>
      <c r="L31" s="1002"/>
      <c r="Q31" s="973"/>
      <c r="R31" s="973"/>
      <c r="S31" s="973"/>
      <c r="T31" s="973"/>
      <c r="U31" s="973"/>
      <c r="V31" s="973"/>
      <c r="W31" s="973"/>
      <c r="X31" s="973"/>
      <c r="Y31" s="973"/>
      <c r="Z31" s="973"/>
    </row>
    <row r="32" spans="1:26" ht="12" customHeight="1">
      <c r="A32" s="996" cm="1">
        <f t="array" ref="A32">IFERROR(_xlfn.LET(_xlpm.n,ROW()-16,_xlpm.adj,IF((((ISNUMBER(SEARCH("Eviction",'resident aged receivable'!$E$2:$E$460)))+(ISNUMBER(SEARCH("Past",'resident aged receivable'!$E$2:$E$460)))+(ISNUMBER(SEARCH("Skip",'resident aged receivable'!$E$2:$E$460)))+(ISNUMBER(SEARCH("Collections",'resident aged receivable'!$E$2:$E$460)))+(COUNTIF($N$3:$N$24,'resident aged receivable'!$D$2:$D$460)&gt;0))&gt;0)*(((((LEFT('resident aged receivable'!$E$2:$E$460,7)="Current")+(LEFT('resident aged receivable'!$E$2:$E$460,6)="Notice"))=0)+(COUNTIF($N$3:$N$24,'resident aged receivable'!$D$2:$D$460)&gt;0))&gt;0)*(COUNTIF($P$3:$P$24,'resident aged receivable'!$D$2:$D$460)=0)*('resident aged receivable'!$I$2:$I$460&gt;0),'resident aged receivable'!$I$2:$I$460-ROW('resident aged receivable'!$I$2:$I$460)/1000000),_xlpm.tgt,LARGE(_xlpm.adj,_xlpm.n),MATCH(_xlpm.tgt,_xlpm.adj,0)+1),"")</f>
        <v>85</v>
      </c>
      <c r="B32" s="997" t="str" cm="1">
        <f t="array" ref="B32">IF($A32="","",INDEX('resident aged receivable'!$B:$B,$A32))</f>
        <v>S42-270</v>
      </c>
      <c r="C32" s="997" t="str" cm="1">
        <f t="array" ref="C32">IF($A32="","",INDEX('resident aged receivable'!$D:$D,$A32))</f>
        <v>Gentry, Marshana</v>
      </c>
      <c r="D32" s="998" cm="1">
        <f t="array" ref="D32">IF($A32="","",INDEX('resident aged receivable'!$F:$F,$A32))</f>
        <v>45696</v>
      </c>
      <c r="E32" s="998" cm="1">
        <f t="array" ref="E32">IF($A32="","",_xlfn.LET(_xlpm.leaseEnd,INDEX('resident aged receivable'!$H:$H,$A32),_xlpm.moLookup,IFERROR(_xlfn.LET(_xlpm.lastFirst,C32,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46428</v>
      </c>
      <c r="F32" s="999" t="str">
        <f t="shared" si="0"/>
        <v>IPS</v>
      </c>
      <c r="G32" s="1000" t="str" cm="1">
        <f t="array" ref="G32">IF($A32="","",IF(COUNTIF($N$3:$N$24,C32)&gt;0,"Former",_xlfn.LET(_xlpm.s,INDEX('resident aged receivable'!$E:$E,$A32),IF(ISNUMBER(SEARCH("Eviction",_xlpm.s)),"Eviction",IF(ISNUMBER(SEARCH("Skip",_xlpm.s)),"Skip",IF(ISNUMBER(SEARCH("Past",_xlpm.s))+ISNUMBER(SEARCH("Collections",_xlpm.s)),"Former",_xlpm.s))))))</f>
        <v>Eviction</v>
      </c>
      <c r="H32" s="1001" cm="1">
        <f t="array" ref="H32">IF($A32="","",INDEX('resident aged receivable'!$I:$I,$A32))</f>
        <v>11479.21</v>
      </c>
      <c r="I32" s="1001" cm="1">
        <f t="array" ref="I32">IF($A32="","",INDEX('resident aged receivable'!$J:$J,$A32))</f>
        <v>0</v>
      </c>
      <c r="J32" s="1001" cm="1">
        <f t="array" ref="J32">IF($A32="","",INDEX('resident aged receivable'!$K:$K,$A32))</f>
        <v>6955.55</v>
      </c>
      <c r="K32" s="1020" t="str" cm="1">
        <f t="array" ref="K32">IF($C32="","",IFERROR(_xlfn.LET(_xlpm.unit,B32,_xlpm.resident,C32,_xlpm.lastName,IFERROR(LEFT(_xlpm.resident,FIND(",",_xlpm.resident)-1),_xlpm.resident),_xlpm.llMatch,(LeaseLock!$D$2:$D$500=_xlpm.unit)*ISNUMBER(SEARCH(_xlpm.lastName,LeaseLock!$C$2:$C$500)),_xlpm.hasLL,SUMPRODUCT(_xlpm.llMatch)&gt;0,_xlpm.llStatus,IF(_xlpm.hasLL,_xlfn.LET(_xlpm.stat,LOOKUP(2,1/_xlpm.llMatch,LeaseLock!$F$2:$F$500),_xlpm.sub,LOOKUP(2,1/_xlpm.llMatch,LeaseLock!$G$2:$G$500),_xlpm.paid,LOOKUP(2,1/_xlpm.llMatch,LeaseLock!$M$2:$M$500),IF(_xlpm.stat="Claim Denied","Claim Denied ("&amp;_xlpm.sub&amp;")",IF(_xlpm.stat="Open","Open - "&amp;_xlpm.sub,IF(_xlpm.paid&gt;0,_xlpm.stat&amp;" - $"&amp;TEXT(_xlpm.paid,"#,##0.00")&amp;" paid",_xlpm.stat&amp;" - no payment")))),""),_xlpm.rsiMatches,ISNUMBER(SEARCH(_xlpm.lastName,Evictions_RSI!$B$3:$B$200))*(Evictions_RSI!$B$3:$B$200&lt;&gt;""),_xlpm.hasRSI,SUMPRODUCT(_xlpm.rsiMatches)&gt;0,_xlpm.rsiStatus,IF(_xlpm.hasRSI,_xlfn.LET(_xlpm.dates,IF(_xlpm.rsiMatches,IFERROR(DATEVALUE(SUBSTITUTE(Evictions_RSI!$A$3:$A$200,_xlfn.UNICHAR(8204),"")),0),0),_xlpm.latestRow,MATCH(MAX(_xlpm.dates),_xlpm.dates,0),TRIM(SUBSTITUTE(INDEX(Evictions_RSI!$I$3:$I$200,_xlpm.latestRow),_xlfn.UNICHAR(8204),""))),""),IF(AND(_xlpm.llStatus="",_xlpm.rsiStatus=""),"",IF(_xlpm.llStatus="","RSI: "&amp;_xlpm.rsiStatus,IF(_xlpm.rsiStatus="","LL: "&amp;_xlpm.llStatus,"LL: "&amp;_xlpm.llStatus&amp;" | RSI: "&amp;_xlpm.rsiStatus)))),""))</f>
        <v>RSI: Dismissed (Notes)</v>
      </c>
      <c r="L32" s="1002"/>
      <c r="Q32" s="973"/>
      <c r="R32" s="973"/>
      <c r="S32" s="973"/>
      <c r="T32" s="973"/>
      <c r="U32" s="973"/>
      <c r="V32" s="973"/>
      <c r="W32" s="973"/>
      <c r="X32" s="973"/>
      <c r="Y32" s="973"/>
      <c r="Z32" s="973"/>
    </row>
    <row r="33" spans="1:26" ht="12" customHeight="1">
      <c r="A33" s="996" cm="1">
        <f t="array" ref="A33">IFERROR(_xlfn.LET(_xlpm.n,ROW()-16,_xlpm.adj,IF((((ISNUMBER(SEARCH("Eviction",'resident aged receivable'!$E$2:$E$460)))+(ISNUMBER(SEARCH("Past",'resident aged receivable'!$E$2:$E$460)))+(ISNUMBER(SEARCH("Skip",'resident aged receivable'!$E$2:$E$460)))+(ISNUMBER(SEARCH("Collections",'resident aged receivable'!$E$2:$E$460)))+(COUNTIF($N$3:$N$24,'resident aged receivable'!$D$2:$D$460)&gt;0))&gt;0)*(((((LEFT('resident aged receivable'!$E$2:$E$460,7)="Current")+(LEFT('resident aged receivable'!$E$2:$E$460,6)="Notice"))=0)+(COUNTIF($N$3:$N$24,'resident aged receivable'!$D$2:$D$460)&gt;0))&gt;0)*(COUNTIF($P$3:$P$24,'resident aged receivable'!$D$2:$D$460)=0)*('resident aged receivable'!$I$2:$I$460&gt;0),'resident aged receivable'!$I$2:$I$460-ROW('resident aged receivable'!$I$2:$I$460)/1000000),_xlpm.tgt,LARGE(_xlpm.adj,_xlpm.n),MATCH(_xlpm.tgt,_xlpm.adj,0)+1),"")</f>
        <v>142</v>
      </c>
      <c r="B33" s="997" t="str" cm="1">
        <f t="array" ref="B33">IF($A33="","",INDEX('resident aged receivable'!$B:$B,$A33))</f>
        <v>W14-1-1417</v>
      </c>
      <c r="C33" s="997" t="str" cm="1">
        <f t="array" ref="C33">IF($A33="","",INDEX('resident aged receivable'!$D:$D,$A33))</f>
        <v>Shead, Teaira</v>
      </c>
      <c r="D33" s="998" cm="1">
        <f t="array" ref="D33">IF($A33="","",INDEX('resident aged receivable'!$F:$F,$A33))</f>
        <v>45899</v>
      </c>
      <c r="E33" s="998" cm="1">
        <f t="array" ref="E33">IF($A33="","",_xlfn.LET(_xlpm.leaseEnd,INDEX('resident aged receivable'!$H:$H,$A33),_xlpm.moLookup,IFERROR(_xlfn.LET(_xlpm.lastFirst,C33,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46263</v>
      </c>
      <c r="F33" s="999" t="str">
        <f t="shared" si="0"/>
        <v>IPS</v>
      </c>
      <c r="G33" s="1000" t="str" cm="1">
        <f t="array" ref="G33">IF($A33="","",IF(COUNTIF($N$3:$N$24,C33)&gt;0,"Former",_xlfn.LET(_xlpm.s,INDEX('resident aged receivable'!$E:$E,$A33),IF(ISNUMBER(SEARCH("Eviction",_xlpm.s)),"Eviction",IF(ISNUMBER(SEARCH("Skip",_xlpm.s)),"Skip",IF(ISNUMBER(SEARCH("Past",_xlpm.s))+ISNUMBER(SEARCH("Collections",_xlpm.s)),"Former",_xlpm.s))))))</f>
        <v>Eviction</v>
      </c>
      <c r="H33" s="1001" cm="1">
        <f t="array" ref="H33">IF($A33="","",INDEX('resident aged receivable'!$I:$I,$A33))</f>
        <v>10406.23</v>
      </c>
      <c r="I33" s="1001" cm="1">
        <f t="array" ref="I33">IF($A33="","",INDEX('resident aged receivable'!$J:$J,$A33))</f>
        <v>0</v>
      </c>
      <c r="J33" s="1001" cm="1">
        <f t="array" ref="J33">IF($A33="","",INDEX('resident aged receivable'!$K:$K,$A33))</f>
        <v>0</v>
      </c>
      <c r="K33" s="1020" t="str" cm="1">
        <f t="array" ref="K33">IF($C33="","",IFERROR(_xlfn.LET(_xlpm.unit,B33,_xlpm.resident,C33,_xlpm.lastName,IFERROR(LEFT(_xlpm.resident,FIND(",",_xlpm.resident)-1),_xlpm.resident),_xlpm.llMatch,(LeaseLock!$D$2:$D$500=_xlpm.unit)*ISNUMBER(SEARCH(_xlpm.lastName,LeaseLock!$C$2:$C$500)),_xlpm.hasLL,SUMPRODUCT(_xlpm.llMatch)&gt;0,_xlpm.llStatus,IF(_xlpm.hasLL,_xlfn.LET(_xlpm.stat,LOOKUP(2,1/_xlpm.llMatch,LeaseLock!$F$2:$F$500),_xlpm.sub,LOOKUP(2,1/_xlpm.llMatch,LeaseLock!$G$2:$G$500),_xlpm.paid,LOOKUP(2,1/_xlpm.llMatch,LeaseLock!$M$2:$M$500),IF(_xlpm.stat="Claim Denied","Claim Denied ("&amp;_xlpm.sub&amp;")",IF(_xlpm.stat="Open","Open - "&amp;_xlpm.sub,IF(_xlpm.paid&gt;0,_xlpm.stat&amp;" - $"&amp;TEXT(_xlpm.paid,"#,##0.00")&amp;" paid",_xlpm.stat&amp;" - no payment")))),""),_xlpm.rsiMatches,ISNUMBER(SEARCH(_xlpm.lastName,Evictions_RSI!$B$3:$B$200))*(Evictions_RSI!$B$3:$B$200&lt;&gt;""),_xlpm.hasRSI,SUMPRODUCT(_xlpm.rsiMatches)&gt;0,_xlpm.rsiStatus,IF(_xlpm.hasRSI,_xlfn.LET(_xlpm.dates,IF(_xlpm.rsiMatches,IFERROR(DATEVALUE(SUBSTITUTE(Evictions_RSI!$A$3:$A$200,_xlfn.UNICHAR(8204),"")),0),0),_xlpm.latestRow,MATCH(MAX(_xlpm.dates),_xlpm.dates,0),TRIM(SUBSTITUTE(INDEX(Evictions_RSI!$I$3:$I$200,_xlpm.latestRow),_xlfn.UNICHAR(8204),""))),""),IF(AND(_xlpm.llStatus="",_xlpm.rsiStatus=""),"",IF(_xlpm.llStatus="","RSI: "&amp;_xlpm.rsiStatus,IF(_xlpm.rsiStatus="","LL: "&amp;_xlpm.llStatus,"LL: "&amp;_xlpm.llStatus&amp;" | RSI: "&amp;_xlpm.rsiStatus)))),""))</f>
        <v>LL: Claim Denied (Claim Denied) | RSI: COC - JOA Pending (Notes)</v>
      </c>
      <c r="L33" s="1002"/>
      <c r="Q33" s="973"/>
      <c r="R33" s="973"/>
      <c r="S33" s="973"/>
      <c r="T33" s="973"/>
      <c r="U33" s="973"/>
      <c r="V33" s="973"/>
      <c r="W33" s="973"/>
      <c r="X33" s="973"/>
      <c r="Y33" s="973"/>
      <c r="Z33" s="973"/>
    </row>
    <row r="34" spans="1:26" ht="12" customHeight="1">
      <c r="A34" s="996" cm="1">
        <f t="array" ref="A34">IFERROR(_xlfn.LET(_xlpm.n,ROW()-16,_xlpm.adj,IF((((ISNUMBER(SEARCH("Eviction",'resident aged receivable'!$E$2:$E$460)))+(ISNUMBER(SEARCH("Past",'resident aged receivable'!$E$2:$E$460)))+(ISNUMBER(SEARCH("Skip",'resident aged receivable'!$E$2:$E$460)))+(ISNUMBER(SEARCH("Collections",'resident aged receivable'!$E$2:$E$460)))+(COUNTIF($N$3:$N$24,'resident aged receivable'!$D$2:$D$460)&gt;0))&gt;0)*(((((LEFT('resident aged receivable'!$E$2:$E$460,7)="Current")+(LEFT('resident aged receivable'!$E$2:$E$460,6)="Notice"))=0)+(COUNTIF($N$3:$N$24,'resident aged receivable'!$D$2:$D$460)&gt;0))&gt;0)*(COUNTIF($P$3:$P$24,'resident aged receivable'!$D$2:$D$460)=0)*('resident aged receivable'!$I$2:$I$460&gt;0),'resident aged receivable'!$I$2:$I$460-ROW('resident aged receivable'!$I$2:$I$460)/1000000),_xlpm.tgt,LARGE(_xlpm.adj,_xlpm.n),MATCH(_xlpm.tgt,_xlpm.adj,0)+1),"")</f>
        <v>68</v>
      </c>
      <c r="B34" s="997" t="str" cm="1">
        <f t="array" ref="B34">IF($A34="","",INDEX('resident aged receivable'!$B:$B,$A34))</f>
        <v>S29-109</v>
      </c>
      <c r="C34" s="997" t="str" cm="1">
        <f t="array" ref="C34">IF($A34="","",INDEX('resident aged receivable'!$D:$D,$A34))</f>
        <v>Coronado, Iram</v>
      </c>
      <c r="D34" s="998" cm="1">
        <f t="array" ref="D34">IF($A34="","",INDEX('resident aged receivable'!$F:$F,$A34))</f>
        <v>45983</v>
      </c>
      <c r="E34" s="998" cm="1">
        <f t="array" ref="E34">IF($A34="","",_xlfn.LET(_xlpm.leaseEnd,INDEX('resident aged receivable'!$H:$H,$A34),_xlpm.moLookup,IFERROR(_xlfn.LET(_xlpm.lastFirst,C34,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46347</v>
      </c>
      <c r="F34" s="999" t="str">
        <f t="shared" si="0"/>
        <v>IPS</v>
      </c>
      <c r="G34" s="1000" t="str" cm="1">
        <f t="array" ref="G34">IF($A34="","",IF(COUNTIF($N$3:$N$24,C34)&gt;0,"Former",_xlfn.LET(_xlpm.s,INDEX('resident aged receivable'!$E:$E,$A34),IF(ISNUMBER(SEARCH("Eviction",_xlpm.s)),"Eviction",IF(ISNUMBER(SEARCH("Skip",_xlpm.s)),"Skip",IF(ISNUMBER(SEARCH("Past",_xlpm.s))+ISNUMBER(SEARCH("Collections",_xlpm.s)),"Former",_xlpm.s))))))</f>
        <v>Former</v>
      </c>
      <c r="H34" s="1001" cm="1">
        <f t="array" ref="H34">IF($A34="","",INDEX('resident aged receivable'!$I:$I,$A34))</f>
        <v>10168.61</v>
      </c>
      <c r="I34" s="1001" cm="1">
        <f t="array" ref="I34">IF($A34="","",INDEX('resident aged receivable'!$J:$J,$A34))</f>
        <v>0</v>
      </c>
      <c r="J34" s="1001" cm="1">
        <f t="array" ref="J34">IF($A34="","",INDEX('resident aged receivable'!$K:$K,$A34))</f>
        <v>4935.28</v>
      </c>
      <c r="K34" s="1020" t="str" cm="1">
        <f t="array" ref="K34">IF($C34="","",IFERROR(_xlfn.LET(_xlpm.unit,B34,_xlpm.resident,C34,_xlpm.lastName,IFERROR(LEFT(_xlpm.resident,FIND(",",_xlpm.resident)-1),_xlpm.resident),_xlpm.llMatch,(LeaseLock!$D$2:$D$500=_xlpm.unit)*ISNUMBER(SEARCH(_xlpm.lastName,LeaseLock!$C$2:$C$500)),_xlpm.hasLL,SUMPRODUCT(_xlpm.llMatch)&gt;0,_xlpm.llStatus,IF(_xlpm.hasLL,_xlfn.LET(_xlpm.stat,LOOKUP(2,1/_xlpm.llMatch,LeaseLock!$F$2:$F$500),_xlpm.sub,LOOKUP(2,1/_xlpm.llMatch,LeaseLock!$G$2:$G$500),_xlpm.paid,LOOKUP(2,1/_xlpm.llMatch,LeaseLock!$M$2:$M$500),IF(_xlpm.stat="Claim Denied","Claim Denied ("&amp;_xlpm.sub&amp;")",IF(_xlpm.stat="Open","Open - "&amp;_xlpm.sub,IF(_xlpm.paid&gt;0,_xlpm.stat&amp;" - $"&amp;TEXT(_xlpm.paid,"#,##0.00")&amp;" paid",_xlpm.stat&amp;" - no payment")))),""),_xlpm.rsiMatches,ISNUMBER(SEARCH(_xlpm.lastName,Evictions_RSI!$B$3:$B$200))*(Evictions_RSI!$B$3:$B$200&lt;&gt;""),_xlpm.hasRSI,SUMPRODUCT(_xlpm.rsiMatches)&gt;0,_xlpm.rsiStatus,IF(_xlpm.hasRSI,_xlfn.LET(_xlpm.dates,IF(_xlpm.rsiMatches,IFERROR(DATEVALUE(SUBSTITUTE(Evictions_RSI!$A$3:$A$200,_xlfn.UNICHAR(8204),"")),0),0),_xlpm.latestRow,MATCH(MAX(_xlpm.dates),_xlpm.dates,0),TRIM(SUBSTITUTE(INDEX(Evictions_RSI!$I$3:$I$200,_xlpm.latestRow),_xlfn.UNICHAR(8204),""))),""),IF(AND(_xlpm.llStatus="",_xlpm.rsiStatus=""),"",IF(_xlpm.llStatus="","RSI: "&amp;_xlpm.rsiStatus,IF(_xlpm.rsiStatus="","LL: "&amp;_xlpm.llStatus,"LL: "&amp;_xlpm.llStatus&amp;" | RSI: "&amp;_xlpm.rsiStatus)))),""))</f>
        <v>RSI: Granted (Notes)</v>
      </c>
      <c r="L34" s="1002" t="s">
        <v>1151</v>
      </c>
      <c r="Q34" s="973"/>
      <c r="R34" s="973"/>
      <c r="S34" s="973"/>
      <c r="T34" s="973"/>
      <c r="U34" s="973"/>
      <c r="V34" s="973"/>
      <c r="W34" s="973"/>
      <c r="X34" s="973"/>
      <c r="Y34" s="973"/>
      <c r="Z34" s="973"/>
    </row>
    <row r="35" spans="1:26" ht="12" customHeight="1">
      <c r="A35" s="996" cm="1">
        <f t="array" ref="A35">IFERROR(_xlfn.LET(_xlpm.n,ROW()-16,_xlpm.adj,IF((((ISNUMBER(SEARCH("Eviction",'resident aged receivable'!$E$2:$E$460)))+(ISNUMBER(SEARCH("Past",'resident aged receivable'!$E$2:$E$460)))+(ISNUMBER(SEARCH("Skip",'resident aged receivable'!$E$2:$E$460)))+(ISNUMBER(SEARCH("Collections",'resident aged receivable'!$E$2:$E$460)))+(COUNTIF($N$3:$N$24,'resident aged receivable'!$D$2:$D$460)&gt;0))&gt;0)*(((((LEFT('resident aged receivable'!$E$2:$E$460,7)="Current")+(LEFT('resident aged receivable'!$E$2:$E$460,6)="Notice"))=0)+(COUNTIF($N$3:$N$24,'resident aged receivable'!$D$2:$D$460)&gt;0))&gt;0)*(COUNTIF($P$3:$P$24,'resident aged receivable'!$D$2:$D$460)=0)*('resident aged receivable'!$I$2:$I$460&gt;0),'resident aged receivable'!$I$2:$I$460-ROW('resident aged receivable'!$I$2:$I$460)/1000000),_xlpm.tgt,LARGE(_xlpm.adj,_xlpm.n),MATCH(_xlpm.tgt,_xlpm.adj,0)+1),"")</f>
        <v>55</v>
      </c>
      <c r="B35" s="997" t="str" cm="1">
        <f t="array" ref="B35">IF($A35="","",INDEX('resident aged receivable'!$B:$B,$A35))</f>
        <v>S26-401</v>
      </c>
      <c r="C35" s="997" t="str" cm="1">
        <f t="array" ref="C35">IF($A35="","",INDEX('resident aged receivable'!$D:$D,$A35))</f>
        <v>Villanueva, Jose</v>
      </c>
      <c r="D35" s="998" cm="1">
        <f t="array" ref="D35">IF($A35="","",INDEX('resident aged receivable'!$F:$F,$A35))</f>
        <v>45873</v>
      </c>
      <c r="E35" s="998" cm="1">
        <f t="array" ref="E35">IF($A35="","",_xlfn.LET(_xlpm.leaseEnd,INDEX('resident aged receivable'!$H:$H,$A35),_xlpm.moLookup,IFERROR(_xlfn.LET(_xlpm.lastFirst,C35,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46237</v>
      </c>
      <c r="F35" s="999" t="str">
        <f t="shared" si="0"/>
        <v>IPS</v>
      </c>
      <c r="G35" s="1000" t="str" cm="1">
        <f t="array" ref="G35">IF($A35="","",IF(COUNTIF($N$3:$N$24,C35)&gt;0,"Former",_xlfn.LET(_xlpm.s,INDEX('resident aged receivable'!$E:$E,$A35),IF(ISNUMBER(SEARCH("Eviction",_xlpm.s)),"Eviction",IF(ISNUMBER(SEARCH("Skip",_xlpm.s)),"Skip",IF(ISNUMBER(SEARCH("Past",_xlpm.s))+ISNUMBER(SEARCH("Collections",_xlpm.s)),"Former",_xlpm.s))))))</f>
        <v>Eviction</v>
      </c>
      <c r="H35" s="1001" cm="1">
        <f t="array" ref="H35">IF($A35="","",INDEX('resident aged receivable'!$I:$I,$A35))</f>
        <v>9534.8700000000008</v>
      </c>
      <c r="I35" s="1001" cm="1">
        <f t="array" ref="I35">IF($A35="","",INDEX('resident aged receivable'!$J:$J,$A35))</f>
        <v>0</v>
      </c>
      <c r="J35" s="1001" cm="1">
        <f t="array" ref="J35">IF($A35="","",INDEX('resident aged receivable'!$K:$K,$A35))</f>
        <v>0</v>
      </c>
      <c r="K35" s="1020" t="str" cm="1">
        <f t="array" ref="K35">IF($C35="","",IFERROR(_xlfn.LET(_xlpm.unit,B35,_xlpm.resident,C35,_xlpm.lastName,IFERROR(LEFT(_xlpm.resident,FIND(",",_xlpm.resident)-1),_xlpm.resident),_xlpm.llMatch,(LeaseLock!$D$2:$D$500=_xlpm.unit)*ISNUMBER(SEARCH(_xlpm.lastName,LeaseLock!$C$2:$C$500)),_xlpm.hasLL,SUMPRODUCT(_xlpm.llMatch)&gt;0,_xlpm.llStatus,IF(_xlpm.hasLL,_xlfn.LET(_xlpm.stat,LOOKUP(2,1/_xlpm.llMatch,LeaseLock!$F$2:$F$500),_xlpm.sub,LOOKUP(2,1/_xlpm.llMatch,LeaseLock!$G$2:$G$500),_xlpm.paid,LOOKUP(2,1/_xlpm.llMatch,LeaseLock!$M$2:$M$500),IF(_xlpm.stat="Claim Denied","Claim Denied ("&amp;_xlpm.sub&amp;")",IF(_xlpm.stat="Open","Open - "&amp;_xlpm.sub,IF(_xlpm.paid&gt;0,_xlpm.stat&amp;" - $"&amp;TEXT(_xlpm.paid,"#,##0.00")&amp;" paid",_xlpm.stat&amp;" - no payment")))),""),_xlpm.rsiMatches,ISNUMBER(SEARCH(_xlpm.lastName,Evictions_RSI!$B$3:$B$200))*(Evictions_RSI!$B$3:$B$200&lt;&gt;""),_xlpm.hasRSI,SUMPRODUCT(_xlpm.rsiMatches)&gt;0,_xlpm.rsiStatus,IF(_xlpm.hasRSI,_xlfn.LET(_xlpm.dates,IF(_xlpm.rsiMatches,IFERROR(DATEVALUE(SUBSTITUTE(Evictions_RSI!$A$3:$A$200,_xlfn.UNICHAR(8204),"")),0),0),_xlpm.latestRow,MATCH(MAX(_xlpm.dates),_xlpm.dates,0),TRIM(SUBSTITUTE(INDEX(Evictions_RSI!$I$3:$I$200,_xlpm.latestRow),_xlfn.UNICHAR(8204),""))),""),IF(AND(_xlpm.llStatus="",_xlpm.rsiStatus=""),"",IF(_xlpm.llStatus="","RSI: "&amp;_xlpm.rsiStatus,IF(_xlpm.rsiStatus="","LL: "&amp;_xlpm.llStatus,"LL: "&amp;_xlpm.llStatus&amp;" | RSI: "&amp;_xlpm.rsiStatus)))),""))</f>
        <v>LL: Open - Pending Documentation | RSI: Dismissed (Notes)</v>
      </c>
      <c r="L35" s="1002"/>
      <c r="Q35" s="973"/>
      <c r="R35" s="973"/>
      <c r="S35" s="973"/>
      <c r="T35" s="973"/>
      <c r="U35" s="973"/>
      <c r="V35" s="973"/>
      <c r="W35" s="973"/>
      <c r="X35" s="973"/>
      <c r="Y35" s="973"/>
      <c r="Z35" s="973"/>
    </row>
    <row r="36" spans="1:26" ht="12" customHeight="1">
      <c r="A36" s="996" cm="1">
        <f t="array" ref="A36">IFERROR(_xlfn.LET(_xlpm.n,ROW()-16,_xlpm.adj,IF((((ISNUMBER(SEARCH("Eviction",'resident aged receivable'!$E$2:$E$460)))+(ISNUMBER(SEARCH("Past",'resident aged receivable'!$E$2:$E$460)))+(ISNUMBER(SEARCH("Skip",'resident aged receivable'!$E$2:$E$460)))+(ISNUMBER(SEARCH("Collections",'resident aged receivable'!$E$2:$E$460)))+(COUNTIF($N$3:$N$24,'resident aged receivable'!$D$2:$D$460)&gt;0))&gt;0)*(((((LEFT('resident aged receivable'!$E$2:$E$460,7)="Current")+(LEFT('resident aged receivable'!$E$2:$E$460,6)="Notice"))=0)+(COUNTIF($N$3:$N$24,'resident aged receivable'!$D$2:$D$460)&gt;0))&gt;0)*(COUNTIF($P$3:$P$24,'resident aged receivable'!$D$2:$D$460)=0)*('resident aged receivable'!$I$2:$I$460&gt;0),'resident aged receivable'!$I$2:$I$460-ROW('resident aged receivable'!$I$2:$I$460)/1000000),_xlpm.tgt,LARGE(_xlpm.adj,_xlpm.n),MATCH(_xlpm.tgt,_xlpm.adj,0)+1),"")</f>
        <v>27</v>
      </c>
      <c r="B36" s="997" t="str" cm="1">
        <f t="array" ref="B36">IF($A36="","",INDEX('resident aged receivable'!$B:$B,$A36))</f>
        <v>N14-3061</v>
      </c>
      <c r="C36" s="997" t="str" cm="1">
        <f t="array" ref="C36">IF($A36="","",INDEX('resident aged receivable'!$D:$D,$A36))</f>
        <v>Wiggins, Amariah</v>
      </c>
      <c r="D36" s="998" cm="1">
        <f t="array" ref="D36">IF($A36="","",INDEX('resident aged receivable'!$F:$F,$A36))</f>
        <v>45563</v>
      </c>
      <c r="E36" s="998" cm="1">
        <f t="array" ref="E36">IF($A36="","",_xlfn.LET(_xlpm.leaseEnd,INDEX('resident aged receivable'!$H:$H,$A36),_xlpm.moLookup,IFERROR(_xlfn.LET(_xlpm.lastFirst,C36,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46353</v>
      </c>
      <c r="F36" s="999" t="str">
        <f t="shared" si="0"/>
        <v>IPS</v>
      </c>
      <c r="G36" s="1000" t="str" cm="1">
        <f t="array" ref="G36">IF($A36="","",IF(COUNTIF($N$3:$N$24,C36)&gt;0,"Former",_xlfn.LET(_xlpm.s,INDEX('resident aged receivable'!$E:$E,$A36),IF(ISNUMBER(SEARCH("Eviction",_xlpm.s)),"Eviction",IF(ISNUMBER(SEARCH("Skip",_xlpm.s)),"Skip",IF(ISNUMBER(SEARCH("Past",_xlpm.s))+ISNUMBER(SEARCH("Collections",_xlpm.s)),"Former",_xlpm.s))))))</f>
        <v>Skip</v>
      </c>
      <c r="H36" s="1001" cm="1">
        <f t="array" ref="H36">IF($A36="","",INDEX('resident aged receivable'!$I:$I,$A36))</f>
        <v>9482.35</v>
      </c>
      <c r="I36" s="1001" cm="1">
        <f t="array" ref="I36">IF($A36="","",INDEX('resident aged receivable'!$J:$J,$A36))</f>
        <v>0</v>
      </c>
      <c r="J36" s="1001" cm="1">
        <f t="array" ref="J36">IF($A36="","",INDEX('resident aged receivable'!$K:$K,$A36))</f>
        <v>0</v>
      </c>
      <c r="K36" s="1020" t="str" cm="1">
        <f t="array" ref="K36">IF($C36="","",IFERROR(_xlfn.LET(_xlpm.unit,B36,_xlpm.resident,C36,_xlpm.lastName,IFERROR(LEFT(_xlpm.resident,FIND(",",_xlpm.resident)-1),_xlpm.resident),_xlpm.llMatch,(LeaseLock!$D$2:$D$500=_xlpm.unit)*ISNUMBER(SEARCH(_xlpm.lastName,LeaseLock!$C$2:$C$500)),_xlpm.hasLL,SUMPRODUCT(_xlpm.llMatch)&gt;0,_xlpm.llStatus,IF(_xlpm.hasLL,_xlfn.LET(_xlpm.stat,LOOKUP(2,1/_xlpm.llMatch,LeaseLock!$F$2:$F$500),_xlpm.sub,LOOKUP(2,1/_xlpm.llMatch,LeaseLock!$G$2:$G$500),_xlpm.paid,LOOKUP(2,1/_xlpm.llMatch,LeaseLock!$M$2:$M$500),IF(_xlpm.stat="Claim Denied","Claim Denied ("&amp;_xlpm.sub&amp;")",IF(_xlpm.stat="Open","Open - "&amp;_xlpm.sub,IF(_xlpm.paid&gt;0,_xlpm.stat&amp;" - $"&amp;TEXT(_xlpm.paid,"#,##0.00")&amp;" paid",_xlpm.stat&amp;" - no payment")))),""),_xlpm.rsiMatches,ISNUMBER(SEARCH(_xlpm.lastName,Evictions_RSI!$B$3:$B$200))*(Evictions_RSI!$B$3:$B$200&lt;&gt;""),_xlpm.hasRSI,SUMPRODUCT(_xlpm.rsiMatches)&gt;0,_xlpm.rsiStatus,IF(_xlpm.hasRSI,_xlfn.LET(_xlpm.dates,IF(_xlpm.rsiMatches,IFERROR(DATEVALUE(SUBSTITUTE(Evictions_RSI!$A$3:$A$200,_xlfn.UNICHAR(8204),"")),0),0),_xlpm.latestRow,MATCH(MAX(_xlpm.dates),_xlpm.dates,0),TRIM(SUBSTITUTE(INDEX(Evictions_RSI!$I$3:$I$200,_xlpm.latestRow),_xlfn.UNICHAR(8204),""))),""),IF(AND(_xlpm.llStatus="",_xlpm.rsiStatus=""),"",IF(_xlpm.llStatus="","RSI: "&amp;_xlpm.rsiStatus,IF(_xlpm.rsiStatus="","LL: "&amp;_xlpm.llStatus,"LL: "&amp;_xlpm.llStatus&amp;" | RSI: "&amp;_xlpm.rsiStatus)))),""))</f>
        <v>LL: Closed - no payment | RSI: Cancelled (Notes)</v>
      </c>
      <c r="L36" s="1002" t="s">
        <v>1152</v>
      </c>
      <c r="Q36" s="973"/>
      <c r="R36" s="973"/>
      <c r="S36" s="973"/>
      <c r="T36" s="973"/>
      <c r="U36" s="973"/>
      <c r="V36" s="973"/>
      <c r="W36" s="973"/>
      <c r="X36" s="973"/>
      <c r="Y36" s="973"/>
      <c r="Z36" s="973"/>
    </row>
    <row r="37" spans="1:26" ht="12" customHeight="1">
      <c r="A37" s="996" cm="1">
        <f t="array" ref="A37">IFERROR(_xlfn.LET(_xlpm.n,ROW()-16,_xlpm.adj,IF((((ISNUMBER(SEARCH("Eviction",'resident aged receivable'!$E$2:$E$460)))+(ISNUMBER(SEARCH("Past",'resident aged receivable'!$E$2:$E$460)))+(ISNUMBER(SEARCH("Skip",'resident aged receivable'!$E$2:$E$460)))+(ISNUMBER(SEARCH("Collections",'resident aged receivable'!$E$2:$E$460)))+(COUNTIF($N$3:$N$24,'resident aged receivable'!$D$2:$D$460)&gt;0))&gt;0)*(((((LEFT('resident aged receivable'!$E$2:$E$460,7)="Current")+(LEFT('resident aged receivable'!$E$2:$E$460,6)="Notice"))=0)+(COUNTIF($N$3:$N$24,'resident aged receivable'!$D$2:$D$460)&gt;0))&gt;0)*(COUNTIF($P$3:$P$24,'resident aged receivable'!$D$2:$D$460)=0)*('resident aged receivable'!$I$2:$I$460&gt;0),'resident aged receivable'!$I$2:$I$460-ROW('resident aged receivable'!$I$2:$I$460)/1000000),_xlpm.tgt,LARGE(_xlpm.adj,_xlpm.n),MATCH(_xlpm.tgt,_xlpm.adj,0)+1),"")</f>
        <v>54</v>
      </c>
      <c r="B37" s="997" t="str" cm="1">
        <f t="array" ref="B37">IF($A37="","",INDEX('resident aged receivable'!$B:$B,$A37))</f>
        <v>N26-2104</v>
      </c>
      <c r="C37" s="997" t="str" cm="1">
        <f t="array" ref="C37">IF($A37="","",INDEX('resident aged receivable'!$D:$D,$A37))</f>
        <v>NJENDU, MARTIN</v>
      </c>
      <c r="D37" s="998" cm="1">
        <f t="array" ref="D37">IF($A37="","",INDEX('resident aged receivable'!$F:$F,$A37))</f>
        <v>46039</v>
      </c>
      <c r="E37" s="998" cm="1">
        <f t="array" ref="E37">IF($A37="","",_xlfn.LET(_xlpm.leaseEnd,INDEX('resident aged receivable'!$H:$H,$A37),_xlpm.moLookup,IFERROR(_xlfn.LET(_xlpm.lastFirst,C37,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46403</v>
      </c>
      <c r="F37" s="999" t="str">
        <f t="shared" si="0"/>
        <v>CAF</v>
      </c>
      <c r="G37" s="1000" t="str" cm="1">
        <f t="array" ref="G37">IF($A37="","",IF(COUNTIF($N$3:$N$24,C37)&gt;0,"Former",_xlfn.LET(_xlpm.s,INDEX('resident aged receivable'!$E:$E,$A37),IF(ISNUMBER(SEARCH("Eviction",_xlpm.s)),"Eviction",IF(ISNUMBER(SEARCH("Skip",_xlpm.s)),"Skip",IF(ISNUMBER(SEARCH("Past",_xlpm.s))+ISNUMBER(SEARCH("Collections",_xlpm.s)),"Former",_xlpm.s))))))</f>
        <v>Former</v>
      </c>
      <c r="H37" s="1001" cm="1">
        <f t="array" ref="H37">IF($A37="","",INDEX('resident aged receivable'!$I:$I,$A37))</f>
        <v>9396.89</v>
      </c>
      <c r="I37" s="1001" cm="1">
        <f t="array" ref="I37">IF($A37="","",INDEX('resident aged receivable'!$J:$J,$A37))</f>
        <v>0</v>
      </c>
      <c r="J37" s="1001" cm="1">
        <f t="array" ref="J37">IF($A37="","",INDEX('resident aged receivable'!$K:$K,$A37))</f>
        <v>6500.35</v>
      </c>
      <c r="K37" s="1020" t="str" cm="1">
        <f t="array" ref="K37">IF($C37="","",IFERROR(_xlfn.LET(_xlpm.unit,B37,_xlpm.resident,C37,_xlpm.lastName,IFERROR(LEFT(_xlpm.resident,FIND(",",_xlpm.resident)-1),_xlpm.resident),_xlpm.llMatch,(LeaseLock!$D$2:$D$500=_xlpm.unit)*ISNUMBER(SEARCH(_xlpm.lastName,LeaseLock!$C$2:$C$500)),_xlpm.hasLL,SUMPRODUCT(_xlpm.llMatch)&gt;0,_xlpm.llStatus,IF(_xlpm.hasLL,_xlfn.LET(_xlpm.stat,LOOKUP(2,1/_xlpm.llMatch,LeaseLock!$F$2:$F$500),_xlpm.sub,LOOKUP(2,1/_xlpm.llMatch,LeaseLock!$G$2:$G$500),_xlpm.paid,LOOKUP(2,1/_xlpm.llMatch,LeaseLock!$M$2:$M$500),IF(_xlpm.stat="Claim Denied","Claim Denied ("&amp;_xlpm.sub&amp;")",IF(_xlpm.stat="Open","Open - "&amp;_xlpm.sub,IF(_xlpm.paid&gt;0,_xlpm.stat&amp;" - $"&amp;TEXT(_xlpm.paid,"#,##0.00")&amp;" paid",_xlpm.stat&amp;" - no payment")))),""),_xlpm.rsiMatches,ISNUMBER(SEARCH(_xlpm.lastName,Evictions_RSI!$B$3:$B$200))*(Evictions_RSI!$B$3:$B$200&lt;&gt;""),_xlpm.hasRSI,SUMPRODUCT(_xlpm.rsiMatches)&gt;0,_xlpm.rsiStatus,IF(_xlpm.hasRSI,_xlfn.LET(_xlpm.dates,IF(_xlpm.rsiMatches,IFERROR(DATEVALUE(SUBSTITUTE(Evictions_RSI!$A$3:$A$200,_xlfn.UNICHAR(8204),"")),0),0),_xlpm.latestRow,MATCH(MAX(_xlpm.dates),_xlpm.dates,0),TRIM(SUBSTITUTE(INDEX(Evictions_RSI!$I$3:$I$200,_xlpm.latestRow),_xlfn.UNICHAR(8204),""))),""),IF(AND(_xlpm.llStatus="",_xlpm.rsiStatus=""),"",IF(_xlpm.llStatus="","RSI: "&amp;_xlpm.rsiStatus,IF(_xlpm.rsiStatus="","LL: "&amp;_xlpm.llStatus,"LL: "&amp;_xlpm.llStatus&amp;" | RSI: "&amp;_xlpm.rsiStatus)))),""))</f>
        <v>RSI: Dismissed (Tenant Vacated) (Notes)</v>
      </c>
      <c r="L37" s="1002"/>
      <c r="Q37" s="973"/>
      <c r="R37" s="973"/>
      <c r="S37" s="973"/>
      <c r="T37" s="973"/>
      <c r="U37" s="973"/>
      <c r="V37" s="973"/>
      <c r="W37" s="973"/>
      <c r="X37" s="973"/>
      <c r="Y37" s="973"/>
      <c r="Z37" s="973"/>
    </row>
    <row r="38" spans="1:26" ht="12" customHeight="1">
      <c r="A38" s="996" cm="1">
        <f t="array" ref="A38">IFERROR(_xlfn.LET(_xlpm.n,ROW()-16,_xlpm.adj,IF((((ISNUMBER(SEARCH("Eviction",'resident aged receivable'!$E$2:$E$460)))+(ISNUMBER(SEARCH("Past",'resident aged receivable'!$E$2:$E$460)))+(ISNUMBER(SEARCH("Skip",'resident aged receivable'!$E$2:$E$460)))+(ISNUMBER(SEARCH("Collections",'resident aged receivable'!$E$2:$E$460)))+(COUNTIF($N$3:$N$24,'resident aged receivable'!$D$2:$D$460)&gt;0))&gt;0)*(((((LEFT('resident aged receivable'!$E$2:$E$460,7)="Current")+(LEFT('resident aged receivable'!$E$2:$E$460,6)="Notice"))=0)+(COUNTIF($N$3:$N$24,'resident aged receivable'!$D$2:$D$460)&gt;0))&gt;0)*(COUNTIF($P$3:$P$24,'resident aged receivable'!$D$2:$D$460)=0)*('resident aged receivable'!$I$2:$I$460&gt;0),'resident aged receivable'!$I$2:$I$460-ROW('resident aged receivable'!$I$2:$I$460)/1000000),_xlpm.tgt,LARGE(_xlpm.adj,_xlpm.n),MATCH(_xlpm.tgt,_xlpm.adj,0)+1),"")</f>
        <v>47</v>
      </c>
      <c r="B38" s="997" t="str" cm="1">
        <f t="array" ref="B38">IF($A38="","",INDEX('resident aged receivable'!$B:$B,$A38))</f>
        <v>N20-2093</v>
      </c>
      <c r="C38" s="997" t="str" cm="1">
        <f t="array" ref="C38">IF($A38="","",INDEX('resident aged receivable'!$D:$D,$A38))</f>
        <v>Marshall, Alton</v>
      </c>
      <c r="D38" s="998" cm="1">
        <f t="array" ref="D38">IF($A38="","",INDEX('resident aged receivable'!$F:$F,$A38))</f>
        <v>45995</v>
      </c>
      <c r="E38" s="998" cm="1">
        <f t="array" ref="E38">IF($A38="","",_xlfn.LET(_xlpm.leaseEnd,INDEX('resident aged receivable'!$H:$H,$A38),_xlpm.moLookup,IFERROR(_xlfn.LET(_xlpm.lastFirst,C38,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46359</v>
      </c>
      <c r="F38" s="999" t="str">
        <f t="shared" si="0"/>
        <v>IPS</v>
      </c>
      <c r="G38" s="1000" t="str" cm="1">
        <f t="array" ref="G38">IF($A38="","",IF(COUNTIF($N$3:$N$24,C38)&gt;0,"Former",_xlfn.LET(_xlpm.s,INDEX('resident aged receivable'!$E:$E,$A38),IF(ISNUMBER(SEARCH("Eviction",_xlpm.s)),"Eviction",IF(ISNUMBER(SEARCH("Skip",_xlpm.s)),"Skip",IF(ISNUMBER(SEARCH("Past",_xlpm.s))+ISNUMBER(SEARCH("Collections",_xlpm.s)),"Former",_xlpm.s))))))</f>
        <v>Eviction</v>
      </c>
      <c r="H38" s="1001" cm="1">
        <f t="array" ref="H38">IF($A38="","",INDEX('resident aged receivable'!$I:$I,$A38))</f>
        <v>9381.44</v>
      </c>
      <c r="I38" s="1001" cm="1">
        <f t="array" ref="I38">IF($A38="","",INDEX('resident aged receivable'!$J:$J,$A38))</f>
        <v>0</v>
      </c>
      <c r="J38" s="1001" cm="1">
        <f t="array" ref="J38">IF($A38="","",INDEX('resident aged receivable'!$K:$K,$A38))</f>
        <v>3788.68</v>
      </c>
      <c r="K38" s="1020" t="str" cm="1">
        <f t="array" ref="K38">IF($C38="","",IFERROR(_xlfn.LET(_xlpm.unit,B38,_xlpm.resident,C38,_xlpm.lastName,IFERROR(LEFT(_xlpm.resident,FIND(",",_xlpm.resident)-1),_xlpm.resident),_xlpm.llMatch,(LeaseLock!$D$2:$D$500=_xlpm.unit)*ISNUMBER(SEARCH(_xlpm.lastName,LeaseLock!$C$2:$C$500)),_xlpm.hasLL,SUMPRODUCT(_xlpm.llMatch)&gt;0,_xlpm.llStatus,IF(_xlpm.hasLL,_xlfn.LET(_xlpm.stat,LOOKUP(2,1/_xlpm.llMatch,LeaseLock!$F$2:$F$500),_xlpm.sub,LOOKUP(2,1/_xlpm.llMatch,LeaseLock!$G$2:$G$500),_xlpm.paid,LOOKUP(2,1/_xlpm.llMatch,LeaseLock!$M$2:$M$500),IF(_xlpm.stat="Claim Denied","Claim Denied ("&amp;_xlpm.sub&amp;")",IF(_xlpm.stat="Open","Open - "&amp;_xlpm.sub,IF(_xlpm.paid&gt;0,_xlpm.stat&amp;" - $"&amp;TEXT(_xlpm.paid,"#,##0.00")&amp;" paid",_xlpm.stat&amp;" - no payment")))),""),_xlpm.rsiMatches,ISNUMBER(SEARCH(_xlpm.lastName,Evictions_RSI!$B$3:$B$200))*(Evictions_RSI!$B$3:$B$200&lt;&gt;""),_xlpm.hasRSI,SUMPRODUCT(_xlpm.rsiMatches)&gt;0,_xlpm.rsiStatus,IF(_xlpm.hasRSI,_xlfn.LET(_xlpm.dates,IF(_xlpm.rsiMatches,IFERROR(DATEVALUE(SUBSTITUTE(Evictions_RSI!$A$3:$A$200,_xlfn.UNICHAR(8204),"")),0),0),_xlpm.latestRow,MATCH(MAX(_xlpm.dates),_xlpm.dates,0),TRIM(SUBSTITUTE(INDEX(Evictions_RSI!$I$3:$I$200,_xlpm.latestRow),_xlfn.UNICHAR(8204),""))),""),IF(AND(_xlpm.llStatus="",_xlpm.rsiStatus=""),"",IF(_xlpm.llStatus="","RSI: "&amp;_xlpm.rsiStatus,IF(_xlpm.rsiStatus="","LL: "&amp;_xlpm.llStatus,"LL: "&amp;_xlpm.llStatus&amp;" | RSI: "&amp;_xlpm.rsiStatus)))),""))</f>
        <v>RSI: COC - JOA Pending (Notes)</v>
      </c>
      <c r="L38" s="1002"/>
      <c r="Q38" s="973"/>
      <c r="R38" s="973"/>
      <c r="S38" s="973"/>
      <c r="T38" s="973"/>
      <c r="U38" s="973"/>
      <c r="V38" s="973"/>
      <c r="W38" s="973"/>
      <c r="X38" s="973"/>
      <c r="Y38" s="973"/>
      <c r="Z38" s="973"/>
    </row>
    <row r="39" spans="1:26" ht="12" customHeight="1">
      <c r="A39" s="996" cm="1">
        <f t="array" ref="A39">IFERROR(_xlfn.LET(_xlpm.n,ROW()-16,_xlpm.adj,IF((((ISNUMBER(SEARCH("Eviction",'resident aged receivable'!$E$2:$E$460)))+(ISNUMBER(SEARCH("Past",'resident aged receivable'!$E$2:$E$460)))+(ISNUMBER(SEARCH("Skip",'resident aged receivable'!$E$2:$E$460)))+(ISNUMBER(SEARCH("Collections",'resident aged receivable'!$E$2:$E$460)))+(COUNTIF($N$3:$N$24,'resident aged receivable'!$D$2:$D$460)&gt;0))&gt;0)*(((((LEFT('resident aged receivable'!$E$2:$E$460,7)="Current")+(LEFT('resident aged receivable'!$E$2:$E$460,6)="Notice"))=0)+(COUNTIF($N$3:$N$24,'resident aged receivable'!$D$2:$D$460)&gt;0))&gt;0)*(COUNTIF($P$3:$P$24,'resident aged receivable'!$D$2:$D$460)=0)*('resident aged receivable'!$I$2:$I$460&gt;0),'resident aged receivable'!$I$2:$I$460-ROW('resident aged receivable'!$I$2:$I$460)/1000000),_xlpm.tgt,LARGE(_xlpm.adj,_xlpm.n),MATCH(_xlpm.tgt,_xlpm.adj,0)+1),"")</f>
        <v>123</v>
      </c>
      <c r="B39" s="997" t="str" cm="1">
        <f t="array" ref="B39">IF($A39="","",INDEX('resident aged receivable'!$B:$B,$A39))</f>
        <v>W10-1-1003</v>
      </c>
      <c r="C39" s="997" t="str" cm="1">
        <f t="array" ref="C39">IF($A39="","",INDEX('resident aged receivable'!$D:$D,$A39))</f>
        <v>Raychelle, Jessica</v>
      </c>
      <c r="D39" s="998" cm="1">
        <f t="array" ref="D39">IF($A39="","",INDEX('resident aged receivable'!$F:$F,$A39))</f>
        <v>45919</v>
      </c>
      <c r="E39" s="998" cm="1">
        <f t="array" ref="E39">IF($A39="","",_xlfn.LET(_xlpm.leaseEnd,INDEX('resident aged receivable'!$H:$H,$A39),_xlpm.moLookup,IFERROR(_xlfn.LET(_xlpm.lastFirst,C39,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46283</v>
      </c>
      <c r="F39" s="999" t="str">
        <f t="shared" si="0"/>
        <v>IPS</v>
      </c>
      <c r="G39" s="1000" t="str" cm="1">
        <f t="array" ref="G39">IF($A39="","",IF(COUNTIF($N$3:$N$24,C39)&gt;0,"Former",_xlfn.LET(_xlpm.s,INDEX('resident aged receivable'!$E:$E,$A39),IF(ISNUMBER(SEARCH("Eviction",_xlpm.s)),"Eviction",IF(ISNUMBER(SEARCH("Skip",_xlpm.s)),"Skip",IF(ISNUMBER(SEARCH("Past",_xlpm.s))+ISNUMBER(SEARCH("Collections",_xlpm.s)),"Former",_xlpm.s))))))</f>
        <v>Eviction</v>
      </c>
      <c r="H39" s="1001" cm="1">
        <f t="array" ref="H39">IF($A39="","",INDEX('resident aged receivable'!$I:$I,$A39))</f>
        <v>9374.86</v>
      </c>
      <c r="I39" s="1001" cm="1">
        <f t="array" ref="I39">IF($A39="","",INDEX('resident aged receivable'!$J:$J,$A39))</f>
        <v>0</v>
      </c>
      <c r="J39" s="1001" cm="1">
        <f t="array" ref="J39">IF($A39="","",INDEX('resident aged receivable'!$K:$K,$A39))</f>
        <v>5406.04</v>
      </c>
      <c r="K39" s="1020" t="str" cm="1">
        <f t="array" ref="K39">IF($C39="","",IFERROR(_xlfn.LET(_xlpm.unit,B39,_xlpm.resident,C39,_xlpm.lastName,IFERROR(LEFT(_xlpm.resident,FIND(",",_xlpm.resident)-1),_xlpm.resident),_xlpm.llMatch,(LeaseLock!$D$2:$D$500=_xlpm.unit)*ISNUMBER(SEARCH(_xlpm.lastName,LeaseLock!$C$2:$C$500)),_xlpm.hasLL,SUMPRODUCT(_xlpm.llMatch)&gt;0,_xlpm.llStatus,IF(_xlpm.hasLL,_xlfn.LET(_xlpm.stat,LOOKUP(2,1/_xlpm.llMatch,LeaseLock!$F$2:$F$500),_xlpm.sub,LOOKUP(2,1/_xlpm.llMatch,LeaseLock!$G$2:$G$500),_xlpm.paid,LOOKUP(2,1/_xlpm.llMatch,LeaseLock!$M$2:$M$500),IF(_xlpm.stat="Claim Denied","Claim Denied ("&amp;_xlpm.sub&amp;")",IF(_xlpm.stat="Open","Open - "&amp;_xlpm.sub,IF(_xlpm.paid&gt;0,_xlpm.stat&amp;" - $"&amp;TEXT(_xlpm.paid,"#,##0.00")&amp;" paid",_xlpm.stat&amp;" - no payment")))),""),_xlpm.rsiMatches,ISNUMBER(SEARCH(_xlpm.lastName,Evictions_RSI!$B$3:$B$200))*(Evictions_RSI!$B$3:$B$200&lt;&gt;""),_xlpm.hasRSI,SUMPRODUCT(_xlpm.rsiMatches)&gt;0,_xlpm.rsiStatus,IF(_xlpm.hasRSI,_xlfn.LET(_xlpm.dates,IF(_xlpm.rsiMatches,IFERROR(DATEVALUE(SUBSTITUTE(Evictions_RSI!$A$3:$A$200,_xlfn.UNICHAR(8204),"")),0),0),_xlpm.latestRow,MATCH(MAX(_xlpm.dates),_xlpm.dates,0),TRIM(SUBSTITUTE(INDEX(Evictions_RSI!$I$3:$I$200,_xlpm.latestRow),_xlfn.UNICHAR(8204),""))),""),IF(AND(_xlpm.llStatus="",_xlpm.rsiStatus=""),"",IF(_xlpm.llStatus="","RSI: "&amp;_xlpm.rsiStatus,IF(_xlpm.rsiStatus="","LL: "&amp;_xlpm.llStatus,"LL: "&amp;_xlpm.llStatus&amp;" | RSI: "&amp;_xlpm.rsiStatus)))),""))</f>
        <v>RSI: Granted (Notes)</v>
      </c>
      <c r="L39" s="1002"/>
      <c r="Q39" s="973"/>
      <c r="R39" s="973"/>
      <c r="S39" s="973"/>
      <c r="T39" s="973"/>
      <c r="U39" s="973"/>
      <c r="V39" s="973"/>
      <c r="W39" s="973"/>
      <c r="X39" s="973"/>
      <c r="Y39" s="973"/>
      <c r="Z39" s="973"/>
    </row>
    <row r="40" spans="1:26" ht="12" customHeight="1">
      <c r="A40" s="996" cm="1">
        <f t="array" ref="A40">IFERROR(_xlfn.LET(_xlpm.n,ROW()-16,_xlpm.adj,IF((((ISNUMBER(SEARCH("Eviction",'resident aged receivable'!$E$2:$E$460)))+(ISNUMBER(SEARCH("Past",'resident aged receivable'!$E$2:$E$460)))+(ISNUMBER(SEARCH("Skip",'resident aged receivable'!$E$2:$E$460)))+(ISNUMBER(SEARCH("Collections",'resident aged receivable'!$E$2:$E$460)))+(COUNTIF($N$3:$N$24,'resident aged receivable'!$D$2:$D$460)&gt;0))&gt;0)*(((((LEFT('resident aged receivable'!$E$2:$E$460,7)="Current")+(LEFT('resident aged receivable'!$E$2:$E$460,6)="Notice"))=0)+(COUNTIF($N$3:$N$24,'resident aged receivable'!$D$2:$D$460)&gt;0))&gt;0)*(COUNTIF($P$3:$P$24,'resident aged receivable'!$D$2:$D$460)=0)*('resident aged receivable'!$I$2:$I$460&gt;0),'resident aged receivable'!$I$2:$I$460-ROW('resident aged receivable'!$I$2:$I$460)/1000000),_xlpm.tgt,LARGE(_xlpm.adj,_xlpm.n),MATCH(_xlpm.tgt,_xlpm.adj,0)+1),"")</f>
        <v>38</v>
      </c>
      <c r="B40" s="997" t="str" cm="1">
        <f t="array" ref="B40">IF($A40="","",INDEX('resident aged receivable'!$B:$B,$A40))</f>
        <v>N19-1077</v>
      </c>
      <c r="C40" s="997" t="str" cm="1">
        <f t="array" ref="C40">IF($A40="","",INDEX('resident aged receivable'!$D:$D,$A40))</f>
        <v>Camacho, Jorge</v>
      </c>
      <c r="D40" s="998" cm="1">
        <f t="array" ref="D40">IF($A40="","",INDEX('resident aged receivable'!$F:$F,$A40))</f>
        <v>45479</v>
      </c>
      <c r="E40" s="998" cm="1">
        <f t="array" ref="E40">IF($A40="","",_xlfn.LET(_xlpm.leaseEnd,INDEX('resident aged receivable'!$H:$H,$A40),_xlpm.moLookup,IFERROR(_xlfn.LET(_xlpm.lastFirst,C40,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46208</v>
      </c>
      <c r="F40" s="999" t="str">
        <f t="shared" si="0"/>
        <v>IPS</v>
      </c>
      <c r="G40" s="1000" t="str" cm="1">
        <f t="array" ref="G40">IF($A40="","",IF(COUNTIF($N$3:$N$24,C40)&gt;0,"Former",_xlfn.LET(_xlpm.s,INDEX('resident aged receivable'!$E:$E,$A40),IF(ISNUMBER(SEARCH("Eviction",_xlpm.s)),"Eviction",IF(ISNUMBER(SEARCH("Skip",_xlpm.s)),"Skip",IF(ISNUMBER(SEARCH("Past",_xlpm.s))+ISNUMBER(SEARCH("Collections",_xlpm.s)),"Former",_xlpm.s))))))</f>
        <v>Eviction</v>
      </c>
      <c r="H40" s="1001" cm="1">
        <f t="array" ref="H40">IF($A40="","",INDEX('resident aged receivable'!$I:$I,$A40))</f>
        <v>9169.18</v>
      </c>
      <c r="I40" s="1001" cm="1">
        <f t="array" ref="I40">IF($A40="","",INDEX('resident aged receivable'!$J:$J,$A40))</f>
        <v>0</v>
      </c>
      <c r="J40" s="1001" cm="1">
        <f t="array" ref="J40">IF($A40="","",INDEX('resident aged receivable'!$K:$K,$A40))</f>
        <v>0</v>
      </c>
      <c r="K40" s="1020" t="str" cm="1">
        <f t="array" ref="K40">IF($C40="","",IFERROR(_xlfn.LET(_xlpm.unit,B40,_xlpm.resident,C40,_xlpm.lastName,IFERROR(LEFT(_xlpm.resident,FIND(",",_xlpm.resident)-1),_xlpm.resident),_xlpm.llMatch,(LeaseLock!$D$2:$D$500=_xlpm.unit)*ISNUMBER(SEARCH(_xlpm.lastName,LeaseLock!$C$2:$C$500)),_xlpm.hasLL,SUMPRODUCT(_xlpm.llMatch)&gt;0,_xlpm.llStatus,IF(_xlpm.hasLL,_xlfn.LET(_xlpm.stat,LOOKUP(2,1/_xlpm.llMatch,LeaseLock!$F$2:$F$500),_xlpm.sub,LOOKUP(2,1/_xlpm.llMatch,LeaseLock!$G$2:$G$500),_xlpm.paid,LOOKUP(2,1/_xlpm.llMatch,LeaseLock!$M$2:$M$500),IF(_xlpm.stat="Claim Denied","Claim Denied ("&amp;_xlpm.sub&amp;")",IF(_xlpm.stat="Open","Open - "&amp;_xlpm.sub,IF(_xlpm.paid&gt;0,_xlpm.stat&amp;" - $"&amp;TEXT(_xlpm.paid,"#,##0.00")&amp;" paid",_xlpm.stat&amp;" - no payment")))),""),_xlpm.rsiMatches,ISNUMBER(SEARCH(_xlpm.lastName,Evictions_RSI!$B$3:$B$200))*(Evictions_RSI!$B$3:$B$200&lt;&gt;""),_xlpm.hasRSI,SUMPRODUCT(_xlpm.rsiMatches)&gt;0,_xlpm.rsiStatus,IF(_xlpm.hasRSI,_xlfn.LET(_xlpm.dates,IF(_xlpm.rsiMatches,IFERROR(DATEVALUE(SUBSTITUTE(Evictions_RSI!$A$3:$A$200,_xlfn.UNICHAR(8204),"")),0),0),_xlpm.latestRow,MATCH(MAX(_xlpm.dates),_xlpm.dates,0),TRIM(SUBSTITUTE(INDEX(Evictions_RSI!$I$3:$I$200,_xlpm.latestRow),_xlfn.UNICHAR(8204),""))),""),IF(AND(_xlpm.llStatus="",_xlpm.rsiStatus=""),"",IF(_xlpm.llStatus="","RSI: "&amp;_xlpm.rsiStatus,IF(_xlpm.rsiStatus="","LL: "&amp;_xlpm.llStatus,"LL: "&amp;_xlpm.llStatus&amp;" | RSI: "&amp;_xlpm.rsiStatus)))),""))</f>
        <v>LL: Open -  | RSI: Dismissed (Notes)</v>
      </c>
      <c r="L40" s="1002"/>
      <c r="Q40" s="973"/>
      <c r="R40" s="973"/>
      <c r="S40" s="973"/>
      <c r="T40" s="973"/>
      <c r="U40" s="973"/>
      <c r="V40" s="973"/>
      <c r="W40" s="973"/>
      <c r="X40" s="973"/>
      <c r="Y40" s="973"/>
      <c r="Z40" s="973"/>
    </row>
    <row r="41" spans="1:26" ht="12" customHeight="1">
      <c r="A41" s="996" cm="1">
        <f t="array" ref="A41">IFERROR(_xlfn.LET(_xlpm.n,ROW()-16,_xlpm.adj,IF((((ISNUMBER(SEARCH("Eviction",'resident aged receivable'!$E$2:$E$460)))+(ISNUMBER(SEARCH("Past",'resident aged receivable'!$E$2:$E$460)))+(ISNUMBER(SEARCH("Skip",'resident aged receivable'!$E$2:$E$460)))+(ISNUMBER(SEARCH("Collections",'resident aged receivable'!$E$2:$E$460)))+(COUNTIF($N$3:$N$24,'resident aged receivable'!$D$2:$D$460)&gt;0))&gt;0)*(((((LEFT('resident aged receivable'!$E$2:$E$460,7)="Current")+(LEFT('resident aged receivable'!$E$2:$E$460,6)="Notice"))=0)+(COUNTIF($N$3:$N$24,'resident aged receivable'!$D$2:$D$460)&gt;0))&gt;0)*(COUNTIF($P$3:$P$24,'resident aged receivable'!$D$2:$D$460)=0)*('resident aged receivable'!$I$2:$I$460&gt;0),'resident aged receivable'!$I$2:$I$460-ROW('resident aged receivable'!$I$2:$I$460)/1000000),_xlpm.tgt,LARGE(_xlpm.adj,_xlpm.n),MATCH(_xlpm.tgt,_xlpm.adj,0)+1),"")</f>
        <v>103</v>
      </c>
      <c r="B41" s="997" t="str" cm="1">
        <f t="array" ref="B41">IF($A41="","",INDEX('resident aged receivable'!$B:$B,$A41))</f>
        <v>W04-1-0415</v>
      </c>
      <c r="C41" s="997" t="str" cm="1">
        <f t="array" ref="C41">IF($A41="","",INDEX('resident aged receivable'!$D:$D,$A41))</f>
        <v>Diaz Becerra, Victor</v>
      </c>
      <c r="D41" s="998" cm="1">
        <f t="array" ref="D41">IF($A41="","",INDEX('resident aged receivable'!$F:$F,$A41))</f>
        <v>46099</v>
      </c>
      <c r="E41" s="998" cm="1">
        <f t="array" ref="E41">IF($A41="","",_xlfn.LET(_xlpm.leaseEnd,INDEX('resident aged receivable'!$H:$H,$A41),_xlpm.moLookup,IFERROR(_xlfn.LET(_xlpm.lastFirst,C41,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46462</v>
      </c>
      <c r="F41" s="999" t="str">
        <f t="shared" si="0"/>
        <v>CAF</v>
      </c>
      <c r="G41" s="1000" t="str" cm="1">
        <f t="array" ref="G41">IF($A41="","",IF(COUNTIF($N$3:$N$24,C41)&gt;0,"Former",_xlfn.LET(_xlpm.s,INDEX('resident aged receivable'!$E:$E,$A41),IF(ISNUMBER(SEARCH("Eviction",_xlpm.s)),"Eviction",IF(ISNUMBER(SEARCH("Skip",_xlpm.s)),"Skip",IF(ISNUMBER(SEARCH("Past",_xlpm.s))+ISNUMBER(SEARCH("Collections",_xlpm.s)),"Former",_xlpm.s))))))</f>
        <v>Former</v>
      </c>
      <c r="H41" s="1001" cm="1">
        <f t="array" ref="H41">IF($A41="","",INDEX('resident aged receivable'!$I:$I,$A41))</f>
        <v>9162.65</v>
      </c>
      <c r="I41" s="1001" cm="1">
        <f t="array" ref="I41">IF($A41="","",INDEX('resident aged receivable'!$J:$J,$A41))</f>
        <v>0</v>
      </c>
      <c r="J41" s="1001" cm="1">
        <f t="array" ref="J41">IF($A41="","",INDEX('resident aged receivable'!$K:$K,$A41))</f>
        <v>6039.8</v>
      </c>
      <c r="K41" s="1020" t="str" cm="1">
        <f t="array" ref="K41">IF($C41="","",IFERROR(_xlfn.LET(_xlpm.unit,B41,_xlpm.resident,C41,_xlpm.lastName,IFERROR(LEFT(_xlpm.resident,FIND(",",_xlpm.resident)-1),_xlpm.resident),_xlpm.llMatch,(LeaseLock!$D$2:$D$500=_xlpm.unit)*ISNUMBER(SEARCH(_xlpm.lastName,LeaseLock!$C$2:$C$500)),_xlpm.hasLL,SUMPRODUCT(_xlpm.llMatch)&gt;0,_xlpm.llStatus,IF(_xlpm.hasLL,_xlfn.LET(_xlpm.stat,LOOKUP(2,1/_xlpm.llMatch,LeaseLock!$F$2:$F$500),_xlpm.sub,LOOKUP(2,1/_xlpm.llMatch,LeaseLock!$G$2:$G$500),_xlpm.paid,LOOKUP(2,1/_xlpm.llMatch,LeaseLock!$M$2:$M$500),IF(_xlpm.stat="Claim Denied","Claim Denied ("&amp;_xlpm.sub&amp;")",IF(_xlpm.stat="Open","Open - "&amp;_xlpm.sub,IF(_xlpm.paid&gt;0,_xlpm.stat&amp;" - $"&amp;TEXT(_xlpm.paid,"#,##0.00")&amp;" paid",_xlpm.stat&amp;" - no payment")))),""),_xlpm.rsiMatches,ISNUMBER(SEARCH(_xlpm.lastName,Evictions_RSI!$B$3:$B$200))*(Evictions_RSI!$B$3:$B$200&lt;&gt;""),_xlpm.hasRSI,SUMPRODUCT(_xlpm.rsiMatches)&gt;0,_xlpm.rsiStatus,IF(_xlpm.hasRSI,_xlfn.LET(_xlpm.dates,IF(_xlpm.rsiMatches,IFERROR(DATEVALUE(SUBSTITUTE(Evictions_RSI!$A$3:$A$200,_xlfn.UNICHAR(8204),"")),0),0),_xlpm.latestRow,MATCH(MAX(_xlpm.dates),_xlpm.dates,0),TRIM(SUBSTITUTE(INDEX(Evictions_RSI!$I$3:$I$200,_xlpm.latestRow),_xlfn.UNICHAR(8204),""))),""),IF(AND(_xlpm.llStatus="",_xlpm.rsiStatus=""),"",IF(_xlpm.llStatus="","RSI: "&amp;_xlpm.rsiStatus,IF(_xlpm.rsiStatus="","LL: "&amp;_xlpm.llStatus,"LL: "&amp;_xlpm.llStatus&amp;" | RSI: "&amp;_xlpm.rsiStatus)))),""))</f>
        <v>RSI: COC - JOA Pending (Notes)</v>
      </c>
      <c r="L41" s="1002"/>
      <c r="Q41" s="973"/>
      <c r="R41" s="973"/>
      <c r="S41" s="973"/>
      <c r="T41" s="973"/>
      <c r="U41" s="973"/>
      <c r="V41" s="973"/>
      <c r="W41" s="973"/>
      <c r="X41" s="973"/>
      <c r="Y41" s="973"/>
      <c r="Z41" s="973"/>
    </row>
    <row r="42" spans="1:26" ht="12" customHeight="1">
      <c r="A42" s="996" cm="1">
        <f t="array" ref="A42">IFERROR(_xlfn.LET(_xlpm.n,ROW()-16,_xlpm.adj,IF((((ISNUMBER(SEARCH("Eviction",'resident aged receivable'!$E$2:$E$460)))+(ISNUMBER(SEARCH("Past",'resident aged receivable'!$E$2:$E$460)))+(ISNUMBER(SEARCH("Skip",'resident aged receivable'!$E$2:$E$460)))+(ISNUMBER(SEARCH("Collections",'resident aged receivable'!$E$2:$E$460)))+(COUNTIF($N$3:$N$24,'resident aged receivable'!$D$2:$D$460)&gt;0))&gt;0)*(((((LEFT('resident aged receivable'!$E$2:$E$460,7)="Current")+(LEFT('resident aged receivable'!$E$2:$E$460,6)="Notice"))=0)+(COUNTIF($N$3:$N$24,'resident aged receivable'!$D$2:$D$460)&gt;0))&gt;0)*(COUNTIF($P$3:$P$24,'resident aged receivable'!$D$2:$D$460)=0)*('resident aged receivable'!$I$2:$I$460&gt;0),'resident aged receivable'!$I$2:$I$460-ROW('resident aged receivable'!$I$2:$I$460)/1000000),_xlpm.tgt,LARGE(_xlpm.adj,_xlpm.n),MATCH(_xlpm.tgt,_xlpm.adj,0)+1),"")</f>
        <v>42</v>
      </c>
      <c r="B42" s="997" t="str" cm="1">
        <f t="array" ref="B42">IF($A42="","",INDEX('resident aged receivable'!$B:$B,$A42))</f>
        <v>N19-2083</v>
      </c>
      <c r="C42" s="997" t="str" cm="1">
        <f t="array" ref="C42">IF($A42="","",INDEX('resident aged receivable'!$D:$D,$A42))</f>
        <v>Divini, Oscar</v>
      </c>
      <c r="D42" s="998" cm="1">
        <f t="array" ref="D42">IF($A42="","",INDEX('resident aged receivable'!$F:$F,$A42))</f>
        <v>45869</v>
      </c>
      <c r="E42" s="998" cm="1">
        <f t="array" ref="E42">IF($A42="","",_xlfn.LET(_xlpm.leaseEnd,INDEX('resident aged receivable'!$H:$H,$A42),_xlpm.moLookup,IFERROR(_xlfn.LET(_xlpm.lastFirst,C42,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46233</v>
      </c>
      <c r="F42" s="999" t="str">
        <f t="shared" si="0"/>
        <v>IPS</v>
      </c>
      <c r="G42" s="1000" t="str" cm="1">
        <f t="array" ref="G42">IF($A42="","",IF(COUNTIF($N$3:$N$24,C42)&gt;0,"Former",_xlfn.LET(_xlpm.s,INDEX('resident aged receivable'!$E:$E,$A42),IF(ISNUMBER(SEARCH("Eviction",_xlpm.s)),"Eviction",IF(ISNUMBER(SEARCH("Skip",_xlpm.s)),"Skip",IF(ISNUMBER(SEARCH("Past",_xlpm.s))+ISNUMBER(SEARCH("Collections",_xlpm.s)),"Former",_xlpm.s))))))</f>
        <v>Eviction</v>
      </c>
      <c r="H42" s="1001" cm="1">
        <f t="array" ref="H42">IF($A42="","",INDEX('resident aged receivable'!$I:$I,$A42))</f>
        <v>9160.82</v>
      </c>
      <c r="I42" s="1001" cm="1">
        <f t="array" ref="I42">IF($A42="","",INDEX('resident aged receivable'!$J:$J,$A42))</f>
        <v>0</v>
      </c>
      <c r="J42" s="1001" cm="1">
        <f t="array" ref="J42">IF($A42="","",INDEX('resident aged receivable'!$K:$K,$A42))</f>
        <v>4937.6899999999996</v>
      </c>
      <c r="K42" s="1020" t="str" cm="1">
        <f t="array" ref="K42">IF($C42="","",IFERROR(_xlfn.LET(_xlpm.unit,B42,_xlpm.resident,C42,_xlpm.lastName,IFERROR(LEFT(_xlpm.resident,FIND(",",_xlpm.resident)-1),_xlpm.resident),_xlpm.llMatch,(LeaseLock!$D$2:$D$500=_xlpm.unit)*ISNUMBER(SEARCH(_xlpm.lastName,LeaseLock!$C$2:$C$500)),_xlpm.hasLL,SUMPRODUCT(_xlpm.llMatch)&gt;0,_xlpm.llStatus,IF(_xlpm.hasLL,_xlfn.LET(_xlpm.stat,LOOKUP(2,1/_xlpm.llMatch,LeaseLock!$F$2:$F$500),_xlpm.sub,LOOKUP(2,1/_xlpm.llMatch,LeaseLock!$G$2:$G$500),_xlpm.paid,LOOKUP(2,1/_xlpm.llMatch,LeaseLock!$M$2:$M$500),IF(_xlpm.stat="Claim Denied","Claim Denied ("&amp;_xlpm.sub&amp;")",IF(_xlpm.stat="Open","Open - "&amp;_xlpm.sub,IF(_xlpm.paid&gt;0,_xlpm.stat&amp;" - $"&amp;TEXT(_xlpm.paid,"#,##0.00")&amp;" paid",_xlpm.stat&amp;" - no payment")))),""),_xlpm.rsiMatches,ISNUMBER(SEARCH(_xlpm.lastName,Evictions_RSI!$B$3:$B$200))*(Evictions_RSI!$B$3:$B$200&lt;&gt;""),_xlpm.hasRSI,SUMPRODUCT(_xlpm.rsiMatches)&gt;0,_xlpm.rsiStatus,IF(_xlpm.hasRSI,_xlfn.LET(_xlpm.dates,IF(_xlpm.rsiMatches,IFERROR(DATEVALUE(SUBSTITUTE(Evictions_RSI!$A$3:$A$200,_xlfn.UNICHAR(8204),"")),0),0),_xlpm.latestRow,MATCH(MAX(_xlpm.dates),_xlpm.dates,0),TRIM(SUBSTITUTE(INDEX(Evictions_RSI!$I$3:$I$200,_xlpm.latestRow),_xlfn.UNICHAR(8204),""))),""),IF(AND(_xlpm.llStatus="",_xlpm.rsiStatus=""),"",IF(_xlpm.llStatus="","RSI: "&amp;_xlpm.rsiStatus,IF(_xlpm.rsiStatus="","LL: "&amp;_xlpm.llStatus,"LL: "&amp;_xlpm.llStatus&amp;" | RSI: "&amp;_xlpm.rsiStatus)))),""))</f>
        <v>RSI: Granted (Notes)</v>
      </c>
      <c r="L42" s="1002"/>
      <c r="Q42" s="973"/>
      <c r="R42" s="973"/>
      <c r="S42" s="973"/>
      <c r="T42" s="973"/>
      <c r="U42" s="973"/>
      <c r="V42" s="973"/>
      <c r="W42" s="973"/>
      <c r="X42" s="973"/>
      <c r="Y42" s="973"/>
      <c r="Z42" s="973"/>
    </row>
    <row r="43" spans="1:26" ht="12" customHeight="1">
      <c r="A43" s="996" cm="1">
        <f t="array" ref="A43">IFERROR(_xlfn.LET(_xlpm.n,ROW()-16,_xlpm.adj,IF((((ISNUMBER(SEARCH("Eviction",'resident aged receivable'!$E$2:$E$460)))+(ISNUMBER(SEARCH("Past",'resident aged receivable'!$E$2:$E$460)))+(ISNUMBER(SEARCH("Skip",'resident aged receivable'!$E$2:$E$460)))+(ISNUMBER(SEARCH("Collections",'resident aged receivable'!$E$2:$E$460)))+(COUNTIF($N$3:$N$24,'resident aged receivable'!$D$2:$D$460)&gt;0))&gt;0)*(((((LEFT('resident aged receivable'!$E$2:$E$460,7)="Current")+(LEFT('resident aged receivable'!$E$2:$E$460,6)="Notice"))=0)+(COUNTIF($N$3:$N$24,'resident aged receivable'!$D$2:$D$460)&gt;0))&gt;0)*(COUNTIF($P$3:$P$24,'resident aged receivable'!$D$2:$D$460)=0)*('resident aged receivable'!$I$2:$I$460&gt;0),'resident aged receivable'!$I$2:$I$460-ROW('resident aged receivable'!$I$2:$I$460)/1000000),_xlpm.tgt,LARGE(_xlpm.adj,_xlpm.n),MATCH(_xlpm.tgt,_xlpm.adj,0)+1),"")</f>
        <v>112</v>
      </c>
      <c r="B43" s="997" t="str" cm="1">
        <f t="array" ref="B43">IF($A43="","",INDEX('resident aged receivable'!$B:$B,$A43))</f>
        <v>W07-1-0707</v>
      </c>
      <c r="C43" s="997" t="str" cm="1">
        <f t="array" ref="C43">IF($A43="","",INDEX('resident aged receivable'!$D:$D,$A43))</f>
        <v>Meraz, Elvira</v>
      </c>
      <c r="D43" s="998" cm="1">
        <f t="array" ref="D43">IF($A43="","",INDEX('resident aged receivable'!$F:$F,$A43))</f>
        <v>43204</v>
      </c>
      <c r="E43" s="998" cm="1">
        <f t="array" ref="E43">IF($A43="","",_xlfn.LET(_xlpm.leaseEnd,INDEX('resident aged receivable'!$H:$H,$A43),_xlpm.moLookup,IFERROR(_xlfn.LET(_xlpm.lastFirst,C43,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46146</v>
      </c>
      <c r="F43" s="999" t="str">
        <f t="shared" si="0"/>
        <v>IPS</v>
      </c>
      <c r="G43" s="1000" t="str" cm="1">
        <f t="array" ref="G43">IF($A43="","",IF(COUNTIF($N$3:$N$24,C43)&gt;0,"Former",_xlfn.LET(_xlpm.s,INDEX('resident aged receivable'!$E:$E,$A43),IF(ISNUMBER(SEARCH("Eviction",_xlpm.s)),"Eviction",IF(ISNUMBER(SEARCH("Skip",_xlpm.s)),"Skip",IF(ISNUMBER(SEARCH("Past",_xlpm.s))+ISNUMBER(SEARCH("Collections",_xlpm.s)),"Former",_xlpm.s))))))</f>
        <v>Former</v>
      </c>
      <c r="H43" s="1001" cm="1">
        <f t="array" ref="H43">IF($A43="","",INDEX('resident aged receivable'!$I:$I,$A43))</f>
        <v>9004.69</v>
      </c>
      <c r="I43" s="1001" cm="1">
        <f t="array" ref="I43">IF($A43="","",INDEX('resident aged receivable'!$J:$J,$A43))</f>
        <v>0</v>
      </c>
      <c r="J43" s="1001" cm="1">
        <f t="array" ref="J43">IF($A43="","",INDEX('resident aged receivable'!$K:$K,$A43))</f>
        <v>0</v>
      </c>
      <c r="K43" s="1020" t="str" cm="1">
        <f t="array" ref="K43">IF($C43="","",IFERROR(_xlfn.LET(_xlpm.unit,B43,_xlpm.resident,C43,_xlpm.lastName,IFERROR(LEFT(_xlpm.resident,FIND(",",_xlpm.resident)-1),_xlpm.resident),_xlpm.llMatch,(LeaseLock!$D$2:$D$500=_xlpm.unit)*ISNUMBER(SEARCH(_xlpm.lastName,LeaseLock!$C$2:$C$500)),_xlpm.hasLL,SUMPRODUCT(_xlpm.llMatch)&gt;0,_xlpm.llStatus,IF(_xlpm.hasLL,_xlfn.LET(_xlpm.stat,LOOKUP(2,1/_xlpm.llMatch,LeaseLock!$F$2:$F$500),_xlpm.sub,LOOKUP(2,1/_xlpm.llMatch,LeaseLock!$G$2:$G$500),_xlpm.paid,LOOKUP(2,1/_xlpm.llMatch,LeaseLock!$M$2:$M$500),IF(_xlpm.stat="Claim Denied","Claim Denied ("&amp;_xlpm.sub&amp;")",IF(_xlpm.stat="Open","Open - "&amp;_xlpm.sub,IF(_xlpm.paid&gt;0,_xlpm.stat&amp;" - $"&amp;TEXT(_xlpm.paid,"#,##0.00")&amp;" paid",_xlpm.stat&amp;" - no payment")))),""),_xlpm.rsiMatches,ISNUMBER(SEARCH(_xlpm.lastName,Evictions_RSI!$B$3:$B$200))*(Evictions_RSI!$B$3:$B$200&lt;&gt;""),_xlpm.hasRSI,SUMPRODUCT(_xlpm.rsiMatches)&gt;0,_xlpm.rsiStatus,IF(_xlpm.hasRSI,_xlfn.LET(_xlpm.dates,IF(_xlpm.rsiMatches,IFERROR(DATEVALUE(SUBSTITUTE(Evictions_RSI!$A$3:$A$200,_xlfn.UNICHAR(8204),"")),0),0),_xlpm.latestRow,MATCH(MAX(_xlpm.dates),_xlpm.dates,0),TRIM(SUBSTITUTE(INDEX(Evictions_RSI!$I$3:$I$200,_xlpm.latestRow),_xlfn.UNICHAR(8204),""))),""),IF(AND(_xlpm.llStatus="",_xlpm.rsiStatus=""),"",IF(_xlpm.llStatus="","RSI: "&amp;_xlpm.rsiStatus,IF(_xlpm.rsiStatus="","LL: "&amp;_xlpm.llStatus,"LL: "&amp;_xlpm.llStatus&amp;" | RSI: "&amp;_xlpm.rsiStatus)))),""))</f>
        <v>RSI: Dismissed (Tenant Vacated) (Notes)</v>
      </c>
      <c r="L43" s="1002" t="s">
        <v>1153</v>
      </c>
      <c r="Q43" s="973"/>
      <c r="R43" s="973"/>
      <c r="S43" s="973"/>
      <c r="T43" s="973"/>
      <c r="U43" s="973"/>
      <c r="V43" s="973"/>
      <c r="W43" s="973"/>
      <c r="X43" s="973"/>
      <c r="Y43" s="973"/>
      <c r="Z43" s="973"/>
    </row>
    <row r="44" spans="1:26" ht="12" customHeight="1">
      <c r="A44" s="996" cm="1">
        <f t="array" ref="A44">IFERROR(_xlfn.LET(_xlpm.n,ROW()-16,_xlpm.adj,IF((((ISNUMBER(SEARCH("Eviction",'resident aged receivable'!$E$2:$E$460)))+(ISNUMBER(SEARCH("Past",'resident aged receivable'!$E$2:$E$460)))+(ISNUMBER(SEARCH("Skip",'resident aged receivable'!$E$2:$E$460)))+(ISNUMBER(SEARCH("Collections",'resident aged receivable'!$E$2:$E$460)))+(COUNTIF($N$3:$N$24,'resident aged receivable'!$D$2:$D$460)&gt;0))&gt;0)*(((((LEFT('resident aged receivable'!$E$2:$E$460,7)="Current")+(LEFT('resident aged receivable'!$E$2:$E$460,6)="Notice"))=0)+(COUNTIF($N$3:$N$24,'resident aged receivable'!$D$2:$D$460)&gt;0))&gt;0)*(COUNTIF($P$3:$P$24,'resident aged receivable'!$D$2:$D$460)=0)*('resident aged receivable'!$I$2:$I$460&gt;0),'resident aged receivable'!$I$2:$I$460-ROW('resident aged receivable'!$I$2:$I$460)/1000000),_xlpm.tgt,LARGE(_xlpm.adj,_xlpm.n),MATCH(_xlpm.tgt,_xlpm.adj,0)+1),"")</f>
        <v>172</v>
      </c>
      <c r="B44" s="997" t="str" cm="1">
        <f t="array" ref="B44">IF($A44="","",INDEX('resident aged receivable'!$B:$B,$A44))</f>
        <v>W23-2-1044</v>
      </c>
      <c r="C44" s="997" t="str" cm="1">
        <f t="array" ref="C44">IF($A44="","",INDEX('resident aged receivable'!$D:$D,$A44))</f>
        <v>Rodas, Sergio</v>
      </c>
      <c r="D44" s="998" cm="1">
        <f t="array" ref="D44">IF($A44="","",INDEX('resident aged receivable'!$F:$F,$A44))</f>
        <v>45552</v>
      </c>
      <c r="E44" s="998" cm="1">
        <f t="array" ref="E44">IF($A44="","",_xlfn.LET(_xlpm.leaseEnd,INDEX('resident aged receivable'!$H:$H,$A44),_xlpm.moLookup,IFERROR(_xlfn.LET(_xlpm.lastFirst,C44,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46342</v>
      </c>
      <c r="F44" s="999" t="str">
        <f t="shared" si="0"/>
        <v>IPS</v>
      </c>
      <c r="G44" s="1000" t="str" cm="1">
        <f t="array" ref="G44">IF($A44="","",IF(COUNTIF($N$3:$N$24,C44)&gt;0,"Former",_xlfn.LET(_xlpm.s,INDEX('resident aged receivable'!$E:$E,$A44),IF(ISNUMBER(SEARCH("Eviction",_xlpm.s)),"Eviction",IF(ISNUMBER(SEARCH("Skip",_xlpm.s)),"Skip",IF(ISNUMBER(SEARCH("Past",_xlpm.s))+ISNUMBER(SEARCH("Collections",_xlpm.s)),"Former",_xlpm.s))))))</f>
        <v>Eviction</v>
      </c>
      <c r="H44" s="1001" cm="1">
        <f t="array" ref="H44">IF($A44="","",INDEX('resident aged receivable'!$I:$I,$A44))</f>
        <v>8801.51</v>
      </c>
      <c r="I44" s="1001" cm="1">
        <f t="array" ref="I44">IF($A44="","",INDEX('resident aged receivable'!$J:$J,$A44))</f>
        <v>0</v>
      </c>
      <c r="J44" s="1001" cm="1">
        <f t="array" ref="J44">IF($A44="","",INDEX('resident aged receivable'!$K:$K,$A44))</f>
        <v>0</v>
      </c>
      <c r="K44" s="1020" t="str" cm="1">
        <f t="array" ref="K44">IF($C44="","",IFERROR(_xlfn.LET(_xlpm.unit,B44,_xlpm.resident,C44,_xlpm.lastName,IFERROR(LEFT(_xlpm.resident,FIND(",",_xlpm.resident)-1),_xlpm.resident),_xlpm.llMatch,(LeaseLock!$D$2:$D$500=_xlpm.unit)*ISNUMBER(SEARCH(_xlpm.lastName,LeaseLock!$C$2:$C$500)),_xlpm.hasLL,SUMPRODUCT(_xlpm.llMatch)&gt;0,_xlpm.llStatus,IF(_xlpm.hasLL,_xlfn.LET(_xlpm.stat,LOOKUP(2,1/_xlpm.llMatch,LeaseLock!$F$2:$F$500),_xlpm.sub,LOOKUP(2,1/_xlpm.llMatch,LeaseLock!$G$2:$G$500),_xlpm.paid,LOOKUP(2,1/_xlpm.llMatch,LeaseLock!$M$2:$M$500),IF(_xlpm.stat="Claim Denied","Claim Denied ("&amp;_xlpm.sub&amp;")",IF(_xlpm.stat="Open","Open - "&amp;_xlpm.sub,IF(_xlpm.paid&gt;0,_xlpm.stat&amp;" - $"&amp;TEXT(_xlpm.paid,"#,##0.00")&amp;" paid",_xlpm.stat&amp;" - no payment")))),""),_xlpm.rsiMatches,ISNUMBER(SEARCH(_xlpm.lastName,Evictions_RSI!$B$3:$B$200))*(Evictions_RSI!$B$3:$B$200&lt;&gt;""),_xlpm.hasRSI,SUMPRODUCT(_xlpm.rsiMatches)&gt;0,_xlpm.rsiStatus,IF(_xlpm.hasRSI,_xlfn.LET(_xlpm.dates,IF(_xlpm.rsiMatches,IFERROR(DATEVALUE(SUBSTITUTE(Evictions_RSI!$A$3:$A$200,_xlfn.UNICHAR(8204),"")),0),0),_xlpm.latestRow,MATCH(MAX(_xlpm.dates),_xlpm.dates,0),TRIM(SUBSTITUTE(INDEX(Evictions_RSI!$I$3:$I$200,_xlpm.latestRow),_xlfn.UNICHAR(8204),""))),""),IF(AND(_xlpm.llStatus="",_xlpm.rsiStatus=""),"",IF(_xlpm.llStatus="","RSI: "&amp;_xlpm.rsiStatus,IF(_xlpm.rsiStatus="","LL: "&amp;_xlpm.llStatus,"LL: "&amp;_xlpm.llStatus&amp;" | RSI: "&amp;_xlpm.rsiStatus)))),""))</f>
        <v>LL: Closed - $750.00 paid | RSI: COC - JOA Pending (Notes)</v>
      </c>
      <c r="L44" s="1002"/>
      <c r="Q44" s="973"/>
      <c r="R44" s="973"/>
      <c r="S44" s="973"/>
      <c r="T44" s="973"/>
      <c r="U44" s="973"/>
      <c r="V44" s="973"/>
      <c r="W44" s="973"/>
      <c r="X44" s="973"/>
      <c r="Y44" s="973"/>
      <c r="Z44" s="973"/>
    </row>
    <row r="45" spans="1:26" ht="12" customHeight="1">
      <c r="A45" s="996" cm="1">
        <f t="array" ref="A45">IFERROR(_xlfn.LET(_xlpm.n,ROW()-16,_xlpm.adj,IF((((ISNUMBER(SEARCH("Eviction",'resident aged receivable'!$E$2:$E$460)))+(ISNUMBER(SEARCH("Past",'resident aged receivable'!$E$2:$E$460)))+(ISNUMBER(SEARCH("Skip",'resident aged receivable'!$E$2:$E$460)))+(ISNUMBER(SEARCH("Collections",'resident aged receivable'!$E$2:$E$460)))+(COUNTIF($N$3:$N$24,'resident aged receivable'!$D$2:$D$460)&gt;0))&gt;0)*(((((LEFT('resident aged receivable'!$E$2:$E$460,7)="Current")+(LEFT('resident aged receivable'!$E$2:$E$460,6)="Notice"))=0)+(COUNTIF($N$3:$N$24,'resident aged receivable'!$D$2:$D$460)&gt;0))&gt;0)*(COUNTIF($P$3:$P$24,'resident aged receivable'!$D$2:$D$460)=0)*('resident aged receivable'!$I$2:$I$460&gt;0),'resident aged receivable'!$I$2:$I$460-ROW('resident aged receivable'!$I$2:$I$460)/1000000),_xlpm.tgt,LARGE(_xlpm.adj,_xlpm.n),MATCH(_xlpm.tgt,_xlpm.adj,0)+1),"")</f>
        <v>63</v>
      </c>
      <c r="B45" s="997" t="str" cm="1">
        <f t="array" ref="B45">IF($A45="","",INDEX('resident aged receivable'!$B:$B,$A45))</f>
        <v>S28-103</v>
      </c>
      <c r="C45" s="997" t="str" cm="1">
        <f t="array" ref="C45">IF($A45="","",INDEX('resident aged receivable'!$D:$D,$A45))</f>
        <v>HALL, MICHAEL</v>
      </c>
      <c r="D45" s="998" cm="1">
        <f t="array" ref="D45">IF($A45="","",INDEX('resident aged receivable'!$F:$F,$A45))</f>
        <v>45239</v>
      </c>
      <c r="E45" s="998" cm="1">
        <f t="array" ref="E45">IF($A45="","",_xlfn.LET(_xlpm.leaseEnd,INDEX('resident aged receivable'!$H:$H,$A45),_xlpm.moLookup,IFERROR(_xlfn.LET(_xlpm.lastFirst,C45,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46234</v>
      </c>
      <c r="F45" s="999" t="str">
        <f t="shared" si="0"/>
        <v>IPS</v>
      </c>
      <c r="G45" s="1000" t="str" cm="1">
        <f t="array" ref="G45">IF($A45="","",IF(COUNTIF($N$3:$N$24,C45)&gt;0,"Former",_xlfn.LET(_xlpm.s,INDEX('resident aged receivable'!$E:$E,$A45),IF(ISNUMBER(SEARCH("Eviction",_xlpm.s)),"Eviction",IF(ISNUMBER(SEARCH("Skip",_xlpm.s)),"Skip",IF(ISNUMBER(SEARCH("Past",_xlpm.s))+ISNUMBER(SEARCH("Collections",_xlpm.s)),"Former",_xlpm.s))))))</f>
        <v>Skip</v>
      </c>
      <c r="H45" s="1001" cm="1">
        <f t="array" ref="H45">IF($A45="","",INDEX('resident aged receivable'!$I:$I,$A45))</f>
        <v>7781.66</v>
      </c>
      <c r="I45" s="1001" cm="1">
        <f t="array" ref="I45">IF($A45="","",INDEX('resident aged receivable'!$J:$J,$A45))</f>
        <v>0</v>
      </c>
      <c r="J45" s="1001" cm="1">
        <f t="array" ref="J45">IF($A45="","",INDEX('resident aged receivable'!$K:$K,$A45))</f>
        <v>4551.71</v>
      </c>
      <c r="K45" s="1020" t="str" cm="1">
        <f t="array" ref="K45">IF($C45="","",IFERROR(_xlfn.LET(_xlpm.unit,B45,_xlpm.resident,C45,_xlpm.lastName,IFERROR(LEFT(_xlpm.resident,FIND(",",_xlpm.resident)-1),_xlpm.resident),_xlpm.llMatch,(LeaseLock!$D$2:$D$500=_xlpm.unit)*ISNUMBER(SEARCH(_xlpm.lastName,LeaseLock!$C$2:$C$500)),_xlpm.hasLL,SUMPRODUCT(_xlpm.llMatch)&gt;0,_xlpm.llStatus,IF(_xlpm.hasLL,_xlfn.LET(_xlpm.stat,LOOKUP(2,1/_xlpm.llMatch,LeaseLock!$F$2:$F$500),_xlpm.sub,LOOKUP(2,1/_xlpm.llMatch,LeaseLock!$G$2:$G$500),_xlpm.paid,LOOKUP(2,1/_xlpm.llMatch,LeaseLock!$M$2:$M$500),IF(_xlpm.stat="Claim Denied","Claim Denied ("&amp;_xlpm.sub&amp;")",IF(_xlpm.stat="Open","Open - "&amp;_xlpm.sub,IF(_xlpm.paid&gt;0,_xlpm.stat&amp;" - $"&amp;TEXT(_xlpm.paid,"#,##0.00")&amp;" paid",_xlpm.stat&amp;" - no payment")))),""),_xlpm.rsiMatches,ISNUMBER(SEARCH(_xlpm.lastName,Evictions_RSI!$B$3:$B$200))*(Evictions_RSI!$B$3:$B$200&lt;&gt;""),_xlpm.hasRSI,SUMPRODUCT(_xlpm.rsiMatches)&gt;0,_xlpm.rsiStatus,IF(_xlpm.hasRSI,_xlfn.LET(_xlpm.dates,IF(_xlpm.rsiMatches,IFERROR(DATEVALUE(SUBSTITUTE(Evictions_RSI!$A$3:$A$200,_xlfn.UNICHAR(8204),"")),0),0),_xlpm.latestRow,MATCH(MAX(_xlpm.dates),_xlpm.dates,0),TRIM(SUBSTITUTE(INDEX(Evictions_RSI!$I$3:$I$200,_xlpm.latestRow),_xlfn.UNICHAR(8204),""))),""),IF(AND(_xlpm.llStatus="",_xlpm.rsiStatus=""),"",IF(_xlpm.llStatus="","RSI: "&amp;_xlpm.rsiStatus,IF(_xlpm.rsiStatus="","LL: "&amp;_xlpm.llStatus,"LL: "&amp;_xlpm.llStatus&amp;" | RSI: "&amp;_xlpm.rsiStatus)))),""))</f>
        <v>RSI: COC - JOA Pending (Notes)</v>
      </c>
      <c r="L45" s="1003"/>
      <c r="Q45" s="973"/>
      <c r="R45" s="973"/>
      <c r="S45" s="973"/>
      <c r="T45" s="973"/>
      <c r="U45" s="973"/>
      <c r="V45" s="973"/>
      <c r="W45" s="973"/>
      <c r="X45" s="973"/>
      <c r="Y45" s="973"/>
      <c r="Z45" s="973"/>
    </row>
    <row r="46" spans="1:26" ht="12" customHeight="1">
      <c r="A46" s="996" cm="1">
        <f t="array" ref="A46">IFERROR(_xlfn.LET(_xlpm.n,ROW()-16,_xlpm.adj,IF((((ISNUMBER(SEARCH("Eviction",'resident aged receivable'!$E$2:$E$460)))+(ISNUMBER(SEARCH("Past",'resident aged receivable'!$E$2:$E$460)))+(ISNUMBER(SEARCH("Skip",'resident aged receivable'!$E$2:$E$460)))+(ISNUMBER(SEARCH("Collections",'resident aged receivable'!$E$2:$E$460)))+(COUNTIF($N$3:$N$24,'resident aged receivable'!$D$2:$D$460)&gt;0))&gt;0)*(((((LEFT('resident aged receivable'!$E$2:$E$460,7)="Current")+(LEFT('resident aged receivable'!$E$2:$E$460,6)="Notice"))=0)+(COUNTIF($N$3:$N$24,'resident aged receivable'!$D$2:$D$460)&gt;0))&gt;0)*(COUNTIF($P$3:$P$24,'resident aged receivable'!$D$2:$D$460)=0)*('resident aged receivable'!$I$2:$I$460&gt;0),'resident aged receivable'!$I$2:$I$460-ROW('resident aged receivable'!$I$2:$I$460)/1000000),_xlpm.tgt,LARGE(_xlpm.adj,_xlpm.n),MATCH(_xlpm.tgt,_xlpm.adj,0)+1),"")</f>
        <v>64</v>
      </c>
      <c r="B46" s="997" t="str" cm="1">
        <f t="array" ref="B46">IF($A46="","",INDEX('resident aged receivable'!$B:$B,$A46))</f>
        <v>S28-105</v>
      </c>
      <c r="C46" s="997" t="str" cm="1">
        <f t="array" ref="C46">IF($A46="","",INDEX('resident aged receivable'!$D:$D,$A46))</f>
        <v>Branch, Maria</v>
      </c>
      <c r="D46" s="998" cm="1">
        <f t="array" ref="D46">IF($A46="","",INDEX('resident aged receivable'!$F:$F,$A46))</f>
        <v>45268</v>
      </c>
      <c r="E46" s="998" cm="1">
        <f t="array" ref="E46">IF($A46="","",_xlfn.LET(_xlpm.leaseEnd,INDEX('resident aged receivable'!$H:$H,$A46),_xlpm.moLookup,IFERROR(_xlfn.LET(_xlpm.lastFirst,C46,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46428</v>
      </c>
      <c r="F46" s="999" t="str">
        <f t="shared" si="0"/>
        <v>IPS</v>
      </c>
      <c r="G46" s="1000" t="str" cm="1">
        <f t="array" ref="G46">IF($A46="","",IF(COUNTIF($N$3:$N$24,C46)&gt;0,"Former",_xlfn.LET(_xlpm.s,INDEX('resident aged receivable'!$E:$E,$A46),IF(ISNUMBER(SEARCH("Eviction",_xlpm.s)),"Eviction",IF(ISNUMBER(SEARCH("Skip",_xlpm.s)),"Skip",IF(ISNUMBER(SEARCH("Past",_xlpm.s))+ISNUMBER(SEARCH("Collections",_xlpm.s)),"Former",_xlpm.s))))))</f>
        <v>Former</v>
      </c>
      <c r="H46" s="1001" cm="1">
        <f t="array" ref="H46">IF($A46="","",INDEX('resident aged receivable'!$I:$I,$A46))</f>
        <v>7624.07</v>
      </c>
      <c r="I46" s="1001" cm="1">
        <f t="array" ref="I46">IF($A46="","",INDEX('resident aged receivable'!$J:$J,$A46))</f>
        <v>0</v>
      </c>
      <c r="J46" s="1001" cm="1">
        <f t="array" ref="J46">IF($A46="","",INDEX('resident aged receivable'!$K:$K,$A46))</f>
        <v>5203.96</v>
      </c>
      <c r="K46" s="1020" t="str" cm="1">
        <f t="array" ref="K46">IF($C46="","",IFERROR(_xlfn.LET(_xlpm.unit,B46,_xlpm.resident,C46,_xlpm.lastName,IFERROR(LEFT(_xlpm.resident,FIND(",",_xlpm.resident)-1),_xlpm.resident),_xlpm.llMatch,(LeaseLock!$D$2:$D$500=_xlpm.unit)*ISNUMBER(SEARCH(_xlpm.lastName,LeaseLock!$C$2:$C$500)),_xlpm.hasLL,SUMPRODUCT(_xlpm.llMatch)&gt;0,_xlpm.llStatus,IF(_xlpm.hasLL,_xlfn.LET(_xlpm.stat,LOOKUP(2,1/_xlpm.llMatch,LeaseLock!$F$2:$F$500),_xlpm.sub,LOOKUP(2,1/_xlpm.llMatch,LeaseLock!$G$2:$G$500),_xlpm.paid,LOOKUP(2,1/_xlpm.llMatch,LeaseLock!$M$2:$M$500),IF(_xlpm.stat="Claim Denied","Claim Denied ("&amp;_xlpm.sub&amp;")",IF(_xlpm.stat="Open","Open - "&amp;_xlpm.sub,IF(_xlpm.paid&gt;0,_xlpm.stat&amp;" - $"&amp;TEXT(_xlpm.paid,"#,##0.00")&amp;" paid",_xlpm.stat&amp;" - no payment")))),""),_xlpm.rsiMatches,ISNUMBER(SEARCH(_xlpm.lastName,Evictions_RSI!$B$3:$B$200))*(Evictions_RSI!$B$3:$B$200&lt;&gt;""),_xlpm.hasRSI,SUMPRODUCT(_xlpm.rsiMatches)&gt;0,_xlpm.rsiStatus,IF(_xlpm.hasRSI,_xlfn.LET(_xlpm.dates,IF(_xlpm.rsiMatches,IFERROR(DATEVALUE(SUBSTITUTE(Evictions_RSI!$A$3:$A$200,_xlfn.UNICHAR(8204),"")),0),0),_xlpm.latestRow,MATCH(MAX(_xlpm.dates),_xlpm.dates,0),TRIM(SUBSTITUTE(INDEX(Evictions_RSI!$I$3:$I$200,_xlpm.latestRow),_xlfn.UNICHAR(8204),""))),""),IF(AND(_xlpm.llStatus="",_xlpm.rsiStatus=""),"",IF(_xlpm.llStatus="","RSI: "&amp;_xlpm.rsiStatus,IF(_xlpm.rsiStatus="","LL: "&amp;_xlpm.llStatus,"LL: "&amp;_xlpm.llStatus&amp;" | RSI: "&amp;_xlpm.rsiStatus)))),""))</f>
        <v>RSI: Dismissed (Notes)</v>
      </c>
      <c r="L46" s="1002" t="s">
        <v>1154</v>
      </c>
      <c r="Q46" s="973"/>
      <c r="R46" s="973"/>
      <c r="S46" s="973"/>
      <c r="T46" s="973"/>
      <c r="U46" s="973"/>
      <c r="V46" s="973"/>
      <c r="W46" s="973"/>
      <c r="X46" s="973"/>
      <c r="Y46" s="973"/>
      <c r="Z46" s="973"/>
    </row>
    <row r="47" spans="1:26" ht="12" customHeight="1">
      <c r="A47" s="996" cm="1">
        <f t="array" ref="A47">IFERROR(_xlfn.LET(_xlpm.n,ROW()-16,_xlpm.adj,IF((((ISNUMBER(SEARCH("Eviction",'resident aged receivable'!$E$2:$E$460)))+(ISNUMBER(SEARCH("Past",'resident aged receivable'!$E$2:$E$460)))+(ISNUMBER(SEARCH("Skip",'resident aged receivable'!$E$2:$E$460)))+(ISNUMBER(SEARCH("Collections",'resident aged receivable'!$E$2:$E$460)))+(COUNTIF($N$3:$N$24,'resident aged receivable'!$D$2:$D$460)&gt;0))&gt;0)*(((((LEFT('resident aged receivable'!$E$2:$E$460,7)="Current")+(LEFT('resident aged receivable'!$E$2:$E$460,6)="Notice"))=0)+(COUNTIF($N$3:$N$24,'resident aged receivable'!$D$2:$D$460)&gt;0))&gt;0)*(COUNTIF($P$3:$P$24,'resident aged receivable'!$D$2:$D$460)=0)*('resident aged receivable'!$I$2:$I$460&gt;0),'resident aged receivable'!$I$2:$I$460-ROW('resident aged receivable'!$I$2:$I$460)/1000000),_xlpm.tgt,LARGE(_xlpm.adj,_xlpm.n),MATCH(_xlpm.tgt,_xlpm.adj,0)+1),"")</f>
        <v>28</v>
      </c>
      <c r="B47" s="997" t="str" cm="1">
        <f t="array" ref="B47">IF($A47="","",INDEX('resident aged receivable'!$B:$B,$A47))</f>
        <v>N14-3063</v>
      </c>
      <c r="C47" s="997" t="str" cm="1">
        <f t="array" ref="C47">IF($A47="","",INDEX('resident aged receivable'!$D:$D,$A47))</f>
        <v>Birdine, Corey</v>
      </c>
      <c r="D47" s="998" cm="1">
        <f t="array" ref="D47">IF($A47="","",INDEX('resident aged receivable'!$F:$F,$A47))</f>
        <v>45796</v>
      </c>
      <c r="E47" s="998" cm="1">
        <f t="array" ref="E47">IF($A47="","",_xlfn.LET(_xlpm.leaseEnd,INDEX('resident aged receivable'!$H:$H,$A47),_xlpm.moLookup,IFERROR(_xlfn.LET(_xlpm.lastFirst,C47,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46525</v>
      </c>
      <c r="F47" s="999" t="str">
        <f t="shared" si="0"/>
        <v>IPS</v>
      </c>
      <c r="G47" s="1000" t="str" cm="1">
        <f t="array" ref="G47">IF($A47="","",IF(COUNTIF($N$3:$N$24,C47)&gt;0,"Former",_xlfn.LET(_xlpm.s,INDEX('resident aged receivable'!$E:$E,$A47),IF(ISNUMBER(SEARCH("Eviction",_xlpm.s)),"Eviction",IF(ISNUMBER(SEARCH("Skip",_xlpm.s)),"Skip",IF(ISNUMBER(SEARCH("Past",_xlpm.s))+ISNUMBER(SEARCH("Collections",_xlpm.s)),"Former",_xlpm.s))))))</f>
        <v>Eviction</v>
      </c>
      <c r="H47" s="1001" cm="1">
        <f t="array" ref="H47">IF($A47="","",INDEX('resident aged receivable'!$I:$I,$A47))</f>
        <v>7017.57</v>
      </c>
      <c r="I47" s="1001" cm="1">
        <f t="array" ref="I47">IF($A47="","",INDEX('resident aged receivable'!$J:$J,$A47))</f>
        <v>0</v>
      </c>
      <c r="J47" s="1001" cm="1">
        <f t="array" ref="J47">IF($A47="","",INDEX('resident aged receivable'!$K:$K,$A47))</f>
        <v>4414.99</v>
      </c>
      <c r="K47" s="1020" t="str" cm="1">
        <f t="array" ref="K47">IF($C47="","",IFERROR(_xlfn.LET(_xlpm.unit,B47,_xlpm.resident,C47,_xlpm.lastName,IFERROR(LEFT(_xlpm.resident,FIND(",",_xlpm.resident)-1),_xlpm.resident),_xlpm.llMatch,(LeaseLock!$D$2:$D$500=_xlpm.unit)*ISNUMBER(SEARCH(_xlpm.lastName,LeaseLock!$C$2:$C$500)),_xlpm.hasLL,SUMPRODUCT(_xlpm.llMatch)&gt;0,_xlpm.llStatus,IF(_xlpm.hasLL,_xlfn.LET(_xlpm.stat,LOOKUP(2,1/_xlpm.llMatch,LeaseLock!$F$2:$F$500),_xlpm.sub,LOOKUP(2,1/_xlpm.llMatch,LeaseLock!$G$2:$G$500),_xlpm.paid,LOOKUP(2,1/_xlpm.llMatch,LeaseLock!$M$2:$M$500),IF(_xlpm.stat="Claim Denied","Claim Denied ("&amp;_xlpm.sub&amp;")",IF(_xlpm.stat="Open","Open - "&amp;_xlpm.sub,IF(_xlpm.paid&gt;0,_xlpm.stat&amp;" - $"&amp;TEXT(_xlpm.paid,"#,##0.00")&amp;" paid",_xlpm.stat&amp;" - no payment")))),""),_xlpm.rsiMatches,ISNUMBER(SEARCH(_xlpm.lastName,Evictions_RSI!$B$3:$B$200))*(Evictions_RSI!$B$3:$B$200&lt;&gt;""),_xlpm.hasRSI,SUMPRODUCT(_xlpm.rsiMatches)&gt;0,_xlpm.rsiStatus,IF(_xlpm.hasRSI,_xlfn.LET(_xlpm.dates,IF(_xlpm.rsiMatches,IFERROR(DATEVALUE(SUBSTITUTE(Evictions_RSI!$A$3:$A$200,_xlfn.UNICHAR(8204),"")),0),0),_xlpm.latestRow,MATCH(MAX(_xlpm.dates),_xlpm.dates,0),TRIM(SUBSTITUTE(INDEX(Evictions_RSI!$I$3:$I$200,_xlpm.latestRow),_xlfn.UNICHAR(8204),""))),""),IF(AND(_xlpm.llStatus="",_xlpm.rsiStatus=""),"",IF(_xlpm.llStatus="","RSI: "&amp;_xlpm.rsiStatus,IF(_xlpm.rsiStatus="","LL: "&amp;_xlpm.llStatus,"LL: "&amp;_xlpm.llStatus&amp;" | RSI: "&amp;_xlpm.rsiStatus)))),""))</f>
        <v>RSI: COC - JOA Pending (Notes)</v>
      </c>
      <c r="L47" s="1002"/>
      <c r="Q47" s="973"/>
      <c r="R47" s="973"/>
      <c r="S47" s="973"/>
      <c r="T47" s="973"/>
      <c r="U47" s="973"/>
      <c r="V47" s="973"/>
      <c r="W47" s="973"/>
      <c r="X47" s="973"/>
      <c r="Y47" s="973"/>
      <c r="Z47" s="973"/>
    </row>
    <row r="48" spans="1:26" ht="12" customHeight="1" outlineLevel="1">
      <c r="A48" s="996" cm="1">
        <f t="array" ref="A48">IFERROR(_xlfn.LET(_xlpm.n,ROW()-16,_xlpm.adj,IF((((ISNUMBER(SEARCH("Eviction",'resident aged receivable'!$E$2:$E$460)))+(ISNUMBER(SEARCH("Past",'resident aged receivable'!$E$2:$E$460)))+(ISNUMBER(SEARCH("Skip",'resident aged receivable'!$E$2:$E$460)))+(ISNUMBER(SEARCH("Collections",'resident aged receivable'!$E$2:$E$460)))+(COUNTIF($N$3:$N$24,'resident aged receivable'!$D$2:$D$460)&gt;0))&gt;0)*(((((LEFT('resident aged receivable'!$E$2:$E$460,7)="Current")+(LEFT('resident aged receivable'!$E$2:$E$460,6)="Notice"))=0)+(COUNTIF($N$3:$N$24,'resident aged receivable'!$D$2:$D$460)&gt;0))&gt;0)*(COUNTIF($P$3:$P$24,'resident aged receivable'!$D$2:$D$460)=0)*('resident aged receivable'!$I$2:$I$460&gt;0),'resident aged receivable'!$I$2:$I$460-ROW('resident aged receivable'!$I$2:$I$460)/1000000),_xlpm.tgt,LARGE(_xlpm.adj,_xlpm.n),MATCH(_xlpm.tgt,_xlpm.adj,0)+1),"")</f>
        <v>105</v>
      </c>
      <c r="B48" s="997" t="str" cm="1">
        <f t="array" ref="B48">IF($A48="","",INDEX('resident aged receivable'!$B:$B,$A48))</f>
        <v>W05-1-0504</v>
      </c>
      <c r="C48" s="997" t="str" cm="1">
        <f t="array" ref="C48">IF($A48="","",INDEX('resident aged receivable'!$D:$D,$A48))</f>
        <v>Martinez, Omar</v>
      </c>
      <c r="D48" s="998" cm="1">
        <f t="array" ref="D48">IF($A48="","",INDEX('resident aged receivable'!$F:$F,$A48))</f>
        <v>45717</v>
      </c>
      <c r="E48" s="998" cm="1">
        <f t="array" ref="E48">IF($A48="","",_xlfn.LET(_xlpm.leaseEnd,INDEX('resident aged receivable'!$H:$H,$A48),_xlpm.moLookup,IFERROR(_xlfn.LET(_xlpm.lastFirst,C48,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46170</v>
      </c>
      <c r="F48" s="999" t="str">
        <f t="shared" si="0"/>
        <v>IPS</v>
      </c>
      <c r="G48" s="1000" t="str" cm="1">
        <f t="array" ref="G48">IF($A48="","",IF(COUNTIF($N$3:$N$24,C48)&gt;0,"Former",_xlfn.LET(_xlpm.s,INDEX('resident aged receivable'!$E:$E,$A48),IF(ISNUMBER(SEARCH("Eviction",_xlpm.s)),"Eviction",IF(ISNUMBER(SEARCH("Skip",_xlpm.s)),"Skip",IF(ISNUMBER(SEARCH("Past",_xlpm.s))+ISNUMBER(SEARCH("Collections",_xlpm.s)),"Former",_xlpm.s))))))</f>
        <v>Eviction</v>
      </c>
      <c r="H48" s="1001" cm="1">
        <f t="array" ref="H48">IF($A48="","",INDEX('resident aged receivable'!$I:$I,$A48))</f>
        <v>6664.09</v>
      </c>
      <c r="I48" s="1001" cm="1">
        <f t="array" ref="I48">IF($A48="","",INDEX('resident aged receivable'!$J:$J,$A48))</f>
        <v>0</v>
      </c>
      <c r="J48" s="1001" cm="1">
        <f t="array" ref="J48">IF($A48="","",INDEX('resident aged receivable'!$K:$K,$A48))</f>
        <v>0</v>
      </c>
      <c r="K48" s="1020" t="str" cm="1">
        <f t="array" ref="K48">IF($C48="","",IFERROR(_xlfn.LET(_xlpm.unit,B48,_xlpm.resident,C48,_xlpm.lastName,IFERROR(LEFT(_xlpm.resident,FIND(",",_xlpm.resident)-1),_xlpm.resident),_xlpm.llMatch,(LeaseLock!$D$2:$D$500=_xlpm.unit)*ISNUMBER(SEARCH(_xlpm.lastName,LeaseLock!$C$2:$C$500)),_xlpm.hasLL,SUMPRODUCT(_xlpm.llMatch)&gt;0,_xlpm.llStatus,IF(_xlpm.hasLL,_xlfn.LET(_xlpm.stat,LOOKUP(2,1/_xlpm.llMatch,LeaseLock!$F$2:$F$500),_xlpm.sub,LOOKUP(2,1/_xlpm.llMatch,LeaseLock!$G$2:$G$500),_xlpm.paid,LOOKUP(2,1/_xlpm.llMatch,LeaseLock!$M$2:$M$500),IF(_xlpm.stat="Claim Denied","Claim Denied ("&amp;_xlpm.sub&amp;")",IF(_xlpm.stat="Open","Open - "&amp;_xlpm.sub,IF(_xlpm.paid&gt;0,_xlpm.stat&amp;" - $"&amp;TEXT(_xlpm.paid,"#,##0.00")&amp;" paid",_xlpm.stat&amp;" - no payment")))),""),_xlpm.rsiMatches,ISNUMBER(SEARCH(_xlpm.lastName,Evictions_RSI!$B$3:$B$200))*(Evictions_RSI!$B$3:$B$200&lt;&gt;""),_xlpm.hasRSI,SUMPRODUCT(_xlpm.rsiMatches)&gt;0,_xlpm.rsiStatus,IF(_xlpm.hasRSI,_xlfn.LET(_xlpm.dates,IF(_xlpm.rsiMatches,IFERROR(DATEVALUE(SUBSTITUTE(Evictions_RSI!$A$3:$A$200,_xlfn.UNICHAR(8204),"")),0),0),_xlpm.latestRow,MATCH(MAX(_xlpm.dates),_xlpm.dates,0),TRIM(SUBSTITUTE(INDEX(Evictions_RSI!$I$3:$I$200,_xlpm.latestRow),_xlfn.UNICHAR(8204),""))),""),IF(AND(_xlpm.llStatus="",_xlpm.rsiStatus=""),"",IF(_xlpm.llStatus="","RSI: "&amp;_xlpm.rsiStatus,IF(_xlpm.rsiStatus="","LL: "&amp;_xlpm.llStatus,"LL: "&amp;_xlpm.llStatus&amp;" | RSI: "&amp;_xlpm.rsiStatus)))),""))</f>
        <v>RSI: Dismissed (Notes)</v>
      </c>
      <c r="L48" s="1002"/>
      <c r="Q48" s="973"/>
      <c r="R48" s="973"/>
      <c r="S48" s="973"/>
      <c r="T48" s="973"/>
      <c r="U48" s="973"/>
      <c r="V48" s="973"/>
      <c r="W48" s="973"/>
      <c r="X48" s="973"/>
      <c r="Y48" s="973"/>
      <c r="Z48" s="973"/>
    </row>
    <row r="49" spans="1:26" ht="12" customHeight="1" outlineLevel="1">
      <c r="A49" s="996" cm="1">
        <f t="array" ref="A49">IFERROR(_xlfn.LET(_xlpm.n,ROW()-16,_xlpm.adj,IF((((ISNUMBER(SEARCH("Eviction",'resident aged receivable'!$E$2:$E$460)))+(ISNUMBER(SEARCH("Past",'resident aged receivable'!$E$2:$E$460)))+(ISNUMBER(SEARCH("Skip",'resident aged receivable'!$E$2:$E$460)))+(ISNUMBER(SEARCH("Collections",'resident aged receivable'!$E$2:$E$460)))+(COUNTIF($N$3:$N$24,'resident aged receivable'!$D$2:$D$460)&gt;0))&gt;0)*(((((LEFT('resident aged receivable'!$E$2:$E$460,7)="Current")+(LEFT('resident aged receivable'!$E$2:$E$460,6)="Notice"))=0)+(COUNTIF($N$3:$N$24,'resident aged receivable'!$D$2:$D$460)&gt;0))&gt;0)*(COUNTIF($P$3:$P$24,'resident aged receivable'!$D$2:$D$460)=0)*('resident aged receivable'!$I$2:$I$460&gt;0),'resident aged receivable'!$I$2:$I$460-ROW('resident aged receivable'!$I$2:$I$460)/1000000),_xlpm.tgt,LARGE(_xlpm.adj,_xlpm.n),MATCH(_xlpm.tgt,_xlpm.adj,0)+1),"")</f>
        <v>34</v>
      </c>
      <c r="B49" s="997" t="str" cm="1">
        <f t="array" ref="B49">IF($A49="","",INDEX('resident aged receivable'!$B:$B,$A49))</f>
        <v>N18-1087</v>
      </c>
      <c r="C49" s="997" t="str" cm="1">
        <f t="array" ref="C49">IF($A49="","",INDEX('resident aged receivable'!$D:$D,$A49))</f>
        <v>Alvarez, Nixon</v>
      </c>
      <c r="D49" s="998" cm="1">
        <f t="array" ref="D49">IF($A49="","",INDEX('resident aged receivable'!$F:$F,$A49))</f>
        <v>44813</v>
      </c>
      <c r="E49" s="998" cm="1">
        <f t="array" ref="E49">IF($A49="","",_xlfn.LET(_xlpm.leaseEnd,INDEX('resident aged receivable'!$H:$H,$A49),_xlpm.moLookup,IFERROR(_xlfn.LET(_xlpm.lastFirst,C49,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46265</v>
      </c>
      <c r="F49" s="999" t="str">
        <f t="shared" ref="F49:F80" si="1">IF(D49="","",IF(D49&lt;DATE(2025,12,15),"IPS","CAF"))</f>
        <v>IPS</v>
      </c>
      <c r="G49" s="1000" t="str" cm="1">
        <f t="array" ref="G49">IF($A49="","",IF(COUNTIF($N$3:$N$24,C49)&gt;0,"Former",_xlfn.LET(_xlpm.s,INDEX('resident aged receivable'!$E:$E,$A49),IF(ISNUMBER(SEARCH("Eviction",_xlpm.s)),"Eviction",IF(ISNUMBER(SEARCH("Skip",_xlpm.s)),"Skip",IF(ISNUMBER(SEARCH("Past",_xlpm.s))+ISNUMBER(SEARCH("Collections",_xlpm.s)),"Former",_xlpm.s))))))</f>
        <v>Former</v>
      </c>
      <c r="H49" s="1001" cm="1">
        <f t="array" ref="H49">IF($A49="","",INDEX('resident aged receivable'!$I:$I,$A49))</f>
        <v>6254.28</v>
      </c>
      <c r="I49" s="1001" cm="1">
        <f t="array" ref="I49">IF($A49="","",INDEX('resident aged receivable'!$J:$J,$A49))</f>
        <v>0</v>
      </c>
      <c r="J49" s="1001" cm="1">
        <f t="array" ref="J49">IF($A49="","",INDEX('resident aged receivable'!$K:$K,$A49))</f>
        <v>2319.85</v>
      </c>
      <c r="K49" s="1020" t="str" cm="1">
        <f t="array" ref="K49">IF($C49="","",IFERROR(_xlfn.LET(_xlpm.unit,B49,_xlpm.resident,C49,_xlpm.lastName,IFERROR(LEFT(_xlpm.resident,FIND(",",_xlpm.resident)-1),_xlpm.resident),_xlpm.llMatch,(LeaseLock!$D$2:$D$500=_xlpm.unit)*ISNUMBER(SEARCH(_xlpm.lastName,LeaseLock!$C$2:$C$500)),_xlpm.hasLL,SUMPRODUCT(_xlpm.llMatch)&gt;0,_xlpm.llStatus,IF(_xlpm.hasLL,_xlfn.LET(_xlpm.stat,LOOKUP(2,1/_xlpm.llMatch,LeaseLock!$F$2:$F$500),_xlpm.sub,LOOKUP(2,1/_xlpm.llMatch,LeaseLock!$G$2:$G$500),_xlpm.paid,LOOKUP(2,1/_xlpm.llMatch,LeaseLock!$M$2:$M$500),IF(_xlpm.stat="Claim Denied","Claim Denied ("&amp;_xlpm.sub&amp;")",IF(_xlpm.stat="Open","Open - "&amp;_xlpm.sub,IF(_xlpm.paid&gt;0,_xlpm.stat&amp;" - $"&amp;TEXT(_xlpm.paid,"#,##0.00")&amp;" paid",_xlpm.stat&amp;" - no payment")))),""),_xlpm.rsiMatches,ISNUMBER(SEARCH(_xlpm.lastName,Evictions_RSI!$B$3:$B$200))*(Evictions_RSI!$B$3:$B$200&lt;&gt;""),_xlpm.hasRSI,SUMPRODUCT(_xlpm.rsiMatches)&gt;0,_xlpm.rsiStatus,IF(_xlpm.hasRSI,_xlfn.LET(_xlpm.dates,IF(_xlpm.rsiMatches,IFERROR(DATEVALUE(SUBSTITUTE(Evictions_RSI!$A$3:$A$200,_xlfn.UNICHAR(8204),"")),0),0),_xlpm.latestRow,MATCH(MAX(_xlpm.dates),_xlpm.dates,0),TRIM(SUBSTITUTE(INDEX(Evictions_RSI!$I$3:$I$200,_xlpm.latestRow),_xlfn.UNICHAR(8204),""))),""),IF(AND(_xlpm.llStatus="",_xlpm.rsiStatus=""),"",IF(_xlpm.llStatus="","RSI: "&amp;_xlpm.rsiStatus,IF(_xlpm.rsiStatus="","LL: "&amp;_xlpm.llStatus,"LL: "&amp;_xlpm.llStatus&amp;" | RSI: "&amp;_xlpm.rsiStatus)))),""))</f>
        <v>RSI: Dismissed (Notes)</v>
      </c>
      <c r="L49" s="1002" t="s">
        <v>1154</v>
      </c>
      <c r="Q49" s="973"/>
      <c r="R49" s="973"/>
      <c r="S49" s="973"/>
      <c r="T49" s="973"/>
      <c r="U49" s="973"/>
      <c r="V49" s="973"/>
      <c r="W49" s="973"/>
      <c r="X49" s="973"/>
      <c r="Y49" s="973"/>
      <c r="Z49" s="973"/>
    </row>
    <row r="50" spans="1:26" ht="12" customHeight="1" outlineLevel="1">
      <c r="A50" s="996" cm="1">
        <f t="array" ref="A50">IFERROR(_xlfn.LET(_xlpm.n,ROW()-16,_xlpm.adj,IF((((ISNUMBER(SEARCH("Eviction",'resident aged receivable'!$E$2:$E$460)))+(ISNUMBER(SEARCH("Past",'resident aged receivable'!$E$2:$E$460)))+(ISNUMBER(SEARCH("Skip",'resident aged receivable'!$E$2:$E$460)))+(ISNUMBER(SEARCH("Collections",'resident aged receivable'!$E$2:$E$460)))+(COUNTIF($N$3:$N$24,'resident aged receivable'!$D$2:$D$460)&gt;0))&gt;0)*(((((LEFT('resident aged receivable'!$E$2:$E$460,7)="Current")+(LEFT('resident aged receivable'!$E$2:$E$460,6)="Notice"))=0)+(COUNTIF($N$3:$N$24,'resident aged receivable'!$D$2:$D$460)&gt;0))&gt;0)*(COUNTIF($P$3:$P$24,'resident aged receivable'!$D$2:$D$460)=0)*('resident aged receivable'!$I$2:$I$460&gt;0),'resident aged receivable'!$I$2:$I$460-ROW('resident aged receivable'!$I$2:$I$460)/1000000),_xlpm.tgt,LARGE(_xlpm.adj,_xlpm.n),MATCH(_xlpm.tgt,_xlpm.adj,0)+1),"")</f>
        <v>145</v>
      </c>
      <c r="B50" s="997" t="str" cm="1">
        <f t="array" ref="B50">IF($A50="","",INDEX('resident aged receivable'!$B:$B,$A50))</f>
        <v>W15-2-1091</v>
      </c>
      <c r="C50" s="997" t="str" cm="1">
        <f t="array" ref="C50">IF($A50="","",INDEX('resident aged receivable'!$D:$D,$A50))</f>
        <v>Ruiz, Ludivina</v>
      </c>
      <c r="D50" s="998" cm="1">
        <f t="array" ref="D50">IF($A50="","",INDEX('resident aged receivable'!$F:$F,$A50))</f>
        <v>45377</v>
      </c>
      <c r="E50" s="998" cm="1">
        <f t="array" ref="E50">IF($A50="","",_xlfn.LET(_xlpm.leaseEnd,INDEX('resident aged receivable'!$H:$H,$A50),_xlpm.moLookup,IFERROR(_xlfn.LET(_xlpm.lastFirst,C50,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46203</v>
      </c>
      <c r="F50" s="999" t="str">
        <f t="shared" si="1"/>
        <v>IPS</v>
      </c>
      <c r="G50" s="1000" t="str" cm="1">
        <f t="array" ref="G50">IF($A50="","",IF(COUNTIF($N$3:$N$24,C50)&gt;0,"Former",_xlfn.LET(_xlpm.s,INDEX('resident aged receivable'!$E:$E,$A50),IF(ISNUMBER(SEARCH("Eviction",_xlpm.s)),"Eviction",IF(ISNUMBER(SEARCH("Skip",_xlpm.s)),"Skip",IF(ISNUMBER(SEARCH("Past",_xlpm.s))+ISNUMBER(SEARCH("Collections",_xlpm.s)),"Former",_xlpm.s))))))</f>
        <v>Eviction</v>
      </c>
      <c r="H50" s="1001" cm="1">
        <f t="array" ref="H50">IF($A50="","",INDEX('resident aged receivable'!$I:$I,$A50))</f>
        <v>6139.08</v>
      </c>
      <c r="I50" s="1001" cm="1">
        <f t="array" ref="I50">IF($A50="","",INDEX('resident aged receivable'!$J:$J,$A50))</f>
        <v>0</v>
      </c>
      <c r="J50" s="1001" cm="1">
        <f t="array" ref="J50">IF($A50="","",INDEX('resident aged receivable'!$K:$K,$A50))</f>
        <v>0</v>
      </c>
      <c r="K50" s="1020" t="str" cm="1">
        <f t="array" ref="K50">IF($C50="","",IFERROR(_xlfn.LET(_xlpm.unit,B50,_xlpm.resident,C50,_xlpm.lastName,IFERROR(LEFT(_xlpm.resident,FIND(",",_xlpm.resident)-1),_xlpm.resident),_xlpm.llMatch,(LeaseLock!$D$2:$D$500=_xlpm.unit)*ISNUMBER(SEARCH(_xlpm.lastName,LeaseLock!$C$2:$C$500)),_xlpm.hasLL,SUMPRODUCT(_xlpm.llMatch)&gt;0,_xlpm.llStatus,IF(_xlpm.hasLL,_xlfn.LET(_xlpm.stat,LOOKUP(2,1/_xlpm.llMatch,LeaseLock!$F$2:$F$500),_xlpm.sub,LOOKUP(2,1/_xlpm.llMatch,LeaseLock!$G$2:$G$500),_xlpm.paid,LOOKUP(2,1/_xlpm.llMatch,LeaseLock!$M$2:$M$500),IF(_xlpm.stat="Claim Denied","Claim Denied ("&amp;_xlpm.sub&amp;")",IF(_xlpm.stat="Open","Open - "&amp;_xlpm.sub,IF(_xlpm.paid&gt;0,_xlpm.stat&amp;" - $"&amp;TEXT(_xlpm.paid,"#,##0.00")&amp;" paid",_xlpm.stat&amp;" - no payment")))),""),_xlpm.rsiMatches,ISNUMBER(SEARCH(_xlpm.lastName,Evictions_RSI!$B$3:$B$200))*(Evictions_RSI!$B$3:$B$200&lt;&gt;""),_xlpm.hasRSI,SUMPRODUCT(_xlpm.rsiMatches)&gt;0,_xlpm.rsiStatus,IF(_xlpm.hasRSI,_xlfn.LET(_xlpm.dates,IF(_xlpm.rsiMatches,IFERROR(DATEVALUE(SUBSTITUTE(Evictions_RSI!$A$3:$A$200,_xlfn.UNICHAR(8204),"")),0),0),_xlpm.latestRow,MATCH(MAX(_xlpm.dates),_xlpm.dates,0),TRIM(SUBSTITUTE(INDEX(Evictions_RSI!$I$3:$I$200,_xlpm.latestRow),_xlfn.UNICHAR(8204),""))),""),IF(AND(_xlpm.llStatus="",_xlpm.rsiStatus=""),"",IF(_xlpm.llStatus="","RSI: "&amp;_xlpm.rsiStatus,IF(_xlpm.rsiStatus="","LL: "&amp;_xlpm.llStatus,"LL: "&amp;_xlpm.llStatus&amp;" | RSI: "&amp;_xlpm.rsiStatus)))),""))</f>
        <v>LL: Closed - $750.00 paid | RSI: Cancelled (Notes)</v>
      </c>
      <c r="L50" s="1002"/>
      <c r="Q50" s="973"/>
      <c r="R50" s="973"/>
      <c r="S50" s="973"/>
      <c r="T50" s="973"/>
      <c r="U50" s="973"/>
      <c r="V50" s="973"/>
      <c r="W50" s="973"/>
      <c r="X50" s="973"/>
      <c r="Y50" s="973"/>
      <c r="Z50" s="973"/>
    </row>
    <row r="51" spans="1:26" ht="12" customHeight="1" outlineLevel="1">
      <c r="A51" s="996" cm="1">
        <f t="array" ref="A51">IFERROR(_xlfn.LET(_xlpm.n,ROW()-16,_xlpm.adj,IF((((ISNUMBER(SEARCH("Eviction",'resident aged receivable'!$E$2:$E$460)))+(ISNUMBER(SEARCH("Past",'resident aged receivable'!$E$2:$E$460)))+(ISNUMBER(SEARCH("Skip",'resident aged receivable'!$E$2:$E$460)))+(ISNUMBER(SEARCH("Collections",'resident aged receivable'!$E$2:$E$460)))+(COUNTIF($N$3:$N$24,'resident aged receivable'!$D$2:$D$460)&gt;0))&gt;0)*(((((LEFT('resident aged receivable'!$E$2:$E$460,7)="Current")+(LEFT('resident aged receivable'!$E$2:$E$460,6)="Notice"))=0)+(COUNTIF($N$3:$N$24,'resident aged receivable'!$D$2:$D$460)&gt;0))&gt;0)*(COUNTIF($P$3:$P$24,'resident aged receivable'!$D$2:$D$460)=0)*('resident aged receivable'!$I$2:$I$460&gt;0),'resident aged receivable'!$I$2:$I$460-ROW('resident aged receivable'!$I$2:$I$460)/1000000),_xlpm.tgt,LARGE(_xlpm.adj,_xlpm.n),MATCH(_xlpm.tgt,_xlpm.adj,0)+1),"")</f>
        <v>44</v>
      </c>
      <c r="B51" s="997" t="str" cm="1">
        <f t="array" ref="B51">IF($A51="","",INDEX('resident aged receivable'!$B:$B,$A51))</f>
        <v>N20-1094</v>
      </c>
      <c r="C51" s="997" t="str" cm="1">
        <f t="array" ref="C51">IF($A51="","",INDEX('resident aged receivable'!$D:$D,$A51))</f>
        <v>Fonseca, Maria</v>
      </c>
      <c r="D51" s="998" cm="1">
        <f t="array" ref="D51">IF($A51="","",INDEX('resident aged receivable'!$F:$F,$A51))</f>
        <v>44233</v>
      </c>
      <c r="E51" s="998" cm="1">
        <f t="array" ref="E51">IF($A51="","",_xlfn.LET(_xlpm.leaseEnd,INDEX('resident aged receivable'!$H:$H,$A51),_xlpm.moLookup,IFERROR(_xlfn.LET(_xlpm.lastFirst,C51,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46170</v>
      </c>
      <c r="F51" s="999" t="str">
        <f t="shared" si="1"/>
        <v>IPS</v>
      </c>
      <c r="G51" s="1000" t="str" cm="1">
        <f t="array" ref="G51">IF($A51="","",IF(COUNTIF($N$3:$N$24,C51)&gt;0,"Former",_xlfn.LET(_xlpm.s,INDEX('resident aged receivable'!$E:$E,$A51),IF(ISNUMBER(SEARCH("Eviction",_xlpm.s)),"Eviction",IF(ISNUMBER(SEARCH("Skip",_xlpm.s)),"Skip",IF(ISNUMBER(SEARCH("Past",_xlpm.s))+ISNUMBER(SEARCH("Collections",_xlpm.s)),"Former",_xlpm.s))))))</f>
        <v>Eviction</v>
      </c>
      <c r="H51" s="1001" cm="1">
        <f t="array" ref="H51">IF($A51="","",INDEX('resident aged receivable'!$I:$I,$A51))</f>
        <v>5926.96</v>
      </c>
      <c r="I51" s="1001" cm="1">
        <f t="array" ref="I51">IF($A51="","",INDEX('resident aged receivable'!$J:$J,$A51))</f>
        <v>0</v>
      </c>
      <c r="J51" s="1001" cm="1">
        <f t="array" ref="J51">IF($A51="","",INDEX('resident aged receivable'!$K:$K,$A51))</f>
        <v>0</v>
      </c>
      <c r="K51" s="1020" t="str" cm="1">
        <f t="array" ref="K51">IF($C51="","",IFERROR(_xlfn.LET(_xlpm.unit,B51,_xlpm.resident,C51,_xlpm.lastName,IFERROR(LEFT(_xlpm.resident,FIND(",",_xlpm.resident)-1),_xlpm.resident),_xlpm.llMatch,(LeaseLock!$D$2:$D$500=_xlpm.unit)*ISNUMBER(SEARCH(_xlpm.lastName,LeaseLock!$C$2:$C$500)),_xlpm.hasLL,SUMPRODUCT(_xlpm.llMatch)&gt;0,_xlpm.llStatus,IF(_xlpm.hasLL,_xlfn.LET(_xlpm.stat,LOOKUP(2,1/_xlpm.llMatch,LeaseLock!$F$2:$F$500),_xlpm.sub,LOOKUP(2,1/_xlpm.llMatch,LeaseLock!$G$2:$G$500),_xlpm.paid,LOOKUP(2,1/_xlpm.llMatch,LeaseLock!$M$2:$M$500),IF(_xlpm.stat="Claim Denied","Claim Denied ("&amp;_xlpm.sub&amp;")",IF(_xlpm.stat="Open","Open - "&amp;_xlpm.sub,IF(_xlpm.paid&gt;0,_xlpm.stat&amp;" - $"&amp;TEXT(_xlpm.paid,"#,##0.00")&amp;" paid",_xlpm.stat&amp;" - no payment")))),""),_xlpm.rsiMatches,ISNUMBER(SEARCH(_xlpm.lastName,Evictions_RSI!$B$3:$B$200))*(Evictions_RSI!$B$3:$B$200&lt;&gt;""),_xlpm.hasRSI,SUMPRODUCT(_xlpm.rsiMatches)&gt;0,_xlpm.rsiStatus,IF(_xlpm.hasRSI,_xlfn.LET(_xlpm.dates,IF(_xlpm.rsiMatches,IFERROR(DATEVALUE(SUBSTITUTE(Evictions_RSI!$A$3:$A$200,_xlfn.UNICHAR(8204),"")),0),0),_xlpm.latestRow,MATCH(MAX(_xlpm.dates),_xlpm.dates,0),TRIM(SUBSTITUTE(INDEX(Evictions_RSI!$I$3:$I$200,_xlpm.latestRow),_xlfn.UNICHAR(8204),""))),""),IF(AND(_xlpm.llStatus="",_xlpm.rsiStatus=""),"",IF(_xlpm.llStatus="","RSI: "&amp;_xlpm.rsiStatus,IF(_xlpm.rsiStatus="","LL: "&amp;_xlpm.llStatus,"LL: "&amp;_xlpm.llStatus&amp;" | RSI: "&amp;_xlpm.rsiStatus)))),""))</f>
        <v>LL: Closed - $750.00 paid | RSI: Dismissed (Notes)</v>
      </c>
      <c r="L51" s="1002"/>
      <c r="Q51" s="973"/>
      <c r="R51" s="973"/>
      <c r="S51" s="973"/>
      <c r="T51" s="973"/>
      <c r="U51" s="973"/>
      <c r="V51" s="973"/>
      <c r="W51" s="973"/>
      <c r="X51" s="973"/>
      <c r="Y51" s="973"/>
      <c r="Z51" s="973"/>
    </row>
    <row r="52" spans="1:26" ht="12" customHeight="1" outlineLevel="1">
      <c r="A52" s="996" cm="1">
        <f t="array" ref="A52">IFERROR(_xlfn.LET(_xlpm.n,ROW()-16,_xlpm.adj,IF((((ISNUMBER(SEARCH("Eviction",'resident aged receivable'!$E$2:$E$460)))+(ISNUMBER(SEARCH("Past",'resident aged receivable'!$E$2:$E$460)))+(ISNUMBER(SEARCH("Skip",'resident aged receivable'!$E$2:$E$460)))+(ISNUMBER(SEARCH("Collections",'resident aged receivable'!$E$2:$E$460)))+(COUNTIF($N$3:$N$24,'resident aged receivable'!$D$2:$D$460)&gt;0))&gt;0)*(((((LEFT('resident aged receivable'!$E$2:$E$460,7)="Current")+(LEFT('resident aged receivable'!$E$2:$E$460,6)="Notice"))=0)+(COUNTIF($N$3:$N$24,'resident aged receivable'!$D$2:$D$460)&gt;0))&gt;0)*(COUNTIF($P$3:$P$24,'resident aged receivable'!$D$2:$D$460)=0)*('resident aged receivable'!$I$2:$I$460&gt;0),'resident aged receivable'!$I$2:$I$460-ROW('resident aged receivable'!$I$2:$I$460)/1000000),_xlpm.tgt,LARGE(_xlpm.adj,_xlpm.n),MATCH(_xlpm.tgt,_xlpm.adj,0)+1),"")</f>
        <v>138</v>
      </c>
      <c r="B52" s="997" t="str" cm="1">
        <f t="array" ref="B52">IF($A52="","",INDEX('resident aged receivable'!$B:$B,$A52))</f>
        <v>W14-1-1404</v>
      </c>
      <c r="C52" s="997" t="str" cm="1">
        <f t="array" ref="C52">IF($A52="","",INDEX('resident aged receivable'!$D:$D,$A52))</f>
        <v>Garcia, Marlet</v>
      </c>
      <c r="D52" s="998" cm="1">
        <f t="array" ref="D52">IF($A52="","",INDEX('resident aged receivable'!$F:$F,$A52))</f>
        <v>45778</v>
      </c>
      <c r="E52" s="998" cm="1">
        <f t="array" ref="E52">IF($A52="","",_xlfn.LET(_xlpm.leaseEnd,INDEX('resident aged receivable'!$H:$H,$A52),_xlpm.moLookup,IFERROR(_xlfn.LET(_xlpm.lastFirst,C52,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46186</v>
      </c>
      <c r="F52" s="999" t="str">
        <f t="shared" si="1"/>
        <v>IPS</v>
      </c>
      <c r="G52" s="1000" t="str" cm="1">
        <f t="array" ref="G52">IF($A52="","",IF(COUNTIF($N$3:$N$24,C52)&gt;0,"Former",_xlfn.LET(_xlpm.s,INDEX('resident aged receivable'!$E:$E,$A52),IF(ISNUMBER(SEARCH("Eviction",_xlpm.s)),"Eviction",IF(ISNUMBER(SEARCH("Skip",_xlpm.s)),"Skip",IF(ISNUMBER(SEARCH("Past",_xlpm.s))+ISNUMBER(SEARCH("Collections",_xlpm.s)),"Former",_xlpm.s))))))</f>
        <v>Former</v>
      </c>
      <c r="H52" s="1001" cm="1">
        <f t="array" ref="H52">IF($A52="","",INDEX('resident aged receivable'!$I:$I,$A52))</f>
        <v>5704.82</v>
      </c>
      <c r="I52" s="1001" cm="1">
        <f t="array" ref="I52">IF($A52="","",INDEX('resident aged receivable'!$J:$J,$A52))</f>
        <v>0</v>
      </c>
      <c r="J52" s="1001" cm="1">
        <f t="array" ref="J52">IF($A52="","",INDEX('resident aged receivable'!$K:$K,$A52))</f>
        <v>0</v>
      </c>
      <c r="K52" s="1020" t="str" cm="1">
        <f t="array" ref="K52">IF($C52="","",IFERROR(_xlfn.LET(_xlpm.unit,B52,_xlpm.resident,C52,_xlpm.lastName,IFERROR(LEFT(_xlpm.resident,FIND(",",_xlpm.resident)-1),_xlpm.resident),_xlpm.llMatch,(LeaseLock!$D$2:$D$500=_xlpm.unit)*ISNUMBER(SEARCH(_xlpm.lastName,LeaseLock!$C$2:$C$500)),_xlpm.hasLL,SUMPRODUCT(_xlpm.llMatch)&gt;0,_xlpm.llStatus,IF(_xlpm.hasLL,_xlfn.LET(_xlpm.stat,LOOKUP(2,1/_xlpm.llMatch,LeaseLock!$F$2:$F$500),_xlpm.sub,LOOKUP(2,1/_xlpm.llMatch,LeaseLock!$G$2:$G$500),_xlpm.paid,LOOKUP(2,1/_xlpm.llMatch,LeaseLock!$M$2:$M$500),IF(_xlpm.stat="Claim Denied","Claim Denied ("&amp;_xlpm.sub&amp;")",IF(_xlpm.stat="Open","Open - "&amp;_xlpm.sub,IF(_xlpm.paid&gt;0,_xlpm.stat&amp;" - $"&amp;TEXT(_xlpm.paid,"#,##0.00")&amp;" paid",_xlpm.stat&amp;" - no payment")))),""),_xlpm.rsiMatches,ISNUMBER(SEARCH(_xlpm.lastName,Evictions_RSI!$B$3:$B$200))*(Evictions_RSI!$B$3:$B$200&lt;&gt;""),_xlpm.hasRSI,SUMPRODUCT(_xlpm.rsiMatches)&gt;0,_xlpm.rsiStatus,IF(_xlpm.hasRSI,_xlfn.LET(_xlpm.dates,IF(_xlpm.rsiMatches,IFERROR(DATEVALUE(SUBSTITUTE(Evictions_RSI!$A$3:$A$200,_xlfn.UNICHAR(8204),"")),0),0),_xlpm.latestRow,MATCH(MAX(_xlpm.dates),_xlpm.dates,0),TRIM(SUBSTITUTE(INDEX(Evictions_RSI!$I$3:$I$200,_xlpm.latestRow),_xlfn.UNICHAR(8204),""))),""),IF(AND(_xlpm.llStatus="",_xlpm.rsiStatus=""),"",IF(_xlpm.llStatus="","RSI: "&amp;_xlpm.rsiStatus,IF(_xlpm.rsiStatus="","LL: "&amp;_xlpm.llStatus,"LL: "&amp;_xlpm.llStatus&amp;" | RSI: "&amp;_xlpm.rsiStatus)))),""))</f>
        <v>LL: New - no payment</v>
      </c>
      <c r="L52" s="1002"/>
      <c r="Q52" s="973"/>
      <c r="R52" s="973"/>
      <c r="S52" s="973"/>
      <c r="T52" s="973"/>
      <c r="U52" s="973"/>
      <c r="V52" s="973"/>
      <c r="W52" s="973"/>
      <c r="X52" s="973"/>
      <c r="Y52" s="973"/>
      <c r="Z52" s="973"/>
    </row>
    <row r="53" spans="1:26" ht="12" customHeight="1" outlineLevel="1">
      <c r="A53" s="996" cm="1">
        <f t="array" ref="A53">IFERROR(_xlfn.LET(_xlpm.n,ROW()-16,_xlpm.adj,IF((((ISNUMBER(SEARCH("Eviction",'resident aged receivable'!$E$2:$E$460)))+(ISNUMBER(SEARCH("Past",'resident aged receivable'!$E$2:$E$460)))+(ISNUMBER(SEARCH("Skip",'resident aged receivable'!$E$2:$E$460)))+(ISNUMBER(SEARCH("Collections",'resident aged receivable'!$E$2:$E$460)))+(COUNTIF($N$3:$N$24,'resident aged receivable'!$D$2:$D$460)&gt;0))&gt;0)*(((((LEFT('resident aged receivable'!$E$2:$E$460,7)="Current")+(LEFT('resident aged receivable'!$E$2:$E$460,6)="Notice"))=0)+(COUNTIF($N$3:$N$24,'resident aged receivable'!$D$2:$D$460)&gt;0))&gt;0)*(COUNTIF($P$3:$P$24,'resident aged receivable'!$D$2:$D$460)=0)*('resident aged receivable'!$I$2:$I$460&gt;0),'resident aged receivable'!$I$2:$I$460-ROW('resident aged receivable'!$I$2:$I$460)/1000000),_xlpm.tgt,LARGE(_xlpm.adj,_xlpm.n),MATCH(_xlpm.tgt,_xlpm.adj,0)+1),"")</f>
        <v>11</v>
      </c>
      <c r="B53" s="997" t="str" cm="1">
        <f t="array" ref="B53">IF($A53="","",INDEX('resident aged receivable'!$B:$B,$A53))</f>
        <v>N03-3016</v>
      </c>
      <c r="C53" s="997" t="str" cm="1">
        <f t="array" ref="C53">IF($A53="","",INDEX('resident aged receivable'!$D:$D,$A53))</f>
        <v>King, Ronald</v>
      </c>
      <c r="D53" s="998" cm="1">
        <f t="array" ref="D53">IF($A53="","",INDEX('resident aged receivable'!$F:$F,$A53))</f>
        <v>45470</v>
      </c>
      <c r="E53" s="998" cm="1">
        <f t="array" ref="E53">IF($A53="","",_xlfn.LET(_xlpm.leaseEnd,INDEX('resident aged receivable'!$H:$H,$A53),_xlpm.moLookup,IFERROR(_xlfn.LET(_xlpm.lastFirst,C53,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46234</v>
      </c>
      <c r="F53" s="999" t="str">
        <f t="shared" si="1"/>
        <v>IPS</v>
      </c>
      <c r="G53" s="1000" t="str" cm="1">
        <f t="array" ref="G53">IF($A53="","",IF(COUNTIF($N$3:$N$24,C53)&gt;0,"Former",_xlfn.LET(_xlpm.s,INDEX('resident aged receivable'!$E:$E,$A53),IF(ISNUMBER(SEARCH("Eviction",_xlpm.s)),"Eviction",IF(ISNUMBER(SEARCH("Skip",_xlpm.s)),"Skip",IF(ISNUMBER(SEARCH("Past",_xlpm.s))+ISNUMBER(SEARCH("Collections",_xlpm.s)),"Former",_xlpm.s))))))</f>
        <v>Eviction</v>
      </c>
      <c r="H53" s="1001" cm="1">
        <f t="array" ref="H53">IF($A53="","",INDEX('resident aged receivable'!$I:$I,$A53))</f>
        <v>5448.36</v>
      </c>
      <c r="I53" s="1001" cm="1">
        <f t="array" ref="I53">IF($A53="","",INDEX('resident aged receivable'!$J:$J,$A53))</f>
        <v>0</v>
      </c>
      <c r="J53" s="1001" cm="1">
        <f t="array" ref="J53">IF($A53="","",INDEX('resident aged receivable'!$K:$K,$A53))</f>
        <v>0</v>
      </c>
      <c r="K53" s="1020" t="str" cm="1">
        <f t="array" ref="K53">IF($C53="","",IFERROR(_xlfn.LET(_xlpm.unit,B53,_xlpm.resident,C53,_xlpm.lastName,IFERROR(LEFT(_xlpm.resident,FIND(",",_xlpm.resident)-1),_xlpm.resident),_xlpm.llMatch,(LeaseLock!$D$2:$D$500=_xlpm.unit)*ISNUMBER(SEARCH(_xlpm.lastName,LeaseLock!$C$2:$C$500)),_xlpm.hasLL,SUMPRODUCT(_xlpm.llMatch)&gt;0,_xlpm.llStatus,IF(_xlpm.hasLL,_xlfn.LET(_xlpm.stat,LOOKUP(2,1/_xlpm.llMatch,LeaseLock!$F$2:$F$500),_xlpm.sub,LOOKUP(2,1/_xlpm.llMatch,LeaseLock!$G$2:$G$500),_xlpm.paid,LOOKUP(2,1/_xlpm.llMatch,LeaseLock!$M$2:$M$500),IF(_xlpm.stat="Claim Denied","Claim Denied ("&amp;_xlpm.sub&amp;")",IF(_xlpm.stat="Open","Open - "&amp;_xlpm.sub,IF(_xlpm.paid&gt;0,_xlpm.stat&amp;" - $"&amp;TEXT(_xlpm.paid,"#,##0.00")&amp;" paid",_xlpm.stat&amp;" - no payment")))),""),_xlpm.rsiMatches,ISNUMBER(SEARCH(_xlpm.lastName,Evictions_RSI!$B$3:$B$200))*(Evictions_RSI!$B$3:$B$200&lt;&gt;""),_xlpm.hasRSI,SUMPRODUCT(_xlpm.rsiMatches)&gt;0,_xlpm.rsiStatus,IF(_xlpm.hasRSI,_xlfn.LET(_xlpm.dates,IF(_xlpm.rsiMatches,IFERROR(DATEVALUE(SUBSTITUTE(Evictions_RSI!$A$3:$A$200,_xlfn.UNICHAR(8204),"")),0),0),_xlpm.latestRow,MATCH(MAX(_xlpm.dates),_xlpm.dates,0),TRIM(SUBSTITUTE(INDEX(Evictions_RSI!$I$3:$I$200,_xlpm.latestRow),_xlfn.UNICHAR(8204),""))),""),IF(AND(_xlpm.llStatus="",_xlpm.rsiStatus=""),"",IF(_xlpm.llStatus="","RSI: "&amp;_xlpm.rsiStatus,IF(_xlpm.rsiStatus="","LL: "&amp;_xlpm.llStatus,"LL: "&amp;_xlpm.llStatus&amp;" | RSI: "&amp;_xlpm.rsiStatus)))),""))</f>
        <v>LL: Closed - $750.00 paid | RSI: Dismissed (Notes)</v>
      </c>
      <c r="L53" s="1002"/>
      <c r="Q53" s="973"/>
      <c r="R53" s="973"/>
      <c r="S53" s="973"/>
      <c r="T53" s="973"/>
      <c r="U53" s="973"/>
      <c r="V53" s="973"/>
      <c r="W53" s="973"/>
      <c r="X53" s="973"/>
      <c r="Y53" s="973"/>
      <c r="Z53" s="973"/>
    </row>
    <row r="54" spans="1:26" ht="12" customHeight="1" outlineLevel="1">
      <c r="A54" s="996" cm="1">
        <f t="array" ref="A54">IFERROR(_xlfn.LET(_xlpm.n,ROW()-16,_xlpm.adj,IF((((ISNUMBER(SEARCH("Eviction",'resident aged receivable'!$E$2:$E$460)))+(ISNUMBER(SEARCH("Past",'resident aged receivable'!$E$2:$E$460)))+(ISNUMBER(SEARCH("Skip",'resident aged receivable'!$E$2:$E$460)))+(ISNUMBER(SEARCH("Collections",'resident aged receivable'!$E$2:$E$460)))+(COUNTIF($N$3:$N$24,'resident aged receivable'!$D$2:$D$460)&gt;0))&gt;0)*(((((LEFT('resident aged receivable'!$E$2:$E$460,7)="Current")+(LEFT('resident aged receivable'!$E$2:$E$460,6)="Notice"))=0)+(COUNTIF($N$3:$N$24,'resident aged receivable'!$D$2:$D$460)&gt;0))&gt;0)*(COUNTIF($P$3:$P$24,'resident aged receivable'!$D$2:$D$460)=0)*('resident aged receivable'!$I$2:$I$460&gt;0),'resident aged receivable'!$I$2:$I$460-ROW('resident aged receivable'!$I$2:$I$460)/1000000),_xlpm.tgt,LARGE(_xlpm.adj,_xlpm.n),MATCH(_xlpm.tgt,_xlpm.adj,0)+1),"")</f>
        <v>59</v>
      </c>
      <c r="B54" s="997" t="str" cm="1">
        <f t="array" ref="B54">IF($A54="","",INDEX('resident aged receivable'!$B:$B,$A54))</f>
        <v>S26-415</v>
      </c>
      <c r="C54" s="997" t="str" cm="1">
        <f t="array" ref="C54">IF($A54="","",INDEX('resident aged receivable'!$D:$D,$A54))</f>
        <v>Jackson, Tamia</v>
      </c>
      <c r="D54" s="998" cm="1">
        <f t="array" ref="D54">IF($A54="","",INDEX('resident aged receivable'!$F:$F,$A54))</f>
        <v>46087</v>
      </c>
      <c r="E54" s="998" cm="1">
        <f t="array" ref="E54">IF($A54="","",_xlfn.LET(_xlpm.leaseEnd,INDEX('resident aged receivable'!$H:$H,$A54),_xlpm.moLookup,IFERROR(_xlfn.LET(_xlpm.lastFirst,C54,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46451</v>
      </c>
      <c r="F54" s="999" t="str">
        <f t="shared" si="1"/>
        <v>CAF</v>
      </c>
      <c r="G54" s="1000" t="str" cm="1">
        <f t="array" ref="G54">IF($A54="","",IF(COUNTIF($N$3:$N$24,C54)&gt;0,"Former",_xlfn.LET(_xlpm.s,INDEX('resident aged receivable'!$E:$E,$A54),IF(ISNUMBER(SEARCH("Eviction",_xlpm.s)),"Eviction",IF(ISNUMBER(SEARCH("Skip",_xlpm.s)),"Skip",IF(ISNUMBER(SEARCH("Past",_xlpm.s))+ISNUMBER(SEARCH("Collections",_xlpm.s)),"Former",_xlpm.s))))))</f>
        <v>Former</v>
      </c>
      <c r="H54" s="1001" cm="1">
        <f t="array" ref="H54">IF($A54="","",INDEX('resident aged receivable'!$I:$I,$A54))</f>
        <v>5291.14</v>
      </c>
      <c r="I54" s="1001" cm="1">
        <f t="array" ref="I54">IF($A54="","",INDEX('resident aged receivable'!$J:$J,$A54))</f>
        <v>0</v>
      </c>
      <c r="J54" s="1001" cm="1">
        <f t="array" ref="J54">IF($A54="","",INDEX('resident aged receivable'!$K:$K,$A54))</f>
        <v>4028.19</v>
      </c>
      <c r="K54" s="1020" t="str" cm="1">
        <f t="array" ref="K54">IF($C54="","",IFERROR(_xlfn.LET(_xlpm.unit,B54,_xlpm.resident,C54,_xlpm.lastName,IFERROR(LEFT(_xlpm.resident,FIND(",",_xlpm.resident)-1),_xlpm.resident),_xlpm.llMatch,(LeaseLock!$D$2:$D$500=_xlpm.unit)*ISNUMBER(SEARCH(_xlpm.lastName,LeaseLock!$C$2:$C$500)),_xlpm.hasLL,SUMPRODUCT(_xlpm.llMatch)&gt;0,_xlpm.llStatus,IF(_xlpm.hasLL,_xlfn.LET(_xlpm.stat,LOOKUP(2,1/_xlpm.llMatch,LeaseLock!$F$2:$F$500),_xlpm.sub,LOOKUP(2,1/_xlpm.llMatch,LeaseLock!$G$2:$G$500),_xlpm.paid,LOOKUP(2,1/_xlpm.llMatch,LeaseLock!$M$2:$M$500),IF(_xlpm.stat="Claim Denied","Claim Denied ("&amp;_xlpm.sub&amp;")",IF(_xlpm.stat="Open","Open - "&amp;_xlpm.sub,IF(_xlpm.paid&gt;0,_xlpm.stat&amp;" - $"&amp;TEXT(_xlpm.paid,"#,##0.00")&amp;" paid",_xlpm.stat&amp;" - no payment")))),""),_xlpm.rsiMatches,ISNUMBER(SEARCH(_xlpm.lastName,Evictions_RSI!$B$3:$B$200))*(Evictions_RSI!$B$3:$B$200&lt;&gt;""),_xlpm.hasRSI,SUMPRODUCT(_xlpm.rsiMatches)&gt;0,_xlpm.rsiStatus,IF(_xlpm.hasRSI,_xlfn.LET(_xlpm.dates,IF(_xlpm.rsiMatches,IFERROR(DATEVALUE(SUBSTITUTE(Evictions_RSI!$A$3:$A$200,_xlfn.UNICHAR(8204),"")),0),0),_xlpm.latestRow,MATCH(MAX(_xlpm.dates),_xlpm.dates,0),TRIM(SUBSTITUTE(INDEX(Evictions_RSI!$I$3:$I$200,_xlpm.latestRow),_xlfn.UNICHAR(8204),""))),""),IF(AND(_xlpm.llStatus="",_xlpm.rsiStatus=""),"",IF(_xlpm.llStatus="","RSI: "&amp;_xlpm.rsiStatus,IF(_xlpm.rsiStatus="","LL: "&amp;_xlpm.llStatus,"LL: "&amp;_xlpm.llStatus&amp;" | RSI: "&amp;_xlpm.rsiStatus)))),""))</f>
        <v>RSI: Dismissed (Notes)</v>
      </c>
      <c r="L54" s="1002"/>
      <c r="Q54" s="973"/>
      <c r="R54" s="973"/>
      <c r="S54" s="973"/>
      <c r="T54" s="973"/>
      <c r="U54" s="973"/>
      <c r="V54" s="973"/>
      <c r="W54" s="973"/>
      <c r="X54" s="973"/>
      <c r="Y54" s="973"/>
      <c r="Z54" s="973"/>
    </row>
    <row r="55" spans="1:26" ht="12" customHeight="1" outlineLevel="1">
      <c r="A55" s="996" cm="1">
        <f t="array" ref="A55">IFERROR(_xlfn.LET(_xlpm.n,ROW()-16,_xlpm.adj,IF((((ISNUMBER(SEARCH("Eviction",'resident aged receivable'!$E$2:$E$460)))+(ISNUMBER(SEARCH("Past",'resident aged receivable'!$E$2:$E$460)))+(ISNUMBER(SEARCH("Skip",'resident aged receivable'!$E$2:$E$460)))+(ISNUMBER(SEARCH("Collections",'resident aged receivable'!$E$2:$E$460)))+(COUNTIF($N$3:$N$24,'resident aged receivable'!$D$2:$D$460)&gt;0))&gt;0)*(((((LEFT('resident aged receivable'!$E$2:$E$460,7)="Current")+(LEFT('resident aged receivable'!$E$2:$E$460,6)="Notice"))=0)+(COUNTIF($N$3:$N$24,'resident aged receivable'!$D$2:$D$460)&gt;0))&gt;0)*(COUNTIF($P$3:$P$24,'resident aged receivable'!$D$2:$D$460)=0)*('resident aged receivable'!$I$2:$I$460&gt;0),'resident aged receivable'!$I$2:$I$460-ROW('resident aged receivable'!$I$2:$I$460)/1000000),_xlpm.tgt,LARGE(_xlpm.adj,_xlpm.n),MATCH(_xlpm.tgt,_xlpm.adj,0)+1),"")</f>
        <v>87</v>
      </c>
      <c r="B55" s="997" t="str" cm="1">
        <f t="array" ref="B55">IF($A55="","",INDEX('resident aged receivable'!$B:$B,$A55))</f>
        <v>S42-274</v>
      </c>
      <c r="C55" s="997" t="str" cm="1">
        <f t="array" ref="C55">IF($A55="","",INDEX('resident aged receivable'!$D:$D,$A55))</f>
        <v>Barahona, Karla</v>
      </c>
      <c r="D55" s="998" cm="1">
        <f t="array" ref="D55">IF($A55="","",INDEX('resident aged receivable'!$F:$F,$A55))</f>
        <v>45108</v>
      </c>
      <c r="E55" s="998" cm="1">
        <f t="array" ref="E55">IF($A55="","",_xlfn.LET(_xlpm.leaseEnd,INDEX('resident aged receivable'!$H:$H,$A55),_xlpm.moLookup,IFERROR(_xlfn.LET(_xlpm.lastFirst,C55,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46203</v>
      </c>
      <c r="F55" s="999" t="str">
        <f t="shared" si="1"/>
        <v>IPS</v>
      </c>
      <c r="G55" s="1000" t="str" cm="1">
        <f t="array" ref="G55">IF($A55="","",IF(COUNTIF($N$3:$N$24,C55)&gt;0,"Former",_xlfn.LET(_xlpm.s,INDEX('resident aged receivable'!$E:$E,$A55),IF(ISNUMBER(SEARCH("Eviction",_xlpm.s)),"Eviction",IF(ISNUMBER(SEARCH("Skip",_xlpm.s)),"Skip",IF(ISNUMBER(SEARCH("Past",_xlpm.s))+ISNUMBER(SEARCH("Collections",_xlpm.s)),"Former",_xlpm.s))))))</f>
        <v>Skip</v>
      </c>
      <c r="H55" s="1001" cm="1">
        <f t="array" ref="H55">IF($A55="","",INDEX('resident aged receivable'!$I:$I,$A55))</f>
        <v>5217.46</v>
      </c>
      <c r="I55" s="1001" cm="1">
        <f t="array" ref="I55">IF($A55="","",INDEX('resident aged receivable'!$J:$J,$A55))</f>
        <v>0</v>
      </c>
      <c r="J55" s="1001" cm="1">
        <f t="array" ref="J55">IF($A55="","",INDEX('resident aged receivable'!$K:$K,$A55))</f>
        <v>0</v>
      </c>
      <c r="K55" s="1020" t="str" cm="1">
        <f t="array" ref="K55">IF($C55="","",IFERROR(_xlfn.LET(_xlpm.unit,B55,_xlpm.resident,C55,_xlpm.lastName,IFERROR(LEFT(_xlpm.resident,FIND(",",_xlpm.resident)-1),_xlpm.resident),_xlpm.llMatch,(LeaseLock!$D$2:$D$500=_xlpm.unit)*ISNUMBER(SEARCH(_xlpm.lastName,LeaseLock!$C$2:$C$500)),_xlpm.hasLL,SUMPRODUCT(_xlpm.llMatch)&gt;0,_xlpm.llStatus,IF(_xlpm.hasLL,_xlfn.LET(_xlpm.stat,LOOKUP(2,1/_xlpm.llMatch,LeaseLock!$F$2:$F$500),_xlpm.sub,LOOKUP(2,1/_xlpm.llMatch,LeaseLock!$G$2:$G$500),_xlpm.paid,LOOKUP(2,1/_xlpm.llMatch,LeaseLock!$M$2:$M$500),IF(_xlpm.stat="Claim Denied","Claim Denied ("&amp;_xlpm.sub&amp;")",IF(_xlpm.stat="Open","Open - "&amp;_xlpm.sub,IF(_xlpm.paid&gt;0,_xlpm.stat&amp;" - $"&amp;TEXT(_xlpm.paid,"#,##0.00")&amp;" paid",_xlpm.stat&amp;" - no payment")))),""),_xlpm.rsiMatches,ISNUMBER(SEARCH(_xlpm.lastName,Evictions_RSI!$B$3:$B$200))*(Evictions_RSI!$B$3:$B$200&lt;&gt;""),_xlpm.hasRSI,SUMPRODUCT(_xlpm.rsiMatches)&gt;0,_xlpm.rsiStatus,IF(_xlpm.hasRSI,_xlfn.LET(_xlpm.dates,IF(_xlpm.rsiMatches,IFERROR(DATEVALUE(SUBSTITUTE(Evictions_RSI!$A$3:$A$200,_xlfn.UNICHAR(8204),"")),0),0),_xlpm.latestRow,MATCH(MAX(_xlpm.dates),_xlpm.dates,0),TRIM(SUBSTITUTE(INDEX(Evictions_RSI!$I$3:$I$200,_xlpm.latestRow),_xlfn.UNICHAR(8204),""))),""),IF(AND(_xlpm.llStatus="",_xlpm.rsiStatus=""),"",IF(_xlpm.llStatus="","RSI: "&amp;_xlpm.rsiStatus,IF(_xlpm.rsiStatus="","LL: "&amp;_xlpm.llStatus,"LL: "&amp;_xlpm.llStatus&amp;" | RSI: "&amp;_xlpm.rsiStatus)))),""))</f>
        <v/>
      </c>
      <c r="L55" s="1063" t="s">
        <v>1155</v>
      </c>
      <c r="Q55" s="973"/>
      <c r="R55" s="973"/>
      <c r="S55" s="973"/>
      <c r="T55" s="973"/>
      <c r="U55" s="973"/>
      <c r="V55" s="973"/>
      <c r="W55" s="973"/>
      <c r="X55" s="973"/>
      <c r="Y55" s="973"/>
      <c r="Z55" s="973"/>
    </row>
    <row r="56" spans="1:26" ht="12" customHeight="1" outlineLevel="1">
      <c r="A56" s="996" cm="1">
        <f t="array" ref="A56">IFERROR(_xlfn.LET(_xlpm.n,ROW()-16,_xlpm.adj,IF((((ISNUMBER(SEARCH("Eviction",'resident aged receivable'!$E$2:$E$460)))+(ISNUMBER(SEARCH("Past",'resident aged receivable'!$E$2:$E$460)))+(ISNUMBER(SEARCH("Skip",'resident aged receivable'!$E$2:$E$460)))+(ISNUMBER(SEARCH("Collections",'resident aged receivable'!$E$2:$E$460)))+(COUNTIF($N$3:$N$24,'resident aged receivable'!$D$2:$D$460)&gt;0))&gt;0)*(((((LEFT('resident aged receivable'!$E$2:$E$460,7)="Current")+(LEFT('resident aged receivable'!$E$2:$E$460,6)="Notice"))=0)+(COUNTIF($N$3:$N$24,'resident aged receivable'!$D$2:$D$460)&gt;0))&gt;0)*(COUNTIF($P$3:$P$24,'resident aged receivable'!$D$2:$D$460)=0)*('resident aged receivable'!$I$2:$I$460&gt;0),'resident aged receivable'!$I$2:$I$460-ROW('resident aged receivable'!$I$2:$I$460)/1000000),_xlpm.tgt,LARGE(_xlpm.adj,_xlpm.n),MATCH(_xlpm.tgt,_xlpm.adj,0)+1),"")</f>
        <v>132</v>
      </c>
      <c r="B56" s="997" t="str" cm="1">
        <f t="array" ref="B56">IF($A56="","",INDEX('resident aged receivable'!$B:$B,$A56))</f>
        <v>W12-1-1205</v>
      </c>
      <c r="C56" s="997" t="str" cm="1">
        <f t="array" ref="C56">IF($A56="","",INDEX('resident aged receivable'!$D:$D,$A56))</f>
        <v>Fudge, Alicia</v>
      </c>
      <c r="D56" s="998" cm="1">
        <f t="array" ref="D56">IF($A56="","",INDEX('resident aged receivable'!$F:$F,$A56))</f>
        <v>43980</v>
      </c>
      <c r="E56" s="998" cm="1">
        <f t="array" ref="E56">IF($A56="","",_xlfn.LET(_xlpm.leaseEnd,INDEX('resident aged receivable'!$H:$H,$A56),_xlpm.moLookup,IFERROR(_xlfn.LET(_xlpm.lastFirst,C56,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46210</v>
      </c>
      <c r="F56" s="999" t="str">
        <f t="shared" si="1"/>
        <v>IPS</v>
      </c>
      <c r="G56" s="1000" t="str" cm="1">
        <f t="array" ref="G56">IF($A56="","",IF(COUNTIF($N$3:$N$24,C56)&gt;0,"Former",_xlfn.LET(_xlpm.s,INDEX('resident aged receivable'!$E:$E,$A56),IF(ISNUMBER(SEARCH("Eviction",_xlpm.s)),"Eviction",IF(ISNUMBER(SEARCH("Skip",_xlpm.s)),"Skip",IF(ISNUMBER(SEARCH("Past",_xlpm.s))+ISNUMBER(SEARCH("Collections",_xlpm.s)),"Former",_xlpm.s))))))</f>
        <v>Former</v>
      </c>
      <c r="H56" s="1001" cm="1">
        <f t="array" ref="H56">IF($A56="","",INDEX('resident aged receivable'!$I:$I,$A56))</f>
        <v>5164.28</v>
      </c>
      <c r="I56" s="1001" cm="1">
        <f t="array" ref="I56">IF($A56="","",INDEX('resident aged receivable'!$J:$J,$A56))</f>
        <v>0</v>
      </c>
      <c r="J56" s="1001" cm="1">
        <f t="array" ref="J56">IF($A56="","",INDEX('resident aged receivable'!$K:$K,$A56))</f>
        <v>1993.68</v>
      </c>
      <c r="K56" s="1020" t="str" cm="1">
        <f t="array" ref="K56">IF($C56="","",IFERROR(_xlfn.LET(_xlpm.unit,B56,_xlpm.resident,C56,_xlpm.lastName,IFERROR(LEFT(_xlpm.resident,FIND(",",_xlpm.resident)-1),_xlpm.resident),_xlpm.llMatch,(LeaseLock!$D$2:$D$500=_xlpm.unit)*ISNUMBER(SEARCH(_xlpm.lastName,LeaseLock!$C$2:$C$500)),_xlpm.hasLL,SUMPRODUCT(_xlpm.llMatch)&gt;0,_xlpm.llStatus,IF(_xlpm.hasLL,_xlfn.LET(_xlpm.stat,LOOKUP(2,1/_xlpm.llMatch,LeaseLock!$F$2:$F$500),_xlpm.sub,LOOKUP(2,1/_xlpm.llMatch,LeaseLock!$G$2:$G$500),_xlpm.paid,LOOKUP(2,1/_xlpm.llMatch,LeaseLock!$M$2:$M$500),IF(_xlpm.stat="Claim Denied","Claim Denied ("&amp;_xlpm.sub&amp;")",IF(_xlpm.stat="Open","Open - "&amp;_xlpm.sub,IF(_xlpm.paid&gt;0,_xlpm.stat&amp;" - $"&amp;TEXT(_xlpm.paid,"#,##0.00")&amp;" paid",_xlpm.stat&amp;" - no payment")))),""),_xlpm.rsiMatches,ISNUMBER(SEARCH(_xlpm.lastName,Evictions_RSI!$B$3:$B$200))*(Evictions_RSI!$B$3:$B$200&lt;&gt;""),_xlpm.hasRSI,SUMPRODUCT(_xlpm.rsiMatches)&gt;0,_xlpm.rsiStatus,IF(_xlpm.hasRSI,_xlfn.LET(_xlpm.dates,IF(_xlpm.rsiMatches,IFERROR(DATEVALUE(SUBSTITUTE(Evictions_RSI!$A$3:$A$200,_xlfn.UNICHAR(8204),"")),0),0),_xlpm.latestRow,MATCH(MAX(_xlpm.dates),_xlpm.dates,0),TRIM(SUBSTITUTE(INDEX(Evictions_RSI!$I$3:$I$200,_xlpm.latestRow),_xlfn.UNICHAR(8204),""))),""),IF(AND(_xlpm.llStatus="",_xlpm.rsiStatus=""),"",IF(_xlpm.llStatus="","RSI: "&amp;_xlpm.rsiStatus,IF(_xlpm.rsiStatus="","LL: "&amp;_xlpm.llStatus,"LL: "&amp;_xlpm.llStatus&amp;" | RSI: "&amp;_xlpm.rsiStatus)))),""))</f>
        <v>RSI: Dismissed (Notes)</v>
      </c>
      <c r="L56" s="1002" t="s">
        <v>1154</v>
      </c>
      <c r="Q56" s="973"/>
      <c r="R56" s="973"/>
      <c r="S56" s="973"/>
      <c r="T56" s="973"/>
      <c r="U56" s="973"/>
      <c r="V56" s="973"/>
      <c r="W56" s="973"/>
      <c r="X56" s="973"/>
      <c r="Y56" s="973"/>
      <c r="Z56" s="973"/>
    </row>
    <row r="57" spans="1:26" ht="12" customHeight="1" outlineLevel="1">
      <c r="A57" s="996" cm="1">
        <f t="array" ref="A57">IFERROR(_xlfn.LET(_xlpm.n,ROW()-16,_xlpm.adj,IF((((ISNUMBER(SEARCH("Eviction",'resident aged receivable'!$E$2:$E$460)))+(ISNUMBER(SEARCH("Past",'resident aged receivable'!$E$2:$E$460)))+(ISNUMBER(SEARCH("Skip",'resident aged receivable'!$E$2:$E$460)))+(ISNUMBER(SEARCH("Collections",'resident aged receivable'!$E$2:$E$460)))+(COUNTIF($N$3:$N$24,'resident aged receivable'!$D$2:$D$460)&gt;0))&gt;0)*(((((LEFT('resident aged receivable'!$E$2:$E$460,7)="Current")+(LEFT('resident aged receivable'!$E$2:$E$460,6)="Notice"))=0)+(COUNTIF($N$3:$N$24,'resident aged receivable'!$D$2:$D$460)&gt;0))&gt;0)*(COUNTIF($P$3:$P$24,'resident aged receivable'!$D$2:$D$460)=0)*('resident aged receivable'!$I$2:$I$460&gt;0),'resident aged receivable'!$I$2:$I$460-ROW('resident aged receivable'!$I$2:$I$460)/1000000),_xlpm.tgt,LARGE(_xlpm.adj,_xlpm.n),MATCH(_xlpm.tgt,_xlpm.adj,0)+1),"")</f>
        <v>166</v>
      </c>
      <c r="B57" s="997" t="str" cm="1">
        <f t="array" ref="B57">IF($A57="","",INDEX('resident aged receivable'!$B:$B,$A57))</f>
        <v>W21-2-1058</v>
      </c>
      <c r="C57" s="997" t="str" cm="1">
        <f t="array" ref="C57">IF($A57="","",INDEX('resident aged receivable'!$D:$D,$A57))</f>
        <v>Ramin, Ahmad</v>
      </c>
      <c r="D57" s="998" cm="1">
        <f t="array" ref="D57">IF($A57="","",INDEX('resident aged receivable'!$F:$F,$A57))</f>
        <v>44501</v>
      </c>
      <c r="E57" s="998" cm="1">
        <f t="array" ref="E57">IF($A57="","",_xlfn.LET(_xlpm.leaseEnd,INDEX('resident aged receivable'!$H:$H,$A57),_xlpm.moLookup,IFERROR(_xlfn.LET(_xlpm.lastFirst,C57,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46326</v>
      </c>
      <c r="F57" s="999" t="str">
        <f t="shared" si="1"/>
        <v>IPS</v>
      </c>
      <c r="G57" s="1000" t="str" cm="1">
        <f t="array" ref="G57">IF($A57="","",IF(COUNTIF($N$3:$N$24,C57)&gt;0,"Former",_xlfn.LET(_xlpm.s,INDEX('resident aged receivable'!$E:$E,$A57),IF(ISNUMBER(SEARCH("Eviction",_xlpm.s)),"Eviction",IF(ISNUMBER(SEARCH("Skip",_xlpm.s)),"Skip",IF(ISNUMBER(SEARCH("Past",_xlpm.s))+ISNUMBER(SEARCH("Collections",_xlpm.s)),"Former",_xlpm.s))))))</f>
        <v>Skip</v>
      </c>
      <c r="H57" s="1001" cm="1">
        <f t="array" ref="H57">IF($A57="","",INDEX('resident aged receivable'!$I:$I,$A57))</f>
        <v>5092.43</v>
      </c>
      <c r="I57" s="1001" cm="1">
        <f t="array" ref="I57">IF($A57="","",INDEX('resident aged receivable'!$J:$J,$A57))</f>
        <v>0</v>
      </c>
      <c r="J57" s="1001" cm="1">
        <f t="array" ref="J57">IF($A57="","",INDEX('resident aged receivable'!$K:$K,$A57))</f>
        <v>4004.04</v>
      </c>
      <c r="K57" s="1020" t="str" cm="1">
        <f t="array" ref="K57">IF($C57="","",IFERROR(_xlfn.LET(_xlpm.unit,B57,_xlpm.resident,C57,_xlpm.lastName,IFERROR(LEFT(_xlpm.resident,FIND(",",_xlpm.resident)-1),_xlpm.resident),_xlpm.llMatch,(LeaseLock!$D$2:$D$500=_xlpm.unit)*ISNUMBER(SEARCH(_xlpm.lastName,LeaseLock!$C$2:$C$500)),_xlpm.hasLL,SUMPRODUCT(_xlpm.llMatch)&gt;0,_xlpm.llStatus,IF(_xlpm.hasLL,_xlfn.LET(_xlpm.stat,LOOKUP(2,1/_xlpm.llMatch,LeaseLock!$F$2:$F$500),_xlpm.sub,LOOKUP(2,1/_xlpm.llMatch,LeaseLock!$G$2:$G$500),_xlpm.paid,LOOKUP(2,1/_xlpm.llMatch,LeaseLock!$M$2:$M$500),IF(_xlpm.stat="Claim Denied","Claim Denied ("&amp;_xlpm.sub&amp;")",IF(_xlpm.stat="Open","Open - "&amp;_xlpm.sub,IF(_xlpm.paid&gt;0,_xlpm.stat&amp;" - $"&amp;TEXT(_xlpm.paid,"#,##0.00")&amp;" paid",_xlpm.stat&amp;" - no payment")))),""),_xlpm.rsiMatches,ISNUMBER(SEARCH(_xlpm.lastName,Evictions_RSI!$B$3:$B$200))*(Evictions_RSI!$B$3:$B$200&lt;&gt;""),_xlpm.hasRSI,SUMPRODUCT(_xlpm.rsiMatches)&gt;0,_xlpm.rsiStatus,IF(_xlpm.hasRSI,_xlfn.LET(_xlpm.dates,IF(_xlpm.rsiMatches,IFERROR(DATEVALUE(SUBSTITUTE(Evictions_RSI!$A$3:$A$200,_xlfn.UNICHAR(8204),"")),0),0),_xlpm.latestRow,MATCH(MAX(_xlpm.dates),_xlpm.dates,0),TRIM(SUBSTITUTE(INDEX(Evictions_RSI!$I$3:$I$200,_xlpm.latestRow),_xlfn.UNICHAR(8204),""))),""),IF(AND(_xlpm.llStatus="",_xlpm.rsiStatus=""),"",IF(_xlpm.llStatus="","RSI: "&amp;_xlpm.rsiStatus,IF(_xlpm.rsiStatus="","LL: "&amp;_xlpm.llStatus,"LL: "&amp;_xlpm.llStatus&amp;" | RSI: "&amp;_xlpm.rsiStatus)))),""))</f>
        <v>RSI: Dismissed (Tenant Vacated) (Notes)</v>
      </c>
      <c r="L57" s="1002"/>
      <c r="Q57" s="973"/>
      <c r="R57" s="973"/>
      <c r="S57" s="973"/>
      <c r="T57" s="973"/>
      <c r="U57" s="973"/>
      <c r="V57" s="973"/>
      <c r="W57" s="973"/>
      <c r="X57" s="973"/>
      <c r="Y57" s="973"/>
      <c r="Z57" s="973"/>
    </row>
    <row r="58" spans="1:26" ht="12" customHeight="1" outlineLevel="1">
      <c r="A58" s="996" cm="1">
        <f t="array" ref="A58">IFERROR(_xlfn.LET(_xlpm.n,ROW()-16,_xlpm.adj,IF((((ISNUMBER(SEARCH("Eviction",'resident aged receivable'!$E$2:$E$460)))+(ISNUMBER(SEARCH("Past",'resident aged receivable'!$E$2:$E$460)))+(ISNUMBER(SEARCH("Skip",'resident aged receivable'!$E$2:$E$460)))+(ISNUMBER(SEARCH("Collections",'resident aged receivable'!$E$2:$E$460)))+(COUNTIF($N$3:$N$24,'resident aged receivable'!$D$2:$D$460)&gt;0))&gt;0)*(((((LEFT('resident aged receivable'!$E$2:$E$460,7)="Current")+(LEFT('resident aged receivable'!$E$2:$E$460,6)="Notice"))=0)+(COUNTIF($N$3:$N$24,'resident aged receivable'!$D$2:$D$460)&gt;0))&gt;0)*(COUNTIF($P$3:$P$24,'resident aged receivable'!$D$2:$D$460)=0)*('resident aged receivable'!$I$2:$I$460&gt;0),'resident aged receivable'!$I$2:$I$460-ROW('resident aged receivable'!$I$2:$I$460)/1000000),_xlpm.tgt,LARGE(_xlpm.adj,_xlpm.n),MATCH(_xlpm.tgt,_xlpm.adj,0)+1),"")</f>
        <v>137</v>
      </c>
      <c r="B58" s="997" t="str" cm="1">
        <f t="array" ref="B58">IF($A58="","",INDEX('resident aged receivable'!$B:$B,$A58))</f>
        <v>W13-1-1324</v>
      </c>
      <c r="C58" s="997" t="str" cm="1">
        <f t="array" ref="C58">IF($A58="","",INDEX('resident aged receivable'!$D:$D,$A58))</f>
        <v>Ogunmola, Tobi</v>
      </c>
      <c r="D58" s="998" cm="1">
        <f t="array" ref="D58">IF($A58="","",INDEX('resident aged receivable'!$F:$F,$A58))</f>
        <v>43927</v>
      </c>
      <c r="E58" s="998" cm="1">
        <f t="array" ref="E58">IF($A58="","",_xlfn.LET(_xlpm.leaseEnd,INDEX('resident aged receivable'!$H:$H,$A58),_xlpm.moLookup,IFERROR(_xlfn.LET(_xlpm.lastFirst,C58,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46477</v>
      </c>
      <c r="F58" s="999" t="str">
        <f t="shared" si="1"/>
        <v>IPS</v>
      </c>
      <c r="G58" s="1000" t="str" cm="1">
        <f t="array" ref="G58">IF($A58="","",IF(COUNTIF($N$3:$N$24,C58)&gt;0,"Former",_xlfn.LET(_xlpm.s,INDEX('resident aged receivable'!$E:$E,$A58),IF(ISNUMBER(SEARCH("Eviction",_xlpm.s)),"Eviction",IF(ISNUMBER(SEARCH("Skip",_xlpm.s)),"Skip",IF(ISNUMBER(SEARCH("Past",_xlpm.s))+ISNUMBER(SEARCH("Collections",_xlpm.s)),"Former",_xlpm.s))))))</f>
        <v>Skip</v>
      </c>
      <c r="H58" s="1001" cm="1">
        <f t="array" ref="H58">IF($A58="","",INDEX('resident aged receivable'!$I:$I,$A58))</f>
        <v>4635.1400000000003</v>
      </c>
      <c r="I58" s="1001" cm="1">
        <f t="array" ref="I58">IF($A58="","",INDEX('resident aged receivable'!$J:$J,$A58))</f>
        <v>0</v>
      </c>
      <c r="J58" s="1001" cm="1">
        <f t="array" ref="J58">IF($A58="","",INDEX('resident aged receivable'!$K:$K,$A58))</f>
        <v>3712.76</v>
      </c>
      <c r="K58" s="1020" t="str" cm="1">
        <f t="array" ref="K58">IF($C58="","",IFERROR(_xlfn.LET(_xlpm.unit,B58,_xlpm.resident,C58,_xlpm.lastName,IFERROR(LEFT(_xlpm.resident,FIND(",",_xlpm.resident)-1),_xlpm.resident),_xlpm.llMatch,(LeaseLock!$D$2:$D$500=_xlpm.unit)*ISNUMBER(SEARCH(_xlpm.lastName,LeaseLock!$C$2:$C$500)),_xlpm.hasLL,SUMPRODUCT(_xlpm.llMatch)&gt;0,_xlpm.llStatus,IF(_xlpm.hasLL,_xlfn.LET(_xlpm.stat,LOOKUP(2,1/_xlpm.llMatch,LeaseLock!$F$2:$F$500),_xlpm.sub,LOOKUP(2,1/_xlpm.llMatch,LeaseLock!$G$2:$G$500),_xlpm.paid,LOOKUP(2,1/_xlpm.llMatch,LeaseLock!$M$2:$M$500),IF(_xlpm.stat="Claim Denied","Claim Denied ("&amp;_xlpm.sub&amp;")",IF(_xlpm.stat="Open","Open - "&amp;_xlpm.sub,IF(_xlpm.paid&gt;0,_xlpm.stat&amp;" - $"&amp;TEXT(_xlpm.paid,"#,##0.00")&amp;" paid",_xlpm.stat&amp;" - no payment")))),""),_xlpm.rsiMatches,ISNUMBER(SEARCH(_xlpm.lastName,Evictions_RSI!$B$3:$B$200))*(Evictions_RSI!$B$3:$B$200&lt;&gt;""),_xlpm.hasRSI,SUMPRODUCT(_xlpm.rsiMatches)&gt;0,_xlpm.rsiStatus,IF(_xlpm.hasRSI,_xlfn.LET(_xlpm.dates,IF(_xlpm.rsiMatches,IFERROR(DATEVALUE(SUBSTITUTE(Evictions_RSI!$A$3:$A$200,_xlfn.UNICHAR(8204),"")),0),0),_xlpm.latestRow,MATCH(MAX(_xlpm.dates),_xlpm.dates,0),TRIM(SUBSTITUTE(INDEX(Evictions_RSI!$I$3:$I$200,_xlpm.latestRow),_xlfn.UNICHAR(8204),""))),""),IF(AND(_xlpm.llStatus="",_xlpm.rsiStatus=""),"",IF(_xlpm.llStatus="","RSI: "&amp;_xlpm.rsiStatus,IF(_xlpm.rsiStatus="","LL: "&amp;_xlpm.llStatus,"LL: "&amp;_xlpm.llStatus&amp;" | RSI: "&amp;_xlpm.rsiStatus)))),""))</f>
        <v>RSI: Dismissed (Notes)</v>
      </c>
      <c r="L58" s="1002"/>
      <c r="Q58" s="973"/>
      <c r="R58" s="973"/>
      <c r="S58" s="973"/>
      <c r="T58" s="973"/>
      <c r="U58" s="973"/>
      <c r="V58" s="973"/>
      <c r="W58" s="973"/>
      <c r="X58" s="973"/>
      <c r="Y58" s="973"/>
      <c r="Z58" s="973"/>
    </row>
    <row r="59" spans="1:26" ht="12" customHeight="1" outlineLevel="1">
      <c r="A59" s="996" cm="1">
        <f t="array" ref="A59">IFERROR(_xlfn.LET(_xlpm.n,ROW()-16,_xlpm.adj,IF((((ISNUMBER(SEARCH("Eviction",'resident aged receivable'!$E$2:$E$460)))+(ISNUMBER(SEARCH("Past",'resident aged receivable'!$E$2:$E$460)))+(ISNUMBER(SEARCH("Skip",'resident aged receivable'!$E$2:$E$460)))+(ISNUMBER(SEARCH("Collections",'resident aged receivable'!$E$2:$E$460)))+(COUNTIF($N$3:$N$24,'resident aged receivable'!$D$2:$D$460)&gt;0))&gt;0)*(((((LEFT('resident aged receivable'!$E$2:$E$460,7)="Current")+(LEFT('resident aged receivable'!$E$2:$E$460,6)="Notice"))=0)+(COUNTIF($N$3:$N$24,'resident aged receivable'!$D$2:$D$460)&gt;0))&gt;0)*(COUNTIF($P$3:$P$24,'resident aged receivable'!$D$2:$D$460)=0)*('resident aged receivable'!$I$2:$I$460&gt;0),'resident aged receivable'!$I$2:$I$460-ROW('resident aged receivable'!$I$2:$I$460)/1000000),_xlpm.tgt,LARGE(_xlpm.adj,_xlpm.n),MATCH(_xlpm.tgt,_xlpm.adj,0)+1),"")</f>
        <v>72</v>
      </c>
      <c r="B59" s="997" t="str" cm="1">
        <f t="array" ref="B59">IF($A59="","",INDEX('resident aged receivable'!$B:$B,$A59))</f>
        <v>S30-124</v>
      </c>
      <c r="C59" s="997" t="str" cm="1">
        <f t="array" ref="C59">IF($A59="","",INDEX('resident aged receivable'!$D:$D,$A59))</f>
        <v>Avila, Jason</v>
      </c>
      <c r="D59" s="998" cm="1">
        <f t="array" ref="D59">IF($A59="","",INDEX('resident aged receivable'!$F:$F,$A59))</f>
        <v>45810</v>
      </c>
      <c r="E59" s="998" cm="1">
        <f t="array" ref="E59">IF($A59="","",_xlfn.LET(_xlpm.leaseEnd,INDEX('resident aged receivable'!$H:$H,$A59),_xlpm.moLookup,IFERROR(_xlfn.LET(_xlpm.lastFirst,C59,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46185</v>
      </c>
      <c r="F59" s="999" t="str">
        <f t="shared" si="1"/>
        <v>IPS</v>
      </c>
      <c r="G59" s="1000" t="str" cm="1">
        <f t="array" ref="G59">IF($A59="","",IF(COUNTIF($N$3:$N$24,C59)&gt;0,"Former",_xlfn.LET(_xlpm.s,INDEX('resident aged receivable'!$E:$E,$A59),IF(ISNUMBER(SEARCH("Eviction",_xlpm.s)),"Eviction",IF(ISNUMBER(SEARCH("Skip",_xlpm.s)),"Skip",IF(ISNUMBER(SEARCH("Past",_xlpm.s))+ISNUMBER(SEARCH("Collections",_xlpm.s)),"Former",_xlpm.s))))))</f>
        <v>Skip</v>
      </c>
      <c r="H59" s="1001" cm="1">
        <f t="array" ref="H59">IF($A59="","",INDEX('resident aged receivable'!$I:$I,$A59))</f>
        <v>4614.41</v>
      </c>
      <c r="I59" s="1001" cm="1">
        <f t="array" ref="I59">IF($A59="","",INDEX('resident aged receivable'!$J:$J,$A59))</f>
        <v>0</v>
      </c>
      <c r="J59" s="1001" cm="1">
        <f t="array" ref="J59">IF($A59="","",INDEX('resident aged receivable'!$K:$K,$A59))</f>
        <v>3830</v>
      </c>
      <c r="K59" s="1020" t="str" cm="1">
        <f t="array" ref="K59">IF($C59="","",IFERROR(_xlfn.LET(_xlpm.unit,B59,_xlpm.resident,C59,_xlpm.lastName,IFERROR(LEFT(_xlpm.resident,FIND(",",_xlpm.resident)-1),_xlpm.resident),_xlpm.llMatch,(LeaseLock!$D$2:$D$500=_xlpm.unit)*ISNUMBER(SEARCH(_xlpm.lastName,LeaseLock!$C$2:$C$500)),_xlpm.hasLL,SUMPRODUCT(_xlpm.llMatch)&gt;0,_xlpm.llStatus,IF(_xlpm.hasLL,_xlfn.LET(_xlpm.stat,LOOKUP(2,1/_xlpm.llMatch,LeaseLock!$F$2:$F$500),_xlpm.sub,LOOKUP(2,1/_xlpm.llMatch,LeaseLock!$G$2:$G$500),_xlpm.paid,LOOKUP(2,1/_xlpm.llMatch,LeaseLock!$M$2:$M$500),IF(_xlpm.stat="Claim Denied","Claim Denied ("&amp;_xlpm.sub&amp;")",IF(_xlpm.stat="Open","Open - "&amp;_xlpm.sub,IF(_xlpm.paid&gt;0,_xlpm.stat&amp;" - $"&amp;TEXT(_xlpm.paid,"#,##0.00")&amp;" paid",_xlpm.stat&amp;" - no payment")))),""),_xlpm.rsiMatches,ISNUMBER(SEARCH(_xlpm.lastName,Evictions_RSI!$B$3:$B$200))*(Evictions_RSI!$B$3:$B$200&lt;&gt;""),_xlpm.hasRSI,SUMPRODUCT(_xlpm.rsiMatches)&gt;0,_xlpm.rsiStatus,IF(_xlpm.hasRSI,_xlfn.LET(_xlpm.dates,IF(_xlpm.rsiMatches,IFERROR(DATEVALUE(SUBSTITUTE(Evictions_RSI!$A$3:$A$200,_xlfn.UNICHAR(8204),"")),0),0),_xlpm.latestRow,MATCH(MAX(_xlpm.dates),_xlpm.dates,0),TRIM(SUBSTITUTE(INDEX(Evictions_RSI!$I$3:$I$200,_xlpm.latestRow),_xlfn.UNICHAR(8204),""))),""),IF(AND(_xlpm.llStatus="",_xlpm.rsiStatus=""),"",IF(_xlpm.llStatus="","RSI: "&amp;_xlpm.rsiStatus,IF(_xlpm.rsiStatus="","LL: "&amp;_xlpm.llStatus,"LL: "&amp;_xlpm.llStatus&amp;" | RSI: "&amp;_xlpm.rsiStatus)))),""))</f>
        <v>LL: New - no payment | RSI: Cancelled (Notes)</v>
      </c>
      <c r="L59" s="1002"/>
      <c r="Q59" s="973"/>
      <c r="R59" s="973"/>
      <c r="S59" s="973"/>
      <c r="T59" s="973"/>
      <c r="U59" s="973"/>
      <c r="V59" s="973"/>
      <c r="W59" s="973"/>
      <c r="X59" s="973"/>
      <c r="Y59" s="973"/>
      <c r="Z59" s="973"/>
    </row>
    <row r="60" spans="1:26" ht="12" customHeight="1" outlineLevel="1">
      <c r="A60" s="996" cm="1">
        <f t="array" ref="A60">IFERROR(_xlfn.LET(_xlpm.n,ROW()-16,_xlpm.adj,IF((((ISNUMBER(SEARCH("Eviction",'resident aged receivable'!$E$2:$E$460)))+(ISNUMBER(SEARCH("Past",'resident aged receivable'!$E$2:$E$460)))+(ISNUMBER(SEARCH("Skip",'resident aged receivable'!$E$2:$E$460)))+(ISNUMBER(SEARCH("Collections",'resident aged receivable'!$E$2:$E$460)))+(COUNTIF($N$3:$N$24,'resident aged receivable'!$D$2:$D$460)&gt;0))&gt;0)*(((((LEFT('resident aged receivable'!$E$2:$E$460,7)="Current")+(LEFT('resident aged receivable'!$E$2:$E$460,6)="Notice"))=0)+(COUNTIF($N$3:$N$24,'resident aged receivable'!$D$2:$D$460)&gt;0))&gt;0)*(COUNTIF($P$3:$P$24,'resident aged receivable'!$D$2:$D$460)=0)*('resident aged receivable'!$I$2:$I$460&gt;0),'resident aged receivable'!$I$2:$I$460-ROW('resident aged receivable'!$I$2:$I$460)/1000000),_xlpm.tgt,LARGE(_xlpm.adj,_xlpm.n),MATCH(_xlpm.tgt,_xlpm.adj,0)+1),"")</f>
        <v>8</v>
      </c>
      <c r="B60" s="997" t="str" cm="1">
        <f t="array" ref="B60">IF($A60="","",INDEX('resident aged receivable'!$B:$B,$A60))</f>
        <v>N03-1020</v>
      </c>
      <c r="C60" s="997" t="str" cm="1">
        <f t="array" ref="C60">IF($A60="","",INDEX('resident aged receivable'!$D:$D,$A60))</f>
        <v>Shepard, Daisah</v>
      </c>
      <c r="D60" s="998" cm="1">
        <f t="array" ref="D60">IF($A60="","",INDEX('resident aged receivable'!$F:$F,$A60))</f>
        <v>46153</v>
      </c>
      <c r="E60" s="998" cm="1">
        <f t="array" ref="E60">IF($A60="","",_xlfn.LET(_xlpm.leaseEnd,INDEX('resident aged receivable'!$H:$H,$A60),_xlpm.moLookup,IFERROR(_xlfn.LET(_xlpm.lastFirst,C60,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46517</v>
      </c>
      <c r="F60" s="999" t="str">
        <f t="shared" si="1"/>
        <v>CAF</v>
      </c>
      <c r="G60" s="1000" t="str" cm="1">
        <f t="array" ref="G60">IF($A60="","",IF(COUNTIF($N$3:$N$24,C60)&gt;0,"Former",_xlfn.LET(_xlpm.s,INDEX('resident aged receivable'!$E:$E,$A60),IF(ISNUMBER(SEARCH("Eviction",_xlpm.s)),"Eviction",IF(ISNUMBER(SEARCH("Skip",_xlpm.s)),"Skip",IF(ISNUMBER(SEARCH("Past",_xlpm.s))+ISNUMBER(SEARCH("Collections",_xlpm.s)),"Former",_xlpm.s))))))</f>
        <v>Skip</v>
      </c>
      <c r="H60" s="1001" cm="1">
        <f t="array" ref="H60">IF($A60="","",INDEX('resident aged receivable'!$I:$I,$A60))</f>
        <v>3706.73</v>
      </c>
      <c r="I60" s="1001" cm="1">
        <f t="array" ref="I60">IF($A60="","",INDEX('resident aged receivable'!$J:$J,$A60))</f>
        <v>0</v>
      </c>
      <c r="J60" s="1001" cm="1">
        <f t="array" ref="J60">IF($A60="","",INDEX('resident aged receivable'!$K:$K,$A60))</f>
        <v>3706.73</v>
      </c>
      <c r="K60" s="1020" t="str" cm="1">
        <f t="array" ref="K60">IF($C60="","",IFERROR(_xlfn.LET(_xlpm.unit,B60,_xlpm.resident,C60,_xlpm.lastName,IFERROR(LEFT(_xlpm.resident,FIND(",",_xlpm.resident)-1),_xlpm.resident),_xlpm.llMatch,(LeaseLock!$D$2:$D$500=_xlpm.unit)*ISNUMBER(SEARCH(_xlpm.lastName,LeaseLock!$C$2:$C$500)),_xlpm.hasLL,SUMPRODUCT(_xlpm.llMatch)&gt;0,_xlpm.llStatus,IF(_xlpm.hasLL,_xlfn.LET(_xlpm.stat,LOOKUP(2,1/_xlpm.llMatch,LeaseLock!$F$2:$F$500),_xlpm.sub,LOOKUP(2,1/_xlpm.llMatch,LeaseLock!$G$2:$G$500),_xlpm.paid,LOOKUP(2,1/_xlpm.llMatch,LeaseLock!$M$2:$M$500),IF(_xlpm.stat="Claim Denied","Claim Denied ("&amp;_xlpm.sub&amp;")",IF(_xlpm.stat="Open","Open - "&amp;_xlpm.sub,IF(_xlpm.paid&gt;0,_xlpm.stat&amp;" - $"&amp;TEXT(_xlpm.paid,"#,##0.00")&amp;" paid",_xlpm.stat&amp;" - no payment")))),""),_xlpm.rsiMatches,ISNUMBER(SEARCH(_xlpm.lastName,Evictions_RSI!$B$3:$B$200))*(Evictions_RSI!$B$3:$B$200&lt;&gt;""),_xlpm.hasRSI,SUMPRODUCT(_xlpm.rsiMatches)&gt;0,_xlpm.rsiStatus,IF(_xlpm.hasRSI,_xlfn.LET(_xlpm.dates,IF(_xlpm.rsiMatches,IFERROR(DATEVALUE(SUBSTITUTE(Evictions_RSI!$A$3:$A$200,_xlfn.UNICHAR(8204),"")),0),0),_xlpm.latestRow,MATCH(MAX(_xlpm.dates),_xlpm.dates,0),TRIM(SUBSTITUTE(INDEX(Evictions_RSI!$I$3:$I$200,_xlpm.latestRow),_xlfn.UNICHAR(8204),""))),""),IF(AND(_xlpm.llStatus="",_xlpm.rsiStatus=""),"",IF(_xlpm.llStatus="","RSI: "&amp;_xlpm.rsiStatus,IF(_xlpm.rsiStatus="","LL: "&amp;_xlpm.llStatus,"LL: "&amp;_xlpm.llStatus&amp;" | RSI: "&amp;_xlpm.rsiStatus)))),""))</f>
        <v/>
      </c>
      <c r="L60" s="1002"/>
      <c r="Q60" s="973"/>
      <c r="R60" s="973"/>
      <c r="S60" s="973"/>
      <c r="T60" s="973"/>
      <c r="U60" s="973"/>
      <c r="V60" s="973"/>
      <c r="W60" s="973"/>
      <c r="X60" s="973"/>
      <c r="Y60" s="973"/>
      <c r="Z60" s="973"/>
    </row>
    <row r="61" spans="1:26" ht="12" customHeight="1" outlineLevel="1">
      <c r="A61" s="996" cm="1">
        <f t="array" ref="A61">IFERROR(_xlfn.LET(_xlpm.n,ROW()-16,_xlpm.adj,IF((((ISNUMBER(SEARCH("Eviction",'resident aged receivable'!$E$2:$E$460)))+(ISNUMBER(SEARCH("Past",'resident aged receivable'!$E$2:$E$460)))+(ISNUMBER(SEARCH("Skip",'resident aged receivable'!$E$2:$E$460)))+(ISNUMBER(SEARCH("Collections",'resident aged receivable'!$E$2:$E$460)))+(COUNTIF($N$3:$N$24,'resident aged receivable'!$D$2:$D$460)&gt;0))&gt;0)*(((((LEFT('resident aged receivable'!$E$2:$E$460,7)="Current")+(LEFT('resident aged receivable'!$E$2:$E$460,6)="Notice"))=0)+(COUNTIF($N$3:$N$24,'resident aged receivable'!$D$2:$D$460)&gt;0))&gt;0)*(COUNTIF($P$3:$P$24,'resident aged receivable'!$D$2:$D$460)=0)*('resident aged receivable'!$I$2:$I$460&gt;0),'resident aged receivable'!$I$2:$I$460-ROW('resident aged receivable'!$I$2:$I$460)/1000000),_xlpm.tgt,LARGE(_xlpm.adj,_xlpm.n),MATCH(_xlpm.tgt,_xlpm.adj,0)+1),"")</f>
        <v>146</v>
      </c>
      <c r="B61" s="997" t="str" cm="1">
        <f t="array" ref="B61">IF($A61="","",INDEX('resident aged receivable'!$B:$B,$A61))</f>
        <v>W15-2-2085</v>
      </c>
      <c r="C61" s="997" t="str" cm="1">
        <f t="array" ref="C61">IF($A61="","",INDEX('resident aged receivable'!$D:$D,$A61))</f>
        <v>Jenkins, Jared</v>
      </c>
      <c r="D61" s="998" cm="1">
        <f t="array" ref="D61">IF($A61="","",INDEX('resident aged receivable'!$F:$F,$A61))</f>
        <v>45747</v>
      </c>
      <c r="E61" s="998" cm="1">
        <f t="array" ref="E61">IF($A61="","",_xlfn.LET(_xlpm.leaseEnd,INDEX('resident aged receivable'!$H:$H,$A61),_xlpm.moLookup,IFERROR(_xlfn.LET(_xlpm.lastFirst,C61,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46169</v>
      </c>
      <c r="F61" s="999" t="str">
        <f t="shared" si="1"/>
        <v>IPS</v>
      </c>
      <c r="G61" s="1000" t="str" cm="1">
        <f t="array" ref="G61">IF($A61="","",IF(COUNTIF($N$3:$N$24,C61)&gt;0,"Former",_xlfn.LET(_xlpm.s,INDEX('resident aged receivable'!$E:$E,$A61),IF(ISNUMBER(SEARCH("Eviction",_xlpm.s)),"Eviction",IF(ISNUMBER(SEARCH("Skip",_xlpm.s)),"Skip",IF(ISNUMBER(SEARCH("Past",_xlpm.s))+ISNUMBER(SEARCH("Collections",_xlpm.s)),"Former",_xlpm.s))))))</f>
        <v>Eviction</v>
      </c>
      <c r="H61" s="1001" cm="1">
        <f t="array" ref="H61">IF($A61="","",INDEX('resident aged receivable'!$I:$I,$A61))</f>
        <v>3700.23</v>
      </c>
      <c r="I61" s="1001" cm="1">
        <f t="array" ref="I61">IF($A61="","",INDEX('resident aged receivable'!$J:$J,$A61))</f>
        <v>0</v>
      </c>
      <c r="J61" s="1001" cm="1">
        <f t="array" ref="J61">IF($A61="","",INDEX('resident aged receivable'!$K:$K,$A61))</f>
        <v>0</v>
      </c>
      <c r="K61" s="1020" t="str" cm="1">
        <f t="array" ref="K61">IF($C61="","",IFERROR(_xlfn.LET(_xlpm.unit,B61,_xlpm.resident,C61,_xlpm.lastName,IFERROR(LEFT(_xlpm.resident,FIND(",",_xlpm.resident)-1),_xlpm.resident),_xlpm.llMatch,(LeaseLock!$D$2:$D$500=_xlpm.unit)*ISNUMBER(SEARCH(_xlpm.lastName,LeaseLock!$C$2:$C$500)),_xlpm.hasLL,SUMPRODUCT(_xlpm.llMatch)&gt;0,_xlpm.llStatus,IF(_xlpm.hasLL,_xlfn.LET(_xlpm.stat,LOOKUP(2,1/_xlpm.llMatch,LeaseLock!$F$2:$F$500),_xlpm.sub,LOOKUP(2,1/_xlpm.llMatch,LeaseLock!$G$2:$G$500),_xlpm.paid,LOOKUP(2,1/_xlpm.llMatch,LeaseLock!$M$2:$M$500),IF(_xlpm.stat="Claim Denied","Claim Denied ("&amp;_xlpm.sub&amp;")",IF(_xlpm.stat="Open","Open - "&amp;_xlpm.sub,IF(_xlpm.paid&gt;0,_xlpm.stat&amp;" - $"&amp;TEXT(_xlpm.paid,"#,##0.00")&amp;" paid",_xlpm.stat&amp;" - no payment")))),""),_xlpm.rsiMatches,ISNUMBER(SEARCH(_xlpm.lastName,Evictions_RSI!$B$3:$B$200))*(Evictions_RSI!$B$3:$B$200&lt;&gt;""),_xlpm.hasRSI,SUMPRODUCT(_xlpm.rsiMatches)&gt;0,_xlpm.rsiStatus,IF(_xlpm.hasRSI,_xlfn.LET(_xlpm.dates,IF(_xlpm.rsiMatches,IFERROR(DATEVALUE(SUBSTITUTE(Evictions_RSI!$A$3:$A$200,_xlfn.UNICHAR(8204),"")),0),0),_xlpm.latestRow,MATCH(MAX(_xlpm.dates),_xlpm.dates,0),TRIM(SUBSTITUTE(INDEX(Evictions_RSI!$I$3:$I$200,_xlpm.latestRow),_xlfn.UNICHAR(8204),""))),""),IF(AND(_xlpm.llStatus="",_xlpm.rsiStatus=""),"",IF(_xlpm.llStatus="","RSI: "&amp;_xlpm.rsiStatus,IF(_xlpm.rsiStatus="","LL: "&amp;_xlpm.llStatus,"LL: "&amp;_xlpm.llStatus&amp;" | RSI: "&amp;_xlpm.rsiStatus)))),""))</f>
        <v>LL: Closed - $750.00 paid | RSI: Dismissed (Tenant Vacated) (Notes)</v>
      </c>
      <c r="L61" s="1061" t="s">
        <v>1156</v>
      </c>
      <c r="Q61" s="973"/>
      <c r="R61" s="973"/>
      <c r="S61" s="973"/>
      <c r="T61" s="973"/>
      <c r="U61" s="973"/>
      <c r="V61" s="973"/>
      <c r="W61" s="973"/>
      <c r="X61" s="973"/>
      <c r="Y61" s="973"/>
      <c r="Z61" s="973"/>
    </row>
    <row r="62" spans="1:26" ht="12" customHeight="1" outlineLevel="1">
      <c r="A62" s="996" cm="1">
        <f t="array" ref="A62">IFERROR(_xlfn.LET(_xlpm.n,ROW()-16,_xlpm.adj,IF((((ISNUMBER(SEARCH("Eviction",'resident aged receivable'!$E$2:$E$460)))+(ISNUMBER(SEARCH("Past",'resident aged receivable'!$E$2:$E$460)))+(ISNUMBER(SEARCH("Skip",'resident aged receivable'!$E$2:$E$460)))+(ISNUMBER(SEARCH("Collections",'resident aged receivable'!$E$2:$E$460)))+(COUNTIF($N$3:$N$24,'resident aged receivable'!$D$2:$D$460)&gt;0))&gt;0)*(((((LEFT('resident aged receivable'!$E$2:$E$460,7)="Current")+(LEFT('resident aged receivable'!$E$2:$E$460,6)="Notice"))=0)+(COUNTIF($N$3:$N$24,'resident aged receivable'!$D$2:$D$460)&gt;0))&gt;0)*(COUNTIF($P$3:$P$24,'resident aged receivable'!$D$2:$D$460)=0)*('resident aged receivable'!$I$2:$I$460&gt;0),'resident aged receivable'!$I$2:$I$460-ROW('resident aged receivable'!$I$2:$I$460)/1000000),_xlpm.tgt,LARGE(_xlpm.adj,_xlpm.n),MATCH(_xlpm.tgt,_xlpm.adj,0)+1),"")</f>
        <v>88</v>
      </c>
      <c r="B62" s="997" t="str" cm="1">
        <f t="array" ref="B62">IF($A62="","",INDEX('resident aged receivable'!$B:$B,$A62))</f>
        <v>W01-1-0104</v>
      </c>
      <c r="C62" s="997" t="str" cm="1">
        <f t="array" ref="C62">IF($A62="","",INDEX('resident aged receivable'!$D:$D,$A62))</f>
        <v>Cardenas, Yeiby</v>
      </c>
      <c r="D62" s="998" cm="1">
        <f t="array" ref="D62">IF($A62="","",INDEX('resident aged receivable'!$F:$F,$A62))</f>
        <v>45777</v>
      </c>
      <c r="E62" s="998" cm="1">
        <f t="array" ref="E62">IF($A62="","",_xlfn.LET(_xlpm.leaseEnd,INDEX('resident aged receivable'!$H:$H,$A62),_xlpm.moLookup,IFERROR(_xlfn.LET(_xlpm.lastFirst,C62,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46506</v>
      </c>
      <c r="F62" s="999" t="str">
        <f t="shared" si="1"/>
        <v>IPS</v>
      </c>
      <c r="G62" s="1000" t="str" cm="1">
        <f t="array" ref="G62">IF($A62="","",IF(COUNTIF($N$3:$N$24,C62)&gt;0,"Former",_xlfn.LET(_xlpm.s,INDEX('resident aged receivable'!$E:$E,$A62),IF(ISNUMBER(SEARCH("Eviction",_xlpm.s)),"Eviction",IF(ISNUMBER(SEARCH("Skip",_xlpm.s)),"Skip",IF(ISNUMBER(SEARCH("Past",_xlpm.s))+ISNUMBER(SEARCH("Collections",_xlpm.s)),"Former",_xlpm.s))))))</f>
        <v>Skip</v>
      </c>
      <c r="H62" s="1001" cm="1">
        <f t="array" ref="H62">IF($A62="","",INDEX('resident aged receivable'!$I:$I,$A62))</f>
        <v>3519.78</v>
      </c>
      <c r="I62" s="1001" cm="1">
        <f t="array" ref="I62">IF($A62="","",INDEX('resident aged receivable'!$J:$J,$A62))</f>
        <v>0</v>
      </c>
      <c r="J62" s="1001" cm="1">
        <f t="array" ref="J62">IF($A62="","",INDEX('resident aged receivable'!$K:$K,$A62))</f>
        <v>0</v>
      </c>
      <c r="K62" s="1020" t="str" cm="1">
        <f t="array" ref="K62">IF($C62="","",IFERROR(_xlfn.LET(_xlpm.unit,B62,_xlpm.resident,C62,_xlpm.lastName,IFERROR(LEFT(_xlpm.resident,FIND(",",_xlpm.resident)-1),_xlpm.resident),_xlpm.llMatch,(LeaseLock!$D$2:$D$500=_xlpm.unit)*ISNUMBER(SEARCH(_xlpm.lastName,LeaseLock!$C$2:$C$500)),_xlpm.hasLL,SUMPRODUCT(_xlpm.llMatch)&gt;0,_xlpm.llStatus,IF(_xlpm.hasLL,_xlfn.LET(_xlpm.stat,LOOKUP(2,1/_xlpm.llMatch,LeaseLock!$F$2:$F$500),_xlpm.sub,LOOKUP(2,1/_xlpm.llMatch,LeaseLock!$G$2:$G$500),_xlpm.paid,LOOKUP(2,1/_xlpm.llMatch,LeaseLock!$M$2:$M$500),IF(_xlpm.stat="Claim Denied","Claim Denied ("&amp;_xlpm.sub&amp;")",IF(_xlpm.stat="Open","Open - "&amp;_xlpm.sub,IF(_xlpm.paid&gt;0,_xlpm.stat&amp;" - $"&amp;TEXT(_xlpm.paid,"#,##0.00")&amp;" paid",_xlpm.stat&amp;" - no payment")))),""),_xlpm.rsiMatches,ISNUMBER(SEARCH(_xlpm.lastName,Evictions_RSI!$B$3:$B$200))*(Evictions_RSI!$B$3:$B$200&lt;&gt;""),_xlpm.hasRSI,SUMPRODUCT(_xlpm.rsiMatches)&gt;0,_xlpm.rsiStatus,IF(_xlpm.hasRSI,_xlfn.LET(_xlpm.dates,IF(_xlpm.rsiMatches,IFERROR(DATEVALUE(SUBSTITUTE(Evictions_RSI!$A$3:$A$200,_xlfn.UNICHAR(8204),"")),0),0),_xlpm.latestRow,MATCH(MAX(_xlpm.dates),_xlpm.dates,0),TRIM(SUBSTITUTE(INDEX(Evictions_RSI!$I$3:$I$200,_xlpm.latestRow),_xlfn.UNICHAR(8204),""))),""),IF(AND(_xlpm.llStatus="",_xlpm.rsiStatus=""),"",IF(_xlpm.llStatus="","RSI: "&amp;_xlpm.rsiStatus,IF(_xlpm.rsiStatus="","LL: "&amp;_xlpm.llStatus,"LL: "&amp;_xlpm.llStatus&amp;" | RSI: "&amp;_xlpm.rsiStatus)))),""))</f>
        <v>LL: Closed - $208.00 paid</v>
      </c>
      <c r="L62" s="1002"/>
      <c r="Q62" s="973"/>
      <c r="R62" s="973"/>
      <c r="S62" s="973"/>
      <c r="T62" s="973"/>
      <c r="U62" s="973"/>
      <c r="V62" s="973"/>
      <c r="W62" s="973"/>
      <c r="X62" s="973"/>
      <c r="Y62" s="973"/>
      <c r="Z62" s="973"/>
    </row>
    <row r="63" spans="1:26" ht="12" customHeight="1">
      <c r="A63" s="996" cm="1">
        <f t="array" ref="A63">IFERROR(_xlfn.LET(_xlpm.n,ROW()-16,_xlpm.adj,IF((((ISNUMBER(SEARCH("Eviction",'resident aged receivable'!$E$2:$E$460)))+(ISNUMBER(SEARCH("Past",'resident aged receivable'!$E$2:$E$460)))+(ISNUMBER(SEARCH("Skip",'resident aged receivable'!$E$2:$E$460)))+(ISNUMBER(SEARCH("Collections",'resident aged receivable'!$E$2:$E$460)))+(COUNTIF($N$3:$N$24,'resident aged receivable'!$D$2:$D$460)&gt;0))&gt;0)*(((((LEFT('resident aged receivable'!$E$2:$E$460,7)="Current")+(LEFT('resident aged receivable'!$E$2:$E$460,6)="Notice"))=0)+(COUNTIF($N$3:$N$24,'resident aged receivable'!$D$2:$D$460)&gt;0))&gt;0)*(COUNTIF($P$3:$P$24,'resident aged receivable'!$D$2:$D$460)=0)*('resident aged receivable'!$I$2:$I$460&gt;0),'resident aged receivable'!$I$2:$I$460-ROW('resident aged receivable'!$I$2:$I$460)/1000000),_xlpm.tgt,LARGE(_xlpm.adj,_xlpm.n),MATCH(_xlpm.tgt,_xlpm.adj,0)+1),"")</f>
        <v>153</v>
      </c>
      <c r="B63" s="997" t="str" cm="1">
        <f t="array" ref="B63">IF($A63="","",INDEX('resident aged receivable'!$B:$B,$A63))</f>
        <v>W17-2-1078</v>
      </c>
      <c r="C63" s="997" t="str" cm="1">
        <f t="array" ref="C63">IF($A63="","",INDEX('resident aged receivable'!$D:$D,$A63))</f>
        <v>Rodriguez, Joseph</v>
      </c>
      <c r="D63" s="998" cm="1">
        <f t="array" ref="D63">IF($A63="","",INDEX('resident aged receivable'!$F:$F,$A63))</f>
        <v>45720</v>
      </c>
      <c r="E63" s="998" cm="1">
        <f t="array" ref="E63">IF($A63="","",_xlfn.LET(_xlpm.leaseEnd,INDEX('resident aged receivable'!$H:$H,$A63),_xlpm.moLookup,IFERROR(_xlfn.LET(_xlpm.lastFirst,C63,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46451</v>
      </c>
      <c r="F63" s="999" t="str">
        <f t="shared" si="1"/>
        <v>IPS</v>
      </c>
      <c r="G63" s="1000" t="str" cm="1">
        <f t="array" ref="G63">IF($A63="","",IF(COUNTIF($N$3:$N$24,C63)&gt;0,"Former",_xlfn.LET(_xlpm.s,INDEX('resident aged receivable'!$E:$E,$A63),IF(ISNUMBER(SEARCH("Eviction",_xlpm.s)),"Eviction",IF(ISNUMBER(SEARCH("Skip",_xlpm.s)),"Skip",IF(ISNUMBER(SEARCH("Past",_xlpm.s))+ISNUMBER(SEARCH("Collections",_xlpm.s)),"Former",_xlpm.s))))))</f>
        <v>Former</v>
      </c>
      <c r="H63" s="1001" cm="1">
        <f t="array" ref="H63">IF($A63="","",INDEX('resident aged receivable'!$I:$I,$A63))</f>
        <v>3504.84</v>
      </c>
      <c r="I63" s="1001" cm="1">
        <f t="array" ref="I63">IF($A63="","",INDEX('resident aged receivable'!$J:$J,$A63))</f>
        <v>1747.4</v>
      </c>
      <c r="J63" s="1001" cm="1">
        <f t="array" ref="J63">IF($A63="","",INDEX('resident aged receivable'!$K:$K,$A63))</f>
        <v>1757.44</v>
      </c>
      <c r="K63" s="1020" t="str" cm="1">
        <f t="array" ref="K63">IF($C63="","",IFERROR(_xlfn.LET(_xlpm.unit,B63,_xlpm.resident,C63,_xlpm.lastName,IFERROR(LEFT(_xlpm.resident,FIND(",",_xlpm.resident)-1),_xlpm.resident),_xlpm.llMatch,(LeaseLock!$D$2:$D$500=_xlpm.unit)*ISNUMBER(SEARCH(_xlpm.lastName,LeaseLock!$C$2:$C$500)),_xlpm.hasLL,SUMPRODUCT(_xlpm.llMatch)&gt;0,_xlpm.llStatus,IF(_xlpm.hasLL,_xlfn.LET(_xlpm.stat,LOOKUP(2,1/_xlpm.llMatch,LeaseLock!$F$2:$F$500),_xlpm.sub,LOOKUP(2,1/_xlpm.llMatch,LeaseLock!$G$2:$G$500),_xlpm.paid,LOOKUP(2,1/_xlpm.llMatch,LeaseLock!$M$2:$M$500),IF(_xlpm.stat="Claim Denied","Claim Denied ("&amp;_xlpm.sub&amp;")",IF(_xlpm.stat="Open","Open - "&amp;_xlpm.sub,IF(_xlpm.paid&gt;0,_xlpm.stat&amp;" - $"&amp;TEXT(_xlpm.paid,"#,##0.00")&amp;" paid",_xlpm.stat&amp;" - no payment")))),""),_xlpm.rsiMatches,ISNUMBER(SEARCH(_xlpm.lastName,Evictions_RSI!$B$3:$B$200))*(Evictions_RSI!$B$3:$B$200&lt;&gt;""),_xlpm.hasRSI,SUMPRODUCT(_xlpm.rsiMatches)&gt;0,_xlpm.rsiStatus,IF(_xlpm.hasRSI,_xlfn.LET(_xlpm.dates,IF(_xlpm.rsiMatches,IFERROR(DATEVALUE(SUBSTITUTE(Evictions_RSI!$A$3:$A$200,_xlfn.UNICHAR(8204),"")),0),0),_xlpm.latestRow,MATCH(MAX(_xlpm.dates),_xlpm.dates,0),TRIM(SUBSTITUTE(INDEX(Evictions_RSI!$I$3:$I$200,_xlpm.latestRow),_xlfn.UNICHAR(8204),""))),""),IF(AND(_xlpm.llStatus="",_xlpm.rsiStatus=""),"",IF(_xlpm.llStatus="","RSI: "&amp;_xlpm.rsiStatus,IF(_xlpm.rsiStatus="","LL: "&amp;_xlpm.llStatus,"LL: "&amp;_xlpm.llStatus&amp;" | RSI: "&amp;_xlpm.rsiStatus)))),""))</f>
        <v>RSI: Granted (Notes)</v>
      </c>
      <c r="L63" s="1002" t="s">
        <v>1161</v>
      </c>
      <c r="Q63" s="973"/>
      <c r="R63" s="973"/>
      <c r="S63" s="973"/>
      <c r="T63" s="973"/>
      <c r="U63" s="973"/>
      <c r="V63" s="973"/>
      <c r="W63" s="973"/>
      <c r="X63" s="973"/>
      <c r="Y63" s="973"/>
      <c r="Z63" s="973"/>
    </row>
    <row r="64" spans="1:26" ht="12" customHeight="1">
      <c r="A64" s="996" cm="1">
        <f t="array" ref="A64">IFERROR(_xlfn.LET(_xlpm.n,ROW()-16,_xlpm.adj,IF((((ISNUMBER(SEARCH("Eviction",'resident aged receivable'!$E$2:$E$460)))+(ISNUMBER(SEARCH("Past",'resident aged receivable'!$E$2:$E$460)))+(ISNUMBER(SEARCH("Skip",'resident aged receivable'!$E$2:$E$460)))+(ISNUMBER(SEARCH("Collections",'resident aged receivable'!$E$2:$E$460)))+(COUNTIF($N$3:$N$24,'resident aged receivable'!$D$2:$D$460)&gt;0))&gt;0)*(((((LEFT('resident aged receivable'!$E$2:$E$460,7)="Current")+(LEFT('resident aged receivable'!$E$2:$E$460,6)="Notice"))=0)+(COUNTIF($N$3:$N$24,'resident aged receivable'!$D$2:$D$460)&gt;0))&gt;0)*(COUNTIF($P$3:$P$24,'resident aged receivable'!$D$2:$D$460)=0)*('resident aged receivable'!$I$2:$I$460&gt;0),'resident aged receivable'!$I$2:$I$460-ROW('resident aged receivable'!$I$2:$I$460)/1000000),_xlpm.tgt,LARGE(_xlpm.adj,_xlpm.n),MATCH(_xlpm.tgt,_xlpm.adj,0)+1),"")</f>
        <v>21</v>
      </c>
      <c r="B64" s="997" t="str" cm="1">
        <f t="array" ref="B64">IF($A64="","",INDEX('resident aged receivable'!$B:$B,$A64))</f>
        <v>N11-2042</v>
      </c>
      <c r="C64" s="997" t="str" cm="1">
        <f t="array" ref="C64">IF($A64="","",INDEX('resident aged receivable'!$D:$D,$A64))</f>
        <v>Cruz, Lesly</v>
      </c>
      <c r="D64" s="998" cm="1">
        <f t="array" ref="D64">IF($A64="","",INDEX('resident aged receivable'!$F:$F,$A64))</f>
        <v>45591</v>
      </c>
      <c r="E64" s="998" cm="1">
        <f t="array" ref="E64">IF($A64="","",_xlfn.LET(_xlpm.leaseEnd,INDEX('resident aged receivable'!$H:$H,$A64),_xlpm.moLookup,IFERROR(_xlfn.LET(_xlpm.lastFirst,C64,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46190</v>
      </c>
      <c r="F64" s="999" t="str">
        <f t="shared" si="1"/>
        <v>IPS</v>
      </c>
      <c r="G64" s="1000" t="str" cm="1">
        <f t="array" ref="G64">IF($A64="","",IF(COUNTIF($N$3:$N$24,C64)&gt;0,"Former",_xlfn.LET(_xlpm.s,INDEX('resident aged receivable'!$E:$E,$A64),IF(ISNUMBER(SEARCH("Eviction",_xlpm.s)),"Eviction",IF(ISNUMBER(SEARCH("Skip",_xlpm.s)),"Skip",IF(ISNUMBER(SEARCH("Past",_xlpm.s))+ISNUMBER(SEARCH("Collections",_xlpm.s)),"Former",_xlpm.s))))))</f>
        <v>Skip</v>
      </c>
      <c r="H64" s="1001" cm="1">
        <f t="array" ref="H64">IF($A64="","",INDEX('resident aged receivable'!$I:$I,$A64))</f>
        <v>3374.64</v>
      </c>
      <c r="I64" s="1001" cm="1">
        <f t="array" ref="I64">IF($A64="","",INDEX('resident aged receivable'!$J:$J,$A64))</f>
        <v>0</v>
      </c>
      <c r="J64" s="1001" cm="1">
        <f t="array" ref="J64">IF($A64="","",INDEX('resident aged receivable'!$K:$K,$A64))</f>
        <v>530</v>
      </c>
      <c r="K64" s="1020" t="str" cm="1">
        <f t="array" ref="K64">IF($C64="","",IFERROR(_xlfn.LET(_xlpm.unit,B64,_xlpm.resident,C64,_xlpm.lastName,IFERROR(LEFT(_xlpm.resident,FIND(",",_xlpm.resident)-1),_xlpm.resident),_xlpm.llMatch,(LeaseLock!$D$2:$D$500=_xlpm.unit)*ISNUMBER(SEARCH(_xlpm.lastName,LeaseLock!$C$2:$C$500)),_xlpm.hasLL,SUMPRODUCT(_xlpm.llMatch)&gt;0,_xlpm.llStatus,IF(_xlpm.hasLL,_xlfn.LET(_xlpm.stat,LOOKUP(2,1/_xlpm.llMatch,LeaseLock!$F$2:$F$500),_xlpm.sub,LOOKUP(2,1/_xlpm.llMatch,LeaseLock!$G$2:$G$500),_xlpm.paid,LOOKUP(2,1/_xlpm.llMatch,LeaseLock!$M$2:$M$500),IF(_xlpm.stat="Claim Denied","Claim Denied ("&amp;_xlpm.sub&amp;")",IF(_xlpm.stat="Open","Open - "&amp;_xlpm.sub,IF(_xlpm.paid&gt;0,_xlpm.stat&amp;" - $"&amp;TEXT(_xlpm.paid,"#,##0.00")&amp;" paid",_xlpm.stat&amp;" - no payment")))),""),_xlpm.rsiMatches,ISNUMBER(SEARCH(_xlpm.lastName,Evictions_RSI!$B$3:$B$200))*(Evictions_RSI!$B$3:$B$200&lt;&gt;""),_xlpm.hasRSI,SUMPRODUCT(_xlpm.rsiMatches)&gt;0,_xlpm.rsiStatus,IF(_xlpm.hasRSI,_xlfn.LET(_xlpm.dates,IF(_xlpm.rsiMatches,IFERROR(DATEVALUE(SUBSTITUTE(Evictions_RSI!$A$3:$A$200,_xlfn.UNICHAR(8204),"")),0),0),_xlpm.latestRow,MATCH(MAX(_xlpm.dates),_xlpm.dates,0),TRIM(SUBSTITUTE(INDEX(Evictions_RSI!$I$3:$I$200,_xlpm.latestRow),_xlfn.UNICHAR(8204),""))),""),IF(AND(_xlpm.llStatus="",_xlpm.rsiStatus=""),"",IF(_xlpm.llStatus="","RSI: "&amp;_xlpm.rsiStatus,IF(_xlpm.rsiStatus="","LL: "&amp;_xlpm.llStatus,"LL: "&amp;_xlpm.llStatus&amp;" | RSI: "&amp;_xlpm.rsiStatus)))),""))</f>
        <v>RSI: Dismissed (Tenant Vacated) (Notes)</v>
      </c>
      <c r="L64" s="1002" t="s">
        <v>1157</v>
      </c>
      <c r="Q64" s="973"/>
      <c r="R64" s="973"/>
      <c r="S64" s="973"/>
      <c r="T64" s="973"/>
      <c r="U64" s="973"/>
      <c r="V64" s="973"/>
      <c r="W64" s="973"/>
      <c r="X64" s="973"/>
      <c r="Y64" s="973"/>
      <c r="Z64" s="973"/>
    </row>
    <row r="65" spans="1:26" ht="12" customHeight="1">
      <c r="A65" s="996" cm="1">
        <f t="array" ref="A65">IFERROR(_xlfn.LET(_xlpm.n,ROW()-16,_xlpm.adj,IF((((ISNUMBER(SEARCH("Eviction",'resident aged receivable'!$E$2:$E$460)))+(ISNUMBER(SEARCH("Past",'resident aged receivable'!$E$2:$E$460)))+(ISNUMBER(SEARCH("Skip",'resident aged receivable'!$E$2:$E$460)))+(ISNUMBER(SEARCH("Collections",'resident aged receivable'!$E$2:$E$460)))+(COUNTIF($N$3:$N$24,'resident aged receivable'!$D$2:$D$460)&gt;0))&gt;0)*(((((LEFT('resident aged receivable'!$E$2:$E$460,7)="Current")+(LEFT('resident aged receivable'!$E$2:$E$460,6)="Notice"))=0)+(COUNTIF($N$3:$N$24,'resident aged receivable'!$D$2:$D$460)&gt;0))&gt;0)*(COUNTIF($P$3:$P$24,'resident aged receivable'!$D$2:$D$460)=0)*('resident aged receivable'!$I$2:$I$460&gt;0),'resident aged receivable'!$I$2:$I$460-ROW('resident aged receivable'!$I$2:$I$460)/1000000),_xlpm.tgt,LARGE(_xlpm.adj,_xlpm.n),MATCH(_xlpm.tgt,_xlpm.adj,0)+1),"")</f>
        <v>6</v>
      </c>
      <c r="B65" s="997" t="str" cm="1">
        <f t="array" ref="B65">IF($A65="","",INDEX('resident aged receivable'!$B:$B,$A65))</f>
        <v>N01-2002</v>
      </c>
      <c r="C65" s="997" t="str" cm="1">
        <f t="array" ref="C65">IF($A65="","",INDEX('resident aged receivable'!$D:$D,$A65))</f>
        <v>Bell, Keevin</v>
      </c>
      <c r="D65" s="998" cm="1">
        <f t="array" ref="D65">IF($A65="","",INDEX('resident aged receivable'!$F:$F,$A65))</f>
        <v>45873</v>
      </c>
      <c r="E65" s="998" cm="1">
        <f t="array" ref="E65">IF($A65="","",_xlfn.LET(_xlpm.leaseEnd,INDEX('resident aged receivable'!$H:$H,$A65),_xlpm.moLookup,IFERROR(_xlfn.LET(_xlpm.lastFirst,C65,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46237</v>
      </c>
      <c r="F65" s="999" t="str">
        <f t="shared" si="1"/>
        <v>IPS</v>
      </c>
      <c r="G65" s="1000" t="str" cm="1">
        <f t="array" ref="G65">IF($A65="","",IF(COUNTIF($N$3:$N$24,C65)&gt;0,"Former",_xlfn.LET(_xlpm.s,INDEX('resident aged receivable'!$E:$E,$A65),IF(ISNUMBER(SEARCH("Eviction",_xlpm.s)),"Eviction",IF(ISNUMBER(SEARCH("Skip",_xlpm.s)),"Skip",IF(ISNUMBER(SEARCH("Past",_xlpm.s))+ISNUMBER(SEARCH("Collections",_xlpm.s)),"Former",_xlpm.s))))))</f>
        <v>Eviction</v>
      </c>
      <c r="H65" s="1001" cm="1">
        <f t="array" ref="H65">IF($A65="","",INDEX('resident aged receivable'!$I:$I,$A65))</f>
        <v>3337.61</v>
      </c>
      <c r="I65" s="1001" cm="1">
        <f t="array" ref="I65">IF($A65="","",INDEX('resident aged receivable'!$J:$J,$A65))</f>
        <v>0</v>
      </c>
      <c r="J65" s="1001" cm="1">
        <f t="array" ref="J65">IF($A65="","",INDEX('resident aged receivable'!$K:$K,$A65))</f>
        <v>1289.17</v>
      </c>
      <c r="K65" s="1020" t="str" cm="1">
        <f t="array" ref="K65">IF($C65="","",IFERROR(_xlfn.LET(_xlpm.unit,B65,_xlpm.resident,C65,_xlpm.lastName,IFERROR(LEFT(_xlpm.resident,FIND(",",_xlpm.resident)-1),_xlpm.resident),_xlpm.llMatch,(LeaseLock!$D$2:$D$500=_xlpm.unit)*ISNUMBER(SEARCH(_xlpm.lastName,LeaseLock!$C$2:$C$500)),_xlpm.hasLL,SUMPRODUCT(_xlpm.llMatch)&gt;0,_xlpm.llStatus,IF(_xlpm.hasLL,_xlfn.LET(_xlpm.stat,LOOKUP(2,1/_xlpm.llMatch,LeaseLock!$F$2:$F$500),_xlpm.sub,LOOKUP(2,1/_xlpm.llMatch,LeaseLock!$G$2:$G$500),_xlpm.paid,LOOKUP(2,1/_xlpm.llMatch,LeaseLock!$M$2:$M$500),IF(_xlpm.stat="Claim Denied","Claim Denied ("&amp;_xlpm.sub&amp;")",IF(_xlpm.stat="Open","Open - "&amp;_xlpm.sub,IF(_xlpm.paid&gt;0,_xlpm.stat&amp;" - $"&amp;TEXT(_xlpm.paid,"#,##0.00")&amp;" paid",_xlpm.stat&amp;" - no payment")))),""),_xlpm.rsiMatches,ISNUMBER(SEARCH(_xlpm.lastName,Evictions_RSI!$B$3:$B$200))*(Evictions_RSI!$B$3:$B$200&lt;&gt;""),_xlpm.hasRSI,SUMPRODUCT(_xlpm.rsiMatches)&gt;0,_xlpm.rsiStatus,IF(_xlpm.hasRSI,_xlfn.LET(_xlpm.dates,IF(_xlpm.rsiMatches,IFERROR(DATEVALUE(SUBSTITUTE(Evictions_RSI!$A$3:$A$200,_xlfn.UNICHAR(8204),"")),0),0),_xlpm.latestRow,MATCH(MAX(_xlpm.dates),_xlpm.dates,0),TRIM(SUBSTITUTE(INDEX(Evictions_RSI!$I$3:$I$200,_xlpm.latestRow),_xlfn.UNICHAR(8204),""))),""),IF(AND(_xlpm.llStatus="",_xlpm.rsiStatus=""),"",IF(_xlpm.llStatus="","RSI: "&amp;_xlpm.rsiStatus,IF(_xlpm.rsiStatus="","LL: "&amp;_xlpm.llStatus,"LL: "&amp;_xlpm.llStatus&amp;" | RSI: "&amp;_xlpm.rsiStatus)))),""))</f>
        <v>RSI: Granted (Notes)</v>
      </c>
      <c r="L65" s="1002"/>
      <c r="Q65" s="973"/>
      <c r="R65" s="973"/>
      <c r="S65" s="973"/>
      <c r="T65" s="973"/>
      <c r="U65" s="973"/>
      <c r="V65" s="973"/>
      <c r="W65" s="973"/>
      <c r="X65" s="973"/>
      <c r="Y65" s="973"/>
      <c r="Z65" s="973"/>
    </row>
    <row r="66" spans="1:26" ht="12" customHeight="1">
      <c r="A66" s="996" cm="1">
        <f t="array" ref="A66">IFERROR(_xlfn.LET(_xlpm.n,ROW()-16,_xlpm.adj,IF((((ISNUMBER(SEARCH("Eviction",'resident aged receivable'!$E$2:$E$460)))+(ISNUMBER(SEARCH("Past",'resident aged receivable'!$E$2:$E$460)))+(ISNUMBER(SEARCH("Skip",'resident aged receivable'!$E$2:$E$460)))+(ISNUMBER(SEARCH("Collections",'resident aged receivable'!$E$2:$E$460)))+(COUNTIF($N$3:$N$24,'resident aged receivable'!$D$2:$D$460)&gt;0))&gt;0)*(((((LEFT('resident aged receivable'!$E$2:$E$460,7)="Current")+(LEFT('resident aged receivable'!$E$2:$E$460,6)="Notice"))=0)+(COUNTIF($N$3:$N$24,'resident aged receivable'!$D$2:$D$460)&gt;0))&gt;0)*(COUNTIF($P$3:$P$24,'resident aged receivable'!$D$2:$D$460)=0)*('resident aged receivable'!$I$2:$I$460&gt;0),'resident aged receivable'!$I$2:$I$460-ROW('resident aged receivable'!$I$2:$I$460)/1000000),_xlpm.tgt,LARGE(_xlpm.adj,_xlpm.n),MATCH(_xlpm.tgt,_xlpm.adj,0)+1),"")</f>
        <v>134</v>
      </c>
      <c r="B66" s="997" t="str" cm="1">
        <f t="array" ref="B66">IF($A66="","",INDEX('resident aged receivable'!$B:$B,$A66))</f>
        <v>W13-1-1308</v>
      </c>
      <c r="C66" s="997" t="str" cm="1">
        <f t="array" ref="C66">IF($A66="","",INDEX('resident aged receivable'!$D:$D,$A66))</f>
        <v>Romero, Eugenio</v>
      </c>
      <c r="D66" s="998" cm="1">
        <f t="array" ref="D66">IF($A66="","",INDEX('resident aged receivable'!$F:$F,$A66))</f>
        <v>45412</v>
      </c>
      <c r="E66" s="998" cm="1">
        <f t="array" ref="E66">IF($A66="","",_xlfn.LET(_xlpm.leaseEnd,INDEX('resident aged receivable'!$H:$H,$A66),_xlpm.moLookup,IFERROR(_xlfn.LET(_xlpm.lastFirst,C66,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46205</v>
      </c>
      <c r="F66" s="999" t="str">
        <f t="shared" si="1"/>
        <v>IPS</v>
      </c>
      <c r="G66" s="1000" t="str" cm="1">
        <f t="array" ref="G66">IF($A66="","",IF(COUNTIF($N$3:$N$24,C66)&gt;0,"Former",_xlfn.LET(_xlpm.s,INDEX('resident aged receivable'!$E:$E,$A66),IF(ISNUMBER(SEARCH("Eviction",_xlpm.s)),"Eviction",IF(ISNUMBER(SEARCH("Skip",_xlpm.s)),"Skip",IF(ISNUMBER(SEARCH("Past",_xlpm.s))+ISNUMBER(SEARCH("Collections",_xlpm.s)),"Former",_xlpm.s))))))</f>
        <v>Former</v>
      </c>
      <c r="H66" s="1001" cm="1">
        <f t="array" ref="H66">IF($A66="","",INDEX('resident aged receivable'!$I:$I,$A66))</f>
        <v>3322.15</v>
      </c>
      <c r="I66" s="1001" cm="1">
        <f t="array" ref="I66">IF($A66="","",INDEX('resident aged receivable'!$J:$J,$A66))</f>
        <v>0</v>
      </c>
      <c r="J66" s="1001" cm="1">
        <f t="array" ref="J66">IF($A66="","",INDEX('resident aged receivable'!$K:$K,$A66))</f>
        <v>3322.15</v>
      </c>
      <c r="K66" s="1020" t="str" cm="1">
        <f t="array" ref="K66">IF($C66="","",IFERROR(_xlfn.LET(_xlpm.unit,B66,_xlpm.resident,C66,_xlpm.lastName,IFERROR(LEFT(_xlpm.resident,FIND(",",_xlpm.resident)-1),_xlpm.resident),_xlpm.llMatch,(LeaseLock!$D$2:$D$500=_xlpm.unit)*ISNUMBER(SEARCH(_xlpm.lastName,LeaseLock!$C$2:$C$500)),_xlpm.hasLL,SUMPRODUCT(_xlpm.llMatch)&gt;0,_xlpm.llStatus,IF(_xlpm.hasLL,_xlfn.LET(_xlpm.stat,LOOKUP(2,1/_xlpm.llMatch,LeaseLock!$F$2:$F$500),_xlpm.sub,LOOKUP(2,1/_xlpm.llMatch,LeaseLock!$G$2:$G$500),_xlpm.paid,LOOKUP(2,1/_xlpm.llMatch,LeaseLock!$M$2:$M$500),IF(_xlpm.stat="Claim Denied","Claim Denied ("&amp;_xlpm.sub&amp;")",IF(_xlpm.stat="Open","Open - "&amp;_xlpm.sub,IF(_xlpm.paid&gt;0,_xlpm.stat&amp;" - $"&amp;TEXT(_xlpm.paid,"#,##0.00")&amp;" paid",_xlpm.stat&amp;" - no payment")))),""),_xlpm.rsiMatches,ISNUMBER(SEARCH(_xlpm.lastName,Evictions_RSI!$B$3:$B$200))*(Evictions_RSI!$B$3:$B$200&lt;&gt;""),_xlpm.hasRSI,SUMPRODUCT(_xlpm.rsiMatches)&gt;0,_xlpm.rsiStatus,IF(_xlpm.hasRSI,_xlfn.LET(_xlpm.dates,IF(_xlpm.rsiMatches,IFERROR(DATEVALUE(SUBSTITUTE(Evictions_RSI!$A$3:$A$200,_xlfn.UNICHAR(8204),"")),0),0),_xlpm.latestRow,MATCH(MAX(_xlpm.dates),_xlpm.dates,0),TRIM(SUBSTITUTE(INDEX(Evictions_RSI!$I$3:$I$200,_xlpm.latestRow),_xlfn.UNICHAR(8204),""))),""),IF(AND(_xlpm.llStatus="",_xlpm.rsiStatus=""),"",IF(_xlpm.llStatus="","RSI: "&amp;_xlpm.rsiStatus,IF(_xlpm.rsiStatus="","LL: "&amp;_xlpm.llStatus,"LL: "&amp;_xlpm.llStatus&amp;" | RSI: "&amp;_xlpm.rsiStatus)))),""))</f>
        <v/>
      </c>
      <c r="L66" s="1002"/>
      <c r="Q66" s="973"/>
      <c r="R66" s="973"/>
      <c r="S66" s="973"/>
      <c r="T66" s="973"/>
      <c r="U66" s="973"/>
      <c r="V66" s="973"/>
      <c r="W66" s="973"/>
      <c r="X66" s="973"/>
      <c r="Y66" s="973"/>
      <c r="Z66" s="973"/>
    </row>
    <row r="67" spans="1:26" ht="12" customHeight="1">
      <c r="A67" s="996" cm="1">
        <f t="array" ref="A67">IFERROR(_xlfn.LET(_xlpm.n,ROW()-16,_xlpm.adj,IF((((ISNUMBER(SEARCH("Eviction",'resident aged receivable'!$E$2:$E$460)))+(ISNUMBER(SEARCH("Past",'resident aged receivable'!$E$2:$E$460)))+(ISNUMBER(SEARCH("Skip",'resident aged receivable'!$E$2:$E$460)))+(ISNUMBER(SEARCH("Collections",'resident aged receivable'!$E$2:$E$460)))+(COUNTIF($N$3:$N$24,'resident aged receivable'!$D$2:$D$460)&gt;0))&gt;0)*(((((LEFT('resident aged receivable'!$E$2:$E$460,7)="Current")+(LEFT('resident aged receivable'!$E$2:$E$460,6)="Notice"))=0)+(COUNTIF($N$3:$N$24,'resident aged receivable'!$D$2:$D$460)&gt;0))&gt;0)*(COUNTIF($P$3:$P$24,'resident aged receivable'!$D$2:$D$460)=0)*('resident aged receivable'!$I$2:$I$460&gt;0),'resident aged receivable'!$I$2:$I$460-ROW('resident aged receivable'!$I$2:$I$460)/1000000),_xlpm.tgt,LARGE(_xlpm.adj,_xlpm.n),MATCH(_xlpm.tgt,_xlpm.adj,0)+1),"")</f>
        <v>120</v>
      </c>
      <c r="B67" s="997" t="str" cm="1">
        <f t="array" ref="B67">IF($A67="","",INDEX('resident aged receivable'!$B:$B,$A67))</f>
        <v>W08-1-0814</v>
      </c>
      <c r="C67" s="997" t="str" cm="1">
        <f t="array" ref="C67">IF($A67="","",INDEX('resident aged receivable'!$D:$D,$A67))</f>
        <v>Reyes, Alan</v>
      </c>
      <c r="D67" s="998" cm="1">
        <f t="array" ref="D67">IF($A67="","",INDEX('resident aged receivable'!$F:$F,$A67))</f>
        <v>45898</v>
      </c>
      <c r="E67" s="998" cm="1">
        <f t="array" ref="E67">IF($A67="","",_xlfn.LET(_xlpm.leaseEnd,INDEX('resident aged receivable'!$H:$H,$A67),_xlpm.moLookup,IFERROR(_xlfn.LET(_xlpm.lastFirst,C67,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46265</v>
      </c>
      <c r="F67" s="999" t="str">
        <f t="shared" si="1"/>
        <v>IPS</v>
      </c>
      <c r="G67" s="1000" t="str" cm="1">
        <f t="array" ref="G67">IF($A67="","",IF(COUNTIF($N$3:$N$24,C67)&gt;0,"Former",_xlfn.LET(_xlpm.s,INDEX('resident aged receivable'!$E:$E,$A67),IF(ISNUMBER(SEARCH("Eviction",_xlpm.s)),"Eviction",IF(ISNUMBER(SEARCH("Skip",_xlpm.s)),"Skip",IF(ISNUMBER(SEARCH("Past",_xlpm.s))+ISNUMBER(SEARCH("Collections",_xlpm.s)),"Former",_xlpm.s))))))</f>
        <v>Eviction</v>
      </c>
      <c r="H67" s="1001" cm="1">
        <f t="array" ref="H67">IF($A67="","",INDEX('resident aged receivable'!$I:$I,$A67))</f>
        <v>3269.36</v>
      </c>
      <c r="I67" s="1001" cm="1">
        <f t="array" ref="I67">IF($A67="","",INDEX('resident aged receivable'!$J:$J,$A67))</f>
        <v>0</v>
      </c>
      <c r="J67" s="1001" cm="1">
        <f t="array" ref="J67">IF($A67="","",INDEX('resident aged receivable'!$K:$K,$A67))</f>
        <v>2128.1999999999998</v>
      </c>
      <c r="K67" s="1020" t="str" cm="1">
        <f t="array" ref="K67">IF($C67="","",IFERROR(_xlfn.LET(_xlpm.unit,B67,_xlpm.resident,C67,_xlpm.lastName,IFERROR(LEFT(_xlpm.resident,FIND(",",_xlpm.resident)-1),_xlpm.resident),_xlpm.llMatch,(LeaseLock!$D$2:$D$500=_xlpm.unit)*ISNUMBER(SEARCH(_xlpm.lastName,LeaseLock!$C$2:$C$500)),_xlpm.hasLL,SUMPRODUCT(_xlpm.llMatch)&gt;0,_xlpm.llStatus,IF(_xlpm.hasLL,_xlfn.LET(_xlpm.stat,LOOKUP(2,1/_xlpm.llMatch,LeaseLock!$F$2:$F$500),_xlpm.sub,LOOKUP(2,1/_xlpm.llMatch,LeaseLock!$G$2:$G$500),_xlpm.paid,LOOKUP(2,1/_xlpm.llMatch,LeaseLock!$M$2:$M$500),IF(_xlpm.stat="Claim Denied","Claim Denied ("&amp;_xlpm.sub&amp;")",IF(_xlpm.stat="Open","Open - "&amp;_xlpm.sub,IF(_xlpm.paid&gt;0,_xlpm.stat&amp;" - $"&amp;TEXT(_xlpm.paid,"#,##0.00")&amp;" paid",_xlpm.stat&amp;" - no payment")))),""),_xlpm.rsiMatches,ISNUMBER(SEARCH(_xlpm.lastName,Evictions_RSI!$B$3:$B$200))*(Evictions_RSI!$B$3:$B$200&lt;&gt;""),_xlpm.hasRSI,SUMPRODUCT(_xlpm.rsiMatches)&gt;0,_xlpm.rsiStatus,IF(_xlpm.hasRSI,_xlfn.LET(_xlpm.dates,IF(_xlpm.rsiMatches,IFERROR(DATEVALUE(SUBSTITUTE(Evictions_RSI!$A$3:$A$200,_xlfn.UNICHAR(8204),"")),0),0),_xlpm.latestRow,MATCH(MAX(_xlpm.dates),_xlpm.dates,0),TRIM(SUBSTITUTE(INDEX(Evictions_RSI!$I$3:$I$200,_xlpm.latestRow),_xlfn.UNICHAR(8204),""))),""),IF(AND(_xlpm.llStatus="",_xlpm.rsiStatus=""),"",IF(_xlpm.llStatus="","RSI: "&amp;_xlpm.rsiStatus,IF(_xlpm.rsiStatus="","LL: "&amp;_xlpm.llStatus,"LL: "&amp;_xlpm.llStatus&amp;" | RSI: "&amp;_xlpm.rsiStatus)))),""))</f>
        <v>RSI: Dismissed (Notes)</v>
      </c>
      <c r="L67" s="1061"/>
      <c r="Q67" s="973"/>
      <c r="R67" s="973"/>
      <c r="S67" s="973"/>
      <c r="T67" s="973"/>
      <c r="U67" s="973"/>
      <c r="V67" s="973"/>
      <c r="W67" s="973"/>
      <c r="X67" s="973"/>
      <c r="Y67" s="1004"/>
      <c r="Z67" s="992"/>
    </row>
    <row r="68" spans="1:26" ht="12" customHeight="1">
      <c r="A68" s="996" cm="1">
        <f t="array" ref="A68">IFERROR(_xlfn.LET(_xlpm.n,ROW()-16,_xlpm.adj,IF((((ISNUMBER(SEARCH("Eviction",'resident aged receivable'!$E$2:$E$460)))+(ISNUMBER(SEARCH("Past",'resident aged receivable'!$E$2:$E$460)))+(ISNUMBER(SEARCH("Skip",'resident aged receivable'!$E$2:$E$460)))+(ISNUMBER(SEARCH("Collections",'resident aged receivable'!$E$2:$E$460)))+(COUNTIF($N$3:$N$24,'resident aged receivable'!$D$2:$D$460)&gt;0))&gt;0)*(((((LEFT('resident aged receivable'!$E$2:$E$460,7)="Current")+(LEFT('resident aged receivable'!$E$2:$E$460,6)="Notice"))=0)+(COUNTIF($N$3:$N$24,'resident aged receivable'!$D$2:$D$460)&gt;0))&gt;0)*(COUNTIF($P$3:$P$24,'resident aged receivable'!$D$2:$D$460)=0)*('resident aged receivable'!$I$2:$I$460&gt;0),'resident aged receivable'!$I$2:$I$460-ROW('resident aged receivable'!$I$2:$I$460)/1000000),_xlpm.tgt,LARGE(_xlpm.adj,_xlpm.n),MATCH(_xlpm.tgt,_xlpm.adj,0)+1),"")</f>
        <v>12</v>
      </c>
      <c r="B68" s="997" t="str" cm="1">
        <f t="array" ref="B68">IF($A68="","",INDEX('resident aged receivable'!$B:$B,$A68))</f>
        <v>N03-3017</v>
      </c>
      <c r="C68" s="997" t="str" cm="1">
        <f t="array" ref="C68">IF($A68="","",INDEX('resident aged receivable'!$D:$D,$A68))</f>
        <v>Mcneil, Dandrea</v>
      </c>
      <c r="D68" s="998" cm="1">
        <f t="array" ref="D68">IF($A68="","",INDEX('resident aged receivable'!$F:$F,$A68))</f>
        <v>45611</v>
      </c>
      <c r="E68" s="998" cm="1">
        <f t="array" ref="E68">IF($A68="","",_xlfn.LET(_xlpm.leaseEnd,INDEX('resident aged receivable'!$H:$H,$A68),_xlpm.moLookup,IFERROR(_xlfn.LET(_xlpm.lastFirst,C68,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46171</v>
      </c>
      <c r="F68" s="999" t="str">
        <f t="shared" si="1"/>
        <v>IPS</v>
      </c>
      <c r="G68" s="1000" t="str" cm="1">
        <f t="array" ref="G68">IF($A68="","",IF(COUNTIF($N$3:$N$24,C68)&gt;0,"Former",_xlfn.LET(_xlpm.s,INDEX('resident aged receivable'!$E:$E,$A68),IF(ISNUMBER(SEARCH("Eviction",_xlpm.s)),"Eviction",IF(ISNUMBER(SEARCH("Skip",_xlpm.s)),"Skip",IF(ISNUMBER(SEARCH("Past",_xlpm.s))+ISNUMBER(SEARCH("Collections",_xlpm.s)),"Former",_xlpm.s))))))</f>
        <v>Eviction</v>
      </c>
      <c r="H68" s="1001" cm="1">
        <f t="array" ref="H68">IF($A68="","",INDEX('resident aged receivable'!$I:$I,$A68))</f>
        <v>3262.06</v>
      </c>
      <c r="I68" s="1001" cm="1">
        <f t="array" ref="I68">IF($A68="","",INDEX('resident aged receivable'!$J:$J,$A68))</f>
        <v>0</v>
      </c>
      <c r="J68" s="1001" cm="1">
        <f t="array" ref="J68">IF($A68="","",INDEX('resident aged receivable'!$K:$K,$A68))</f>
        <v>0</v>
      </c>
      <c r="K68" s="1020" t="str" cm="1">
        <f t="array" ref="K68">IF($C68="","",IFERROR(_xlfn.LET(_xlpm.unit,B68,_xlpm.resident,C68,_xlpm.lastName,IFERROR(LEFT(_xlpm.resident,FIND(",",_xlpm.resident)-1),_xlpm.resident),_xlpm.llMatch,(LeaseLock!$D$2:$D$500=_xlpm.unit)*ISNUMBER(SEARCH(_xlpm.lastName,LeaseLock!$C$2:$C$500)),_xlpm.hasLL,SUMPRODUCT(_xlpm.llMatch)&gt;0,_xlpm.llStatus,IF(_xlpm.hasLL,_xlfn.LET(_xlpm.stat,LOOKUP(2,1/_xlpm.llMatch,LeaseLock!$F$2:$F$500),_xlpm.sub,LOOKUP(2,1/_xlpm.llMatch,LeaseLock!$G$2:$G$500),_xlpm.paid,LOOKUP(2,1/_xlpm.llMatch,LeaseLock!$M$2:$M$500),IF(_xlpm.stat="Claim Denied","Claim Denied ("&amp;_xlpm.sub&amp;")",IF(_xlpm.stat="Open","Open - "&amp;_xlpm.sub,IF(_xlpm.paid&gt;0,_xlpm.stat&amp;" - $"&amp;TEXT(_xlpm.paid,"#,##0.00")&amp;" paid",_xlpm.stat&amp;" - no payment")))),""),_xlpm.rsiMatches,ISNUMBER(SEARCH(_xlpm.lastName,Evictions_RSI!$B$3:$B$200))*(Evictions_RSI!$B$3:$B$200&lt;&gt;""),_xlpm.hasRSI,SUMPRODUCT(_xlpm.rsiMatches)&gt;0,_xlpm.rsiStatus,IF(_xlpm.hasRSI,_xlfn.LET(_xlpm.dates,IF(_xlpm.rsiMatches,IFERROR(DATEVALUE(SUBSTITUTE(Evictions_RSI!$A$3:$A$200,_xlfn.UNICHAR(8204),"")),0),0),_xlpm.latestRow,MATCH(MAX(_xlpm.dates),_xlpm.dates,0),TRIM(SUBSTITUTE(INDEX(Evictions_RSI!$I$3:$I$200,_xlpm.latestRow),_xlfn.UNICHAR(8204),""))),""),IF(AND(_xlpm.llStatus="",_xlpm.rsiStatus=""),"",IF(_xlpm.llStatus="","RSI: "&amp;_xlpm.rsiStatus,IF(_xlpm.rsiStatus="","LL: "&amp;_xlpm.llStatus,"LL: "&amp;_xlpm.llStatus&amp;" | RSI: "&amp;_xlpm.rsiStatus)))),""))</f>
        <v>LL: Open - Pending Documentation | RSI: Dismissed (Notes)</v>
      </c>
      <c r="L68" s="1002"/>
      <c r="Q68" s="973"/>
      <c r="R68" s="973"/>
      <c r="S68" s="973"/>
      <c r="T68" s="973"/>
      <c r="U68" s="973"/>
      <c r="V68" s="973"/>
      <c r="W68" s="973"/>
      <c r="X68" s="973"/>
      <c r="Y68" s="1004"/>
      <c r="Z68" s="973"/>
    </row>
    <row r="69" spans="1:26" ht="12" customHeight="1">
      <c r="A69" s="996" cm="1">
        <f t="array" ref="A69">IFERROR(_xlfn.LET(_xlpm.n,ROW()-16,_xlpm.adj,IF((((ISNUMBER(SEARCH("Eviction",'resident aged receivable'!$E$2:$E$460)))+(ISNUMBER(SEARCH("Past",'resident aged receivable'!$E$2:$E$460)))+(ISNUMBER(SEARCH("Skip",'resident aged receivable'!$E$2:$E$460)))+(ISNUMBER(SEARCH("Collections",'resident aged receivable'!$E$2:$E$460)))+(COUNTIF($N$3:$N$24,'resident aged receivable'!$D$2:$D$460)&gt;0))&gt;0)*(((((LEFT('resident aged receivable'!$E$2:$E$460,7)="Current")+(LEFT('resident aged receivable'!$E$2:$E$460,6)="Notice"))=0)+(COUNTIF($N$3:$N$24,'resident aged receivable'!$D$2:$D$460)&gt;0))&gt;0)*(COUNTIF($P$3:$P$24,'resident aged receivable'!$D$2:$D$460)=0)*('resident aged receivable'!$I$2:$I$460&gt;0),'resident aged receivable'!$I$2:$I$460-ROW('resident aged receivable'!$I$2:$I$460)/1000000),_xlpm.tgt,LARGE(_xlpm.adj,_xlpm.n),MATCH(_xlpm.tgt,_xlpm.adj,0)+1),"")</f>
        <v>89</v>
      </c>
      <c r="B69" s="997" t="str" cm="1">
        <f t="array" ref="B69">IF($A69="","",INDEX('resident aged receivable'!$B:$B,$A69))</f>
        <v>W01-1-0105</v>
      </c>
      <c r="C69" s="997" t="str" cm="1">
        <f t="array" ref="C69">IF($A69="","",INDEX('resident aged receivable'!$D:$D,$A69))</f>
        <v>Howard, Ronnie</v>
      </c>
      <c r="D69" s="998" cm="1">
        <f t="array" ref="D69">IF($A69="","",INDEX('resident aged receivable'!$F:$F,$A69))</f>
        <v>45155</v>
      </c>
      <c r="E69" s="998" cm="1">
        <f t="array" ref="E69">IF($A69="","",_xlfn.LET(_xlpm.leaseEnd,INDEX('resident aged receivable'!$H:$H,$A69),_xlpm.moLookup,IFERROR(_xlfn.LET(_xlpm.lastFirst,C69,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46234</v>
      </c>
      <c r="F69" s="999" t="str">
        <f t="shared" si="1"/>
        <v>IPS</v>
      </c>
      <c r="G69" s="1000" t="str" cm="1">
        <f t="array" ref="G69">IF($A69="","",IF(COUNTIF($N$3:$N$24,C69)&gt;0,"Former",_xlfn.LET(_xlpm.s,INDEX('resident aged receivable'!$E:$E,$A69),IF(ISNUMBER(SEARCH("Eviction",_xlpm.s)),"Eviction",IF(ISNUMBER(SEARCH("Skip",_xlpm.s)),"Skip",IF(ISNUMBER(SEARCH("Past",_xlpm.s))+ISNUMBER(SEARCH("Collections",_xlpm.s)),"Former",_xlpm.s))))))</f>
        <v>Former</v>
      </c>
      <c r="H69" s="1001" cm="1">
        <f t="array" ref="H69">IF($A69="","",INDEX('resident aged receivable'!$I:$I,$A69))</f>
        <v>3243.48</v>
      </c>
      <c r="I69" s="1001" cm="1">
        <f t="array" ref="I69">IF($A69="","",INDEX('resident aged receivable'!$J:$J,$A69))</f>
        <v>0</v>
      </c>
      <c r="J69" s="1001" cm="1">
        <f t="array" ref="J69">IF($A69="","",INDEX('resident aged receivable'!$K:$K,$A69))</f>
        <v>2045.13</v>
      </c>
      <c r="K69" s="1020" t="str" cm="1">
        <f t="array" ref="K69">IF($C69="","",IFERROR(_xlfn.LET(_xlpm.unit,B69,_xlpm.resident,C69,_xlpm.lastName,IFERROR(LEFT(_xlpm.resident,FIND(",",_xlpm.resident)-1),_xlpm.resident),_xlpm.llMatch,(LeaseLock!$D$2:$D$500=_xlpm.unit)*ISNUMBER(SEARCH(_xlpm.lastName,LeaseLock!$C$2:$C$500)),_xlpm.hasLL,SUMPRODUCT(_xlpm.llMatch)&gt;0,_xlpm.llStatus,IF(_xlpm.hasLL,_xlfn.LET(_xlpm.stat,LOOKUP(2,1/_xlpm.llMatch,LeaseLock!$F$2:$F$500),_xlpm.sub,LOOKUP(2,1/_xlpm.llMatch,LeaseLock!$G$2:$G$500),_xlpm.paid,LOOKUP(2,1/_xlpm.llMatch,LeaseLock!$M$2:$M$500),IF(_xlpm.stat="Claim Denied","Claim Denied ("&amp;_xlpm.sub&amp;")",IF(_xlpm.stat="Open","Open - "&amp;_xlpm.sub,IF(_xlpm.paid&gt;0,_xlpm.stat&amp;" - $"&amp;TEXT(_xlpm.paid,"#,##0.00")&amp;" paid",_xlpm.stat&amp;" - no payment")))),""),_xlpm.rsiMatches,ISNUMBER(SEARCH(_xlpm.lastName,Evictions_RSI!$B$3:$B$200))*(Evictions_RSI!$B$3:$B$200&lt;&gt;""),_xlpm.hasRSI,SUMPRODUCT(_xlpm.rsiMatches)&gt;0,_xlpm.rsiStatus,IF(_xlpm.hasRSI,_xlfn.LET(_xlpm.dates,IF(_xlpm.rsiMatches,IFERROR(DATEVALUE(SUBSTITUTE(Evictions_RSI!$A$3:$A$200,_xlfn.UNICHAR(8204),"")),0),0),_xlpm.latestRow,MATCH(MAX(_xlpm.dates),_xlpm.dates,0),TRIM(SUBSTITUTE(INDEX(Evictions_RSI!$I$3:$I$200,_xlpm.latestRow),_xlfn.UNICHAR(8204),""))),""),IF(AND(_xlpm.llStatus="",_xlpm.rsiStatus=""),"",IF(_xlpm.llStatus="","RSI: "&amp;_xlpm.rsiStatus,IF(_xlpm.rsiStatus="","LL: "&amp;_xlpm.llStatus,"LL: "&amp;_xlpm.llStatus&amp;" | RSI: "&amp;_xlpm.rsiStatus)))),""))</f>
        <v>RSI: Dismissed (Other) (Notes)</v>
      </c>
      <c r="L69" s="1002" t="s">
        <v>1158</v>
      </c>
      <c r="Q69" s="973"/>
      <c r="R69" s="973"/>
      <c r="S69" s="973"/>
      <c r="T69" s="973"/>
      <c r="U69" s="973"/>
      <c r="V69" s="973"/>
      <c r="W69" s="973"/>
      <c r="X69" s="973"/>
      <c r="Y69" s="1004"/>
      <c r="Z69" s="973"/>
    </row>
    <row r="70" spans="1:26" ht="12" customHeight="1">
      <c r="A70" s="996" cm="1">
        <f t="array" ref="A70">IFERROR(_xlfn.LET(_xlpm.n,ROW()-16,_xlpm.adj,IF((((ISNUMBER(SEARCH("Eviction",'resident aged receivable'!$E$2:$E$460)))+(ISNUMBER(SEARCH("Past",'resident aged receivable'!$E$2:$E$460)))+(ISNUMBER(SEARCH("Skip",'resident aged receivable'!$E$2:$E$460)))+(ISNUMBER(SEARCH("Collections",'resident aged receivable'!$E$2:$E$460)))+(COUNTIF($N$3:$N$24,'resident aged receivable'!$D$2:$D$460)&gt;0))&gt;0)*(((((LEFT('resident aged receivable'!$E$2:$E$460,7)="Current")+(LEFT('resident aged receivable'!$E$2:$E$460,6)="Notice"))=0)+(COUNTIF($N$3:$N$24,'resident aged receivable'!$D$2:$D$460)&gt;0))&gt;0)*(COUNTIF($P$3:$P$24,'resident aged receivable'!$D$2:$D$460)=0)*('resident aged receivable'!$I$2:$I$460&gt;0),'resident aged receivable'!$I$2:$I$460-ROW('resident aged receivable'!$I$2:$I$460)/1000000),_xlpm.tgt,LARGE(_xlpm.adj,_xlpm.n),MATCH(_xlpm.tgt,_xlpm.adj,0)+1),"")</f>
        <v>162</v>
      </c>
      <c r="B70" s="997" t="str" cm="1">
        <f t="array" ref="B70">IF($A70="","",INDEX('resident aged receivable'!$B:$B,$A70))</f>
        <v>W19-2-2069</v>
      </c>
      <c r="C70" s="997" t="str" cm="1">
        <f t="array" ref="C70">IF($A70="","",INDEX('resident aged receivable'!$D:$D,$A70))</f>
        <v>Musah, Iddrissu</v>
      </c>
      <c r="D70" s="998" cm="1">
        <f t="array" ref="D70">IF($A70="","",INDEX('resident aged receivable'!$F:$F,$A70))</f>
        <v>45251</v>
      </c>
      <c r="E70" s="998" cm="1">
        <f t="array" ref="E70">IF($A70="","",_xlfn.LET(_xlpm.leaseEnd,INDEX('resident aged receivable'!$H:$H,$A70),_xlpm.moLookup,IFERROR(_xlfn.LET(_xlpm.lastFirst,C70,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46234</v>
      </c>
      <c r="F70" s="999" t="str">
        <f t="shared" si="1"/>
        <v>IPS</v>
      </c>
      <c r="G70" s="1000" t="str" cm="1">
        <f t="array" ref="G70">IF($A70="","",IF(COUNTIF($N$3:$N$24,C70)&gt;0,"Former",_xlfn.LET(_xlpm.s,INDEX('resident aged receivable'!$E:$E,$A70),IF(ISNUMBER(SEARCH("Eviction",_xlpm.s)),"Eviction",IF(ISNUMBER(SEARCH("Skip",_xlpm.s)),"Skip",IF(ISNUMBER(SEARCH("Past",_xlpm.s))+ISNUMBER(SEARCH("Collections",_xlpm.s)),"Former",_xlpm.s))))))</f>
        <v>Eviction</v>
      </c>
      <c r="H70" s="1001" cm="1">
        <f t="array" ref="H70">IF($A70="","",INDEX('resident aged receivable'!$I:$I,$A70))</f>
        <v>3237.88</v>
      </c>
      <c r="I70" s="1001" cm="1">
        <f t="array" ref="I70">IF($A70="","",INDEX('resident aged receivable'!$J:$J,$A70))</f>
        <v>0</v>
      </c>
      <c r="J70" s="1001" cm="1">
        <f t="array" ref="J70">IF($A70="","",INDEX('resident aged receivable'!$K:$K,$A70))</f>
        <v>0</v>
      </c>
      <c r="K70" s="1020" t="str" cm="1">
        <f t="array" ref="K70">IF($C70="","",IFERROR(_xlfn.LET(_xlpm.unit,B70,_xlpm.resident,C70,_xlpm.lastName,IFERROR(LEFT(_xlpm.resident,FIND(",",_xlpm.resident)-1),_xlpm.resident),_xlpm.llMatch,(LeaseLock!$D$2:$D$500=_xlpm.unit)*ISNUMBER(SEARCH(_xlpm.lastName,LeaseLock!$C$2:$C$500)),_xlpm.hasLL,SUMPRODUCT(_xlpm.llMatch)&gt;0,_xlpm.llStatus,IF(_xlpm.hasLL,_xlfn.LET(_xlpm.stat,LOOKUP(2,1/_xlpm.llMatch,LeaseLock!$F$2:$F$500),_xlpm.sub,LOOKUP(2,1/_xlpm.llMatch,LeaseLock!$G$2:$G$500),_xlpm.paid,LOOKUP(2,1/_xlpm.llMatch,LeaseLock!$M$2:$M$500),IF(_xlpm.stat="Claim Denied","Claim Denied ("&amp;_xlpm.sub&amp;")",IF(_xlpm.stat="Open","Open - "&amp;_xlpm.sub,IF(_xlpm.paid&gt;0,_xlpm.stat&amp;" - $"&amp;TEXT(_xlpm.paid,"#,##0.00")&amp;" paid",_xlpm.stat&amp;" - no payment")))),""),_xlpm.rsiMatches,ISNUMBER(SEARCH(_xlpm.lastName,Evictions_RSI!$B$3:$B$200))*(Evictions_RSI!$B$3:$B$200&lt;&gt;""),_xlpm.hasRSI,SUMPRODUCT(_xlpm.rsiMatches)&gt;0,_xlpm.rsiStatus,IF(_xlpm.hasRSI,_xlfn.LET(_xlpm.dates,IF(_xlpm.rsiMatches,IFERROR(DATEVALUE(SUBSTITUTE(Evictions_RSI!$A$3:$A$200,_xlfn.UNICHAR(8204),"")),0),0),_xlpm.latestRow,MATCH(MAX(_xlpm.dates),_xlpm.dates,0),TRIM(SUBSTITUTE(INDEX(Evictions_RSI!$I$3:$I$200,_xlpm.latestRow),_xlfn.UNICHAR(8204),""))),""),IF(AND(_xlpm.llStatus="",_xlpm.rsiStatus=""),"",IF(_xlpm.llStatus="","RSI: "&amp;_xlpm.rsiStatus,IF(_xlpm.rsiStatus="","LL: "&amp;_xlpm.llStatus,"LL: "&amp;_xlpm.llStatus&amp;" | RSI: "&amp;_xlpm.rsiStatus)))),""))</f>
        <v>RSI: Dismissed (Tenant Vacated) (Notes)</v>
      </c>
      <c r="L70" s="1002"/>
      <c r="Q70" s="973"/>
      <c r="R70" s="973"/>
      <c r="S70" s="973"/>
      <c r="T70" s="973"/>
      <c r="U70" s="973"/>
      <c r="V70" s="973"/>
      <c r="W70" s="973"/>
      <c r="X70" s="973"/>
      <c r="Y70" s="1004"/>
      <c r="Z70" s="992"/>
    </row>
    <row r="71" spans="1:26" ht="12" customHeight="1">
      <c r="A71" s="996" cm="1">
        <f t="array" ref="A71">IFERROR(_xlfn.LET(_xlpm.n,ROW()-16,_xlpm.adj,IF((((ISNUMBER(SEARCH("Eviction",'resident aged receivable'!$E$2:$E$460)))+(ISNUMBER(SEARCH("Past",'resident aged receivable'!$E$2:$E$460)))+(ISNUMBER(SEARCH("Skip",'resident aged receivable'!$E$2:$E$460)))+(ISNUMBER(SEARCH("Collections",'resident aged receivable'!$E$2:$E$460)))+(COUNTIF($N$3:$N$24,'resident aged receivable'!$D$2:$D$460)&gt;0))&gt;0)*(((((LEFT('resident aged receivable'!$E$2:$E$460,7)="Current")+(LEFT('resident aged receivable'!$E$2:$E$460,6)="Notice"))=0)+(COUNTIF($N$3:$N$24,'resident aged receivable'!$D$2:$D$460)&gt;0))&gt;0)*(COUNTIF($P$3:$P$24,'resident aged receivable'!$D$2:$D$460)=0)*('resident aged receivable'!$I$2:$I$460&gt;0),'resident aged receivable'!$I$2:$I$460-ROW('resident aged receivable'!$I$2:$I$460)/1000000),_xlpm.tgt,LARGE(_xlpm.adj,_xlpm.n),MATCH(_xlpm.tgt,_xlpm.adj,0)+1),"")</f>
        <v>51</v>
      </c>
      <c r="B71" s="997" t="str" cm="1">
        <f t="array" ref="B71">IF($A71="","",INDEX('resident aged receivable'!$B:$B,$A71))</f>
        <v>N23-1099</v>
      </c>
      <c r="C71" s="997" t="str" cm="1">
        <f t="array" ref="C71">IF($A71="","",INDEX('resident aged receivable'!$D:$D,$A71))</f>
        <v>Fajardo, Yeymi</v>
      </c>
      <c r="D71" s="998" cm="1">
        <f t="array" ref="D71">IF($A71="","",INDEX('resident aged receivable'!$F:$F,$A71))</f>
        <v>45241</v>
      </c>
      <c r="E71" s="998" cm="1">
        <f t="array" ref="E71">IF($A71="","",_xlfn.LET(_xlpm.leaseEnd,INDEX('resident aged receivable'!$H:$H,$A71),_xlpm.moLookup,IFERROR(_xlfn.LET(_xlpm.lastFirst,C71,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46218</v>
      </c>
      <c r="F71" s="999" t="str">
        <f t="shared" si="1"/>
        <v>IPS</v>
      </c>
      <c r="G71" s="1000" t="str" cm="1">
        <f t="array" ref="G71">IF($A71="","",IF(COUNTIF($N$3:$N$24,C71)&gt;0,"Former",_xlfn.LET(_xlpm.s,INDEX('resident aged receivable'!$E:$E,$A71),IF(ISNUMBER(SEARCH("Eviction",_xlpm.s)),"Eviction",IF(ISNUMBER(SEARCH("Skip",_xlpm.s)),"Skip",IF(ISNUMBER(SEARCH("Past",_xlpm.s))+ISNUMBER(SEARCH("Collections",_xlpm.s)),"Former",_xlpm.s))))))</f>
        <v>Skip</v>
      </c>
      <c r="H71" s="1001" cm="1">
        <f t="array" ref="H71">IF($A71="","",INDEX('resident aged receivable'!$I:$I,$A71))</f>
        <v>2857.43</v>
      </c>
      <c r="I71" s="1001" cm="1">
        <f t="array" ref="I71">IF($A71="","",INDEX('resident aged receivable'!$J:$J,$A71))</f>
        <v>0</v>
      </c>
      <c r="J71" s="1001" cm="1">
        <f t="array" ref="J71">IF($A71="","",INDEX('resident aged receivable'!$K:$K,$A71))</f>
        <v>2857.43</v>
      </c>
      <c r="K71" s="1020" t="str" cm="1">
        <f t="array" ref="K71">IF($C71="","",IFERROR(_xlfn.LET(_xlpm.unit,B71,_xlpm.resident,C71,_xlpm.lastName,IFERROR(LEFT(_xlpm.resident,FIND(",",_xlpm.resident)-1),_xlpm.resident),_xlpm.llMatch,(LeaseLock!$D$2:$D$500=_xlpm.unit)*ISNUMBER(SEARCH(_xlpm.lastName,LeaseLock!$C$2:$C$500)),_xlpm.hasLL,SUMPRODUCT(_xlpm.llMatch)&gt;0,_xlpm.llStatus,IF(_xlpm.hasLL,_xlfn.LET(_xlpm.stat,LOOKUP(2,1/_xlpm.llMatch,LeaseLock!$F$2:$F$500),_xlpm.sub,LOOKUP(2,1/_xlpm.llMatch,LeaseLock!$G$2:$G$500),_xlpm.paid,LOOKUP(2,1/_xlpm.llMatch,LeaseLock!$M$2:$M$500),IF(_xlpm.stat="Claim Denied","Claim Denied ("&amp;_xlpm.sub&amp;")",IF(_xlpm.stat="Open","Open - "&amp;_xlpm.sub,IF(_xlpm.paid&gt;0,_xlpm.stat&amp;" - $"&amp;TEXT(_xlpm.paid,"#,##0.00")&amp;" paid",_xlpm.stat&amp;" - no payment")))),""),_xlpm.rsiMatches,ISNUMBER(SEARCH(_xlpm.lastName,Evictions_RSI!$B$3:$B$200))*(Evictions_RSI!$B$3:$B$200&lt;&gt;""),_xlpm.hasRSI,SUMPRODUCT(_xlpm.rsiMatches)&gt;0,_xlpm.rsiStatus,IF(_xlpm.hasRSI,_xlfn.LET(_xlpm.dates,IF(_xlpm.rsiMatches,IFERROR(DATEVALUE(SUBSTITUTE(Evictions_RSI!$A$3:$A$200,_xlfn.UNICHAR(8204),"")),0),0),_xlpm.latestRow,MATCH(MAX(_xlpm.dates),_xlpm.dates,0),TRIM(SUBSTITUTE(INDEX(Evictions_RSI!$I$3:$I$200,_xlpm.latestRow),_xlfn.UNICHAR(8204),""))),""),IF(AND(_xlpm.llStatus="",_xlpm.rsiStatus=""),"",IF(_xlpm.llStatus="","RSI: "&amp;_xlpm.rsiStatus,IF(_xlpm.rsiStatus="","LL: "&amp;_xlpm.llStatus,"LL: "&amp;_xlpm.llStatus&amp;" | RSI: "&amp;_xlpm.rsiStatus)))),""))</f>
        <v>RSI: Cancelled</v>
      </c>
      <c r="L71" s="1002"/>
      <c r="Q71" s="973"/>
      <c r="R71" s="973"/>
      <c r="S71" s="973"/>
      <c r="T71" s="973"/>
      <c r="U71" s="973"/>
      <c r="V71" s="973"/>
      <c r="W71" s="973"/>
      <c r="X71" s="973"/>
      <c r="Y71" s="973"/>
      <c r="Z71" s="973"/>
    </row>
    <row r="72" spans="1:26" ht="12" customHeight="1">
      <c r="A72" s="996" cm="1">
        <f t="array" ref="A72">IFERROR(_xlfn.LET(_xlpm.n,ROW()-16,_xlpm.adj,IF((((ISNUMBER(SEARCH("Eviction",'resident aged receivable'!$E$2:$E$460)))+(ISNUMBER(SEARCH("Past",'resident aged receivable'!$E$2:$E$460)))+(ISNUMBER(SEARCH("Skip",'resident aged receivable'!$E$2:$E$460)))+(ISNUMBER(SEARCH("Collections",'resident aged receivable'!$E$2:$E$460)))+(COUNTIF($N$3:$N$24,'resident aged receivable'!$D$2:$D$460)&gt;0))&gt;0)*(((((LEFT('resident aged receivable'!$E$2:$E$460,7)="Current")+(LEFT('resident aged receivable'!$E$2:$E$460,6)="Notice"))=0)+(COUNTIF($N$3:$N$24,'resident aged receivable'!$D$2:$D$460)&gt;0))&gt;0)*(COUNTIF($P$3:$P$24,'resident aged receivable'!$D$2:$D$460)=0)*('resident aged receivable'!$I$2:$I$460&gt;0),'resident aged receivable'!$I$2:$I$460-ROW('resident aged receivable'!$I$2:$I$460)/1000000),_xlpm.tgt,LARGE(_xlpm.adj,_xlpm.n),MATCH(_xlpm.tgt,_xlpm.adj,0)+1),"")</f>
        <v>13</v>
      </c>
      <c r="B72" s="997" t="str" cm="1">
        <f t="array" ref="B72">IF($A72="","",INDEX('resident aged receivable'!$B:$B,$A72))</f>
        <v>N03-3019</v>
      </c>
      <c r="C72" s="997" t="str" cm="1">
        <f t="array" ref="C72">IF($A72="","",INDEX('resident aged receivable'!$D:$D,$A72))</f>
        <v>Taylor, Jada</v>
      </c>
      <c r="D72" s="998" cm="1">
        <f t="array" ref="D72">IF($A72="","",INDEX('resident aged receivable'!$F:$F,$A72))</f>
        <v>45661</v>
      </c>
      <c r="E72" s="998" cm="1">
        <f t="array" ref="E72">IF($A72="","",_xlfn.LET(_xlpm.leaseEnd,INDEX('resident aged receivable'!$H:$H,$A72),_xlpm.moLookup,IFERROR(_xlfn.LET(_xlpm.lastFirst,C72,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46449</v>
      </c>
      <c r="F72" s="999" t="str">
        <f t="shared" si="1"/>
        <v>IPS</v>
      </c>
      <c r="G72" s="1000" t="str" cm="1">
        <f t="array" ref="G72">IF($A72="","",IF(COUNTIF($N$3:$N$24,C72)&gt;0,"Former",_xlfn.LET(_xlpm.s,INDEX('resident aged receivable'!$E:$E,$A72),IF(ISNUMBER(SEARCH("Eviction",_xlpm.s)),"Eviction",IF(ISNUMBER(SEARCH("Skip",_xlpm.s)),"Skip",IF(ISNUMBER(SEARCH("Past",_xlpm.s))+ISNUMBER(SEARCH("Collections",_xlpm.s)),"Former",_xlpm.s))))))</f>
        <v>Eviction</v>
      </c>
      <c r="H72" s="1001" cm="1">
        <f t="array" ref="H72">IF($A72="","",INDEX('resident aged receivable'!$I:$I,$A72))</f>
        <v>2837.28</v>
      </c>
      <c r="I72" s="1001" cm="1">
        <f t="array" ref="I72">IF($A72="","",INDEX('resident aged receivable'!$J:$J,$A72))</f>
        <v>0</v>
      </c>
      <c r="J72" s="1001" cm="1">
        <f t="array" ref="J72">IF($A72="","",INDEX('resident aged receivable'!$K:$K,$A72))</f>
        <v>1545.68</v>
      </c>
      <c r="K72" s="1020" t="str" cm="1">
        <f t="array" ref="K72">IF($C72="","",IFERROR(_xlfn.LET(_xlpm.unit,B72,_xlpm.resident,C72,_xlpm.lastName,IFERROR(LEFT(_xlpm.resident,FIND(",",_xlpm.resident)-1),_xlpm.resident),_xlpm.llMatch,(LeaseLock!$D$2:$D$500=_xlpm.unit)*ISNUMBER(SEARCH(_xlpm.lastName,LeaseLock!$C$2:$C$500)),_xlpm.hasLL,SUMPRODUCT(_xlpm.llMatch)&gt;0,_xlpm.llStatus,IF(_xlpm.hasLL,_xlfn.LET(_xlpm.stat,LOOKUP(2,1/_xlpm.llMatch,LeaseLock!$F$2:$F$500),_xlpm.sub,LOOKUP(2,1/_xlpm.llMatch,LeaseLock!$G$2:$G$500),_xlpm.paid,LOOKUP(2,1/_xlpm.llMatch,LeaseLock!$M$2:$M$500),IF(_xlpm.stat="Claim Denied","Claim Denied ("&amp;_xlpm.sub&amp;")",IF(_xlpm.stat="Open","Open - "&amp;_xlpm.sub,IF(_xlpm.paid&gt;0,_xlpm.stat&amp;" - $"&amp;TEXT(_xlpm.paid,"#,##0.00")&amp;" paid",_xlpm.stat&amp;" - no payment")))),""),_xlpm.rsiMatches,ISNUMBER(SEARCH(_xlpm.lastName,Evictions_RSI!$B$3:$B$200))*(Evictions_RSI!$B$3:$B$200&lt;&gt;""),_xlpm.hasRSI,SUMPRODUCT(_xlpm.rsiMatches)&gt;0,_xlpm.rsiStatus,IF(_xlpm.hasRSI,_xlfn.LET(_xlpm.dates,IF(_xlpm.rsiMatches,IFERROR(DATEVALUE(SUBSTITUTE(Evictions_RSI!$A$3:$A$200,_xlfn.UNICHAR(8204),"")),0),0),_xlpm.latestRow,MATCH(MAX(_xlpm.dates),_xlpm.dates,0),TRIM(SUBSTITUTE(INDEX(Evictions_RSI!$I$3:$I$200,_xlpm.latestRow),_xlfn.UNICHAR(8204),""))),""),IF(AND(_xlpm.llStatus="",_xlpm.rsiStatus=""),"",IF(_xlpm.llStatus="","RSI: "&amp;_xlpm.rsiStatus,IF(_xlpm.rsiStatus="","LL: "&amp;_xlpm.llStatus,"LL: "&amp;_xlpm.llStatus&amp;" | RSI: "&amp;_xlpm.rsiStatus)))),""))</f>
        <v>RSI: Granted (Notes)</v>
      </c>
      <c r="L72" s="1002"/>
      <c r="Q72" s="973"/>
      <c r="R72" s="973"/>
      <c r="S72" s="973"/>
      <c r="T72" s="973"/>
      <c r="U72" s="973"/>
      <c r="V72" s="973"/>
      <c r="W72" s="973"/>
      <c r="X72" s="973"/>
      <c r="Y72" s="973"/>
      <c r="Z72" s="973"/>
    </row>
    <row r="73" spans="1:26" ht="12" customHeight="1">
      <c r="A73" s="996" cm="1">
        <f t="array" ref="A73">IFERROR(_xlfn.LET(_xlpm.n,ROW()-16,_xlpm.adj,IF((((ISNUMBER(SEARCH("Eviction",'resident aged receivable'!$E$2:$E$460)))+(ISNUMBER(SEARCH("Past",'resident aged receivable'!$E$2:$E$460)))+(ISNUMBER(SEARCH("Skip",'resident aged receivable'!$E$2:$E$460)))+(ISNUMBER(SEARCH("Collections",'resident aged receivable'!$E$2:$E$460)))+(COUNTIF($N$3:$N$24,'resident aged receivable'!$D$2:$D$460)&gt;0))&gt;0)*(((((LEFT('resident aged receivable'!$E$2:$E$460,7)="Current")+(LEFT('resident aged receivable'!$E$2:$E$460,6)="Notice"))=0)+(COUNTIF($N$3:$N$24,'resident aged receivable'!$D$2:$D$460)&gt;0))&gt;0)*(COUNTIF($P$3:$P$24,'resident aged receivable'!$D$2:$D$460)=0)*('resident aged receivable'!$I$2:$I$460&gt;0),'resident aged receivable'!$I$2:$I$460-ROW('resident aged receivable'!$I$2:$I$460)/1000000),_xlpm.tgt,LARGE(_xlpm.adj,_xlpm.n),MATCH(_xlpm.tgt,_xlpm.adj,0)+1),"")</f>
        <v>147</v>
      </c>
      <c r="B73" s="997" t="str" cm="1">
        <f t="array" ref="B73">IF($A73="","",INDEX('resident aged receivable'!$B:$B,$A73))</f>
        <v>W15-2-2086</v>
      </c>
      <c r="C73" s="997" t="str" cm="1">
        <f t="array" ref="C73">IF($A73="","",INDEX('resident aged receivable'!$D:$D,$A73))</f>
        <v>Foster, Sean</v>
      </c>
      <c r="D73" s="998" cm="1">
        <f t="array" ref="D73">IF($A73="","",INDEX('resident aged receivable'!$F:$F,$A73))</f>
        <v>44506</v>
      </c>
      <c r="E73" s="998" cm="1">
        <f t="array" ref="E73">IF($A73="","",_xlfn.LET(_xlpm.leaseEnd,INDEX('resident aged receivable'!$H:$H,$A73),_xlpm.moLookup,IFERROR(_xlfn.LET(_xlpm.lastFirst,C73,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46203</v>
      </c>
      <c r="F73" s="999" t="str">
        <f t="shared" si="1"/>
        <v>IPS</v>
      </c>
      <c r="G73" s="1000" t="str" cm="1">
        <f t="array" ref="G73">IF($A73="","",IF(COUNTIF($N$3:$N$24,C73)&gt;0,"Former",_xlfn.LET(_xlpm.s,INDEX('resident aged receivable'!$E:$E,$A73),IF(ISNUMBER(SEARCH("Eviction",_xlpm.s)),"Eviction",IF(ISNUMBER(SEARCH("Skip",_xlpm.s)),"Skip",IF(ISNUMBER(SEARCH("Past",_xlpm.s))+ISNUMBER(SEARCH("Collections",_xlpm.s)),"Former",_xlpm.s))))))</f>
        <v>Skip</v>
      </c>
      <c r="H73" s="1001" cm="1">
        <f t="array" ref="H73">IF($A73="","",INDEX('resident aged receivable'!$I:$I,$A73))</f>
        <v>2789.06</v>
      </c>
      <c r="I73" s="1001" cm="1">
        <f t="array" ref="I73">IF($A73="","",INDEX('resident aged receivable'!$J:$J,$A73))</f>
        <v>0</v>
      </c>
      <c r="J73" s="1001" cm="1">
        <f t="array" ref="J73">IF($A73="","",INDEX('resident aged receivable'!$K:$K,$A73))</f>
        <v>0</v>
      </c>
      <c r="K73" s="1020" t="str" cm="1">
        <f t="array" ref="K73">IF($C73="","",IFERROR(_xlfn.LET(_xlpm.unit,B73,_xlpm.resident,C73,_xlpm.lastName,IFERROR(LEFT(_xlpm.resident,FIND(",",_xlpm.resident)-1),_xlpm.resident),_xlpm.llMatch,(LeaseLock!$D$2:$D$500=_xlpm.unit)*ISNUMBER(SEARCH(_xlpm.lastName,LeaseLock!$C$2:$C$500)),_xlpm.hasLL,SUMPRODUCT(_xlpm.llMatch)&gt;0,_xlpm.llStatus,IF(_xlpm.hasLL,_xlfn.LET(_xlpm.stat,LOOKUP(2,1/_xlpm.llMatch,LeaseLock!$F$2:$F$500),_xlpm.sub,LOOKUP(2,1/_xlpm.llMatch,LeaseLock!$G$2:$G$500),_xlpm.paid,LOOKUP(2,1/_xlpm.llMatch,LeaseLock!$M$2:$M$500),IF(_xlpm.stat="Claim Denied","Claim Denied ("&amp;_xlpm.sub&amp;")",IF(_xlpm.stat="Open","Open - "&amp;_xlpm.sub,IF(_xlpm.paid&gt;0,_xlpm.stat&amp;" - $"&amp;TEXT(_xlpm.paid,"#,##0.00")&amp;" paid",_xlpm.stat&amp;" - no payment")))),""),_xlpm.rsiMatches,ISNUMBER(SEARCH(_xlpm.lastName,Evictions_RSI!$B$3:$B$200))*(Evictions_RSI!$B$3:$B$200&lt;&gt;""),_xlpm.hasRSI,SUMPRODUCT(_xlpm.rsiMatches)&gt;0,_xlpm.rsiStatus,IF(_xlpm.hasRSI,_xlfn.LET(_xlpm.dates,IF(_xlpm.rsiMatches,IFERROR(DATEVALUE(SUBSTITUTE(Evictions_RSI!$A$3:$A$200,_xlfn.UNICHAR(8204),"")),0),0),_xlpm.latestRow,MATCH(MAX(_xlpm.dates),_xlpm.dates,0),TRIM(SUBSTITUTE(INDEX(Evictions_RSI!$I$3:$I$200,_xlpm.latestRow),_xlfn.UNICHAR(8204),""))),""),IF(AND(_xlpm.llStatus="",_xlpm.rsiStatus=""),"",IF(_xlpm.llStatus="","RSI: "&amp;_xlpm.rsiStatus,IF(_xlpm.rsiStatus="","LL: "&amp;_xlpm.llStatus,"LL: "&amp;_xlpm.llStatus&amp;" | RSI: "&amp;_xlpm.rsiStatus)))),""))</f>
        <v/>
      </c>
      <c r="L73" s="1002"/>
      <c r="Q73" s="973"/>
      <c r="R73" s="973"/>
      <c r="S73" s="973"/>
      <c r="T73" s="973"/>
      <c r="U73" s="973"/>
      <c r="V73" s="973"/>
      <c r="W73" s="973"/>
      <c r="X73" s="973"/>
      <c r="Y73" s="973"/>
      <c r="Z73" s="973"/>
    </row>
    <row r="74" spans="1:26" ht="12" customHeight="1">
      <c r="A74" s="996" cm="1">
        <f t="array" ref="A74">IFERROR(_xlfn.LET(_xlpm.n,ROW()-16,_xlpm.adj,IF((((ISNUMBER(SEARCH("Eviction",'resident aged receivable'!$E$2:$E$460)))+(ISNUMBER(SEARCH("Past",'resident aged receivable'!$E$2:$E$460)))+(ISNUMBER(SEARCH("Skip",'resident aged receivable'!$E$2:$E$460)))+(ISNUMBER(SEARCH("Collections",'resident aged receivable'!$E$2:$E$460)))+(COUNTIF($N$3:$N$24,'resident aged receivable'!$D$2:$D$460)&gt;0))&gt;0)*(((((LEFT('resident aged receivable'!$E$2:$E$460,7)="Current")+(LEFT('resident aged receivable'!$E$2:$E$460,6)="Notice"))=0)+(COUNTIF($N$3:$N$24,'resident aged receivable'!$D$2:$D$460)&gt;0))&gt;0)*(COUNTIF($P$3:$P$24,'resident aged receivable'!$D$2:$D$460)=0)*('resident aged receivable'!$I$2:$I$460&gt;0),'resident aged receivable'!$I$2:$I$460-ROW('resident aged receivable'!$I$2:$I$460)/1000000),_xlpm.tgt,LARGE(_xlpm.adj,_xlpm.n),MATCH(_xlpm.tgt,_xlpm.adj,0)+1),"")</f>
        <v>62</v>
      </c>
      <c r="B74" s="997" t="str" cm="1">
        <f t="array" ref="B74">IF($A74="","",INDEX('resident aged receivable'!$B:$B,$A74))</f>
        <v>S27-423</v>
      </c>
      <c r="C74" s="997" t="str" cm="1">
        <f t="array" ref="C74">IF($A74="","",INDEX('resident aged receivable'!$D:$D,$A74))</f>
        <v>Niazi, Mahbob</v>
      </c>
      <c r="D74" s="998" cm="1">
        <f t="array" ref="D74">IF($A74="","",INDEX('resident aged receivable'!$F:$F,$A74))</f>
        <v>44958</v>
      </c>
      <c r="E74" s="998" cm="1">
        <f t="array" ref="E74">IF($A74="","",_xlfn.LET(_xlpm.leaseEnd,INDEX('resident aged receivable'!$H:$H,$A74),_xlpm.moLookup,IFERROR(_xlfn.LET(_xlpm.lastFirst,C74,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46186</v>
      </c>
      <c r="F74" s="999" t="str">
        <f t="shared" si="1"/>
        <v>IPS</v>
      </c>
      <c r="G74" s="1000" t="str" cm="1">
        <f t="array" ref="G74">IF($A74="","",IF(COUNTIF($N$3:$N$24,C74)&gt;0,"Former",_xlfn.LET(_xlpm.s,INDEX('resident aged receivable'!$E:$E,$A74),IF(ISNUMBER(SEARCH("Eviction",_xlpm.s)),"Eviction",IF(ISNUMBER(SEARCH("Skip",_xlpm.s)),"Skip",IF(ISNUMBER(SEARCH("Past",_xlpm.s))+ISNUMBER(SEARCH("Collections",_xlpm.s)),"Former",_xlpm.s))))))</f>
        <v>Skip</v>
      </c>
      <c r="H74" s="1001" cm="1">
        <f t="array" ref="H74">IF($A74="","",INDEX('resident aged receivable'!$I:$I,$A74))</f>
        <v>2605.77</v>
      </c>
      <c r="I74" s="1001" cm="1">
        <f t="array" ref="I74">IF($A74="","",INDEX('resident aged receivable'!$J:$J,$A74))</f>
        <v>0</v>
      </c>
      <c r="J74" s="1001" cm="1">
        <f t="array" ref="J74">IF($A74="","",INDEX('resident aged receivable'!$K:$K,$A74))</f>
        <v>0</v>
      </c>
      <c r="K74" s="1020" t="str" cm="1">
        <f t="array" ref="K74">IF($C74="","",IFERROR(_xlfn.LET(_xlpm.unit,B74,_xlpm.resident,C74,_xlpm.lastName,IFERROR(LEFT(_xlpm.resident,FIND(",",_xlpm.resident)-1),_xlpm.resident),_xlpm.llMatch,(LeaseLock!$D$2:$D$500=_xlpm.unit)*ISNUMBER(SEARCH(_xlpm.lastName,LeaseLock!$C$2:$C$500)),_xlpm.hasLL,SUMPRODUCT(_xlpm.llMatch)&gt;0,_xlpm.llStatus,IF(_xlpm.hasLL,_xlfn.LET(_xlpm.stat,LOOKUP(2,1/_xlpm.llMatch,LeaseLock!$F$2:$F$500),_xlpm.sub,LOOKUP(2,1/_xlpm.llMatch,LeaseLock!$G$2:$G$500),_xlpm.paid,LOOKUP(2,1/_xlpm.llMatch,LeaseLock!$M$2:$M$500),IF(_xlpm.stat="Claim Denied","Claim Denied ("&amp;_xlpm.sub&amp;")",IF(_xlpm.stat="Open","Open - "&amp;_xlpm.sub,IF(_xlpm.paid&gt;0,_xlpm.stat&amp;" - $"&amp;TEXT(_xlpm.paid,"#,##0.00")&amp;" paid",_xlpm.stat&amp;" - no payment")))),""),_xlpm.rsiMatches,ISNUMBER(SEARCH(_xlpm.lastName,Evictions_RSI!$B$3:$B$200))*(Evictions_RSI!$B$3:$B$200&lt;&gt;""),_xlpm.hasRSI,SUMPRODUCT(_xlpm.rsiMatches)&gt;0,_xlpm.rsiStatus,IF(_xlpm.hasRSI,_xlfn.LET(_xlpm.dates,IF(_xlpm.rsiMatches,IFERROR(DATEVALUE(SUBSTITUTE(Evictions_RSI!$A$3:$A$200,_xlfn.UNICHAR(8204),"")),0),0),_xlpm.latestRow,MATCH(MAX(_xlpm.dates),_xlpm.dates,0),TRIM(SUBSTITUTE(INDEX(Evictions_RSI!$I$3:$I$200,_xlpm.latestRow),_xlfn.UNICHAR(8204),""))),""),IF(AND(_xlpm.llStatus="",_xlpm.rsiStatus=""),"",IF(_xlpm.llStatus="","RSI: "&amp;_xlpm.rsiStatus,IF(_xlpm.rsiStatus="","LL: "&amp;_xlpm.llStatus,"LL: "&amp;_xlpm.llStatus&amp;" | RSI: "&amp;_xlpm.rsiStatus)))),""))</f>
        <v/>
      </c>
      <c r="L74" s="1002"/>
      <c r="Q74" s="973"/>
      <c r="R74" s="973"/>
      <c r="S74" s="973"/>
      <c r="T74" s="973"/>
      <c r="U74" s="973"/>
      <c r="V74" s="973"/>
      <c r="W74" s="973"/>
      <c r="X74" s="973"/>
      <c r="Y74" s="973"/>
      <c r="Z74" s="973"/>
    </row>
    <row r="75" spans="1:26" ht="12" customHeight="1">
      <c r="A75" s="996" cm="1">
        <f t="array" ref="A75">IFERROR(_xlfn.LET(_xlpm.n,ROW()-16,_xlpm.adj,IF((((ISNUMBER(SEARCH("Eviction",'resident aged receivable'!$E$2:$E$460)))+(ISNUMBER(SEARCH("Past",'resident aged receivable'!$E$2:$E$460)))+(ISNUMBER(SEARCH("Skip",'resident aged receivable'!$E$2:$E$460)))+(ISNUMBER(SEARCH("Collections",'resident aged receivable'!$E$2:$E$460)))+(COUNTIF($N$3:$N$24,'resident aged receivable'!$D$2:$D$460)&gt;0))&gt;0)*(((((LEFT('resident aged receivable'!$E$2:$E$460,7)="Current")+(LEFT('resident aged receivable'!$E$2:$E$460,6)="Notice"))=0)+(COUNTIF($N$3:$N$24,'resident aged receivable'!$D$2:$D$460)&gt;0))&gt;0)*(COUNTIF($P$3:$P$24,'resident aged receivable'!$D$2:$D$460)=0)*('resident aged receivable'!$I$2:$I$460&gt;0),'resident aged receivable'!$I$2:$I$460-ROW('resident aged receivable'!$I$2:$I$460)/1000000),_xlpm.tgt,LARGE(_xlpm.adj,_xlpm.n),MATCH(_xlpm.tgt,_xlpm.adj,0)+1),"")</f>
        <v>39</v>
      </c>
      <c r="B75" s="997" t="str" cm="1">
        <f t="array" ref="B75">IF($A75="","",INDEX('resident aged receivable'!$B:$B,$A75))</f>
        <v>N19-1083</v>
      </c>
      <c r="C75" s="997" t="str" cm="1">
        <f t="array" ref="C75">IF($A75="","",INDEX('resident aged receivable'!$D:$D,$A75))</f>
        <v>Cooper, Latricia</v>
      </c>
      <c r="D75" s="998" cm="1">
        <f t="array" ref="D75">IF($A75="","",INDEX('resident aged receivable'!$F:$F,$A75))</f>
        <v>45439</v>
      </c>
      <c r="E75" s="998" cm="1">
        <f t="array" ref="E75">IF($A75="","",_xlfn.LET(_xlpm.leaseEnd,INDEX('resident aged receivable'!$H:$H,$A75),_xlpm.moLookup,IFERROR(_xlfn.LET(_xlpm.lastFirst,C75,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46195</v>
      </c>
      <c r="F75" s="999" t="str">
        <f t="shared" si="1"/>
        <v>IPS</v>
      </c>
      <c r="G75" s="1000" t="str" cm="1">
        <f t="array" ref="G75">IF($A75="","",IF(COUNTIF($N$3:$N$24,C75)&gt;0,"Former",_xlfn.LET(_xlpm.s,INDEX('resident aged receivable'!$E:$E,$A75),IF(ISNUMBER(SEARCH("Eviction",_xlpm.s)),"Eviction",IF(ISNUMBER(SEARCH("Skip",_xlpm.s)),"Skip",IF(ISNUMBER(SEARCH("Past",_xlpm.s))+ISNUMBER(SEARCH("Collections",_xlpm.s)),"Former",_xlpm.s))))))</f>
        <v>Former</v>
      </c>
      <c r="H75" s="1001" cm="1">
        <f t="array" ref="H75">IF($A75="","",INDEX('resident aged receivable'!$I:$I,$A75))</f>
        <v>2368.81</v>
      </c>
      <c r="I75" s="1001" cm="1">
        <f t="array" ref="I75">IF($A75="","",INDEX('resident aged receivable'!$J:$J,$A75))</f>
        <v>0</v>
      </c>
      <c r="J75" s="1001" cm="1">
        <f t="array" ref="J75">IF($A75="","",INDEX('resident aged receivable'!$K:$K,$A75))</f>
        <v>630</v>
      </c>
      <c r="K75" s="1020" t="str" cm="1">
        <f t="array" ref="K75">IF($C75="","",IFERROR(_xlfn.LET(_xlpm.unit,B75,_xlpm.resident,C75,_xlpm.lastName,IFERROR(LEFT(_xlpm.resident,FIND(",",_xlpm.resident)-1),_xlpm.resident),_xlpm.llMatch,(LeaseLock!$D$2:$D$500=_xlpm.unit)*ISNUMBER(SEARCH(_xlpm.lastName,LeaseLock!$C$2:$C$500)),_xlpm.hasLL,SUMPRODUCT(_xlpm.llMatch)&gt;0,_xlpm.llStatus,IF(_xlpm.hasLL,_xlfn.LET(_xlpm.stat,LOOKUP(2,1/_xlpm.llMatch,LeaseLock!$F$2:$F$500),_xlpm.sub,LOOKUP(2,1/_xlpm.llMatch,LeaseLock!$G$2:$G$500),_xlpm.paid,LOOKUP(2,1/_xlpm.llMatch,LeaseLock!$M$2:$M$500),IF(_xlpm.stat="Claim Denied","Claim Denied ("&amp;_xlpm.sub&amp;")",IF(_xlpm.stat="Open","Open - "&amp;_xlpm.sub,IF(_xlpm.paid&gt;0,_xlpm.stat&amp;" - $"&amp;TEXT(_xlpm.paid,"#,##0.00")&amp;" paid",_xlpm.stat&amp;" - no payment")))),""),_xlpm.rsiMatches,ISNUMBER(SEARCH(_xlpm.lastName,Evictions_RSI!$B$3:$B$200))*(Evictions_RSI!$B$3:$B$200&lt;&gt;""),_xlpm.hasRSI,SUMPRODUCT(_xlpm.rsiMatches)&gt;0,_xlpm.rsiStatus,IF(_xlpm.hasRSI,_xlfn.LET(_xlpm.dates,IF(_xlpm.rsiMatches,IFERROR(DATEVALUE(SUBSTITUTE(Evictions_RSI!$A$3:$A$200,_xlfn.UNICHAR(8204),"")),0),0),_xlpm.latestRow,MATCH(MAX(_xlpm.dates),_xlpm.dates,0),TRIM(SUBSTITUTE(INDEX(Evictions_RSI!$I$3:$I$200,_xlpm.latestRow),_xlfn.UNICHAR(8204),""))),""),IF(AND(_xlpm.llStatus="",_xlpm.rsiStatus=""),"",IF(_xlpm.llStatus="","RSI: "&amp;_xlpm.rsiStatus,IF(_xlpm.rsiStatus="","LL: "&amp;_xlpm.llStatus,"LL: "&amp;_xlpm.llStatus&amp;" | RSI: "&amp;_xlpm.rsiStatus)))),""))</f>
        <v>RSI: Dismissed (Tenant Vacated) (Notes)</v>
      </c>
      <c r="L75" s="1002"/>
      <c r="Q75" s="973"/>
      <c r="R75" s="973"/>
      <c r="S75" s="973"/>
      <c r="T75" s="973"/>
      <c r="U75" s="973"/>
      <c r="V75" s="973"/>
      <c r="W75" s="973"/>
      <c r="X75" s="973"/>
      <c r="Y75" s="973"/>
      <c r="Z75" s="992"/>
    </row>
    <row r="76" spans="1:26" ht="12" customHeight="1">
      <c r="A76" s="996" cm="1">
        <f t="array" ref="A76">IFERROR(_xlfn.LET(_xlpm.n,ROW()-16,_xlpm.adj,IF((((ISNUMBER(SEARCH("Eviction",'resident aged receivable'!$E$2:$E$460)))+(ISNUMBER(SEARCH("Past",'resident aged receivable'!$E$2:$E$460)))+(ISNUMBER(SEARCH("Skip",'resident aged receivable'!$E$2:$E$460)))+(ISNUMBER(SEARCH("Collections",'resident aged receivable'!$E$2:$E$460)))+(COUNTIF($N$3:$N$24,'resident aged receivable'!$D$2:$D$460)&gt;0))&gt;0)*(((((LEFT('resident aged receivable'!$E$2:$E$460,7)="Current")+(LEFT('resident aged receivable'!$E$2:$E$460,6)="Notice"))=0)+(COUNTIF($N$3:$N$24,'resident aged receivable'!$D$2:$D$460)&gt;0))&gt;0)*(COUNTIF($P$3:$P$24,'resident aged receivable'!$D$2:$D$460)=0)*('resident aged receivable'!$I$2:$I$460&gt;0),'resident aged receivable'!$I$2:$I$460-ROW('resident aged receivable'!$I$2:$I$460)/1000000),_xlpm.tgt,LARGE(_xlpm.adj,_xlpm.n),MATCH(_xlpm.tgt,_xlpm.adj,0)+1),"")</f>
        <v>35</v>
      </c>
      <c r="B76" s="997" t="str" cm="1">
        <f t="array" ref="B76">IF($A76="","",INDEX('resident aged receivable'!$B:$B,$A76))</f>
        <v>N18-2085</v>
      </c>
      <c r="C76" s="997" t="str" cm="1">
        <f t="array" ref="C76">IF($A76="","",INDEX('resident aged receivable'!$D:$D,$A76))</f>
        <v>Mbiru, Kimani</v>
      </c>
      <c r="D76" s="998" cm="1">
        <f t="array" ref="D76">IF($A76="","",INDEX('resident aged receivable'!$F:$F,$A76))</f>
        <v>45345</v>
      </c>
      <c r="E76" s="998" cm="1">
        <f t="array" ref="E76">IF($A76="","",_xlfn.LET(_xlpm.leaseEnd,INDEX('resident aged receivable'!$H:$H,$A76),_xlpm.moLookup,IFERROR(_xlfn.LET(_xlpm.lastFirst,C76,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46231</v>
      </c>
      <c r="F76" s="999" t="str">
        <f t="shared" si="1"/>
        <v>IPS</v>
      </c>
      <c r="G76" s="1000" t="str" cm="1">
        <f t="array" ref="G76">IF($A76="","",IF(COUNTIF($N$3:$N$24,C76)&gt;0,"Former",_xlfn.LET(_xlpm.s,INDEX('resident aged receivable'!$E:$E,$A76),IF(ISNUMBER(SEARCH("Eviction",_xlpm.s)),"Eviction",IF(ISNUMBER(SEARCH("Skip",_xlpm.s)),"Skip",IF(ISNUMBER(SEARCH("Past",_xlpm.s))+ISNUMBER(SEARCH("Collections",_xlpm.s)),"Former",_xlpm.s))))))</f>
        <v>Former</v>
      </c>
      <c r="H76" s="1001" cm="1">
        <f t="array" ref="H76">IF($A76="","",INDEX('resident aged receivable'!$I:$I,$A76))</f>
        <v>2214.27</v>
      </c>
      <c r="I76" s="1001" cm="1">
        <f t="array" ref="I76">IF($A76="","",INDEX('resident aged receivable'!$J:$J,$A76))</f>
        <v>0</v>
      </c>
      <c r="J76" s="1001" cm="1">
        <f t="array" ref="J76">IF($A76="","",INDEX('resident aged receivable'!$K:$K,$A76))</f>
        <v>2214.27</v>
      </c>
      <c r="K76" s="1020" t="str" cm="1">
        <f t="array" ref="K76">IF($C76="","",IFERROR(_xlfn.LET(_xlpm.unit,B76,_xlpm.resident,C76,_xlpm.lastName,IFERROR(LEFT(_xlpm.resident,FIND(",",_xlpm.resident)-1),_xlpm.resident),_xlpm.llMatch,(LeaseLock!$D$2:$D$500=_xlpm.unit)*ISNUMBER(SEARCH(_xlpm.lastName,LeaseLock!$C$2:$C$500)),_xlpm.hasLL,SUMPRODUCT(_xlpm.llMatch)&gt;0,_xlpm.llStatus,IF(_xlpm.hasLL,_xlfn.LET(_xlpm.stat,LOOKUP(2,1/_xlpm.llMatch,LeaseLock!$F$2:$F$500),_xlpm.sub,LOOKUP(2,1/_xlpm.llMatch,LeaseLock!$G$2:$G$500),_xlpm.paid,LOOKUP(2,1/_xlpm.llMatch,LeaseLock!$M$2:$M$500),IF(_xlpm.stat="Claim Denied","Claim Denied ("&amp;_xlpm.sub&amp;")",IF(_xlpm.stat="Open","Open - "&amp;_xlpm.sub,IF(_xlpm.paid&gt;0,_xlpm.stat&amp;" - $"&amp;TEXT(_xlpm.paid,"#,##0.00")&amp;" paid",_xlpm.stat&amp;" - no payment")))),""),_xlpm.rsiMatches,ISNUMBER(SEARCH(_xlpm.lastName,Evictions_RSI!$B$3:$B$200))*(Evictions_RSI!$B$3:$B$200&lt;&gt;""),_xlpm.hasRSI,SUMPRODUCT(_xlpm.rsiMatches)&gt;0,_xlpm.rsiStatus,IF(_xlpm.hasRSI,_xlfn.LET(_xlpm.dates,IF(_xlpm.rsiMatches,IFERROR(DATEVALUE(SUBSTITUTE(Evictions_RSI!$A$3:$A$200,_xlfn.UNICHAR(8204),"")),0),0),_xlpm.latestRow,MATCH(MAX(_xlpm.dates),_xlpm.dates,0),TRIM(SUBSTITUTE(INDEX(Evictions_RSI!$I$3:$I$200,_xlpm.latestRow),_xlfn.UNICHAR(8204),""))),""),IF(AND(_xlpm.llStatus="",_xlpm.rsiStatus=""),"",IF(_xlpm.llStatus="","RSI: "&amp;_xlpm.rsiStatus,IF(_xlpm.rsiStatus="","LL: "&amp;_xlpm.llStatus,"LL: "&amp;_xlpm.llStatus&amp;" | RSI: "&amp;_xlpm.rsiStatus)))),""))</f>
        <v>RSI: Hearing Scheduled</v>
      </c>
      <c r="L76" s="1002"/>
      <c r="Q76" s="973"/>
      <c r="R76" s="973"/>
      <c r="S76" s="973"/>
      <c r="T76" s="973"/>
      <c r="U76" s="973"/>
      <c r="V76" s="973"/>
      <c r="W76" s="973"/>
      <c r="X76" s="973"/>
      <c r="Y76" s="973"/>
      <c r="Z76" s="973"/>
    </row>
    <row r="77" spans="1:26" ht="12" customHeight="1">
      <c r="A77" s="996" cm="1">
        <f t="array" ref="A77">IFERROR(_xlfn.LET(_xlpm.n,ROW()-16,_xlpm.adj,IF((((ISNUMBER(SEARCH("Eviction",'resident aged receivable'!$E$2:$E$460)))+(ISNUMBER(SEARCH("Past",'resident aged receivable'!$E$2:$E$460)))+(ISNUMBER(SEARCH("Skip",'resident aged receivable'!$E$2:$E$460)))+(ISNUMBER(SEARCH("Collections",'resident aged receivable'!$E$2:$E$460)))+(COUNTIF($N$3:$N$24,'resident aged receivable'!$D$2:$D$460)&gt;0))&gt;0)*(((((LEFT('resident aged receivable'!$E$2:$E$460,7)="Current")+(LEFT('resident aged receivable'!$E$2:$E$460,6)="Notice"))=0)+(COUNTIF($N$3:$N$24,'resident aged receivable'!$D$2:$D$460)&gt;0))&gt;0)*(COUNTIF($P$3:$P$24,'resident aged receivable'!$D$2:$D$460)=0)*('resident aged receivable'!$I$2:$I$460&gt;0),'resident aged receivable'!$I$2:$I$460-ROW('resident aged receivable'!$I$2:$I$460)/1000000),_xlpm.tgt,LARGE(_xlpm.adj,_xlpm.n),MATCH(_xlpm.tgt,_xlpm.adj,0)+1),"")</f>
        <v>128</v>
      </c>
      <c r="B77" s="997" t="str" cm="1">
        <f t="array" ref="B77">IF($A77="","",INDEX('resident aged receivable'!$B:$B,$A77))</f>
        <v>W11-1-1110</v>
      </c>
      <c r="C77" s="997" t="str" cm="1">
        <f t="array" ref="C77">IF($A77="","",INDEX('resident aged receivable'!$D:$D,$A77))</f>
        <v>Walker, Myocsheonia</v>
      </c>
      <c r="D77" s="998" cm="1">
        <f t="array" ref="D77">IF($A77="","",INDEX('resident aged receivable'!$F:$F,$A77))</f>
        <v>45884</v>
      </c>
      <c r="E77" s="998" cm="1">
        <f t="array" ref="E77">IF($A77="","",_xlfn.LET(_xlpm.leaseEnd,INDEX('resident aged receivable'!$H:$H,$A77),_xlpm.moLookup,IFERROR(_xlfn.LET(_xlpm.lastFirst,C77,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46248</v>
      </c>
      <c r="F77" s="999" t="str">
        <f t="shared" si="1"/>
        <v>IPS</v>
      </c>
      <c r="G77" s="1000" t="str" cm="1">
        <f t="array" ref="G77">IF($A77="","",IF(COUNTIF($N$3:$N$24,C77)&gt;0,"Former",_xlfn.LET(_xlpm.s,INDEX('resident aged receivable'!$E:$E,$A77),IF(ISNUMBER(SEARCH("Eviction",_xlpm.s)),"Eviction",IF(ISNUMBER(SEARCH("Skip",_xlpm.s)),"Skip",IF(ISNUMBER(SEARCH("Past",_xlpm.s))+ISNUMBER(SEARCH("Collections",_xlpm.s)),"Former",_xlpm.s))))))</f>
        <v>Former</v>
      </c>
      <c r="H77" s="1001" cm="1">
        <f t="array" ref="H77">IF($A77="","",INDEX('resident aged receivable'!$I:$I,$A77))</f>
        <v>2094.34</v>
      </c>
      <c r="I77" s="1001" cm="1">
        <f t="array" ref="I77">IF($A77="","",INDEX('resident aged receivable'!$J:$J,$A77))</f>
        <v>657.63</v>
      </c>
      <c r="J77" s="1001" cm="1">
        <f t="array" ref="J77">IF($A77="","",INDEX('resident aged receivable'!$K:$K,$A77))</f>
        <v>1192.1400000000001</v>
      </c>
      <c r="K77" s="1020" t="str" cm="1">
        <f t="array" ref="K77">IF($C77="","",IFERROR(_xlfn.LET(_xlpm.unit,B77,_xlpm.resident,C77,_xlpm.lastName,IFERROR(LEFT(_xlpm.resident,FIND(",",_xlpm.resident)-1),_xlpm.resident),_xlpm.llMatch,(LeaseLock!$D$2:$D$500=_xlpm.unit)*ISNUMBER(SEARCH(_xlpm.lastName,LeaseLock!$C$2:$C$500)),_xlpm.hasLL,SUMPRODUCT(_xlpm.llMatch)&gt;0,_xlpm.llStatus,IF(_xlpm.hasLL,_xlfn.LET(_xlpm.stat,LOOKUP(2,1/_xlpm.llMatch,LeaseLock!$F$2:$F$500),_xlpm.sub,LOOKUP(2,1/_xlpm.llMatch,LeaseLock!$G$2:$G$500),_xlpm.paid,LOOKUP(2,1/_xlpm.llMatch,LeaseLock!$M$2:$M$500),IF(_xlpm.stat="Claim Denied","Claim Denied ("&amp;_xlpm.sub&amp;")",IF(_xlpm.stat="Open","Open - "&amp;_xlpm.sub,IF(_xlpm.paid&gt;0,_xlpm.stat&amp;" - $"&amp;TEXT(_xlpm.paid,"#,##0.00")&amp;" paid",_xlpm.stat&amp;" - no payment")))),""),_xlpm.rsiMatches,ISNUMBER(SEARCH(_xlpm.lastName,Evictions_RSI!$B$3:$B$200))*(Evictions_RSI!$B$3:$B$200&lt;&gt;""),_xlpm.hasRSI,SUMPRODUCT(_xlpm.rsiMatches)&gt;0,_xlpm.rsiStatus,IF(_xlpm.hasRSI,_xlfn.LET(_xlpm.dates,IF(_xlpm.rsiMatches,IFERROR(DATEVALUE(SUBSTITUTE(Evictions_RSI!$A$3:$A$200,_xlfn.UNICHAR(8204),"")),0),0),_xlpm.latestRow,MATCH(MAX(_xlpm.dates),_xlpm.dates,0),TRIM(SUBSTITUTE(INDEX(Evictions_RSI!$I$3:$I$200,_xlpm.latestRow),_xlfn.UNICHAR(8204),""))),""),IF(AND(_xlpm.llStatus="",_xlpm.rsiStatus=""),"",IF(_xlpm.llStatus="","RSI: "&amp;_xlpm.rsiStatus,IF(_xlpm.rsiStatus="","LL: "&amp;_xlpm.llStatus,"LL: "&amp;_xlpm.llStatus&amp;" | RSI: "&amp;_xlpm.rsiStatus)))),""))</f>
        <v>RSI: Granted (Notes)</v>
      </c>
      <c r="L77" s="1002" t="s">
        <v>1162</v>
      </c>
      <c r="Q77" s="973"/>
      <c r="R77" s="973"/>
      <c r="S77" s="973"/>
      <c r="T77" s="973"/>
      <c r="U77" s="973"/>
      <c r="V77" s="973"/>
      <c r="W77" s="973"/>
      <c r="X77" s="973"/>
      <c r="Y77" s="973"/>
      <c r="Z77" s="1004"/>
    </row>
    <row r="78" spans="1:26" ht="12" customHeight="1">
      <c r="A78" s="996" cm="1">
        <f t="array" ref="A78">IFERROR(_xlfn.LET(_xlpm.n,ROW()-16,_xlpm.adj,IF((((ISNUMBER(SEARCH("Eviction",'resident aged receivable'!$E$2:$E$460)))+(ISNUMBER(SEARCH("Past",'resident aged receivable'!$E$2:$E$460)))+(ISNUMBER(SEARCH("Skip",'resident aged receivable'!$E$2:$E$460)))+(ISNUMBER(SEARCH("Collections",'resident aged receivable'!$E$2:$E$460)))+(COUNTIF($N$3:$N$24,'resident aged receivable'!$D$2:$D$460)&gt;0))&gt;0)*(((((LEFT('resident aged receivable'!$E$2:$E$460,7)="Current")+(LEFT('resident aged receivable'!$E$2:$E$460,6)="Notice"))=0)+(COUNTIF($N$3:$N$24,'resident aged receivable'!$D$2:$D$460)&gt;0))&gt;0)*(COUNTIF($P$3:$P$24,'resident aged receivable'!$D$2:$D$460)=0)*('resident aged receivable'!$I$2:$I$460&gt;0),'resident aged receivable'!$I$2:$I$460-ROW('resident aged receivable'!$I$2:$I$460)/1000000),_xlpm.tgt,LARGE(_xlpm.adj,_xlpm.n),MATCH(_xlpm.tgt,_xlpm.adj,0)+1),"")</f>
        <v>80</v>
      </c>
      <c r="B78" s="997" t="str" cm="1">
        <f t="array" ref="B78">IF($A78="","",INDEX('resident aged receivable'!$B:$B,$A78))</f>
        <v>S35-248</v>
      </c>
      <c r="C78" s="997" t="str" cm="1">
        <f t="array" ref="C78">IF($A78="","",INDEX('resident aged receivable'!$D:$D,$A78))</f>
        <v>Vega, Luis</v>
      </c>
      <c r="D78" s="998" cm="1">
        <f t="array" ref="D78">IF($A78="","",INDEX('resident aged receivable'!$F:$F,$A78))</f>
        <v>45215</v>
      </c>
      <c r="E78" s="998" cm="1">
        <f t="array" ref="E78">IF($A78="","",_xlfn.LET(_xlpm.leaseEnd,INDEX('resident aged receivable'!$H:$H,$A78),_xlpm.moLookup,IFERROR(_xlfn.LET(_xlpm.lastFirst,C78,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46195</v>
      </c>
      <c r="F78" s="999" t="str">
        <f t="shared" si="1"/>
        <v>IPS</v>
      </c>
      <c r="G78" s="1000" t="str" cm="1">
        <f t="array" ref="G78">IF($A78="","",IF(COUNTIF($N$3:$N$24,C78)&gt;0,"Former",_xlfn.LET(_xlpm.s,INDEX('resident aged receivable'!$E:$E,$A78),IF(ISNUMBER(SEARCH("Eviction",_xlpm.s)),"Eviction",IF(ISNUMBER(SEARCH("Skip",_xlpm.s)),"Skip",IF(ISNUMBER(SEARCH("Past",_xlpm.s))+ISNUMBER(SEARCH("Collections",_xlpm.s)),"Former",_xlpm.s))))))</f>
        <v>Former</v>
      </c>
      <c r="H78" s="1001" cm="1">
        <f t="array" ref="H78">IF($A78="","",INDEX('resident aged receivable'!$I:$I,$A78))</f>
        <v>1733.91</v>
      </c>
      <c r="I78" s="1001" cm="1">
        <f t="array" ref="I78">IF($A78="","",INDEX('resident aged receivable'!$J:$J,$A78))</f>
        <v>0</v>
      </c>
      <c r="J78" s="1001" cm="1">
        <f t="array" ref="J78">IF($A78="","",INDEX('resident aged receivable'!$K:$K,$A78))</f>
        <v>1221.3900000000001</v>
      </c>
      <c r="K78" s="1020" t="str" cm="1">
        <f t="array" ref="K78">IF($C78="","",IFERROR(_xlfn.LET(_xlpm.unit,B78,_xlpm.resident,C78,_xlpm.lastName,IFERROR(LEFT(_xlpm.resident,FIND(",",_xlpm.resident)-1),_xlpm.resident),_xlpm.llMatch,(LeaseLock!$D$2:$D$500=_xlpm.unit)*ISNUMBER(SEARCH(_xlpm.lastName,LeaseLock!$C$2:$C$500)),_xlpm.hasLL,SUMPRODUCT(_xlpm.llMatch)&gt;0,_xlpm.llStatus,IF(_xlpm.hasLL,_xlfn.LET(_xlpm.stat,LOOKUP(2,1/_xlpm.llMatch,LeaseLock!$F$2:$F$500),_xlpm.sub,LOOKUP(2,1/_xlpm.llMatch,LeaseLock!$G$2:$G$500),_xlpm.paid,LOOKUP(2,1/_xlpm.llMatch,LeaseLock!$M$2:$M$500),IF(_xlpm.stat="Claim Denied","Claim Denied ("&amp;_xlpm.sub&amp;")",IF(_xlpm.stat="Open","Open - "&amp;_xlpm.sub,IF(_xlpm.paid&gt;0,_xlpm.stat&amp;" - $"&amp;TEXT(_xlpm.paid,"#,##0.00")&amp;" paid",_xlpm.stat&amp;" - no payment")))),""),_xlpm.rsiMatches,ISNUMBER(SEARCH(_xlpm.lastName,Evictions_RSI!$B$3:$B$200))*(Evictions_RSI!$B$3:$B$200&lt;&gt;""),_xlpm.hasRSI,SUMPRODUCT(_xlpm.rsiMatches)&gt;0,_xlpm.rsiStatus,IF(_xlpm.hasRSI,_xlfn.LET(_xlpm.dates,IF(_xlpm.rsiMatches,IFERROR(DATEVALUE(SUBSTITUTE(Evictions_RSI!$A$3:$A$200,_xlfn.UNICHAR(8204),"")),0),0),_xlpm.latestRow,MATCH(MAX(_xlpm.dates),_xlpm.dates,0),TRIM(SUBSTITUTE(INDEX(Evictions_RSI!$I$3:$I$200,_xlpm.latestRow),_xlfn.UNICHAR(8204),""))),""),IF(AND(_xlpm.llStatus="",_xlpm.rsiStatus=""),"",IF(_xlpm.llStatus="","RSI: "&amp;_xlpm.rsiStatus,IF(_xlpm.rsiStatus="","LL: "&amp;_xlpm.llStatus,"LL: "&amp;_xlpm.llStatus&amp;" | RSI: "&amp;_xlpm.rsiStatus)))),""))</f>
        <v/>
      </c>
      <c r="L78" s="1002"/>
      <c r="Q78" s="973"/>
      <c r="R78" s="973"/>
      <c r="S78" s="973"/>
      <c r="T78" s="973"/>
      <c r="U78" s="973"/>
      <c r="V78" s="973"/>
      <c r="W78" s="973"/>
      <c r="X78" s="973"/>
      <c r="Y78" s="973"/>
      <c r="Z78" s="973"/>
    </row>
    <row r="79" spans="1:26" ht="12" customHeight="1">
      <c r="A79" s="996" cm="1">
        <f t="array" ref="A79">IFERROR(_xlfn.LET(_xlpm.n,ROW()-16,_xlpm.adj,IF((((ISNUMBER(SEARCH("Eviction",'resident aged receivable'!$E$2:$E$460)))+(ISNUMBER(SEARCH("Past",'resident aged receivable'!$E$2:$E$460)))+(ISNUMBER(SEARCH("Skip",'resident aged receivable'!$E$2:$E$460)))+(ISNUMBER(SEARCH("Collections",'resident aged receivable'!$E$2:$E$460)))+(COUNTIF($N$3:$N$24,'resident aged receivable'!$D$2:$D$460)&gt;0))&gt;0)*(((((LEFT('resident aged receivable'!$E$2:$E$460,7)="Current")+(LEFT('resident aged receivable'!$E$2:$E$460,6)="Notice"))=0)+(COUNTIF($N$3:$N$24,'resident aged receivable'!$D$2:$D$460)&gt;0))&gt;0)*(COUNTIF($P$3:$P$24,'resident aged receivable'!$D$2:$D$460)=0)*('resident aged receivable'!$I$2:$I$460&gt;0),'resident aged receivable'!$I$2:$I$460-ROW('resident aged receivable'!$I$2:$I$460)/1000000),_xlpm.tgt,LARGE(_xlpm.adj,_xlpm.n),MATCH(_xlpm.tgt,_xlpm.adj,0)+1),"")</f>
        <v>179</v>
      </c>
      <c r="B79" s="997" t="str" cm="1">
        <f t="array" ref="B79">IF($A79="","",INDEX('resident aged receivable'!$B:$B,$A79))</f>
        <v>W25-2-2029</v>
      </c>
      <c r="C79" s="997" t="str" cm="1">
        <f t="array" ref="C79">IF($A79="","",INDEX('resident aged receivable'!$D:$D,$A79))</f>
        <v>Monzon, Reyna</v>
      </c>
      <c r="D79" s="998" cm="1">
        <f t="array" ref="D79">IF($A79="","",INDEX('resident aged receivable'!$F:$F,$A79))</f>
        <v>45836</v>
      </c>
      <c r="E79" s="998" cm="1">
        <f t="array" ref="E79">IF($A79="","",_xlfn.LET(_xlpm.leaseEnd,INDEX('resident aged receivable'!$H:$H,$A79),_xlpm.moLookup,IFERROR(_xlfn.LET(_xlpm.lastFirst,C79,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46217</v>
      </c>
      <c r="F79" s="999" t="str">
        <f t="shared" si="1"/>
        <v>IPS</v>
      </c>
      <c r="G79" s="1000" t="str" cm="1">
        <f t="array" ref="G79">IF($A79="","",IF(COUNTIF($N$3:$N$24,C79)&gt;0,"Former",_xlfn.LET(_xlpm.s,INDEX('resident aged receivable'!$E:$E,$A79),IF(ISNUMBER(SEARCH("Eviction",_xlpm.s)),"Eviction",IF(ISNUMBER(SEARCH("Skip",_xlpm.s)),"Skip",IF(ISNUMBER(SEARCH("Past",_xlpm.s))+ISNUMBER(SEARCH("Collections",_xlpm.s)),"Former",_xlpm.s))))))</f>
        <v>Former</v>
      </c>
      <c r="H79" s="1001" cm="1">
        <f t="array" ref="H79">IF($A79="","",INDEX('resident aged receivable'!$I:$I,$A79))</f>
        <v>1702.94</v>
      </c>
      <c r="I79" s="1001" cm="1">
        <f t="array" ref="I79">IF($A79="","",INDEX('resident aged receivable'!$J:$J,$A79))</f>
        <v>0</v>
      </c>
      <c r="J79" s="1001" cm="1">
        <f t="array" ref="J79">IF($A79="","",INDEX('resident aged receivable'!$K:$K,$A79))</f>
        <v>1702.94</v>
      </c>
      <c r="K79" s="1020" t="str" cm="1">
        <f t="array" ref="K79">IF($C79="","",IFERROR(_xlfn.LET(_xlpm.unit,B79,_xlpm.resident,C79,_xlpm.lastName,IFERROR(LEFT(_xlpm.resident,FIND(",",_xlpm.resident)-1),_xlpm.resident),_xlpm.llMatch,(LeaseLock!$D$2:$D$500=_xlpm.unit)*ISNUMBER(SEARCH(_xlpm.lastName,LeaseLock!$C$2:$C$500)),_xlpm.hasLL,SUMPRODUCT(_xlpm.llMatch)&gt;0,_xlpm.llStatus,IF(_xlpm.hasLL,_xlfn.LET(_xlpm.stat,LOOKUP(2,1/_xlpm.llMatch,LeaseLock!$F$2:$F$500),_xlpm.sub,LOOKUP(2,1/_xlpm.llMatch,LeaseLock!$G$2:$G$500),_xlpm.paid,LOOKUP(2,1/_xlpm.llMatch,LeaseLock!$M$2:$M$500),IF(_xlpm.stat="Claim Denied","Claim Denied ("&amp;_xlpm.sub&amp;")",IF(_xlpm.stat="Open","Open - "&amp;_xlpm.sub,IF(_xlpm.paid&gt;0,_xlpm.stat&amp;" - $"&amp;TEXT(_xlpm.paid,"#,##0.00")&amp;" paid",_xlpm.stat&amp;" - no payment")))),""),_xlpm.rsiMatches,ISNUMBER(SEARCH(_xlpm.lastName,Evictions_RSI!$B$3:$B$200))*(Evictions_RSI!$B$3:$B$200&lt;&gt;""),_xlpm.hasRSI,SUMPRODUCT(_xlpm.rsiMatches)&gt;0,_xlpm.rsiStatus,IF(_xlpm.hasRSI,_xlfn.LET(_xlpm.dates,IF(_xlpm.rsiMatches,IFERROR(DATEVALUE(SUBSTITUTE(Evictions_RSI!$A$3:$A$200,_xlfn.UNICHAR(8204),"")),0),0),_xlpm.latestRow,MATCH(MAX(_xlpm.dates),_xlpm.dates,0),TRIM(SUBSTITUTE(INDEX(Evictions_RSI!$I$3:$I$200,_xlpm.latestRow),_xlfn.UNICHAR(8204),""))),""),IF(AND(_xlpm.llStatus="",_xlpm.rsiStatus=""),"",IF(_xlpm.llStatus="","RSI: "&amp;_xlpm.rsiStatus,IF(_xlpm.rsiStatus="","LL: "&amp;_xlpm.llStatus,"LL: "&amp;_xlpm.llStatus&amp;" | RSI: "&amp;_xlpm.rsiStatus)))),""))</f>
        <v>RSI: Cancelled</v>
      </c>
      <c r="L79" s="1002"/>
      <c r="Q79" s="973"/>
      <c r="R79" s="973"/>
      <c r="S79" s="973"/>
      <c r="T79" s="973"/>
      <c r="U79" s="973"/>
      <c r="V79" s="973"/>
      <c r="W79" s="973"/>
      <c r="X79" s="973"/>
      <c r="Y79" s="973"/>
      <c r="Z79" s="973"/>
    </row>
    <row r="80" spans="1:26" ht="12" customHeight="1">
      <c r="A80" s="996" cm="1">
        <f t="array" ref="A80">IFERROR(_xlfn.LET(_xlpm.n,ROW()-16,_xlpm.adj,IF((((ISNUMBER(SEARCH("Eviction",'resident aged receivable'!$E$2:$E$460)))+(ISNUMBER(SEARCH("Past",'resident aged receivable'!$E$2:$E$460)))+(ISNUMBER(SEARCH("Skip",'resident aged receivable'!$E$2:$E$460)))+(ISNUMBER(SEARCH("Collections",'resident aged receivable'!$E$2:$E$460)))+(COUNTIF($N$3:$N$24,'resident aged receivable'!$D$2:$D$460)&gt;0))&gt;0)*(((((LEFT('resident aged receivable'!$E$2:$E$460,7)="Current")+(LEFT('resident aged receivable'!$E$2:$E$460,6)="Notice"))=0)+(COUNTIF($N$3:$N$24,'resident aged receivable'!$D$2:$D$460)&gt;0))&gt;0)*(COUNTIF($P$3:$P$24,'resident aged receivable'!$D$2:$D$460)=0)*('resident aged receivable'!$I$2:$I$460&gt;0),'resident aged receivable'!$I$2:$I$460-ROW('resident aged receivable'!$I$2:$I$460)/1000000),_xlpm.tgt,LARGE(_xlpm.adj,_xlpm.n),MATCH(_xlpm.tgt,_xlpm.adj,0)+1),"")</f>
        <v>175</v>
      </c>
      <c r="B80" s="997" t="str" cm="1">
        <f t="array" ref="B80">IF($A80="","",INDEX('resident aged receivable'!$B:$B,$A80))</f>
        <v>W24-2-2038</v>
      </c>
      <c r="C80" s="997" t="str" cm="1">
        <f t="array" ref="C80">IF($A80="","",INDEX('resident aged receivable'!$D:$D,$A80))</f>
        <v>Bonilla, Vicente</v>
      </c>
      <c r="D80" s="998" cm="1">
        <f t="array" ref="D80">IF($A80="","",INDEX('resident aged receivable'!$F:$F,$A80))</f>
        <v>45856</v>
      </c>
      <c r="E80" s="998" cm="1">
        <f t="array" ref="E80">IF($A80="","",_xlfn.LET(_xlpm.leaseEnd,INDEX('resident aged receivable'!$H:$H,$A80),_xlpm.moLookup,IFERROR(_xlfn.LET(_xlpm.lastFirst,C80,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46220</v>
      </c>
      <c r="F80" s="999" t="str">
        <f t="shared" si="1"/>
        <v>IPS</v>
      </c>
      <c r="G80" s="1000" t="str" cm="1">
        <f t="array" ref="G80">IF($A80="","",IF(COUNTIF($N$3:$N$24,C80)&gt;0,"Former",_xlfn.LET(_xlpm.s,INDEX('resident aged receivable'!$E:$E,$A80),IF(ISNUMBER(SEARCH("Eviction",_xlpm.s)),"Eviction",IF(ISNUMBER(SEARCH("Skip",_xlpm.s)),"Skip",IF(ISNUMBER(SEARCH("Past",_xlpm.s))+ISNUMBER(SEARCH("Collections",_xlpm.s)),"Former",_xlpm.s))))))</f>
        <v>Former</v>
      </c>
      <c r="H80" s="1001" cm="1">
        <f t="array" ref="H80">IF($A80="","",INDEX('resident aged receivable'!$I:$I,$A80))</f>
        <v>1641.37</v>
      </c>
      <c r="I80" s="1001" cm="1">
        <f t="array" ref="I80">IF($A80="","",INDEX('resident aged receivable'!$J:$J,$A80))</f>
        <v>0</v>
      </c>
      <c r="J80" s="1001" cm="1">
        <f t="array" ref="J80">IF($A80="","",INDEX('resident aged receivable'!$K:$K,$A80))</f>
        <v>1641.37</v>
      </c>
      <c r="K80" s="1020" t="str" cm="1">
        <f t="array" ref="K80">IF($C80="","",IFERROR(_xlfn.LET(_xlpm.unit,B80,_xlpm.resident,C80,_xlpm.lastName,IFERROR(LEFT(_xlpm.resident,FIND(",",_xlpm.resident)-1),_xlpm.resident),_xlpm.llMatch,(LeaseLock!$D$2:$D$500=_xlpm.unit)*ISNUMBER(SEARCH(_xlpm.lastName,LeaseLock!$C$2:$C$500)),_xlpm.hasLL,SUMPRODUCT(_xlpm.llMatch)&gt;0,_xlpm.llStatus,IF(_xlpm.hasLL,_xlfn.LET(_xlpm.stat,LOOKUP(2,1/_xlpm.llMatch,LeaseLock!$F$2:$F$500),_xlpm.sub,LOOKUP(2,1/_xlpm.llMatch,LeaseLock!$G$2:$G$500),_xlpm.paid,LOOKUP(2,1/_xlpm.llMatch,LeaseLock!$M$2:$M$500),IF(_xlpm.stat="Claim Denied","Claim Denied ("&amp;_xlpm.sub&amp;")",IF(_xlpm.stat="Open","Open - "&amp;_xlpm.sub,IF(_xlpm.paid&gt;0,_xlpm.stat&amp;" - $"&amp;TEXT(_xlpm.paid,"#,##0.00")&amp;" paid",_xlpm.stat&amp;" - no payment")))),""),_xlpm.rsiMatches,ISNUMBER(SEARCH(_xlpm.lastName,Evictions_RSI!$B$3:$B$200))*(Evictions_RSI!$B$3:$B$200&lt;&gt;""),_xlpm.hasRSI,SUMPRODUCT(_xlpm.rsiMatches)&gt;0,_xlpm.rsiStatus,IF(_xlpm.hasRSI,_xlfn.LET(_xlpm.dates,IF(_xlpm.rsiMatches,IFERROR(DATEVALUE(SUBSTITUTE(Evictions_RSI!$A$3:$A$200,_xlfn.UNICHAR(8204),"")),0),0),_xlpm.latestRow,MATCH(MAX(_xlpm.dates),_xlpm.dates,0),TRIM(SUBSTITUTE(INDEX(Evictions_RSI!$I$3:$I$200,_xlpm.latestRow),_xlfn.UNICHAR(8204),""))),""),IF(AND(_xlpm.llStatus="",_xlpm.rsiStatus=""),"",IF(_xlpm.llStatus="","RSI: "&amp;_xlpm.rsiStatus,IF(_xlpm.rsiStatus="","LL: "&amp;_xlpm.llStatus,"LL: "&amp;_xlpm.llStatus&amp;" | RSI: "&amp;_xlpm.rsiStatus)))),""))</f>
        <v>RSI: Cancelled</v>
      </c>
      <c r="L80" s="1002"/>
      <c r="Q80" s="973"/>
      <c r="R80" s="973"/>
      <c r="S80" s="973"/>
      <c r="T80" s="973"/>
      <c r="U80" s="973"/>
      <c r="V80" s="973"/>
      <c r="W80" s="973"/>
      <c r="X80" s="973"/>
      <c r="Y80" s="973"/>
      <c r="Z80" s="973"/>
    </row>
    <row r="81" spans="1:26" ht="12" customHeight="1">
      <c r="A81" s="996" cm="1">
        <f t="array" ref="A81">IFERROR(_xlfn.LET(_xlpm.n,ROW()-16,_xlpm.adj,IF((((ISNUMBER(SEARCH("Eviction",'resident aged receivable'!$E$2:$E$460)))+(ISNUMBER(SEARCH("Past",'resident aged receivable'!$E$2:$E$460)))+(ISNUMBER(SEARCH("Skip",'resident aged receivable'!$E$2:$E$460)))+(ISNUMBER(SEARCH("Collections",'resident aged receivable'!$E$2:$E$460)))+(COUNTIF($N$3:$N$24,'resident aged receivable'!$D$2:$D$460)&gt;0))&gt;0)*(((((LEFT('resident aged receivable'!$E$2:$E$460,7)="Current")+(LEFT('resident aged receivable'!$E$2:$E$460,6)="Notice"))=0)+(COUNTIF($N$3:$N$24,'resident aged receivable'!$D$2:$D$460)&gt;0))&gt;0)*(COUNTIF($P$3:$P$24,'resident aged receivable'!$D$2:$D$460)=0)*('resident aged receivable'!$I$2:$I$460&gt;0),'resident aged receivable'!$I$2:$I$460-ROW('resident aged receivable'!$I$2:$I$460)/1000000),_xlpm.tgt,LARGE(_xlpm.adj,_xlpm.n),MATCH(_xlpm.tgt,_xlpm.adj,0)+1),"")</f>
        <v>92</v>
      </c>
      <c r="B81" s="997" t="str" cm="1">
        <f t="array" ref="B81">IF($A81="","",INDEX('resident aged receivable'!$B:$B,$A81))</f>
        <v>W02-1-0203</v>
      </c>
      <c r="C81" s="997" t="str" cm="1">
        <f t="array" ref="C81">IF($A81="","",INDEX('resident aged receivable'!$D:$D,$A81))</f>
        <v>Ado, Lois</v>
      </c>
      <c r="D81" s="998" cm="1">
        <f t="array" ref="D81">IF($A81="","",INDEX('resident aged receivable'!$F:$F,$A81))</f>
        <v>45843</v>
      </c>
      <c r="E81" s="998" cm="1">
        <f t="array" ref="E81">IF($A81="","",_xlfn.LET(_xlpm.leaseEnd,INDEX('resident aged receivable'!$H:$H,$A81),_xlpm.moLookup,IFERROR(_xlfn.LET(_xlpm.lastFirst,C81,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46207</v>
      </c>
      <c r="F81" s="999" t="str">
        <f t="shared" ref="F81:F112" si="2">IF(D81="","",IF(D81&lt;DATE(2025,12,15),"IPS","CAF"))</f>
        <v>IPS</v>
      </c>
      <c r="G81" s="1000" t="str" cm="1">
        <f t="array" ref="G81">IF($A81="","",IF(COUNTIF($N$3:$N$24,C81)&gt;0,"Former",_xlfn.LET(_xlpm.s,INDEX('resident aged receivable'!$E:$E,$A81),IF(ISNUMBER(SEARCH("Eviction",_xlpm.s)),"Eviction",IF(ISNUMBER(SEARCH("Skip",_xlpm.s)),"Skip",IF(ISNUMBER(SEARCH("Past",_xlpm.s))+ISNUMBER(SEARCH("Collections",_xlpm.s)),"Former",_xlpm.s))))))</f>
        <v>Former</v>
      </c>
      <c r="H81" s="1001" cm="1">
        <f t="array" ref="H81">IF($A81="","",INDEX('resident aged receivable'!$I:$I,$A81))</f>
        <v>1628.52</v>
      </c>
      <c r="I81" s="1001" cm="1">
        <f t="array" ref="I81">IF($A81="","",INDEX('resident aged receivable'!$J:$J,$A81))</f>
        <v>0</v>
      </c>
      <c r="J81" s="1001" cm="1">
        <f t="array" ref="J81">IF($A81="","",INDEX('resident aged receivable'!$K:$K,$A81))</f>
        <v>1628.52</v>
      </c>
      <c r="K81" s="1020" t="str" cm="1">
        <f t="array" ref="K81">IF($C81="","",IFERROR(_xlfn.LET(_xlpm.unit,B81,_xlpm.resident,C81,_xlpm.lastName,IFERROR(LEFT(_xlpm.resident,FIND(",",_xlpm.resident)-1),_xlpm.resident),_xlpm.llMatch,(LeaseLock!$D$2:$D$500=_xlpm.unit)*ISNUMBER(SEARCH(_xlpm.lastName,LeaseLock!$C$2:$C$500)),_xlpm.hasLL,SUMPRODUCT(_xlpm.llMatch)&gt;0,_xlpm.llStatus,IF(_xlpm.hasLL,_xlfn.LET(_xlpm.stat,LOOKUP(2,1/_xlpm.llMatch,LeaseLock!$F$2:$F$500),_xlpm.sub,LOOKUP(2,1/_xlpm.llMatch,LeaseLock!$G$2:$G$500),_xlpm.paid,LOOKUP(2,1/_xlpm.llMatch,LeaseLock!$M$2:$M$500),IF(_xlpm.stat="Claim Denied","Claim Denied ("&amp;_xlpm.sub&amp;")",IF(_xlpm.stat="Open","Open - "&amp;_xlpm.sub,IF(_xlpm.paid&gt;0,_xlpm.stat&amp;" - $"&amp;TEXT(_xlpm.paid,"#,##0.00")&amp;" paid",_xlpm.stat&amp;" - no payment")))),""),_xlpm.rsiMatches,ISNUMBER(SEARCH(_xlpm.lastName,Evictions_RSI!$B$3:$B$200))*(Evictions_RSI!$B$3:$B$200&lt;&gt;""),_xlpm.hasRSI,SUMPRODUCT(_xlpm.rsiMatches)&gt;0,_xlpm.rsiStatus,IF(_xlpm.hasRSI,_xlfn.LET(_xlpm.dates,IF(_xlpm.rsiMatches,IFERROR(DATEVALUE(SUBSTITUTE(Evictions_RSI!$A$3:$A$200,_xlfn.UNICHAR(8204),"")),0),0),_xlpm.latestRow,MATCH(MAX(_xlpm.dates),_xlpm.dates,0),TRIM(SUBSTITUTE(INDEX(Evictions_RSI!$I$3:$I$200,_xlpm.latestRow),_xlfn.UNICHAR(8204),""))),""),IF(AND(_xlpm.llStatus="",_xlpm.rsiStatus=""),"",IF(_xlpm.llStatus="","RSI: "&amp;_xlpm.rsiStatus,IF(_xlpm.rsiStatus="","LL: "&amp;_xlpm.llStatus,"LL: "&amp;_xlpm.llStatus&amp;" | RSI: "&amp;_xlpm.rsiStatus)))),""))</f>
        <v>RSI: Dismissed (Tenant Vacated) (Notes)</v>
      </c>
      <c r="L81" s="1002"/>
      <c r="Q81" s="973"/>
      <c r="R81" s="973"/>
      <c r="S81" s="973"/>
      <c r="T81" s="973"/>
      <c r="U81" s="973"/>
      <c r="V81" s="973"/>
      <c r="W81" s="973"/>
      <c r="X81" s="973"/>
      <c r="Y81" s="973"/>
      <c r="Z81" s="1004"/>
    </row>
    <row r="82" spans="1:26" ht="12" customHeight="1">
      <c r="A82" s="996" cm="1">
        <f t="array" ref="A82">IFERROR(_xlfn.LET(_xlpm.n,ROW()-16,_xlpm.adj,IF((((ISNUMBER(SEARCH("Eviction",'resident aged receivable'!$E$2:$E$460)))+(ISNUMBER(SEARCH("Past",'resident aged receivable'!$E$2:$E$460)))+(ISNUMBER(SEARCH("Skip",'resident aged receivable'!$E$2:$E$460)))+(ISNUMBER(SEARCH("Collections",'resident aged receivable'!$E$2:$E$460)))+(COUNTIF($N$3:$N$24,'resident aged receivable'!$D$2:$D$460)&gt;0))&gt;0)*(((((LEFT('resident aged receivable'!$E$2:$E$460,7)="Current")+(LEFT('resident aged receivable'!$E$2:$E$460,6)="Notice"))=0)+(COUNTIF($N$3:$N$24,'resident aged receivable'!$D$2:$D$460)&gt;0))&gt;0)*(COUNTIF($P$3:$P$24,'resident aged receivable'!$D$2:$D$460)=0)*('resident aged receivable'!$I$2:$I$460&gt;0),'resident aged receivable'!$I$2:$I$460-ROW('resident aged receivable'!$I$2:$I$460)/1000000),_xlpm.tgt,LARGE(_xlpm.adj,_xlpm.n),MATCH(_xlpm.tgt,_xlpm.adj,0)+1),"")</f>
        <v>122</v>
      </c>
      <c r="B82" s="997" t="str" cm="1">
        <f t="array" ref="B82">IF($A82="","",INDEX('resident aged receivable'!$B:$B,$A82))</f>
        <v>W09-1-0902</v>
      </c>
      <c r="C82" s="997" t="str" cm="1">
        <f t="array" ref="C82">IF($A82="","",INDEX('resident aged receivable'!$D:$D,$A82))</f>
        <v>Mazola, Bin</v>
      </c>
      <c r="D82" s="998" cm="1">
        <f t="array" ref="D82">IF($A82="","",INDEX('resident aged receivable'!$F:$F,$A82))</f>
        <v>44136</v>
      </c>
      <c r="E82" s="998" cm="1">
        <f t="array" ref="E82">IF($A82="","",_xlfn.LET(_xlpm.leaseEnd,INDEX('resident aged receivable'!$H:$H,$A82),_xlpm.moLookup,IFERROR(_xlfn.LET(_xlpm.lastFirst,C82,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46175</v>
      </c>
      <c r="F82" s="999" t="str">
        <f t="shared" si="2"/>
        <v>IPS</v>
      </c>
      <c r="G82" s="1000" t="str" cm="1">
        <f t="array" ref="G82">IF($A82="","",IF(COUNTIF($N$3:$N$24,C82)&gt;0,"Former",_xlfn.LET(_xlpm.s,INDEX('resident aged receivable'!$E:$E,$A82),IF(ISNUMBER(SEARCH("Eviction",_xlpm.s)),"Eviction",IF(ISNUMBER(SEARCH("Skip",_xlpm.s)),"Skip",IF(ISNUMBER(SEARCH("Past",_xlpm.s))+ISNUMBER(SEARCH("Collections",_xlpm.s)),"Former",_xlpm.s))))))</f>
        <v>Former</v>
      </c>
      <c r="H82" s="1001" cm="1">
        <f t="array" ref="H82">IF($A82="","",INDEX('resident aged receivable'!$I:$I,$A82))</f>
        <v>1620.38</v>
      </c>
      <c r="I82" s="1001" cm="1">
        <f t="array" ref="I82">IF($A82="","",INDEX('resident aged receivable'!$J:$J,$A82))</f>
        <v>0</v>
      </c>
      <c r="J82" s="1001" cm="1">
        <f t="array" ref="J82">IF($A82="","",INDEX('resident aged receivable'!$K:$K,$A82))</f>
        <v>0</v>
      </c>
      <c r="K82" s="1020" t="str" cm="1">
        <f t="array" ref="K82">IF($C82="","",IFERROR(_xlfn.LET(_xlpm.unit,B82,_xlpm.resident,C82,_xlpm.lastName,IFERROR(LEFT(_xlpm.resident,FIND(",",_xlpm.resident)-1),_xlpm.resident),_xlpm.llMatch,(LeaseLock!$D$2:$D$500=_xlpm.unit)*ISNUMBER(SEARCH(_xlpm.lastName,LeaseLock!$C$2:$C$500)),_xlpm.hasLL,SUMPRODUCT(_xlpm.llMatch)&gt;0,_xlpm.llStatus,IF(_xlpm.hasLL,_xlfn.LET(_xlpm.stat,LOOKUP(2,1/_xlpm.llMatch,LeaseLock!$F$2:$F$500),_xlpm.sub,LOOKUP(2,1/_xlpm.llMatch,LeaseLock!$G$2:$G$500),_xlpm.paid,LOOKUP(2,1/_xlpm.llMatch,LeaseLock!$M$2:$M$500),IF(_xlpm.stat="Claim Denied","Claim Denied ("&amp;_xlpm.sub&amp;")",IF(_xlpm.stat="Open","Open - "&amp;_xlpm.sub,IF(_xlpm.paid&gt;0,_xlpm.stat&amp;" - $"&amp;TEXT(_xlpm.paid,"#,##0.00")&amp;" paid",_xlpm.stat&amp;" - no payment")))),""),_xlpm.rsiMatches,ISNUMBER(SEARCH(_xlpm.lastName,Evictions_RSI!$B$3:$B$200))*(Evictions_RSI!$B$3:$B$200&lt;&gt;""),_xlpm.hasRSI,SUMPRODUCT(_xlpm.rsiMatches)&gt;0,_xlpm.rsiStatus,IF(_xlpm.hasRSI,_xlfn.LET(_xlpm.dates,IF(_xlpm.rsiMatches,IFERROR(DATEVALUE(SUBSTITUTE(Evictions_RSI!$A$3:$A$200,_xlfn.UNICHAR(8204),"")),0),0),_xlpm.latestRow,MATCH(MAX(_xlpm.dates),_xlpm.dates,0),TRIM(SUBSTITUTE(INDEX(Evictions_RSI!$I$3:$I$200,_xlpm.latestRow),_xlfn.UNICHAR(8204),""))),""),IF(AND(_xlpm.llStatus="",_xlpm.rsiStatus=""),"",IF(_xlpm.llStatus="","RSI: "&amp;_xlpm.rsiStatus,IF(_xlpm.rsiStatus="","LL: "&amp;_xlpm.llStatus,"LL: "&amp;_xlpm.llStatus&amp;" | RSI: "&amp;_xlpm.rsiStatus)))),""))</f>
        <v>LL: Closed - $750.00 paid</v>
      </c>
      <c r="L82" s="1002"/>
      <c r="Q82" s="973"/>
      <c r="R82" s="973"/>
      <c r="S82" s="973"/>
      <c r="T82" s="973"/>
      <c r="U82" s="973"/>
      <c r="V82" s="973"/>
      <c r="W82" s="973"/>
      <c r="X82" s="973"/>
      <c r="Y82" s="973"/>
      <c r="Z82" s="1004"/>
    </row>
    <row r="83" spans="1:26" ht="12" customHeight="1">
      <c r="A83" s="996" cm="1">
        <f t="array" ref="A83">IFERROR(_xlfn.LET(_xlpm.n,ROW()-16,_xlpm.adj,IF((((ISNUMBER(SEARCH("Eviction",'resident aged receivable'!$E$2:$E$460)))+(ISNUMBER(SEARCH("Past",'resident aged receivable'!$E$2:$E$460)))+(ISNUMBER(SEARCH("Skip",'resident aged receivable'!$E$2:$E$460)))+(ISNUMBER(SEARCH("Collections",'resident aged receivable'!$E$2:$E$460)))+(COUNTIF($N$3:$N$24,'resident aged receivable'!$D$2:$D$460)&gt;0))&gt;0)*(((((LEFT('resident aged receivable'!$E$2:$E$460,7)="Current")+(LEFT('resident aged receivable'!$E$2:$E$460,6)="Notice"))=0)+(COUNTIF($N$3:$N$24,'resident aged receivable'!$D$2:$D$460)&gt;0))&gt;0)*(COUNTIF($P$3:$P$24,'resident aged receivable'!$D$2:$D$460)=0)*('resident aged receivable'!$I$2:$I$460&gt;0),'resident aged receivable'!$I$2:$I$460-ROW('resident aged receivable'!$I$2:$I$460)/1000000),_xlpm.tgt,LARGE(_xlpm.adj,_xlpm.n),MATCH(_xlpm.tgt,_xlpm.adj,0)+1),"")</f>
        <v>107</v>
      </c>
      <c r="B83" s="997" t="str" cm="1">
        <f t="array" ref="B83">IF($A83="","",INDEX('resident aged receivable'!$B:$B,$A83))</f>
        <v>W05-1-0510</v>
      </c>
      <c r="C83" s="997" t="str" cm="1">
        <f t="array" ref="C83">IF($A83="","",INDEX('resident aged receivable'!$D:$D,$A83))</f>
        <v>Thomas, Cori</v>
      </c>
      <c r="D83" s="998" cm="1">
        <f t="array" ref="D83">IF($A83="","",INDEX('resident aged receivable'!$F:$F,$A83))</f>
        <v>46136</v>
      </c>
      <c r="E83" s="998" cm="1">
        <f t="array" ref="E83">IF($A83="","",_xlfn.LET(_xlpm.leaseEnd,INDEX('resident aged receivable'!$H:$H,$A83),_xlpm.moLookup,IFERROR(_xlfn.LET(_xlpm.lastFirst,C83,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46196</v>
      </c>
      <c r="F83" s="999" t="str">
        <f t="shared" si="2"/>
        <v>CAF</v>
      </c>
      <c r="G83" s="1000" t="str" cm="1">
        <f t="array" ref="G83">IF($A83="","",IF(COUNTIF($N$3:$N$24,C83)&gt;0,"Former",_xlfn.LET(_xlpm.s,INDEX('resident aged receivable'!$E:$E,$A83),IF(ISNUMBER(SEARCH("Eviction",_xlpm.s)),"Eviction",IF(ISNUMBER(SEARCH("Skip",_xlpm.s)),"Skip",IF(ISNUMBER(SEARCH("Past",_xlpm.s))+ISNUMBER(SEARCH("Collections",_xlpm.s)),"Former",_xlpm.s))))))</f>
        <v>Former</v>
      </c>
      <c r="H83" s="1001" cm="1">
        <f t="array" ref="H83">IF($A83="","",INDEX('resident aged receivable'!$I:$I,$A83))</f>
        <v>1553.7</v>
      </c>
      <c r="I83" s="1001" cm="1">
        <f t="array" ref="I83">IF($A83="","",INDEX('resident aged receivable'!$J:$J,$A83))</f>
        <v>0</v>
      </c>
      <c r="J83" s="1001" cm="1">
        <f t="array" ref="J83">IF($A83="","",INDEX('resident aged receivable'!$K:$K,$A83))</f>
        <v>1553.7</v>
      </c>
      <c r="K83" s="1020" t="str" cm="1">
        <f t="array" ref="K83">IF($C83="","",IFERROR(_xlfn.LET(_xlpm.unit,B83,_xlpm.resident,C83,_xlpm.lastName,IFERROR(LEFT(_xlpm.resident,FIND(",",_xlpm.resident)-1),_xlpm.resident),_xlpm.llMatch,(LeaseLock!$D$2:$D$500=_xlpm.unit)*ISNUMBER(SEARCH(_xlpm.lastName,LeaseLock!$C$2:$C$500)),_xlpm.hasLL,SUMPRODUCT(_xlpm.llMatch)&gt;0,_xlpm.llStatus,IF(_xlpm.hasLL,_xlfn.LET(_xlpm.stat,LOOKUP(2,1/_xlpm.llMatch,LeaseLock!$F$2:$F$500),_xlpm.sub,LOOKUP(2,1/_xlpm.llMatch,LeaseLock!$G$2:$G$500),_xlpm.paid,LOOKUP(2,1/_xlpm.llMatch,LeaseLock!$M$2:$M$500),IF(_xlpm.stat="Claim Denied","Claim Denied ("&amp;_xlpm.sub&amp;")",IF(_xlpm.stat="Open","Open - "&amp;_xlpm.sub,IF(_xlpm.paid&gt;0,_xlpm.stat&amp;" - $"&amp;TEXT(_xlpm.paid,"#,##0.00")&amp;" paid",_xlpm.stat&amp;" - no payment")))),""),_xlpm.rsiMatches,ISNUMBER(SEARCH(_xlpm.lastName,Evictions_RSI!$B$3:$B$200))*(Evictions_RSI!$B$3:$B$200&lt;&gt;""),_xlpm.hasRSI,SUMPRODUCT(_xlpm.rsiMatches)&gt;0,_xlpm.rsiStatus,IF(_xlpm.hasRSI,_xlfn.LET(_xlpm.dates,IF(_xlpm.rsiMatches,IFERROR(DATEVALUE(SUBSTITUTE(Evictions_RSI!$A$3:$A$200,_xlfn.UNICHAR(8204),"")),0),0),_xlpm.latestRow,MATCH(MAX(_xlpm.dates),_xlpm.dates,0),TRIM(SUBSTITUTE(INDEX(Evictions_RSI!$I$3:$I$200,_xlpm.latestRow),_xlfn.UNICHAR(8204),""))),""),IF(AND(_xlpm.llStatus="",_xlpm.rsiStatus=""),"",IF(_xlpm.llStatus="","RSI: "&amp;_xlpm.rsiStatus,IF(_xlpm.rsiStatus="","LL: "&amp;_xlpm.llStatus,"LL: "&amp;_xlpm.llStatus&amp;" | RSI: "&amp;_xlpm.rsiStatus)))),""))</f>
        <v/>
      </c>
      <c r="L83" s="1002"/>
      <c r="Q83" s="973"/>
      <c r="R83" s="973"/>
      <c r="S83" s="973"/>
      <c r="T83" s="973"/>
      <c r="U83" s="973"/>
      <c r="V83" s="973"/>
      <c r="W83" s="973"/>
      <c r="X83" s="973"/>
      <c r="Y83" s="973"/>
      <c r="Z83" s="1004"/>
    </row>
    <row r="84" spans="1:26" ht="12" customHeight="1">
      <c r="A84" s="996" cm="1">
        <f t="array" ref="A84">IFERROR(_xlfn.LET(_xlpm.n,ROW()-16,_xlpm.adj,IF((((ISNUMBER(SEARCH("Eviction",'resident aged receivable'!$E$2:$E$460)))+(ISNUMBER(SEARCH("Past",'resident aged receivable'!$E$2:$E$460)))+(ISNUMBER(SEARCH("Skip",'resident aged receivable'!$E$2:$E$460)))+(ISNUMBER(SEARCH("Collections",'resident aged receivable'!$E$2:$E$460)))+(COUNTIF($N$3:$N$24,'resident aged receivable'!$D$2:$D$460)&gt;0))&gt;0)*(((((LEFT('resident aged receivable'!$E$2:$E$460,7)="Current")+(LEFT('resident aged receivable'!$E$2:$E$460,6)="Notice"))=0)+(COUNTIF($N$3:$N$24,'resident aged receivable'!$D$2:$D$460)&gt;0))&gt;0)*(COUNTIF($P$3:$P$24,'resident aged receivable'!$D$2:$D$460)=0)*('resident aged receivable'!$I$2:$I$460&gt;0),'resident aged receivable'!$I$2:$I$460-ROW('resident aged receivable'!$I$2:$I$460)/1000000),_xlpm.tgt,LARGE(_xlpm.adj,_xlpm.n),MATCH(_xlpm.tgt,_xlpm.adj,0)+1),"")</f>
        <v>74</v>
      </c>
      <c r="B84" s="997" t="str" cm="1">
        <f t="array" ref="B84">IF($A84="","",INDEX('resident aged receivable'!$B:$B,$A84))</f>
        <v>S32-429</v>
      </c>
      <c r="C84" s="997" t="str" cm="1">
        <f t="array" ref="C84">IF($A84="","",INDEX('resident aged receivable'!$D:$D,$A84))</f>
        <v>Mexicano, Gillermo</v>
      </c>
      <c r="D84" s="998" cm="1">
        <f t="array" ref="D84">IF($A84="","",INDEX('resident aged receivable'!$F:$F,$A84))</f>
        <v>42266</v>
      </c>
      <c r="E84" s="998" cm="1">
        <f t="array" ref="E84">IF($A84="","",_xlfn.LET(_xlpm.leaseEnd,INDEX('resident aged receivable'!$H:$H,$A84),_xlpm.moLookup,IFERROR(_xlfn.LET(_xlpm.lastFirst,C84,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46193</v>
      </c>
      <c r="F84" s="999" t="str">
        <f t="shared" si="2"/>
        <v>IPS</v>
      </c>
      <c r="G84" s="1000" t="str" cm="1">
        <f t="array" ref="G84">IF($A84="","",IF(COUNTIF($N$3:$N$24,C84)&gt;0,"Former",_xlfn.LET(_xlpm.s,INDEX('resident aged receivable'!$E:$E,$A84),IF(ISNUMBER(SEARCH("Eviction",_xlpm.s)),"Eviction",IF(ISNUMBER(SEARCH("Skip",_xlpm.s)),"Skip",IF(ISNUMBER(SEARCH("Past",_xlpm.s))+ISNUMBER(SEARCH("Collections",_xlpm.s)),"Former",_xlpm.s))))))</f>
        <v>Former</v>
      </c>
      <c r="H84" s="1001" cm="1">
        <f t="array" ref="H84">IF($A84="","",INDEX('resident aged receivable'!$I:$I,$A84))</f>
        <v>1491.53</v>
      </c>
      <c r="I84" s="1001" cm="1">
        <f t="array" ref="I84">IF($A84="","",INDEX('resident aged receivable'!$J:$J,$A84))</f>
        <v>0</v>
      </c>
      <c r="J84" s="1001" cm="1">
        <f t="array" ref="J84">IF($A84="","",INDEX('resident aged receivable'!$K:$K,$A84))</f>
        <v>1491.53</v>
      </c>
      <c r="K84" s="1020" t="str" cm="1">
        <f t="array" ref="K84">IF($C84="","",IFERROR(_xlfn.LET(_xlpm.unit,B84,_xlpm.resident,C84,_xlpm.lastName,IFERROR(LEFT(_xlpm.resident,FIND(",",_xlpm.resident)-1),_xlpm.resident),_xlpm.llMatch,(LeaseLock!$D$2:$D$500=_xlpm.unit)*ISNUMBER(SEARCH(_xlpm.lastName,LeaseLock!$C$2:$C$500)),_xlpm.hasLL,SUMPRODUCT(_xlpm.llMatch)&gt;0,_xlpm.llStatus,IF(_xlpm.hasLL,_xlfn.LET(_xlpm.stat,LOOKUP(2,1/_xlpm.llMatch,LeaseLock!$F$2:$F$500),_xlpm.sub,LOOKUP(2,1/_xlpm.llMatch,LeaseLock!$G$2:$G$500),_xlpm.paid,LOOKUP(2,1/_xlpm.llMatch,LeaseLock!$M$2:$M$500),IF(_xlpm.stat="Claim Denied","Claim Denied ("&amp;_xlpm.sub&amp;")",IF(_xlpm.stat="Open","Open - "&amp;_xlpm.sub,IF(_xlpm.paid&gt;0,_xlpm.stat&amp;" - $"&amp;TEXT(_xlpm.paid,"#,##0.00")&amp;" paid",_xlpm.stat&amp;" - no payment")))),""),_xlpm.rsiMatches,ISNUMBER(SEARCH(_xlpm.lastName,Evictions_RSI!$B$3:$B$200))*(Evictions_RSI!$B$3:$B$200&lt;&gt;""),_xlpm.hasRSI,SUMPRODUCT(_xlpm.rsiMatches)&gt;0,_xlpm.rsiStatus,IF(_xlpm.hasRSI,_xlfn.LET(_xlpm.dates,IF(_xlpm.rsiMatches,IFERROR(DATEVALUE(SUBSTITUTE(Evictions_RSI!$A$3:$A$200,_xlfn.UNICHAR(8204),"")),0),0),_xlpm.latestRow,MATCH(MAX(_xlpm.dates),_xlpm.dates,0),TRIM(SUBSTITUTE(INDEX(Evictions_RSI!$I$3:$I$200,_xlpm.latestRow),_xlfn.UNICHAR(8204),""))),""),IF(AND(_xlpm.llStatus="",_xlpm.rsiStatus=""),"",IF(_xlpm.llStatus="","RSI: "&amp;_xlpm.rsiStatus,IF(_xlpm.rsiStatus="","LL: "&amp;_xlpm.llStatus,"LL: "&amp;_xlpm.llStatus&amp;" | RSI: "&amp;_xlpm.rsiStatus)))),""))</f>
        <v/>
      </c>
      <c r="L84" s="1002"/>
      <c r="Q84" s="973"/>
      <c r="R84" s="973"/>
      <c r="S84" s="973"/>
      <c r="T84" s="973"/>
      <c r="U84" s="973"/>
      <c r="V84" s="973"/>
      <c r="W84" s="973"/>
      <c r="X84" s="973"/>
      <c r="Y84" s="973"/>
      <c r="Z84" s="1004"/>
    </row>
    <row r="85" spans="1:26" ht="12" customHeight="1">
      <c r="A85" s="996" cm="1">
        <f t="array" ref="A85">IFERROR(_xlfn.LET(_xlpm.n,ROW()-16,_xlpm.adj,IF((((ISNUMBER(SEARCH("Eviction",'resident aged receivable'!$E$2:$E$460)))+(ISNUMBER(SEARCH("Past",'resident aged receivable'!$E$2:$E$460)))+(ISNUMBER(SEARCH("Skip",'resident aged receivable'!$E$2:$E$460)))+(ISNUMBER(SEARCH("Collections",'resident aged receivable'!$E$2:$E$460)))+(COUNTIF($N$3:$N$24,'resident aged receivable'!$D$2:$D$460)&gt;0))&gt;0)*(((((LEFT('resident aged receivable'!$E$2:$E$460,7)="Current")+(LEFT('resident aged receivable'!$E$2:$E$460,6)="Notice"))=0)+(COUNTIF($N$3:$N$24,'resident aged receivable'!$D$2:$D$460)&gt;0))&gt;0)*(COUNTIF($P$3:$P$24,'resident aged receivable'!$D$2:$D$460)=0)*('resident aged receivable'!$I$2:$I$460&gt;0),'resident aged receivable'!$I$2:$I$460-ROW('resident aged receivable'!$I$2:$I$460)/1000000),_xlpm.tgt,LARGE(_xlpm.adj,_xlpm.n),MATCH(_xlpm.tgt,_xlpm.adj,0)+1),"")</f>
        <v>31</v>
      </c>
      <c r="B85" s="997" t="str" cm="1">
        <f t="array" ref="B85">IF($A85="","",INDEX('resident aged receivable'!$B:$B,$A85))</f>
        <v>N18-1084</v>
      </c>
      <c r="C85" s="997" t="str" cm="1">
        <f t="array" ref="C85">IF($A85="","",INDEX('resident aged receivable'!$D:$D,$A85))</f>
        <v>Portillo, Gerardo</v>
      </c>
      <c r="D85" s="998" cm="1">
        <f t="array" ref="D85">IF($A85="","",INDEX('resident aged receivable'!$F:$F,$A85))</f>
        <v>45838</v>
      </c>
      <c r="E85" s="998" cm="1">
        <f t="array" ref="E85">IF($A85="","",_xlfn.LET(_xlpm.leaseEnd,INDEX('resident aged receivable'!$H:$H,$A85),_xlpm.moLookup,IFERROR(_xlfn.LET(_xlpm.lastFirst,C85,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46202</v>
      </c>
      <c r="F85" s="999" t="str">
        <f t="shared" si="2"/>
        <v>IPS</v>
      </c>
      <c r="G85" s="1000" t="str" cm="1">
        <f t="array" ref="G85">IF($A85="","",IF(COUNTIF($N$3:$N$24,C85)&gt;0,"Former",_xlfn.LET(_xlpm.s,INDEX('resident aged receivable'!$E:$E,$A85),IF(ISNUMBER(SEARCH("Eviction",_xlpm.s)),"Eviction",IF(ISNUMBER(SEARCH("Skip",_xlpm.s)),"Skip",IF(ISNUMBER(SEARCH("Past",_xlpm.s))+ISNUMBER(SEARCH("Collections",_xlpm.s)),"Former",_xlpm.s))))))</f>
        <v>Former</v>
      </c>
      <c r="H85" s="1001" cm="1">
        <f t="array" ref="H85">IF($A85="","",INDEX('resident aged receivable'!$I:$I,$A85))</f>
        <v>1308.6300000000001</v>
      </c>
      <c r="I85" s="1001" cm="1">
        <f t="array" ref="I85">IF($A85="","",INDEX('resident aged receivable'!$J:$J,$A85))</f>
        <v>0</v>
      </c>
      <c r="J85" s="1001" cm="1">
        <f t="array" ref="J85">IF($A85="","",INDEX('resident aged receivable'!$K:$K,$A85))</f>
        <v>1308.6300000000001</v>
      </c>
      <c r="K85" s="1020" t="str" cm="1">
        <f t="array" ref="K85">IF($C85="","",IFERROR(_xlfn.LET(_xlpm.unit,B85,_xlpm.resident,C85,_xlpm.lastName,IFERROR(LEFT(_xlpm.resident,FIND(",",_xlpm.resident)-1),_xlpm.resident),_xlpm.llMatch,(LeaseLock!$D$2:$D$500=_xlpm.unit)*ISNUMBER(SEARCH(_xlpm.lastName,LeaseLock!$C$2:$C$500)),_xlpm.hasLL,SUMPRODUCT(_xlpm.llMatch)&gt;0,_xlpm.llStatus,IF(_xlpm.hasLL,_xlfn.LET(_xlpm.stat,LOOKUP(2,1/_xlpm.llMatch,LeaseLock!$F$2:$F$500),_xlpm.sub,LOOKUP(2,1/_xlpm.llMatch,LeaseLock!$G$2:$G$500),_xlpm.paid,LOOKUP(2,1/_xlpm.llMatch,LeaseLock!$M$2:$M$500),IF(_xlpm.stat="Claim Denied","Claim Denied ("&amp;_xlpm.sub&amp;")",IF(_xlpm.stat="Open","Open - "&amp;_xlpm.sub,IF(_xlpm.paid&gt;0,_xlpm.stat&amp;" - $"&amp;TEXT(_xlpm.paid,"#,##0.00")&amp;" paid",_xlpm.stat&amp;" - no payment")))),""),_xlpm.rsiMatches,ISNUMBER(SEARCH(_xlpm.lastName,Evictions_RSI!$B$3:$B$200))*(Evictions_RSI!$B$3:$B$200&lt;&gt;""),_xlpm.hasRSI,SUMPRODUCT(_xlpm.rsiMatches)&gt;0,_xlpm.rsiStatus,IF(_xlpm.hasRSI,_xlfn.LET(_xlpm.dates,IF(_xlpm.rsiMatches,IFERROR(DATEVALUE(SUBSTITUTE(Evictions_RSI!$A$3:$A$200,_xlfn.UNICHAR(8204),"")),0),0),_xlpm.latestRow,MATCH(MAX(_xlpm.dates),_xlpm.dates,0),TRIM(SUBSTITUTE(INDEX(Evictions_RSI!$I$3:$I$200,_xlpm.latestRow),_xlfn.UNICHAR(8204),""))),""),IF(AND(_xlpm.llStatus="",_xlpm.rsiStatus=""),"",IF(_xlpm.llStatus="","RSI: "&amp;_xlpm.rsiStatus,IF(_xlpm.rsiStatus="","LL: "&amp;_xlpm.llStatus,"LL: "&amp;_xlpm.llStatus&amp;" | RSI: "&amp;_xlpm.rsiStatus)))),""))</f>
        <v/>
      </c>
      <c r="L85" s="1002"/>
      <c r="Q85" s="973"/>
      <c r="R85" s="973"/>
      <c r="S85" s="973"/>
      <c r="T85" s="973"/>
      <c r="U85" s="973"/>
      <c r="V85" s="973"/>
      <c r="W85" s="973"/>
      <c r="X85" s="973"/>
      <c r="Y85" s="973"/>
      <c r="Z85" s="992"/>
    </row>
    <row r="86" spans="1:26" ht="12" customHeight="1">
      <c r="A86" s="996" cm="1">
        <f t="array" ref="A86">IFERROR(_xlfn.LET(_xlpm.n,ROW()-16,_xlpm.adj,IF((((ISNUMBER(SEARCH("Eviction",'resident aged receivable'!$E$2:$E$460)))+(ISNUMBER(SEARCH("Past",'resident aged receivable'!$E$2:$E$460)))+(ISNUMBER(SEARCH("Skip",'resident aged receivable'!$E$2:$E$460)))+(ISNUMBER(SEARCH("Collections",'resident aged receivable'!$E$2:$E$460)))+(COUNTIF($N$3:$N$24,'resident aged receivable'!$D$2:$D$460)&gt;0))&gt;0)*(((((LEFT('resident aged receivable'!$E$2:$E$460,7)="Current")+(LEFT('resident aged receivable'!$E$2:$E$460,6)="Notice"))=0)+(COUNTIF($N$3:$N$24,'resident aged receivable'!$D$2:$D$460)&gt;0))&gt;0)*(COUNTIF($P$3:$P$24,'resident aged receivable'!$D$2:$D$460)=0)*('resident aged receivable'!$I$2:$I$460&gt;0),'resident aged receivable'!$I$2:$I$460-ROW('resident aged receivable'!$I$2:$I$460)/1000000),_xlpm.tgt,LARGE(_xlpm.adj,_xlpm.n),MATCH(_xlpm.tgt,_xlpm.adj,0)+1),"")</f>
        <v>98</v>
      </c>
      <c r="B86" s="997" t="str" cm="1">
        <f t="array" ref="B86">IF($A86="","",INDEX('resident aged receivable'!$B:$B,$A86))</f>
        <v>W03-1-0320</v>
      </c>
      <c r="C86" s="997" t="str" cm="1">
        <f t="array" ref="C86">IF($A86="","",INDEX('resident aged receivable'!$D:$D,$A86))</f>
        <v>Chukwudi, Kelechi</v>
      </c>
      <c r="D86" s="998" cm="1">
        <f t="array" ref="D86">IF($A86="","",INDEX('resident aged receivable'!$F:$F,$A86))</f>
        <v>45078</v>
      </c>
      <c r="E86" s="998" cm="1">
        <f t="array" ref="E86">IF($A86="","",_xlfn.LET(_xlpm.leaseEnd,INDEX('resident aged receivable'!$H:$H,$A86),_xlpm.moLookup,IFERROR(_xlfn.LET(_xlpm.lastFirst,C86,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46173</v>
      </c>
      <c r="F86" s="999" t="str">
        <f t="shared" si="2"/>
        <v>IPS</v>
      </c>
      <c r="G86" s="1000" t="str" cm="1">
        <f t="array" ref="G86">IF($A86="","",IF(COUNTIF($N$3:$N$24,C86)&gt;0,"Former",_xlfn.LET(_xlpm.s,INDEX('resident aged receivable'!$E:$E,$A86),IF(ISNUMBER(SEARCH("Eviction",_xlpm.s)),"Eviction",IF(ISNUMBER(SEARCH("Skip",_xlpm.s)),"Skip",IF(ISNUMBER(SEARCH("Past",_xlpm.s))+ISNUMBER(SEARCH("Collections",_xlpm.s)),"Former",_xlpm.s))))))</f>
        <v>Former</v>
      </c>
      <c r="H86" s="1001" cm="1">
        <f t="array" ref="H86">IF($A86="","",INDEX('resident aged receivable'!$I:$I,$A86))</f>
        <v>1241.29</v>
      </c>
      <c r="I86" s="1001" cm="1">
        <f t="array" ref="I86">IF($A86="","",INDEX('resident aged receivable'!$J:$J,$A86))</f>
        <v>0</v>
      </c>
      <c r="J86" s="1001" cm="1">
        <f t="array" ref="J86">IF($A86="","",INDEX('resident aged receivable'!$K:$K,$A86))</f>
        <v>0</v>
      </c>
      <c r="K86" s="1020" t="str" cm="1">
        <f t="array" ref="K86">IF($C86="","",IFERROR(_xlfn.LET(_xlpm.unit,B86,_xlpm.resident,C86,_xlpm.lastName,IFERROR(LEFT(_xlpm.resident,FIND(",",_xlpm.resident)-1),_xlpm.resident),_xlpm.llMatch,(LeaseLock!$D$2:$D$500=_xlpm.unit)*ISNUMBER(SEARCH(_xlpm.lastName,LeaseLock!$C$2:$C$500)),_xlpm.hasLL,SUMPRODUCT(_xlpm.llMatch)&gt;0,_xlpm.llStatus,IF(_xlpm.hasLL,_xlfn.LET(_xlpm.stat,LOOKUP(2,1/_xlpm.llMatch,LeaseLock!$F$2:$F$500),_xlpm.sub,LOOKUP(2,1/_xlpm.llMatch,LeaseLock!$G$2:$G$500),_xlpm.paid,LOOKUP(2,1/_xlpm.llMatch,LeaseLock!$M$2:$M$500),IF(_xlpm.stat="Claim Denied","Claim Denied ("&amp;_xlpm.sub&amp;")",IF(_xlpm.stat="Open","Open - "&amp;_xlpm.sub,IF(_xlpm.paid&gt;0,_xlpm.stat&amp;" - $"&amp;TEXT(_xlpm.paid,"#,##0.00")&amp;" paid",_xlpm.stat&amp;" - no payment")))),""),_xlpm.rsiMatches,ISNUMBER(SEARCH(_xlpm.lastName,Evictions_RSI!$B$3:$B$200))*(Evictions_RSI!$B$3:$B$200&lt;&gt;""),_xlpm.hasRSI,SUMPRODUCT(_xlpm.rsiMatches)&gt;0,_xlpm.rsiStatus,IF(_xlpm.hasRSI,_xlfn.LET(_xlpm.dates,IF(_xlpm.rsiMatches,IFERROR(DATEVALUE(SUBSTITUTE(Evictions_RSI!$A$3:$A$200,_xlfn.UNICHAR(8204),"")),0),0),_xlpm.latestRow,MATCH(MAX(_xlpm.dates),_xlpm.dates,0),TRIM(SUBSTITUTE(INDEX(Evictions_RSI!$I$3:$I$200,_xlpm.latestRow),_xlfn.UNICHAR(8204),""))),""),IF(AND(_xlpm.llStatus="",_xlpm.rsiStatus=""),"",IF(_xlpm.llStatus="","RSI: "&amp;_xlpm.rsiStatus,IF(_xlpm.rsiStatus="","LL: "&amp;_xlpm.llStatus,"LL: "&amp;_xlpm.llStatus&amp;" | RSI: "&amp;_xlpm.rsiStatus)))),""))</f>
        <v/>
      </c>
      <c r="L86" s="1002"/>
      <c r="Q86" s="973"/>
      <c r="R86" s="973"/>
      <c r="S86" s="973"/>
      <c r="T86" s="973"/>
      <c r="U86" s="973"/>
      <c r="V86" s="973"/>
      <c r="W86" s="973"/>
      <c r="X86" s="973"/>
      <c r="Y86" s="973"/>
      <c r="Z86" s="1004"/>
    </row>
    <row r="87" spans="1:26" ht="12" customHeight="1">
      <c r="A87" s="996" cm="1">
        <f t="array" ref="A87">IFERROR(_xlfn.LET(_xlpm.n,ROW()-16,_xlpm.adj,IF((((ISNUMBER(SEARCH("Eviction",'resident aged receivable'!$E$2:$E$460)))+(ISNUMBER(SEARCH("Past",'resident aged receivable'!$E$2:$E$460)))+(ISNUMBER(SEARCH("Skip",'resident aged receivable'!$E$2:$E$460)))+(ISNUMBER(SEARCH("Collections",'resident aged receivable'!$E$2:$E$460)))+(COUNTIF($N$3:$N$24,'resident aged receivable'!$D$2:$D$460)&gt;0))&gt;0)*(((((LEFT('resident aged receivable'!$E$2:$E$460,7)="Current")+(LEFT('resident aged receivable'!$E$2:$E$460,6)="Notice"))=0)+(COUNTIF($N$3:$N$24,'resident aged receivable'!$D$2:$D$460)&gt;0))&gt;0)*(COUNTIF($P$3:$P$24,'resident aged receivable'!$D$2:$D$460)=0)*('resident aged receivable'!$I$2:$I$460&gt;0),'resident aged receivable'!$I$2:$I$460-ROW('resident aged receivable'!$I$2:$I$460)/1000000),_xlpm.tgt,LARGE(_xlpm.adj,_xlpm.n),MATCH(_xlpm.tgt,_xlpm.adj,0)+1),"")</f>
        <v>79</v>
      </c>
      <c r="B87" s="997" t="str" cm="1">
        <f t="array" ref="B87">IF($A87="","",INDEX('resident aged receivable'!$B:$B,$A87))</f>
        <v>S35-147</v>
      </c>
      <c r="C87" s="997" t="str" cm="1">
        <f t="array" ref="C87">IF($A87="","",INDEX('resident aged receivable'!$D:$D,$A87))</f>
        <v>Siman, Rodrigo</v>
      </c>
      <c r="D87" s="998" cm="1">
        <f t="array" ref="D87">IF($A87="","",INDEX('resident aged receivable'!$F:$F,$A87))</f>
        <v>45565</v>
      </c>
      <c r="E87" s="998" cm="1">
        <f t="array" ref="E87">IF($A87="","",_xlfn.LET(_xlpm.leaseEnd,INDEX('resident aged receivable'!$H:$H,$A87),_xlpm.moLookup,IFERROR(_xlfn.LET(_xlpm.lastFirst,C87,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46172</v>
      </c>
      <c r="F87" s="999" t="str">
        <f t="shared" si="2"/>
        <v>IPS</v>
      </c>
      <c r="G87" s="1000" t="str" cm="1">
        <f t="array" ref="G87">IF($A87="","",IF(COUNTIF($N$3:$N$24,C87)&gt;0,"Former",_xlfn.LET(_xlpm.s,INDEX('resident aged receivable'!$E:$E,$A87),IF(ISNUMBER(SEARCH("Eviction",_xlpm.s)),"Eviction",IF(ISNUMBER(SEARCH("Skip",_xlpm.s)),"Skip",IF(ISNUMBER(SEARCH("Past",_xlpm.s))+ISNUMBER(SEARCH("Collections",_xlpm.s)),"Former",_xlpm.s))))))</f>
        <v>Former</v>
      </c>
      <c r="H87" s="1001" cm="1">
        <f t="array" ref="H87">IF($A87="","",INDEX('resident aged receivable'!$I:$I,$A87))</f>
        <v>1057.23</v>
      </c>
      <c r="I87" s="1001" cm="1">
        <f t="array" ref="I87">IF($A87="","",INDEX('resident aged receivable'!$J:$J,$A87))</f>
        <v>0</v>
      </c>
      <c r="J87" s="1001" cm="1">
        <f t="array" ref="J87">IF($A87="","",INDEX('resident aged receivable'!$K:$K,$A87))</f>
        <v>0</v>
      </c>
      <c r="K87" s="1020" t="str" cm="1">
        <f t="array" ref="K87">IF($C87="","",IFERROR(_xlfn.LET(_xlpm.unit,B87,_xlpm.resident,C87,_xlpm.lastName,IFERROR(LEFT(_xlpm.resident,FIND(",",_xlpm.resident)-1),_xlpm.resident),_xlpm.llMatch,(LeaseLock!$D$2:$D$500=_xlpm.unit)*ISNUMBER(SEARCH(_xlpm.lastName,LeaseLock!$C$2:$C$500)),_xlpm.hasLL,SUMPRODUCT(_xlpm.llMatch)&gt;0,_xlpm.llStatus,IF(_xlpm.hasLL,_xlfn.LET(_xlpm.stat,LOOKUP(2,1/_xlpm.llMatch,LeaseLock!$F$2:$F$500),_xlpm.sub,LOOKUP(2,1/_xlpm.llMatch,LeaseLock!$G$2:$G$500),_xlpm.paid,LOOKUP(2,1/_xlpm.llMatch,LeaseLock!$M$2:$M$500),IF(_xlpm.stat="Claim Denied","Claim Denied ("&amp;_xlpm.sub&amp;")",IF(_xlpm.stat="Open","Open - "&amp;_xlpm.sub,IF(_xlpm.paid&gt;0,_xlpm.stat&amp;" - $"&amp;TEXT(_xlpm.paid,"#,##0.00")&amp;" paid",_xlpm.stat&amp;" - no payment")))),""),_xlpm.rsiMatches,ISNUMBER(SEARCH(_xlpm.lastName,Evictions_RSI!$B$3:$B$200))*(Evictions_RSI!$B$3:$B$200&lt;&gt;""),_xlpm.hasRSI,SUMPRODUCT(_xlpm.rsiMatches)&gt;0,_xlpm.rsiStatus,IF(_xlpm.hasRSI,_xlfn.LET(_xlpm.dates,IF(_xlpm.rsiMatches,IFERROR(DATEVALUE(SUBSTITUTE(Evictions_RSI!$A$3:$A$200,_xlfn.UNICHAR(8204),"")),0),0),_xlpm.latestRow,MATCH(MAX(_xlpm.dates),_xlpm.dates,0),TRIM(SUBSTITUTE(INDEX(Evictions_RSI!$I$3:$I$200,_xlpm.latestRow),_xlfn.UNICHAR(8204),""))),""),IF(AND(_xlpm.llStatus="",_xlpm.rsiStatus=""),"",IF(_xlpm.llStatus="","RSI: "&amp;_xlpm.rsiStatus,IF(_xlpm.rsiStatus="","LL: "&amp;_xlpm.llStatus,"LL: "&amp;_xlpm.llStatus&amp;" | RSI: "&amp;_xlpm.rsiStatus)))),""))</f>
        <v>LL: Closed - $675.00 paid</v>
      </c>
      <c r="L87" s="1002"/>
      <c r="Q87" s="973"/>
      <c r="R87" s="973"/>
      <c r="S87" s="973"/>
      <c r="T87" s="973"/>
      <c r="U87" s="973"/>
      <c r="V87" s="973"/>
      <c r="W87" s="973"/>
      <c r="X87" s="973"/>
      <c r="Y87" s="973"/>
      <c r="Z87" s="1004"/>
    </row>
    <row r="88" spans="1:26" ht="12" customHeight="1">
      <c r="A88" s="996" cm="1">
        <f t="array" ref="A88">IFERROR(_xlfn.LET(_xlpm.n,ROW()-16,_xlpm.adj,IF((((ISNUMBER(SEARCH("Eviction",'resident aged receivable'!$E$2:$E$460)))+(ISNUMBER(SEARCH("Past",'resident aged receivable'!$E$2:$E$460)))+(ISNUMBER(SEARCH("Skip",'resident aged receivable'!$E$2:$E$460)))+(ISNUMBER(SEARCH("Collections",'resident aged receivable'!$E$2:$E$460)))+(COUNTIF($N$3:$N$24,'resident aged receivable'!$D$2:$D$460)&gt;0))&gt;0)*(((((LEFT('resident aged receivable'!$E$2:$E$460,7)="Current")+(LEFT('resident aged receivable'!$E$2:$E$460,6)="Notice"))=0)+(COUNTIF($N$3:$N$24,'resident aged receivable'!$D$2:$D$460)&gt;0))&gt;0)*(COUNTIF($P$3:$P$24,'resident aged receivable'!$D$2:$D$460)=0)*('resident aged receivable'!$I$2:$I$460&gt;0),'resident aged receivable'!$I$2:$I$460-ROW('resident aged receivable'!$I$2:$I$460)/1000000),_xlpm.tgt,LARGE(_xlpm.adj,_xlpm.n),MATCH(_xlpm.tgt,_xlpm.adj,0)+1),"")</f>
        <v>26</v>
      </c>
      <c r="B88" s="997" t="str" cm="1">
        <f t="array" ref="B88">IF($A88="","",INDEX('resident aged receivable'!$B:$B,$A88))</f>
        <v>N14-1064</v>
      </c>
      <c r="C88" s="997" t="str" cm="1">
        <f t="array" ref="C88">IF($A88="","",INDEX('resident aged receivable'!$D:$D,$A88))</f>
        <v>Alberto, Carlos</v>
      </c>
      <c r="D88" s="998" cm="1">
        <f t="array" ref="D88">IF($A88="","",INDEX('resident aged receivable'!$F:$F,$A88))</f>
        <v>45838</v>
      </c>
      <c r="E88" s="998" cm="1">
        <f t="array" ref="E88">IF($A88="","",_xlfn.LET(_xlpm.leaseEnd,INDEX('resident aged receivable'!$H:$H,$A88),_xlpm.moLookup,IFERROR(_xlfn.LET(_xlpm.lastFirst,C88,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46203</v>
      </c>
      <c r="F88" s="999" t="str">
        <f t="shared" si="2"/>
        <v>IPS</v>
      </c>
      <c r="G88" s="1000" t="str" cm="1">
        <f t="array" ref="G88">IF($A88="","",IF(COUNTIF($N$3:$N$24,C88)&gt;0,"Former",_xlfn.LET(_xlpm.s,INDEX('resident aged receivable'!$E:$E,$A88),IF(ISNUMBER(SEARCH("Eviction",_xlpm.s)),"Eviction",IF(ISNUMBER(SEARCH("Skip",_xlpm.s)),"Skip",IF(ISNUMBER(SEARCH("Past",_xlpm.s))+ISNUMBER(SEARCH("Collections",_xlpm.s)),"Former",_xlpm.s))))))</f>
        <v>Former</v>
      </c>
      <c r="H88" s="1001" cm="1">
        <f t="array" ref="H88">IF($A88="","",INDEX('resident aged receivable'!$I:$I,$A88))</f>
        <v>1033.94</v>
      </c>
      <c r="I88" s="1001" cm="1">
        <f t="array" ref="I88">IF($A88="","",INDEX('resident aged receivable'!$J:$J,$A88))</f>
        <v>0</v>
      </c>
      <c r="J88" s="1001" cm="1">
        <f t="array" ref="J88">IF($A88="","",INDEX('resident aged receivable'!$K:$K,$A88))</f>
        <v>1033.94</v>
      </c>
      <c r="K88" s="1020" t="str" cm="1">
        <f t="array" ref="K88">IF($C88="","",IFERROR(_xlfn.LET(_xlpm.unit,B88,_xlpm.resident,C88,_xlpm.lastName,IFERROR(LEFT(_xlpm.resident,FIND(",",_xlpm.resident)-1),_xlpm.resident),_xlpm.llMatch,(LeaseLock!$D$2:$D$500=_xlpm.unit)*ISNUMBER(SEARCH(_xlpm.lastName,LeaseLock!$C$2:$C$500)),_xlpm.hasLL,SUMPRODUCT(_xlpm.llMatch)&gt;0,_xlpm.llStatus,IF(_xlpm.hasLL,_xlfn.LET(_xlpm.stat,LOOKUP(2,1/_xlpm.llMatch,LeaseLock!$F$2:$F$500),_xlpm.sub,LOOKUP(2,1/_xlpm.llMatch,LeaseLock!$G$2:$G$500),_xlpm.paid,LOOKUP(2,1/_xlpm.llMatch,LeaseLock!$M$2:$M$500),IF(_xlpm.stat="Claim Denied","Claim Denied ("&amp;_xlpm.sub&amp;")",IF(_xlpm.stat="Open","Open - "&amp;_xlpm.sub,IF(_xlpm.paid&gt;0,_xlpm.stat&amp;" - $"&amp;TEXT(_xlpm.paid,"#,##0.00")&amp;" paid",_xlpm.stat&amp;" - no payment")))),""),_xlpm.rsiMatches,ISNUMBER(SEARCH(_xlpm.lastName,Evictions_RSI!$B$3:$B$200))*(Evictions_RSI!$B$3:$B$200&lt;&gt;""),_xlpm.hasRSI,SUMPRODUCT(_xlpm.rsiMatches)&gt;0,_xlpm.rsiStatus,IF(_xlpm.hasRSI,_xlfn.LET(_xlpm.dates,IF(_xlpm.rsiMatches,IFERROR(DATEVALUE(SUBSTITUTE(Evictions_RSI!$A$3:$A$200,_xlfn.UNICHAR(8204),"")),0),0),_xlpm.latestRow,MATCH(MAX(_xlpm.dates),_xlpm.dates,0),TRIM(SUBSTITUTE(INDEX(Evictions_RSI!$I$3:$I$200,_xlpm.latestRow),_xlfn.UNICHAR(8204),""))),""),IF(AND(_xlpm.llStatus="",_xlpm.rsiStatus=""),"",IF(_xlpm.llStatus="","RSI: "&amp;_xlpm.rsiStatus,IF(_xlpm.rsiStatus="","LL: "&amp;_xlpm.llStatus,"LL: "&amp;_xlpm.llStatus&amp;" | RSI: "&amp;_xlpm.rsiStatus)))),""))</f>
        <v>RSI: Cancelled</v>
      </c>
      <c r="L88" s="1002"/>
      <c r="Q88" s="973"/>
      <c r="R88" s="973"/>
      <c r="S88" s="973"/>
      <c r="T88" s="973"/>
      <c r="U88" s="973"/>
      <c r="V88" s="973"/>
      <c r="W88" s="973"/>
      <c r="X88" s="973"/>
      <c r="Y88" s="973"/>
      <c r="Z88" s="1004"/>
    </row>
    <row r="89" spans="1:26" ht="12" customHeight="1">
      <c r="A89" s="996" cm="1">
        <f t="array" ref="A89">IFERROR(_xlfn.LET(_xlpm.n,ROW()-16,_xlpm.adj,IF((((ISNUMBER(SEARCH("Eviction",'resident aged receivable'!$E$2:$E$460)))+(ISNUMBER(SEARCH("Past",'resident aged receivable'!$E$2:$E$460)))+(ISNUMBER(SEARCH("Skip",'resident aged receivable'!$E$2:$E$460)))+(ISNUMBER(SEARCH("Collections",'resident aged receivable'!$E$2:$E$460)))+(COUNTIF($N$3:$N$24,'resident aged receivable'!$D$2:$D$460)&gt;0))&gt;0)*(((((LEFT('resident aged receivable'!$E$2:$E$460,7)="Current")+(LEFT('resident aged receivable'!$E$2:$E$460,6)="Notice"))=0)+(COUNTIF($N$3:$N$24,'resident aged receivable'!$D$2:$D$460)&gt;0))&gt;0)*(COUNTIF($P$3:$P$24,'resident aged receivable'!$D$2:$D$460)=0)*('resident aged receivable'!$I$2:$I$460&gt;0),'resident aged receivable'!$I$2:$I$460-ROW('resident aged receivable'!$I$2:$I$460)/1000000),_xlpm.tgt,LARGE(_xlpm.adj,_xlpm.n),MATCH(_xlpm.tgt,_xlpm.adj,0)+1),"")</f>
        <v>52</v>
      </c>
      <c r="B89" s="997" t="str" cm="1">
        <f t="array" ref="B89">IF($A89="","",INDEX('resident aged receivable'!$B:$B,$A89))</f>
        <v>N24-2101</v>
      </c>
      <c r="C89" s="997" t="str" cm="1">
        <f t="array" ref="C89">IF($A89="","",INDEX('resident aged receivable'!$D:$D,$A89))</f>
        <v>Reynoso-Guzman, Luis</v>
      </c>
      <c r="D89" s="998" cm="1">
        <f t="array" ref="D89">IF($A89="","",INDEX('resident aged receivable'!$F:$F,$A89))</f>
        <v>42583</v>
      </c>
      <c r="E89" s="998" cm="1">
        <f t="array" ref="E89">IF($A89="","",_xlfn.LET(_xlpm.leaseEnd,INDEX('resident aged receivable'!$H:$H,$A89),_xlpm.moLookup,IFERROR(_xlfn.LET(_xlpm.lastFirst,C89,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46237</v>
      </c>
      <c r="F89" s="999" t="str">
        <f t="shared" si="2"/>
        <v>IPS</v>
      </c>
      <c r="G89" s="1000" t="str" cm="1">
        <f t="array" ref="G89">IF($A89="","",IF(COUNTIF($N$3:$N$24,C89)&gt;0,"Former",_xlfn.LET(_xlpm.s,INDEX('resident aged receivable'!$E:$E,$A89),IF(ISNUMBER(SEARCH("Eviction",_xlpm.s)),"Eviction",IF(ISNUMBER(SEARCH("Skip",_xlpm.s)),"Skip",IF(ISNUMBER(SEARCH("Past",_xlpm.s))+ISNUMBER(SEARCH("Collections",_xlpm.s)),"Former",_xlpm.s))))))</f>
        <v>Former</v>
      </c>
      <c r="H89" s="1001" cm="1">
        <f t="array" ref="H89">IF($A89="","",INDEX('resident aged receivable'!$I:$I,$A89))</f>
        <v>1007.61</v>
      </c>
      <c r="I89" s="1001" cm="1">
        <f t="array" ref="I89">IF($A89="","",INDEX('resident aged receivable'!$J:$J,$A89))</f>
        <v>1007.61</v>
      </c>
      <c r="J89" s="1001" cm="1">
        <f t="array" ref="J89">IF($A89="","",INDEX('resident aged receivable'!$K:$K,$A89))</f>
        <v>0</v>
      </c>
      <c r="K89" s="1020" t="str" cm="1">
        <f t="array" ref="K89">IF($C89="","",IFERROR(_xlfn.LET(_xlpm.unit,B89,_xlpm.resident,C89,_xlpm.lastName,IFERROR(LEFT(_xlpm.resident,FIND(",",_xlpm.resident)-1),_xlpm.resident),_xlpm.llMatch,(LeaseLock!$D$2:$D$500=_xlpm.unit)*ISNUMBER(SEARCH(_xlpm.lastName,LeaseLock!$C$2:$C$500)),_xlpm.hasLL,SUMPRODUCT(_xlpm.llMatch)&gt;0,_xlpm.llStatus,IF(_xlpm.hasLL,_xlfn.LET(_xlpm.stat,LOOKUP(2,1/_xlpm.llMatch,LeaseLock!$F$2:$F$500),_xlpm.sub,LOOKUP(2,1/_xlpm.llMatch,LeaseLock!$G$2:$G$500),_xlpm.paid,LOOKUP(2,1/_xlpm.llMatch,LeaseLock!$M$2:$M$500),IF(_xlpm.stat="Claim Denied","Claim Denied ("&amp;_xlpm.sub&amp;")",IF(_xlpm.stat="Open","Open - "&amp;_xlpm.sub,IF(_xlpm.paid&gt;0,_xlpm.stat&amp;" - $"&amp;TEXT(_xlpm.paid,"#,##0.00")&amp;" paid",_xlpm.stat&amp;" - no payment")))),""),_xlpm.rsiMatches,ISNUMBER(SEARCH(_xlpm.lastName,Evictions_RSI!$B$3:$B$200))*(Evictions_RSI!$B$3:$B$200&lt;&gt;""),_xlpm.hasRSI,SUMPRODUCT(_xlpm.rsiMatches)&gt;0,_xlpm.rsiStatus,IF(_xlpm.hasRSI,_xlfn.LET(_xlpm.dates,IF(_xlpm.rsiMatches,IFERROR(DATEVALUE(SUBSTITUTE(Evictions_RSI!$A$3:$A$200,_xlfn.UNICHAR(8204),"")),0),0),_xlpm.latestRow,MATCH(MAX(_xlpm.dates),_xlpm.dates,0),TRIM(SUBSTITUTE(INDEX(Evictions_RSI!$I$3:$I$200,_xlpm.latestRow),_xlfn.UNICHAR(8204),""))),""),IF(AND(_xlpm.llStatus="",_xlpm.rsiStatus=""),"",IF(_xlpm.llStatus="","RSI: "&amp;_xlpm.rsiStatus,IF(_xlpm.rsiStatus="","LL: "&amp;_xlpm.llStatus,"LL: "&amp;_xlpm.llStatus&amp;" | RSI: "&amp;_xlpm.rsiStatus)))),""))</f>
        <v/>
      </c>
      <c r="L89" s="1002"/>
      <c r="Q89" s="973"/>
      <c r="R89" s="973"/>
      <c r="S89" s="973"/>
      <c r="T89" s="973"/>
      <c r="U89" s="973"/>
      <c r="V89" s="973"/>
      <c r="W89" s="973"/>
      <c r="X89" s="973"/>
      <c r="Y89" s="973"/>
      <c r="Z89" s="1004"/>
    </row>
    <row r="90" spans="1:26" ht="12" customHeight="1">
      <c r="A90" s="996" cm="1">
        <f t="array" ref="A90">IFERROR(_xlfn.LET(_xlpm.n,ROW()-16,_xlpm.adj,IF((((ISNUMBER(SEARCH("Eviction",'resident aged receivable'!$E$2:$E$460)))+(ISNUMBER(SEARCH("Past",'resident aged receivable'!$E$2:$E$460)))+(ISNUMBER(SEARCH("Skip",'resident aged receivable'!$E$2:$E$460)))+(ISNUMBER(SEARCH("Collections",'resident aged receivable'!$E$2:$E$460)))+(COUNTIF($N$3:$N$24,'resident aged receivable'!$D$2:$D$460)&gt;0))&gt;0)*(((((LEFT('resident aged receivable'!$E$2:$E$460,7)="Current")+(LEFT('resident aged receivable'!$E$2:$E$460,6)="Notice"))=0)+(COUNTIF($N$3:$N$24,'resident aged receivable'!$D$2:$D$460)&gt;0))&gt;0)*(COUNTIF($P$3:$P$24,'resident aged receivable'!$D$2:$D$460)=0)*('resident aged receivable'!$I$2:$I$460&gt;0),'resident aged receivable'!$I$2:$I$460-ROW('resident aged receivable'!$I$2:$I$460)/1000000),_xlpm.tgt,LARGE(_xlpm.adj,_xlpm.n),MATCH(_xlpm.tgt,_xlpm.adj,0)+1),"")</f>
        <v>61</v>
      </c>
      <c r="B90" s="997" t="str" cm="1">
        <f t="array" ref="B90">IF($A90="","",INDEX('resident aged receivable'!$B:$B,$A90))</f>
        <v>S27-419</v>
      </c>
      <c r="C90" s="997" t="str" cm="1">
        <f t="array" ref="C90">IF($A90="","",INDEX('resident aged receivable'!$D:$D,$A90))</f>
        <v>Boyd, Glenda</v>
      </c>
      <c r="D90" s="998" cm="1">
        <f t="array" ref="D90">IF($A90="","",INDEX('resident aged receivable'!$F:$F,$A90))</f>
        <v>43945</v>
      </c>
      <c r="E90" s="998" cm="1">
        <f t="array" ref="E90">IF($A90="","",_xlfn.LET(_xlpm.leaseEnd,INDEX('resident aged receivable'!$H:$H,$A90),_xlpm.moLookup,IFERROR(_xlfn.LET(_xlpm.lastFirst,C90,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46146</v>
      </c>
      <c r="F90" s="999" t="str">
        <f t="shared" si="2"/>
        <v>IPS</v>
      </c>
      <c r="G90" s="1000" t="str" cm="1">
        <f t="array" ref="G90">IF($A90="","",IF(COUNTIF($N$3:$N$24,C90)&gt;0,"Former",_xlfn.LET(_xlpm.s,INDEX('resident aged receivable'!$E:$E,$A90),IF(ISNUMBER(SEARCH("Eviction",_xlpm.s)),"Eviction",IF(ISNUMBER(SEARCH("Skip",_xlpm.s)),"Skip",IF(ISNUMBER(SEARCH("Past",_xlpm.s))+ISNUMBER(SEARCH("Collections",_xlpm.s)),"Former",_xlpm.s))))))</f>
        <v>Former</v>
      </c>
      <c r="H90" s="1001" cm="1">
        <f t="array" ref="H90">IF($A90="","",INDEX('resident aged receivable'!$I:$I,$A90))</f>
        <v>959.88</v>
      </c>
      <c r="I90" s="1001" cm="1">
        <f t="array" ref="I90">IF($A90="","",INDEX('resident aged receivable'!$J:$J,$A90))</f>
        <v>0</v>
      </c>
      <c r="J90" s="1001" cm="1">
        <f t="array" ref="J90">IF($A90="","",INDEX('resident aged receivable'!$K:$K,$A90))</f>
        <v>0</v>
      </c>
      <c r="K90" s="1020" t="str" cm="1">
        <f t="array" ref="K90">IF($C90="","",IFERROR(_xlfn.LET(_xlpm.unit,B90,_xlpm.resident,C90,_xlpm.lastName,IFERROR(LEFT(_xlpm.resident,FIND(",",_xlpm.resident)-1),_xlpm.resident),_xlpm.llMatch,(LeaseLock!$D$2:$D$500=_xlpm.unit)*ISNUMBER(SEARCH(_xlpm.lastName,LeaseLock!$C$2:$C$500)),_xlpm.hasLL,SUMPRODUCT(_xlpm.llMatch)&gt;0,_xlpm.llStatus,IF(_xlpm.hasLL,_xlfn.LET(_xlpm.stat,LOOKUP(2,1/_xlpm.llMatch,LeaseLock!$F$2:$F$500),_xlpm.sub,LOOKUP(2,1/_xlpm.llMatch,LeaseLock!$G$2:$G$500),_xlpm.paid,LOOKUP(2,1/_xlpm.llMatch,LeaseLock!$M$2:$M$500),IF(_xlpm.stat="Claim Denied","Claim Denied ("&amp;_xlpm.sub&amp;")",IF(_xlpm.stat="Open","Open - "&amp;_xlpm.sub,IF(_xlpm.paid&gt;0,_xlpm.stat&amp;" - $"&amp;TEXT(_xlpm.paid,"#,##0.00")&amp;" paid",_xlpm.stat&amp;" - no payment")))),""),_xlpm.rsiMatches,ISNUMBER(SEARCH(_xlpm.lastName,Evictions_RSI!$B$3:$B$200))*(Evictions_RSI!$B$3:$B$200&lt;&gt;""),_xlpm.hasRSI,SUMPRODUCT(_xlpm.rsiMatches)&gt;0,_xlpm.rsiStatus,IF(_xlpm.hasRSI,_xlfn.LET(_xlpm.dates,IF(_xlpm.rsiMatches,IFERROR(DATEVALUE(SUBSTITUTE(Evictions_RSI!$A$3:$A$200,_xlfn.UNICHAR(8204),"")),0),0),_xlpm.latestRow,MATCH(MAX(_xlpm.dates),_xlpm.dates,0),TRIM(SUBSTITUTE(INDEX(Evictions_RSI!$I$3:$I$200,_xlpm.latestRow),_xlfn.UNICHAR(8204),""))),""),IF(AND(_xlpm.llStatus="",_xlpm.rsiStatus=""),"",IF(_xlpm.llStatus="","RSI: "&amp;_xlpm.rsiStatus,IF(_xlpm.rsiStatus="","LL: "&amp;_xlpm.llStatus,"LL: "&amp;_xlpm.llStatus&amp;" | RSI: "&amp;_xlpm.rsiStatus)))),""))</f>
        <v/>
      </c>
      <c r="L90" s="1002"/>
      <c r="Q90" s="973"/>
      <c r="R90" s="973"/>
      <c r="S90" s="973"/>
      <c r="T90" s="973"/>
      <c r="U90" s="973"/>
      <c r="V90" s="973"/>
      <c r="W90" s="973"/>
      <c r="X90" s="973"/>
      <c r="Y90" s="973"/>
      <c r="Z90" s="1004"/>
    </row>
    <row r="91" spans="1:26" ht="12" customHeight="1">
      <c r="A91" s="996" cm="1">
        <f t="array" ref="A91">IFERROR(_xlfn.LET(_xlpm.n,ROW()-16,_xlpm.adj,IF((((ISNUMBER(SEARCH("Eviction",'resident aged receivable'!$E$2:$E$460)))+(ISNUMBER(SEARCH("Past",'resident aged receivable'!$E$2:$E$460)))+(ISNUMBER(SEARCH("Skip",'resident aged receivable'!$E$2:$E$460)))+(ISNUMBER(SEARCH("Collections",'resident aged receivable'!$E$2:$E$460)))+(COUNTIF($N$3:$N$24,'resident aged receivable'!$D$2:$D$460)&gt;0))&gt;0)*(((((LEFT('resident aged receivable'!$E$2:$E$460,7)="Current")+(LEFT('resident aged receivable'!$E$2:$E$460,6)="Notice"))=0)+(COUNTIF($N$3:$N$24,'resident aged receivable'!$D$2:$D$460)&gt;0))&gt;0)*(COUNTIF($P$3:$P$24,'resident aged receivable'!$D$2:$D$460)=0)*('resident aged receivable'!$I$2:$I$460&gt;0),'resident aged receivable'!$I$2:$I$460-ROW('resident aged receivable'!$I$2:$I$460)/1000000),_xlpm.tgt,LARGE(_xlpm.adj,_xlpm.n),MATCH(_xlpm.tgt,_xlpm.adj,0)+1),"")</f>
        <v>14</v>
      </c>
      <c r="B91" s="997" t="str" cm="1">
        <f t="array" ref="B91">IF($A91="","",INDEX('resident aged receivable'!$B:$B,$A91))</f>
        <v>N04-1024</v>
      </c>
      <c r="C91" s="997" t="str" cm="1">
        <f t="array" ref="C91">IF($A91="","",INDEX('resident aged receivable'!$D:$D,$A91))</f>
        <v>Carrizalez, Christopher</v>
      </c>
      <c r="D91" s="998" cm="1">
        <f t="array" ref="D91">IF($A91="","",INDEX('resident aged receivable'!$F:$F,$A91))</f>
        <v>44713</v>
      </c>
      <c r="E91" s="998" cm="1">
        <f t="array" ref="E91">IF($A91="","",_xlfn.LET(_xlpm.leaseEnd,INDEX('resident aged receivable'!$H:$H,$A91),_xlpm.moLookup,IFERROR(_xlfn.LET(_xlpm.lastFirst,C91,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46203</v>
      </c>
      <c r="F91" s="999" t="str">
        <f t="shared" si="2"/>
        <v>IPS</v>
      </c>
      <c r="G91" s="1000" t="str" cm="1">
        <f t="array" ref="G91">IF($A91="","",IF(COUNTIF($N$3:$N$24,C91)&gt;0,"Former",_xlfn.LET(_xlpm.s,INDEX('resident aged receivable'!$E:$E,$A91),IF(ISNUMBER(SEARCH("Eviction",_xlpm.s)),"Eviction",IF(ISNUMBER(SEARCH("Skip",_xlpm.s)),"Skip",IF(ISNUMBER(SEARCH("Past",_xlpm.s))+ISNUMBER(SEARCH("Collections",_xlpm.s)),"Former",_xlpm.s))))))</f>
        <v>Former</v>
      </c>
      <c r="H91" s="1001" cm="1">
        <f t="array" ref="H91">IF($A91="","",INDEX('resident aged receivable'!$I:$I,$A91))</f>
        <v>938.04</v>
      </c>
      <c r="I91" s="1001" cm="1">
        <f t="array" ref="I91">IF($A91="","",INDEX('resident aged receivable'!$J:$J,$A91))</f>
        <v>0</v>
      </c>
      <c r="J91" s="1001" cm="1">
        <f t="array" ref="J91">IF($A91="","",INDEX('resident aged receivable'!$K:$K,$A91))</f>
        <v>938.04</v>
      </c>
      <c r="K91" s="1020" t="str" cm="1">
        <f t="array" ref="K91">IF($C91="","",IFERROR(_xlfn.LET(_xlpm.unit,B91,_xlpm.resident,C91,_xlpm.lastName,IFERROR(LEFT(_xlpm.resident,FIND(",",_xlpm.resident)-1),_xlpm.resident),_xlpm.llMatch,(LeaseLock!$D$2:$D$500=_xlpm.unit)*ISNUMBER(SEARCH(_xlpm.lastName,LeaseLock!$C$2:$C$500)),_xlpm.hasLL,SUMPRODUCT(_xlpm.llMatch)&gt;0,_xlpm.llStatus,IF(_xlpm.hasLL,_xlfn.LET(_xlpm.stat,LOOKUP(2,1/_xlpm.llMatch,LeaseLock!$F$2:$F$500),_xlpm.sub,LOOKUP(2,1/_xlpm.llMatch,LeaseLock!$G$2:$G$500),_xlpm.paid,LOOKUP(2,1/_xlpm.llMatch,LeaseLock!$M$2:$M$500),IF(_xlpm.stat="Claim Denied","Claim Denied ("&amp;_xlpm.sub&amp;")",IF(_xlpm.stat="Open","Open - "&amp;_xlpm.sub,IF(_xlpm.paid&gt;0,_xlpm.stat&amp;" - $"&amp;TEXT(_xlpm.paid,"#,##0.00")&amp;" paid",_xlpm.stat&amp;" - no payment")))),""),_xlpm.rsiMatches,ISNUMBER(SEARCH(_xlpm.lastName,Evictions_RSI!$B$3:$B$200))*(Evictions_RSI!$B$3:$B$200&lt;&gt;""),_xlpm.hasRSI,SUMPRODUCT(_xlpm.rsiMatches)&gt;0,_xlpm.rsiStatus,IF(_xlpm.hasRSI,_xlfn.LET(_xlpm.dates,IF(_xlpm.rsiMatches,IFERROR(DATEVALUE(SUBSTITUTE(Evictions_RSI!$A$3:$A$200,_xlfn.UNICHAR(8204),"")),0),0),_xlpm.latestRow,MATCH(MAX(_xlpm.dates),_xlpm.dates,0),TRIM(SUBSTITUTE(INDEX(Evictions_RSI!$I$3:$I$200,_xlpm.latestRow),_xlfn.UNICHAR(8204),""))),""),IF(AND(_xlpm.llStatus="",_xlpm.rsiStatus=""),"",IF(_xlpm.llStatus="","RSI: "&amp;_xlpm.rsiStatus,IF(_xlpm.rsiStatus="","LL: "&amp;_xlpm.llStatus,"LL: "&amp;_xlpm.llStatus&amp;" | RSI: "&amp;_xlpm.rsiStatus)))),""))</f>
        <v/>
      </c>
      <c r="L91" s="1002"/>
      <c r="Q91" s="973"/>
      <c r="R91" s="973"/>
      <c r="S91" s="973"/>
      <c r="T91" s="973"/>
      <c r="U91" s="973"/>
      <c r="V91" s="973"/>
      <c r="W91" s="973"/>
      <c r="X91" s="973"/>
      <c r="Y91" s="973"/>
      <c r="Z91" s="992"/>
    </row>
    <row r="92" spans="1:26" ht="12" customHeight="1">
      <c r="A92" s="996" cm="1">
        <f t="array" ref="A92">IFERROR(_xlfn.LET(_xlpm.n,ROW()-16,_xlpm.adj,IF((((ISNUMBER(SEARCH("Eviction",'resident aged receivable'!$E$2:$E$460)))+(ISNUMBER(SEARCH("Past",'resident aged receivable'!$E$2:$E$460)))+(ISNUMBER(SEARCH("Skip",'resident aged receivable'!$E$2:$E$460)))+(ISNUMBER(SEARCH("Collections",'resident aged receivable'!$E$2:$E$460)))+(COUNTIF($N$3:$N$24,'resident aged receivable'!$D$2:$D$460)&gt;0))&gt;0)*(((((LEFT('resident aged receivable'!$E$2:$E$460,7)="Current")+(LEFT('resident aged receivable'!$E$2:$E$460,6)="Notice"))=0)+(COUNTIF($N$3:$N$24,'resident aged receivable'!$D$2:$D$460)&gt;0))&gt;0)*(COUNTIF($P$3:$P$24,'resident aged receivable'!$D$2:$D$460)=0)*('resident aged receivable'!$I$2:$I$460&gt;0),'resident aged receivable'!$I$2:$I$460-ROW('resident aged receivable'!$I$2:$I$460)/1000000),_xlpm.tgt,LARGE(_xlpm.adj,_xlpm.n),MATCH(_xlpm.tgt,_xlpm.adj,0)+1),"")</f>
        <v>109</v>
      </c>
      <c r="B92" s="997" t="str" cm="1">
        <f t="array" ref="B92">IF($A92="","",INDEX('resident aged receivable'!$B:$B,$A92))</f>
        <v>W06-1-0610</v>
      </c>
      <c r="C92" s="997" t="str" cm="1">
        <f t="array" ref="C92">IF($A92="","",INDEX('resident aged receivable'!$D:$D,$A92))</f>
        <v>Nwachukwu, Angela</v>
      </c>
      <c r="D92" s="998" cm="1">
        <f t="array" ref="D92">IF($A92="","",INDEX('resident aged receivable'!$F:$F,$A92))</f>
        <v>44646</v>
      </c>
      <c r="E92" s="998" cm="1">
        <f t="array" ref="E92">IF($A92="","",_xlfn.LET(_xlpm.leaseEnd,INDEX('resident aged receivable'!$H:$H,$A92),_xlpm.moLookup,IFERROR(_xlfn.LET(_xlpm.lastFirst,C92,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46178</v>
      </c>
      <c r="F92" s="999" t="str">
        <f t="shared" si="2"/>
        <v>IPS</v>
      </c>
      <c r="G92" s="1000" t="str" cm="1">
        <f t="array" ref="G92">IF($A92="","",IF(COUNTIF($N$3:$N$24,C92)&gt;0,"Former",_xlfn.LET(_xlpm.s,INDEX('resident aged receivable'!$E:$E,$A92),IF(ISNUMBER(SEARCH("Eviction",_xlpm.s)),"Eviction",IF(ISNUMBER(SEARCH("Skip",_xlpm.s)),"Skip",IF(ISNUMBER(SEARCH("Past",_xlpm.s))+ISNUMBER(SEARCH("Collections",_xlpm.s)),"Former",_xlpm.s))))))</f>
        <v>Former</v>
      </c>
      <c r="H92" s="1001" cm="1">
        <f t="array" ref="H92">IF($A92="","",INDEX('resident aged receivable'!$I:$I,$A92))</f>
        <v>894.52</v>
      </c>
      <c r="I92" s="1001" cm="1">
        <f t="array" ref="I92">IF($A92="","",INDEX('resident aged receivable'!$J:$J,$A92))</f>
        <v>0</v>
      </c>
      <c r="J92" s="1001" cm="1">
        <f t="array" ref="J92">IF($A92="","",INDEX('resident aged receivable'!$K:$K,$A92))</f>
        <v>0</v>
      </c>
      <c r="K92" s="1020" t="str" cm="1">
        <f t="array" ref="K92">IF($C92="","",IFERROR(_xlfn.LET(_xlpm.unit,B92,_xlpm.resident,C92,_xlpm.lastName,IFERROR(LEFT(_xlpm.resident,FIND(",",_xlpm.resident)-1),_xlpm.resident),_xlpm.llMatch,(LeaseLock!$D$2:$D$500=_xlpm.unit)*ISNUMBER(SEARCH(_xlpm.lastName,LeaseLock!$C$2:$C$500)),_xlpm.hasLL,SUMPRODUCT(_xlpm.llMatch)&gt;0,_xlpm.llStatus,IF(_xlpm.hasLL,_xlfn.LET(_xlpm.stat,LOOKUP(2,1/_xlpm.llMatch,LeaseLock!$F$2:$F$500),_xlpm.sub,LOOKUP(2,1/_xlpm.llMatch,LeaseLock!$G$2:$G$500),_xlpm.paid,LOOKUP(2,1/_xlpm.llMatch,LeaseLock!$M$2:$M$500),IF(_xlpm.stat="Claim Denied","Claim Denied ("&amp;_xlpm.sub&amp;")",IF(_xlpm.stat="Open","Open - "&amp;_xlpm.sub,IF(_xlpm.paid&gt;0,_xlpm.stat&amp;" - $"&amp;TEXT(_xlpm.paid,"#,##0.00")&amp;" paid",_xlpm.stat&amp;" - no payment")))),""),_xlpm.rsiMatches,ISNUMBER(SEARCH(_xlpm.lastName,Evictions_RSI!$B$3:$B$200))*(Evictions_RSI!$B$3:$B$200&lt;&gt;""),_xlpm.hasRSI,SUMPRODUCT(_xlpm.rsiMatches)&gt;0,_xlpm.rsiStatus,IF(_xlpm.hasRSI,_xlfn.LET(_xlpm.dates,IF(_xlpm.rsiMatches,IFERROR(DATEVALUE(SUBSTITUTE(Evictions_RSI!$A$3:$A$200,_xlfn.UNICHAR(8204),"")),0),0),_xlpm.latestRow,MATCH(MAX(_xlpm.dates),_xlpm.dates,0),TRIM(SUBSTITUTE(INDEX(Evictions_RSI!$I$3:$I$200,_xlpm.latestRow),_xlfn.UNICHAR(8204),""))),""),IF(AND(_xlpm.llStatus="",_xlpm.rsiStatus=""),"",IF(_xlpm.llStatus="","RSI: "&amp;_xlpm.rsiStatus,IF(_xlpm.rsiStatus="","LL: "&amp;_xlpm.llStatus,"LL: "&amp;_xlpm.llStatus&amp;" | RSI: "&amp;_xlpm.rsiStatus)))),""))</f>
        <v>LL: Closed - $491.75 paid</v>
      </c>
      <c r="L92" s="1002"/>
      <c r="Q92" s="973"/>
      <c r="R92" s="973"/>
      <c r="S92" s="973"/>
      <c r="T92" s="973"/>
      <c r="U92" s="973"/>
      <c r="V92" s="973"/>
      <c r="W92" s="973"/>
      <c r="X92" s="973"/>
      <c r="Y92" s="973"/>
      <c r="Z92" s="1004"/>
    </row>
    <row r="93" spans="1:26" ht="12" customHeight="1">
      <c r="A93" s="996" cm="1">
        <f t="array" ref="A93">IFERROR(_xlfn.LET(_xlpm.n,ROW()-16,_xlpm.adj,IF((((ISNUMBER(SEARCH("Eviction",'resident aged receivable'!$E$2:$E$460)))+(ISNUMBER(SEARCH("Past",'resident aged receivable'!$E$2:$E$460)))+(ISNUMBER(SEARCH("Skip",'resident aged receivable'!$E$2:$E$460)))+(ISNUMBER(SEARCH("Collections",'resident aged receivable'!$E$2:$E$460)))+(COUNTIF($N$3:$N$24,'resident aged receivable'!$D$2:$D$460)&gt;0))&gt;0)*(((((LEFT('resident aged receivable'!$E$2:$E$460,7)="Current")+(LEFT('resident aged receivable'!$E$2:$E$460,6)="Notice"))=0)+(COUNTIF($N$3:$N$24,'resident aged receivable'!$D$2:$D$460)&gt;0))&gt;0)*(COUNTIF($P$3:$P$24,'resident aged receivable'!$D$2:$D$460)=0)*('resident aged receivable'!$I$2:$I$460&gt;0),'resident aged receivable'!$I$2:$I$460-ROW('resident aged receivable'!$I$2:$I$460)/1000000),_xlpm.tgt,LARGE(_xlpm.adj,_xlpm.n),MATCH(_xlpm.tgt,_xlpm.adj,0)+1),"")</f>
        <v>110</v>
      </c>
      <c r="B93" s="997" t="str" cm="1">
        <f t="array" ref="B93">IF($A93="","",INDEX('resident aged receivable'!$B:$B,$A93))</f>
        <v>W06-1-0616</v>
      </c>
      <c r="C93" s="997" t="str" cm="1">
        <f t="array" ref="C93">IF($A93="","",INDEX('resident aged receivable'!$D:$D,$A93))</f>
        <v>Lopez, Abrianna</v>
      </c>
      <c r="D93" s="998" cm="1">
        <f t="array" ref="D93">IF($A93="","",INDEX('resident aged receivable'!$F:$F,$A93))</f>
        <v>45716</v>
      </c>
      <c r="E93" s="998" cm="1">
        <f t="array" ref="E93">IF($A93="","",_xlfn.LET(_xlpm.leaseEnd,INDEX('resident aged receivable'!$H:$H,$A93),_xlpm.moLookup,IFERROR(_xlfn.LET(_xlpm.lastFirst,C93,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46200</v>
      </c>
      <c r="F93" s="999" t="str">
        <f t="shared" si="2"/>
        <v>IPS</v>
      </c>
      <c r="G93" s="1000" t="str" cm="1">
        <f t="array" ref="G93">IF($A93="","",IF(COUNTIF($N$3:$N$24,C93)&gt;0,"Former",_xlfn.LET(_xlpm.s,INDEX('resident aged receivable'!$E:$E,$A93),IF(ISNUMBER(SEARCH("Eviction",_xlpm.s)),"Eviction",IF(ISNUMBER(SEARCH("Skip",_xlpm.s)),"Skip",IF(ISNUMBER(SEARCH("Past",_xlpm.s))+ISNUMBER(SEARCH("Collections",_xlpm.s)),"Former",_xlpm.s))))))</f>
        <v>Former</v>
      </c>
      <c r="H93" s="1001" cm="1">
        <f t="array" ref="H93">IF($A93="","",INDEX('resident aged receivable'!$I:$I,$A93))</f>
        <v>841.15</v>
      </c>
      <c r="I93" s="1001" cm="1">
        <f t="array" ref="I93">IF($A93="","",INDEX('resident aged receivable'!$J:$J,$A93))</f>
        <v>0</v>
      </c>
      <c r="J93" s="1001" cm="1">
        <f t="array" ref="J93">IF($A93="","",INDEX('resident aged receivable'!$K:$K,$A93))</f>
        <v>841.15</v>
      </c>
      <c r="K93" s="1020" t="str" cm="1">
        <f t="array" ref="K93">IF($C93="","",IFERROR(_xlfn.LET(_xlpm.unit,B93,_xlpm.resident,C93,_xlpm.lastName,IFERROR(LEFT(_xlpm.resident,FIND(",",_xlpm.resident)-1),_xlpm.resident),_xlpm.llMatch,(LeaseLock!$D$2:$D$500=_xlpm.unit)*ISNUMBER(SEARCH(_xlpm.lastName,LeaseLock!$C$2:$C$500)),_xlpm.hasLL,SUMPRODUCT(_xlpm.llMatch)&gt;0,_xlpm.llStatus,IF(_xlpm.hasLL,_xlfn.LET(_xlpm.stat,LOOKUP(2,1/_xlpm.llMatch,LeaseLock!$F$2:$F$500),_xlpm.sub,LOOKUP(2,1/_xlpm.llMatch,LeaseLock!$G$2:$G$500),_xlpm.paid,LOOKUP(2,1/_xlpm.llMatch,LeaseLock!$M$2:$M$500),IF(_xlpm.stat="Claim Denied","Claim Denied ("&amp;_xlpm.sub&amp;")",IF(_xlpm.stat="Open","Open - "&amp;_xlpm.sub,IF(_xlpm.paid&gt;0,_xlpm.stat&amp;" - $"&amp;TEXT(_xlpm.paid,"#,##0.00")&amp;" paid",_xlpm.stat&amp;" - no payment")))),""),_xlpm.rsiMatches,ISNUMBER(SEARCH(_xlpm.lastName,Evictions_RSI!$B$3:$B$200))*(Evictions_RSI!$B$3:$B$200&lt;&gt;""),_xlpm.hasRSI,SUMPRODUCT(_xlpm.rsiMatches)&gt;0,_xlpm.rsiStatus,IF(_xlpm.hasRSI,_xlfn.LET(_xlpm.dates,IF(_xlpm.rsiMatches,IFERROR(DATEVALUE(SUBSTITUTE(Evictions_RSI!$A$3:$A$200,_xlfn.UNICHAR(8204),"")),0),0),_xlpm.latestRow,MATCH(MAX(_xlpm.dates),_xlpm.dates,0),TRIM(SUBSTITUTE(INDEX(Evictions_RSI!$I$3:$I$200,_xlpm.latestRow),_xlfn.UNICHAR(8204),""))),""),IF(AND(_xlpm.llStatus="",_xlpm.rsiStatus=""),"",IF(_xlpm.llStatus="","RSI: "&amp;_xlpm.rsiStatus,IF(_xlpm.rsiStatus="","LL: "&amp;_xlpm.llStatus,"LL: "&amp;_xlpm.llStatus&amp;" | RSI: "&amp;_xlpm.rsiStatus)))),""))</f>
        <v>RSI: Cancelled (Notes)</v>
      </c>
      <c r="L93" s="1002"/>
      <c r="Q93" s="973"/>
      <c r="R93" s="973"/>
      <c r="S93" s="973"/>
      <c r="T93" s="973"/>
      <c r="U93" s="973"/>
      <c r="V93" s="973"/>
      <c r="W93" s="973"/>
      <c r="X93" s="973"/>
      <c r="Y93" s="973"/>
      <c r="Z93" s="1004"/>
    </row>
    <row r="94" spans="1:26" ht="12" customHeight="1">
      <c r="A94" s="996" cm="1">
        <f t="array" ref="A94">IFERROR(_xlfn.LET(_xlpm.n,ROW()-16,_xlpm.adj,IF((((ISNUMBER(SEARCH("Eviction",'resident aged receivable'!$E$2:$E$460)))+(ISNUMBER(SEARCH("Past",'resident aged receivable'!$E$2:$E$460)))+(ISNUMBER(SEARCH("Skip",'resident aged receivable'!$E$2:$E$460)))+(ISNUMBER(SEARCH("Collections",'resident aged receivable'!$E$2:$E$460)))+(COUNTIF($N$3:$N$24,'resident aged receivable'!$D$2:$D$460)&gt;0))&gt;0)*(((((LEFT('resident aged receivable'!$E$2:$E$460,7)="Current")+(LEFT('resident aged receivable'!$E$2:$E$460,6)="Notice"))=0)+(COUNTIF($N$3:$N$24,'resident aged receivable'!$D$2:$D$460)&gt;0))&gt;0)*(COUNTIF($P$3:$P$24,'resident aged receivable'!$D$2:$D$460)=0)*('resident aged receivable'!$I$2:$I$460&gt;0),'resident aged receivable'!$I$2:$I$460-ROW('resident aged receivable'!$I$2:$I$460)/1000000),_xlpm.tgt,LARGE(_xlpm.adj,_xlpm.n),MATCH(_xlpm.tgt,_xlpm.adj,0)+1),"")</f>
        <v>5</v>
      </c>
      <c r="B94" s="997" t="str" cm="1">
        <f t="array" ref="B94">IF($A94="","",INDEX('resident aged receivable'!$B:$B,$A94))</f>
        <v>N01-2001</v>
      </c>
      <c r="C94" s="997" t="str" cm="1">
        <f t="array" ref="C94">IF($A94="","",INDEX('resident aged receivable'!$D:$D,$A94))</f>
        <v>Obinna, Echidi</v>
      </c>
      <c r="D94" s="998" cm="1">
        <f t="array" ref="D94">IF($A94="","",INDEX('resident aged receivable'!$F:$F,$A94))</f>
        <v>45017</v>
      </c>
      <c r="E94" s="998" cm="1">
        <f t="array" ref="E94">IF($A94="","",_xlfn.LET(_xlpm.leaseEnd,INDEX('resident aged receivable'!$H:$H,$A94),_xlpm.moLookup,IFERROR(_xlfn.LET(_xlpm.lastFirst,C94,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46203</v>
      </c>
      <c r="F94" s="999" t="str">
        <f t="shared" si="2"/>
        <v>IPS</v>
      </c>
      <c r="G94" s="1000" t="str" cm="1">
        <f t="array" ref="G94">IF($A94="","",IF(COUNTIF($N$3:$N$24,C94)&gt;0,"Former",_xlfn.LET(_xlpm.s,INDEX('resident aged receivable'!$E:$E,$A94),IF(ISNUMBER(SEARCH("Eviction",_xlpm.s)),"Eviction",IF(ISNUMBER(SEARCH("Skip",_xlpm.s)),"Skip",IF(ISNUMBER(SEARCH("Past",_xlpm.s))+ISNUMBER(SEARCH("Collections",_xlpm.s)),"Former",_xlpm.s))))))</f>
        <v>Former</v>
      </c>
      <c r="H94" s="1001" cm="1">
        <f t="array" ref="H94">IF($A94="","",INDEX('resident aged receivable'!$I:$I,$A94))</f>
        <v>775</v>
      </c>
      <c r="I94" s="1001" cm="1">
        <f t="array" ref="I94">IF($A94="","",INDEX('resident aged receivable'!$J:$J,$A94))</f>
        <v>0</v>
      </c>
      <c r="J94" s="1001" cm="1">
        <f t="array" ref="J94">IF($A94="","",INDEX('resident aged receivable'!$K:$K,$A94))</f>
        <v>775</v>
      </c>
      <c r="K94" s="1020" t="str" cm="1">
        <f t="array" ref="K94">IF($C94="","",IFERROR(_xlfn.LET(_xlpm.unit,B94,_xlpm.resident,C94,_xlpm.lastName,IFERROR(LEFT(_xlpm.resident,FIND(",",_xlpm.resident)-1),_xlpm.resident),_xlpm.llMatch,(LeaseLock!$D$2:$D$500=_xlpm.unit)*ISNUMBER(SEARCH(_xlpm.lastName,LeaseLock!$C$2:$C$500)),_xlpm.hasLL,SUMPRODUCT(_xlpm.llMatch)&gt;0,_xlpm.llStatus,IF(_xlpm.hasLL,_xlfn.LET(_xlpm.stat,LOOKUP(2,1/_xlpm.llMatch,LeaseLock!$F$2:$F$500),_xlpm.sub,LOOKUP(2,1/_xlpm.llMatch,LeaseLock!$G$2:$G$500),_xlpm.paid,LOOKUP(2,1/_xlpm.llMatch,LeaseLock!$M$2:$M$500),IF(_xlpm.stat="Claim Denied","Claim Denied ("&amp;_xlpm.sub&amp;")",IF(_xlpm.stat="Open","Open - "&amp;_xlpm.sub,IF(_xlpm.paid&gt;0,_xlpm.stat&amp;" - $"&amp;TEXT(_xlpm.paid,"#,##0.00")&amp;" paid",_xlpm.stat&amp;" - no payment")))),""),_xlpm.rsiMatches,ISNUMBER(SEARCH(_xlpm.lastName,Evictions_RSI!$B$3:$B$200))*(Evictions_RSI!$B$3:$B$200&lt;&gt;""),_xlpm.hasRSI,SUMPRODUCT(_xlpm.rsiMatches)&gt;0,_xlpm.rsiStatus,IF(_xlpm.hasRSI,_xlfn.LET(_xlpm.dates,IF(_xlpm.rsiMatches,IFERROR(DATEVALUE(SUBSTITUTE(Evictions_RSI!$A$3:$A$200,_xlfn.UNICHAR(8204),"")),0),0),_xlpm.latestRow,MATCH(MAX(_xlpm.dates),_xlpm.dates,0),TRIM(SUBSTITUTE(INDEX(Evictions_RSI!$I$3:$I$200,_xlpm.latestRow),_xlfn.UNICHAR(8204),""))),""),IF(AND(_xlpm.llStatus="",_xlpm.rsiStatus=""),"",IF(_xlpm.llStatus="","RSI: "&amp;_xlpm.rsiStatus,IF(_xlpm.rsiStatus="","LL: "&amp;_xlpm.llStatus,"LL: "&amp;_xlpm.llStatus&amp;" | RSI: "&amp;_xlpm.rsiStatus)))),""))</f>
        <v/>
      </c>
      <c r="L94" s="1002"/>
      <c r="Q94" s="973"/>
      <c r="R94" s="973"/>
      <c r="S94" s="973"/>
      <c r="T94" s="973"/>
      <c r="U94" s="973"/>
      <c r="V94" s="973"/>
      <c r="W94" s="973"/>
      <c r="X94" s="973"/>
      <c r="Y94" s="973"/>
      <c r="Z94" s="973"/>
    </row>
    <row r="95" spans="1:26" ht="12" customHeight="1">
      <c r="A95" s="996" cm="1">
        <f t="array" ref="A95">IFERROR(_xlfn.LET(_xlpm.n,ROW()-16,_xlpm.adj,IF((((ISNUMBER(SEARCH("Eviction",'resident aged receivable'!$E$2:$E$460)))+(ISNUMBER(SEARCH("Past",'resident aged receivable'!$E$2:$E$460)))+(ISNUMBER(SEARCH("Skip",'resident aged receivable'!$E$2:$E$460)))+(ISNUMBER(SEARCH("Collections",'resident aged receivable'!$E$2:$E$460)))+(COUNTIF($N$3:$N$24,'resident aged receivable'!$D$2:$D$460)&gt;0))&gt;0)*(((((LEFT('resident aged receivable'!$E$2:$E$460,7)="Current")+(LEFT('resident aged receivable'!$E$2:$E$460,6)="Notice"))=0)+(COUNTIF($N$3:$N$24,'resident aged receivable'!$D$2:$D$460)&gt;0))&gt;0)*(COUNTIF($P$3:$P$24,'resident aged receivable'!$D$2:$D$460)=0)*('resident aged receivable'!$I$2:$I$460&gt;0),'resident aged receivable'!$I$2:$I$460-ROW('resident aged receivable'!$I$2:$I$460)/1000000),_xlpm.tgt,LARGE(_xlpm.adj,_xlpm.n),MATCH(_xlpm.tgt,_xlpm.adj,0)+1),"")</f>
        <v>156</v>
      </c>
      <c r="B95" s="997" t="str" cm="1">
        <f t="array" ref="B95">IF($A95="","",INDEX('resident aged receivable'!$B:$B,$A95))</f>
        <v>W17-2-2077</v>
      </c>
      <c r="C95" s="997" t="str" cm="1">
        <f t="array" ref="C95">IF($A95="","",INDEX('resident aged receivable'!$D:$D,$A95))</f>
        <v>Okoh, Olufunke</v>
      </c>
      <c r="D95" s="998" cm="1">
        <f t="array" ref="D95">IF($A95="","",INDEX('resident aged receivable'!$F:$F,$A95))</f>
        <v>44774</v>
      </c>
      <c r="E95" s="998" cm="1">
        <f t="array" ref="E95">IF($A95="","",_xlfn.LET(_xlpm.leaseEnd,INDEX('resident aged receivable'!$H:$H,$A95),_xlpm.moLookup,IFERROR(_xlfn.LET(_xlpm.lastFirst,C95,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46237</v>
      </c>
      <c r="F95" s="999" t="str">
        <f t="shared" si="2"/>
        <v>IPS</v>
      </c>
      <c r="G95" s="1000" t="str" cm="1">
        <f t="array" ref="G95">IF($A95="","",IF(COUNTIF($N$3:$N$24,C95)&gt;0,"Former",_xlfn.LET(_xlpm.s,INDEX('resident aged receivable'!$E:$E,$A95),IF(ISNUMBER(SEARCH("Eviction",_xlpm.s)),"Eviction",IF(ISNUMBER(SEARCH("Skip",_xlpm.s)),"Skip",IF(ISNUMBER(SEARCH("Past",_xlpm.s))+ISNUMBER(SEARCH("Collections",_xlpm.s)),"Former",_xlpm.s))))))</f>
        <v>Former</v>
      </c>
      <c r="H95" s="1001" cm="1">
        <f t="array" ref="H95">IF($A95="","",INDEX('resident aged receivable'!$I:$I,$A95))</f>
        <v>759.91</v>
      </c>
      <c r="I95" s="1001" cm="1">
        <f t="array" ref="I95">IF($A95="","",INDEX('resident aged receivable'!$J:$J,$A95))</f>
        <v>724.91</v>
      </c>
      <c r="J95" s="1001" cm="1">
        <f t="array" ref="J95">IF($A95="","",INDEX('resident aged receivable'!$K:$K,$A95))</f>
        <v>35</v>
      </c>
      <c r="K95" s="1020" t="str" cm="1">
        <f t="array" ref="K95">IF($C95="","",IFERROR(_xlfn.LET(_xlpm.unit,B95,_xlpm.resident,C95,_xlpm.lastName,IFERROR(LEFT(_xlpm.resident,FIND(",",_xlpm.resident)-1),_xlpm.resident),_xlpm.llMatch,(LeaseLock!$D$2:$D$500=_xlpm.unit)*ISNUMBER(SEARCH(_xlpm.lastName,LeaseLock!$C$2:$C$500)),_xlpm.hasLL,SUMPRODUCT(_xlpm.llMatch)&gt;0,_xlpm.llStatus,IF(_xlpm.hasLL,_xlfn.LET(_xlpm.stat,LOOKUP(2,1/_xlpm.llMatch,LeaseLock!$F$2:$F$500),_xlpm.sub,LOOKUP(2,1/_xlpm.llMatch,LeaseLock!$G$2:$G$500),_xlpm.paid,LOOKUP(2,1/_xlpm.llMatch,LeaseLock!$M$2:$M$500),IF(_xlpm.stat="Claim Denied","Claim Denied ("&amp;_xlpm.sub&amp;")",IF(_xlpm.stat="Open","Open - "&amp;_xlpm.sub,IF(_xlpm.paid&gt;0,_xlpm.stat&amp;" - $"&amp;TEXT(_xlpm.paid,"#,##0.00")&amp;" paid",_xlpm.stat&amp;" - no payment")))),""),_xlpm.rsiMatches,ISNUMBER(SEARCH(_xlpm.lastName,Evictions_RSI!$B$3:$B$200))*(Evictions_RSI!$B$3:$B$200&lt;&gt;""),_xlpm.hasRSI,SUMPRODUCT(_xlpm.rsiMatches)&gt;0,_xlpm.rsiStatus,IF(_xlpm.hasRSI,_xlfn.LET(_xlpm.dates,IF(_xlpm.rsiMatches,IFERROR(DATEVALUE(SUBSTITUTE(Evictions_RSI!$A$3:$A$200,_xlfn.UNICHAR(8204),"")),0),0),_xlpm.latestRow,MATCH(MAX(_xlpm.dates),_xlpm.dates,0),TRIM(SUBSTITUTE(INDEX(Evictions_RSI!$I$3:$I$200,_xlpm.latestRow),_xlfn.UNICHAR(8204),""))),""),IF(AND(_xlpm.llStatus="",_xlpm.rsiStatus=""),"",IF(_xlpm.llStatus="","RSI: "&amp;_xlpm.rsiStatus,IF(_xlpm.rsiStatus="","LL: "&amp;_xlpm.llStatus,"LL: "&amp;_xlpm.llStatus&amp;" | RSI: "&amp;_xlpm.rsiStatus)))),""))</f>
        <v/>
      </c>
      <c r="L95" s="1002"/>
      <c r="Q95" s="973"/>
      <c r="R95" s="973"/>
      <c r="S95" s="973"/>
      <c r="T95" s="973"/>
      <c r="U95" s="973"/>
      <c r="V95" s="973"/>
      <c r="W95" s="973"/>
      <c r="X95" s="973"/>
      <c r="Y95" s="973"/>
      <c r="Z95" s="973"/>
    </row>
    <row r="96" spans="1:26" ht="12" customHeight="1">
      <c r="A96" s="996" cm="1">
        <f t="array" ref="A96">IFERROR(_xlfn.LET(_xlpm.n,ROW()-16,_xlpm.adj,IF((((ISNUMBER(SEARCH("Eviction",'resident aged receivable'!$E$2:$E$460)))+(ISNUMBER(SEARCH("Past",'resident aged receivable'!$E$2:$E$460)))+(ISNUMBER(SEARCH("Skip",'resident aged receivable'!$E$2:$E$460)))+(ISNUMBER(SEARCH("Collections",'resident aged receivable'!$E$2:$E$460)))+(COUNTIF($N$3:$N$24,'resident aged receivable'!$D$2:$D$460)&gt;0))&gt;0)*(((((LEFT('resident aged receivable'!$E$2:$E$460,7)="Current")+(LEFT('resident aged receivable'!$E$2:$E$460,6)="Notice"))=0)+(COUNTIF($N$3:$N$24,'resident aged receivable'!$D$2:$D$460)&gt;0))&gt;0)*(COUNTIF($P$3:$P$24,'resident aged receivable'!$D$2:$D$460)=0)*('resident aged receivable'!$I$2:$I$460&gt;0),'resident aged receivable'!$I$2:$I$460-ROW('resident aged receivable'!$I$2:$I$460)/1000000),_xlpm.tgt,LARGE(_xlpm.adj,_xlpm.n),MATCH(_xlpm.tgt,_xlpm.adj,0)+1),"")</f>
        <v>4</v>
      </c>
      <c r="B96" s="997" t="str" cm="1">
        <f t="array" ref="B96">IF($A96="","",INDEX('resident aged receivable'!$B:$B,$A96))</f>
        <v>N01-1004</v>
      </c>
      <c r="C96" s="997" t="str" cm="1">
        <f t="array" ref="C96">IF($A96="","",INDEX('resident aged receivable'!$D:$D,$A96))</f>
        <v>Flores, Esbeidy</v>
      </c>
      <c r="D96" s="998" cm="1">
        <f t="array" ref="D96">IF($A96="","",INDEX('resident aged receivable'!$F:$F,$A96))</f>
        <v>44750</v>
      </c>
      <c r="E96" s="998" cm="1">
        <f t="array" ref="E96">IF($A96="","",_xlfn.LET(_xlpm.leaseEnd,INDEX('resident aged receivable'!$H:$H,$A96),_xlpm.moLookup,IFERROR(_xlfn.LET(_xlpm.lastFirst,C96,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46203</v>
      </c>
      <c r="F96" s="999" t="str">
        <f t="shared" si="2"/>
        <v>IPS</v>
      </c>
      <c r="G96" s="1000" t="str" cm="1">
        <f t="array" ref="G96">IF($A96="","",IF(COUNTIF($N$3:$N$24,C96)&gt;0,"Former",_xlfn.LET(_xlpm.s,INDEX('resident aged receivable'!$E:$E,$A96),IF(ISNUMBER(SEARCH("Eviction",_xlpm.s)),"Eviction",IF(ISNUMBER(SEARCH("Skip",_xlpm.s)),"Skip",IF(ISNUMBER(SEARCH("Past",_xlpm.s))+ISNUMBER(SEARCH("Collections",_xlpm.s)),"Former",_xlpm.s))))))</f>
        <v>Former</v>
      </c>
      <c r="H96" s="1001" cm="1">
        <f t="array" ref="H96">IF($A96="","",INDEX('resident aged receivable'!$I:$I,$A96))</f>
        <v>726.7</v>
      </c>
      <c r="I96" s="1001" cm="1">
        <f t="array" ref="I96">IF($A96="","",INDEX('resident aged receivable'!$J:$J,$A96))</f>
        <v>0</v>
      </c>
      <c r="J96" s="1001" cm="1">
        <f t="array" ref="J96">IF($A96="","",INDEX('resident aged receivable'!$K:$K,$A96))</f>
        <v>726.7</v>
      </c>
      <c r="K96" s="1020" t="str" cm="1">
        <f t="array" ref="K96">IF($C96="","",IFERROR(_xlfn.LET(_xlpm.unit,B96,_xlpm.resident,C96,_xlpm.lastName,IFERROR(LEFT(_xlpm.resident,FIND(",",_xlpm.resident)-1),_xlpm.resident),_xlpm.llMatch,(LeaseLock!$D$2:$D$500=_xlpm.unit)*ISNUMBER(SEARCH(_xlpm.lastName,LeaseLock!$C$2:$C$500)),_xlpm.hasLL,SUMPRODUCT(_xlpm.llMatch)&gt;0,_xlpm.llStatus,IF(_xlpm.hasLL,_xlfn.LET(_xlpm.stat,LOOKUP(2,1/_xlpm.llMatch,LeaseLock!$F$2:$F$500),_xlpm.sub,LOOKUP(2,1/_xlpm.llMatch,LeaseLock!$G$2:$G$500),_xlpm.paid,LOOKUP(2,1/_xlpm.llMatch,LeaseLock!$M$2:$M$500),IF(_xlpm.stat="Claim Denied","Claim Denied ("&amp;_xlpm.sub&amp;")",IF(_xlpm.stat="Open","Open - "&amp;_xlpm.sub,IF(_xlpm.paid&gt;0,_xlpm.stat&amp;" - $"&amp;TEXT(_xlpm.paid,"#,##0.00")&amp;" paid",_xlpm.stat&amp;" - no payment")))),""),_xlpm.rsiMatches,ISNUMBER(SEARCH(_xlpm.lastName,Evictions_RSI!$B$3:$B$200))*(Evictions_RSI!$B$3:$B$200&lt;&gt;""),_xlpm.hasRSI,SUMPRODUCT(_xlpm.rsiMatches)&gt;0,_xlpm.rsiStatus,IF(_xlpm.hasRSI,_xlfn.LET(_xlpm.dates,IF(_xlpm.rsiMatches,IFERROR(DATEVALUE(SUBSTITUTE(Evictions_RSI!$A$3:$A$200,_xlfn.UNICHAR(8204),"")),0),0),_xlpm.latestRow,MATCH(MAX(_xlpm.dates),_xlpm.dates,0),TRIM(SUBSTITUTE(INDEX(Evictions_RSI!$I$3:$I$200,_xlpm.latestRow),_xlfn.UNICHAR(8204),""))),""),IF(AND(_xlpm.llStatus="",_xlpm.rsiStatus=""),"",IF(_xlpm.llStatus="","RSI: "&amp;_xlpm.rsiStatus,IF(_xlpm.rsiStatus="","LL: "&amp;_xlpm.llStatus,"LL: "&amp;_xlpm.llStatus&amp;" | RSI: "&amp;_xlpm.rsiStatus)))),""))</f>
        <v>RSI: COC - JOA Pending (Notes)</v>
      </c>
      <c r="L96" s="1002"/>
      <c r="Q96" s="973"/>
      <c r="R96" s="973"/>
      <c r="S96" s="973"/>
      <c r="T96" s="973"/>
      <c r="U96" s="973"/>
      <c r="V96" s="973"/>
      <c r="W96" s="973"/>
      <c r="X96" s="973"/>
      <c r="Y96" s="973"/>
      <c r="Z96" s="973"/>
    </row>
    <row r="97" spans="1:26" ht="12" customHeight="1">
      <c r="A97" s="996" cm="1">
        <f t="array" ref="A97">IFERROR(_xlfn.LET(_xlpm.n,ROW()-16,_xlpm.adj,IF((((ISNUMBER(SEARCH("Eviction",'resident aged receivable'!$E$2:$E$460)))+(ISNUMBER(SEARCH("Past",'resident aged receivable'!$E$2:$E$460)))+(ISNUMBER(SEARCH("Skip",'resident aged receivable'!$E$2:$E$460)))+(ISNUMBER(SEARCH("Collections",'resident aged receivable'!$E$2:$E$460)))+(COUNTIF($N$3:$N$24,'resident aged receivable'!$D$2:$D$460)&gt;0))&gt;0)*(((((LEFT('resident aged receivable'!$E$2:$E$460,7)="Current")+(LEFT('resident aged receivable'!$E$2:$E$460,6)="Notice"))=0)+(COUNTIF($N$3:$N$24,'resident aged receivable'!$D$2:$D$460)&gt;0))&gt;0)*(COUNTIF($P$3:$P$24,'resident aged receivable'!$D$2:$D$460)=0)*('resident aged receivable'!$I$2:$I$460&gt;0),'resident aged receivable'!$I$2:$I$460-ROW('resident aged receivable'!$I$2:$I$460)/1000000),_xlpm.tgt,LARGE(_xlpm.adj,_xlpm.n),MATCH(_xlpm.tgt,_xlpm.adj,0)+1),"")</f>
        <v>46</v>
      </c>
      <c r="B97" s="997" t="str" cm="1">
        <f t="array" ref="B97">IF($A97="","",INDEX('resident aged receivable'!$B:$B,$A97))</f>
        <v>N20-2090</v>
      </c>
      <c r="C97" s="997" t="str" cm="1">
        <f t="array" ref="C97">IF($A97="","",INDEX('resident aged receivable'!$D:$D,$A97))</f>
        <v>Pilkington, Rebecca</v>
      </c>
      <c r="D97" s="998" cm="1">
        <f t="array" ref="D97">IF($A97="","",INDEX('resident aged receivable'!$F:$F,$A97))</f>
        <v>45532</v>
      </c>
      <c r="E97" s="998" cm="1">
        <f t="array" ref="E97">IF($A97="","",_xlfn.LET(_xlpm.leaseEnd,INDEX('resident aged receivable'!$H:$H,$A97),_xlpm.moLookup,IFERROR(_xlfn.LET(_xlpm.lastFirst,C97,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46295</v>
      </c>
      <c r="F97" s="999" t="str">
        <f t="shared" si="2"/>
        <v>IPS</v>
      </c>
      <c r="G97" s="1000" t="str" cm="1">
        <f t="array" ref="G97">IF($A97="","",IF(COUNTIF($N$3:$N$24,C97)&gt;0,"Former",_xlfn.LET(_xlpm.s,INDEX('resident aged receivable'!$E:$E,$A97),IF(ISNUMBER(SEARCH("Eviction",_xlpm.s)),"Eviction",IF(ISNUMBER(SEARCH("Skip",_xlpm.s)),"Skip",IF(ISNUMBER(SEARCH("Past",_xlpm.s))+ISNUMBER(SEARCH("Collections",_xlpm.s)),"Former",_xlpm.s))))))</f>
        <v>Former</v>
      </c>
      <c r="H97" s="1001" cm="1">
        <f t="array" ref="H97">IF($A97="","",INDEX('resident aged receivable'!$I:$I,$A97))</f>
        <v>652.45000000000005</v>
      </c>
      <c r="I97" s="1001" cm="1">
        <f t="array" ref="I97">IF($A97="","",INDEX('resident aged receivable'!$J:$J,$A97))</f>
        <v>0</v>
      </c>
      <c r="J97" s="1001" cm="1">
        <f t="array" ref="J97">IF($A97="","",INDEX('resident aged receivable'!$K:$K,$A97))</f>
        <v>652.45000000000005</v>
      </c>
      <c r="K97" s="1020" t="str" cm="1">
        <f t="array" ref="K97">IF($C97="","",IFERROR(_xlfn.LET(_xlpm.unit,B97,_xlpm.resident,C97,_xlpm.lastName,IFERROR(LEFT(_xlpm.resident,FIND(",",_xlpm.resident)-1),_xlpm.resident),_xlpm.llMatch,(LeaseLock!$D$2:$D$500=_xlpm.unit)*ISNUMBER(SEARCH(_xlpm.lastName,LeaseLock!$C$2:$C$500)),_xlpm.hasLL,SUMPRODUCT(_xlpm.llMatch)&gt;0,_xlpm.llStatus,IF(_xlpm.hasLL,_xlfn.LET(_xlpm.stat,LOOKUP(2,1/_xlpm.llMatch,LeaseLock!$F$2:$F$500),_xlpm.sub,LOOKUP(2,1/_xlpm.llMatch,LeaseLock!$G$2:$G$500),_xlpm.paid,LOOKUP(2,1/_xlpm.llMatch,LeaseLock!$M$2:$M$500),IF(_xlpm.stat="Claim Denied","Claim Denied ("&amp;_xlpm.sub&amp;")",IF(_xlpm.stat="Open","Open - "&amp;_xlpm.sub,IF(_xlpm.paid&gt;0,_xlpm.stat&amp;" - $"&amp;TEXT(_xlpm.paid,"#,##0.00")&amp;" paid",_xlpm.stat&amp;" - no payment")))),""),_xlpm.rsiMatches,ISNUMBER(SEARCH(_xlpm.lastName,Evictions_RSI!$B$3:$B$200))*(Evictions_RSI!$B$3:$B$200&lt;&gt;""),_xlpm.hasRSI,SUMPRODUCT(_xlpm.rsiMatches)&gt;0,_xlpm.rsiStatus,IF(_xlpm.hasRSI,_xlfn.LET(_xlpm.dates,IF(_xlpm.rsiMatches,IFERROR(DATEVALUE(SUBSTITUTE(Evictions_RSI!$A$3:$A$200,_xlfn.UNICHAR(8204),"")),0),0),_xlpm.latestRow,MATCH(MAX(_xlpm.dates),_xlpm.dates,0),TRIM(SUBSTITUTE(INDEX(Evictions_RSI!$I$3:$I$200,_xlpm.latestRow),_xlfn.UNICHAR(8204),""))),""),IF(AND(_xlpm.llStatus="",_xlpm.rsiStatus=""),"",IF(_xlpm.llStatus="","RSI: "&amp;_xlpm.rsiStatus,IF(_xlpm.rsiStatus="","LL: "&amp;_xlpm.llStatus,"LL: "&amp;_xlpm.llStatus&amp;" | RSI: "&amp;_xlpm.rsiStatus)))),""))</f>
        <v/>
      </c>
      <c r="L97" s="1002"/>
      <c r="Q97" s="973"/>
      <c r="R97" s="973"/>
      <c r="S97" s="973"/>
      <c r="T97" s="973"/>
      <c r="U97" s="973"/>
      <c r="V97" s="973"/>
      <c r="W97" s="973"/>
      <c r="X97" s="973"/>
      <c r="Y97" s="973"/>
      <c r="Z97" s="973"/>
    </row>
    <row r="98" spans="1:26" ht="12" customHeight="1">
      <c r="A98" s="996" cm="1">
        <f t="array" ref="A98">IFERROR(_xlfn.LET(_xlpm.n,ROW()-16,_xlpm.adj,IF((((ISNUMBER(SEARCH("Eviction",'resident aged receivable'!$E$2:$E$460)))+(ISNUMBER(SEARCH("Past",'resident aged receivable'!$E$2:$E$460)))+(ISNUMBER(SEARCH("Skip",'resident aged receivable'!$E$2:$E$460)))+(ISNUMBER(SEARCH("Collections",'resident aged receivable'!$E$2:$E$460)))+(COUNTIF($N$3:$N$24,'resident aged receivable'!$D$2:$D$460)&gt;0))&gt;0)*(((((LEFT('resident aged receivable'!$E$2:$E$460,7)="Current")+(LEFT('resident aged receivable'!$E$2:$E$460,6)="Notice"))=0)+(COUNTIF($N$3:$N$24,'resident aged receivable'!$D$2:$D$460)&gt;0))&gt;0)*(COUNTIF($P$3:$P$24,'resident aged receivable'!$D$2:$D$460)=0)*('resident aged receivable'!$I$2:$I$460&gt;0),'resident aged receivable'!$I$2:$I$460-ROW('resident aged receivable'!$I$2:$I$460)/1000000),_xlpm.tgt,LARGE(_xlpm.adj,_xlpm.n),MATCH(_xlpm.tgt,_xlpm.adj,0)+1),"")</f>
        <v>139</v>
      </c>
      <c r="B98" s="997" t="str" cm="1">
        <f t="array" ref="B98">IF($A98="","",INDEX('resident aged receivable'!$B:$B,$A98))</f>
        <v>W14-1-1409</v>
      </c>
      <c r="C98" s="997" t="str" cm="1">
        <f t="array" ref="C98">IF($A98="","",INDEX('resident aged receivable'!$D:$D,$A98))</f>
        <v>McMahon, John</v>
      </c>
      <c r="D98" s="998" cm="1">
        <f t="array" ref="D98">IF($A98="","",INDEX('resident aged receivable'!$F:$F,$A98))</f>
        <v>44872</v>
      </c>
      <c r="E98" s="998" cm="1">
        <f t="array" ref="E98">IF($A98="","",_xlfn.LET(_xlpm.leaseEnd,INDEX('resident aged receivable'!$H:$H,$A98),_xlpm.moLookup,IFERROR(_xlfn.LET(_xlpm.lastFirst,C98,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46538</v>
      </c>
      <c r="F98" s="999" t="str">
        <f t="shared" si="2"/>
        <v>IPS</v>
      </c>
      <c r="G98" s="1000" t="str" cm="1">
        <f t="array" ref="G98">IF($A98="","",IF(COUNTIF($N$3:$N$24,C98)&gt;0,"Former",_xlfn.LET(_xlpm.s,INDEX('resident aged receivable'!$E:$E,$A98),IF(ISNUMBER(SEARCH("Eviction",_xlpm.s)),"Eviction",IF(ISNUMBER(SEARCH("Skip",_xlpm.s)),"Skip",IF(ISNUMBER(SEARCH("Past",_xlpm.s))+ISNUMBER(SEARCH("Collections",_xlpm.s)),"Former",_xlpm.s))))))</f>
        <v>Skip</v>
      </c>
      <c r="H98" s="1001" cm="1">
        <f t="array" ref="H98">IF($A98="","",INDEX('resident aged receivable'!$I:$I,$A98))</f>
        <v>651.59</v>
      </c>
      <c r="I98" s="1001" cm="1">
        <f t="array" ref="I98">IF($A98="","",INDEX('resident aged receivable'!$J:$J,$A98))</f>
        <v>651.59</v>
      </c>
      <c r="J98" s="1001" cm="1">
        <f t="array" ref="J98">IF($A98="","",INDEX('resident aged receivable'!$K:$K,$A98))</f>
        <v>0</v>
      </c>
      <c r="K98" s="1020" t="str" cm="1">
        <f t="array" ref="K98">IF($C98="","",IFERROR(_xlfn.LET(_xlpm.unit,B98,_xlpm.resident,C98,_xlpm.lastName,IFERROR(LEFT(_xlpm.resident,FIND(",",_xlpm.resident)-1),_xlpm.resident),_xlpm.llMatch,(LeaseLock!$D$2:$D$500=_xlpm.unit)*ISNUMBER(SEARCH(_xlpm.lastName,LeaseLock!$C$2:$C$500)),_xlpm.hasLL,SUMPRODUCT(_xlpm.llMatch)&gt;0,_xlpm.llStatus,IF(_xlpm.hasLL,_xlfn.LET(_xlpm.stat,LOOKUP(2,1/_xlpm.llMatch,LeaseLock!$F$2:$F$500),_xlpm.sub,LOOKUP(2,1/_xlpm.llMatch,LeaseLock!$G$2:$G$500),_xlpm.paid,LOOKUP(2,1/_xlpm.llMatch,LeaseLock!$M$2:$M$500),IF(_xlpm.stat="Claim Denied","Claim Denied ("&amp;_xlpm.sub&amp;")",IF(_xlpm.stat="Open","Open - "&amp;_xlpm.sub,IF(_xlpm.paid&gt;0,_xlpm.stat&amp;" - $"&amp;TEXT(_xlpm.paid,"#,##0.00")&amp;" paid",_xlpm.stat&amp;" - no payment")))),""),_xlpm.rsiMatches,ISNUMBER(SEARCH(_xlpm.lastName,Evictions_RSI!$B$3:$B$200))*(Evictions_RSI!$B$3:$B$200&lt;&gt;""),_xlpm.hasRSI,SUMPRODUCT(_xlpm.rsiMatches)&gt;0,_xlpm.rsiStatus,IF(_xlpm.hasRSI,_xlfn.LET(_xlpm.dates,IF(_xlpm.rsiMatches,IFERROR(DATEVALUE(SUBSTITUTE(Evictions_RSI!$A$3:$A$200,_xlfn.UNICHAR(8204),"")),0),0),_xlpm.latestRow,MATCH(MAX(_xlpm.dates),_xlpm.dates,0),TRIM(SUBSTITUTE(INDEX(Evictions_RSI!$I$3:$I$200,_xlpm.latestRow),_xlfn.UNICHAR(8204),""))),""),IF(AND(_xlpm.llStatus="",_xlpm.rsiStatus=""),"",IF(_xlpm.llStatus="","RSI: "&amp;_xlpm.rsiStatus,IF(_xlpm.rsiStatus="","LL: "&amp;_xlpm.llStatus,"LL: "&amp;_xlpm.llStatus&amp;" | RSI: "&amp;_xlpm.rsiStatus)))),""))</f>
        <v/>
      </c>
      <c r="L98" s="1002"/>
      <c r="Q98" s="973"/>
      <c r="R98" s="973"/>
      <c r="S98" s="973"/>
      <c r="T98" s="973"/>
      <c r="U98" s="973"/>
      <c r="V98" s="973"/>
      <c r="W98" s="973"/>
      <c r="X98" s="973"/>
      <c r="Y98" s="973"/>
      <c r="Z98" s="973"/>
    </row>
    <row r="99" spans="1:26" ht="12" customHeight="1">
      <c r="A99" s="996" cm="1">
        <f t="array" ref="A99">IFERROR(_xlfn.LET(_xlpm.n,ROW()-16,_xlpm.adj,IF((((ISNUMBER(SEARCH("Eviction",'resident aged receivable'!$E$2:$E$460)))+(ISNUMBER(SEARCH("Past",'resident aged receivable'!$E$2:$E$460)))+(ISNUMBER(SEARCH("Skip",'resident aged receivable'!$E$2:$E$460)))+(ISNUMBER(SEARCH("Collections",'resident aged receivable'!$E$2:$E$460)))+(COUNTIF($N$3:$N$24,'resident aged receivable'!$D$2:$D$460)&gt;0))&gt;0)*(((((LEFT('resident aged receivable'!$E$2:$E$460,7)="Current")+(LEFT('resident aged receivable'!$E$2:$E$460,6)="Notice"))=0)+(COUNTIF($N$3:$N$24,'resident aged receivable'!$D$2:$D$460)&gt;0))&gt;0)*(COUNTIF($P$3:$P$24,'resident aged receivable'!$D$2:$D$460)=0)*('resident aged receivable'!$I$2:$I$460&gt;0),'resident aged receivable'!$I$2:$I$460-ROW('resident aged receivable'!$I$2:$I$460)/1000000),_xlpm.tgt,LARGE(_xlpm.adj,_xlpm.n),MATCH(_xlpm.tgt,_xlpm.adj,0)+1),"")</f>
        <v>41</v>
      </c>
      <c r="B99" s="997" t="str" cm="1">
        <f t="array" ref="B99">IF($A99="","",INDEX('resident aged receivable'!$B:$B,$A99))</f>
        <v>N19-2081</v>
      </c>
      <c r="C99" s="997" t="str" cm="1">
        <f t="array" ref="C99">IF($A99="","",INDEX('resident aged receivable'!$D:$D,$A99))</f>
        <v>Becerra, Maria</v>
      </c>
      <c r="D99" s="998" cm="1">
        <f t="array" ref="D99">IF($A99="","",INDEX('resident aged receivable'!$F:$F,$A99))</f>
        <v>45397</v>
      </c>
      <c r="E99" s="998" cm="1">
        <f t="array" ref="E99">IF($A99="","",_xlfn.LET(_xlpm.leaseEnd,INDEX('resident aged receivable'!$H:$H,$A99),_xlpm.moLookup,IFERROR(_xlfn.LET(_xlpm.lastFirst,C99,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46538</v>
      </c>
      <c r="F99" s="999" t="str">
        <f t="shared" si="2"/>
        <v>IPS</v>
      </c>
      <c r="G99" s="1000" t="str" cm="1">
        <f t="array" ref="G99">IF($A99="","",IF(COUNTIF($N$3:$N$24,C99)&gt;0,"Former",_xlfn.LET(_xlpm.s,INDEX('resident aged receivable'!$E:$E,$A99),IF(ISNUMBER(SEARCH("Eviction",_xlpm.s)),"Eviction",IF(ISNUMBER(SEARCH("Skip",_xlpm.s)),"Skip",IF(ISNUMBER(SEARCH("Past",_xlpm.s))+ISNUMBER(SEARCH("Collections",_xlpm.s)),"Former",_xlpm.s))))))</f>
        <v>Skip</v>
      </c>
      <c r="H99" s="1001" cm="1">
        <f t="array" ref="H99">IF($A99="","",INDEX('resident aged receivable'!$I:$I,$A99))</f>
        <v>625.15</v>
      </c>
      <c r="I99" s="1001" cm="1">
        <f t="array" ref="I99">IF($A99="","",INDEX('resident aged receivable'!$J:$J,$A99))</f>
        <v>625.15</v>
      </c>
      <c r="J99" s="1001" cm="1">
        <f t="array" ref="J99">IF($A99="","",INDEX('resident aged receivable'!$K:$K,$A99))</f>
        <v>0</v>
      </c>
      <c r="K99" s="1020" t="str" cm="1">
        <f t="array" ref="K99">IF($C99="","",IFERROR(_xlfn.LET(_xlpm.unit,B99,_xlpm.resident,C99,_xlpm.lastName,IFERROR(LEFT(_xlpm.resident,FIND(",",_xlpm.resident)-1),_xlpm.resident),_xlpm.llMatch,(LeaseLock!$D$2:$D$500=_xlpm.unit)*ISNUMBER(SEARCH(_xlpm.lastName,LeaseLock!$C$2:$C$500)),_xlpm.hasLL,SUMPRODUCT(_xlpm.llMatch)&gt;0,_xlpm.llStatus,IF(_xlpm.hasLL,_xlfn.LET(_xlpm.stat,LOOKUP(2,1/_xlpm.llMatch,LeaseLock!$F$2:$F$500),_xlpm.sub,LOOKUP(2,1/_xlpm.llMatch,LeaseLock!$G$2:$G$500),_xlpm.paid,LOOKUP(2,1/_xlpm.llMatch,LeaseLock!$M$2:$M$500),IF(_xlpm.stat="Claim Denied","Claim Denied ("&amp;_xlpm.sub&amp;")",IF(_xlpm.stat="Open","Open - "&amp;_xlpm.sub,IF(_xlpm.paid&gt;0,_xlpm.stat&amp;" - $"&amp;TEXT(_xlpm.paid,"#,##0.00")&amp;" paid",_xlpm.stat&amp;" - no payment")))),""),_xlpm.rsiMatches,ISNUMBER(SEARCH(_xlpm.lastName,Evictions_RSI!$B$3:$B$200))*(Evictions_RSI!$B$3:$B$200&lt;&gt;""),_xlpm.hasRSI,SUMPRODUCT(_xlpm.rsiMatches)&gt;0,_xlpm.rsiStatus,IF(_xlpm.hasRSI,_xlfn.LET(_xlpm.dates,IF(_xlpm.rsiMatches,IFERROR(DATEVALUE(SUBSTITUTE(Evictions_RSI!$A$3:$A$200,_xlfn.UNICHAR(8204),"")),0),0),_xlpm.latestRow,MATCH(MAX(_xlpm.dates),_xlpm.dates,0),TRIM(SUBSTITUTE(INDEX(Evictions_RSI!$I$3:$I$200,_xlpm.latestRow),_xlfn.UNICHAR(8204),""))),""),IF(AND(_xlpm.llStatus="",_xlpm.rsiStatus=""),"",IF(_xlpm.llStatus="","RSI: "&amp;_xlpm.rsiStatus,IF(_xlpm.rsiStatus="","LL: "&amp;_xlpm.llStatus,"LL: "&amp;_xlpm.llStatus&amp;" | RSI: "&amp;_xlpm.rsiStatus)))),""))</f>
        <v>RSI: COC - JOA Pending (Notes)</v>
      </c>
      <c r="L99" s="1002"/>
      <c r="Q99" s="973"/>
      <c r="R99" s="973"/>
      <c r="S99" s="973"/>
      <c r="T99" s="973"/>
      <c r="U99" s="973"/>
      <c r="V99" s="973"/>
      <c r="W99" s="973"/>
      <c r="X99" s="973"/>
      <c r="Y99" s="973"/>
      <c r="Z99" s="973"/>
    </row>
    <row r="100" spans="1:26" ht="12" customHeight="1">
      <c r="A100" s="996" cm="1">
        <f t="array" ref="A100">IFERROR(_xlfn.LET(_xlpm.n,ROW()-16,_xlpm.adj,IF((((ISNUMBER(SEARCH("Eviction",'resident aged receivable'!$E$2:$E$460)))+(ISNUMBER(SEARCH("Past",'resident aged receivable'!$E$2:$E$460)))+(ISNUMBER(SEARCH("Skip",'resident aged receivable'!$E$2:$E$460)))+(ISNUMBER(SEARCH("Collections",'resident aged receivable'!$E$2:$E$460)))+(COUNTIF($N$3:$N$24,'resident aged receivable'!$D$2:$D$460)&gt;0))&gt;0)*(((((LEFT('resident aged receivable'!$E$2:$E$460,7)="Current")+(LEFT('resident aged receivable'!$E$2:$E$460,6)="Notice"))=0)+(COUNTIF($N$3:$N$24,'resident aged receivable'!$D$2:$D$460)&gt;0))&gt;0)*(COUNTIF($P$3:$P$24,'resident aged receivable'!$D$2:$D$460)=0)*('resident aged receivable'!$I$2:$I$460&gt;0),'resident aged receivable'!$I$2:$I$460-ROW('resident aged receivable'!$I$2:$I$460)/1000000),_xlpm.tgt,LARGE(_xlpm.adj,_xlpm.n),MATCH(_xlpm.tgt,_xlpm.adj,0)+1),"")</f>
        <v>53</v>
      </c>
      <c r="B100" s="997" t="str" cm="1">
        <f t="array" ref="B100">IF($A100="","",INDEX('resident aged receivable'!$B:$B,$A100))</f>
        <v>N25-1102</v>
      </c>
      <c r="C100" s="997" t="str" cm="1">
        <f t="array" ref="C100">IF($A100="","",INDEX('resident aged receivable'!$D:$D,$A100))</f>
        <v>Eliuth, Gerson</v>
      </c>
      <c r="D100" s="998" cm="1">
        <f t="array" ref="D100">IF($A100="","",INDEX('resident aged receivable'!$F:$F,$A100))</f>
        <v>45870</v>
      </c>
      <c r="E100" s="998" cm="1">
        <f t="array" ref="E100">IF($A100="","",_xlfn.LET(_xlpm.leaseEnd,INDEX('resident aged receivable'!$H:$H,$A100),_xlpm.moLookup,IFERROR(_xlfn.LET(_xlpm.lastFirst,C100,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46238</v>
      </c>
      <c r="F100" s="999" t="str">
        <f t="shared" si="2"/>
        <v>IPS</v>
      </c>
      <c r="G100" s="1000" t="str" cm="1">
        <f t="array" ref="G100">IF($A100="","",IF(COUNTIF($N$3:$N$24,C100)&gt;0,"Former",_xlfn.LET(_xlpm.s,INDEX('resident aged receivable'!$E:$E,$A100),IF(ISNUMBER(SEARCH("Eviction",_xlpm.s)),"Eviction",IF(ISNUMBER(SEARCH("Skip",_xlpm.s)),"Skip",IF(ISNUMBER(SEARCH("Past",_xlpm.s))+ISNUMBER(SEARCH("Collections",_xlpm.s)),"Former",_xlpm.s))))))</f>
        <v>Former</v>
      </c>
      <c r="H100" s="1001" cm="1">
        <f t="array" ref="H100">IF($A100="","",INDEX('resident aged receivable'!$I:$I,$A100))</f>
        <v>581.97</v>
      </c>
      <c r="I100" s="1001" cm="1">
        <f t="array" ref="I100">IF($A100="","",INDEX('resident aged receivable'!$J:$J,$A100))</f>
        <v>581.97</v>
      </c>
      <c r="J100" s="1001" cm="1">
        <f t="array" ref="J100">IF($A100="","",INDEX('resident aged receivable'!$K:$K,$A100))</f>
        <v>0</v>
      </c>
      <c r="K100" s="1020" t="str" cm="1">
        <f t="array" ref="K100">IF($C100="","",IFERROR(_xlfn.LET(_xlpm.unit,B100,_xlpm.resident,C100,_xlpm.lastName,IFERROR(LEFT(_xlpm.resident,FIND(",",_xlpm.resident)-1),_xlpm.resident),_xlpm.llMatch,(LeaseLock!$D$2:$D$500=_xlpm.unit)*ISNUMBER(SEARCH(_xlpm.lastName,LeaseLock!$C$2:$C$500)),_xlpm.hasLL,SUMPRODUCT(_xlpm.llMatch)&gt;0,_xlpm.llStatus,IF(_xlpm.hasLL,_xlfn.LET(_xlpm.stat,LOOKUP(2,1/_xlpm.llMatch,LeaseLock!$F$2:$F$500),_xlpm.sub,LOOKUP(2,1/_xlpm.llMatch,LeaseLock!$G$2:$G$500),_xlpm.paid,LOOKUP(2,1/_xlpm.llMatch,LeaseLock!$M$2:$M$500),IF(_xlpm.stat="Claim Denied","Claim Denied ("&amp;_xlpm.sub&amp;")",IF(_xlpm.stat="Open","Open - "&amp;_xlpm.sub,IF(_xlpm.paid&gt;0,_xlpm.stat&amp;" - $"&amp;TEXT(_xlpm.paid,"#,##0.00")&amp;" paid",_xlpm.stat&amp;" - no payment")))),""),_xlpm.rsiMatches,ISNUMBER(SEARCH(_xlpm.lastName,Evictions_RSI!$B$3:$B$200))*(Evictions_RSI!$B$3:$B$200&lt;&gt;""),_xlpm.hasRSI,SUMPRODUCT(_xlpm.rsiMatches)&gt;0,_xlpm.rsiStatus,IF(_xlpm.hasRSI,_xlfn.LET(_xlpm.dates,IF(_xlpm.rsiMatches,IFERROR(DATEVALUE(SUBSTITUTE(Evictions_RSI!$A$3:$A$200,_xlfn.UNICHAR(8204),"")),0),0),_xlpm.latestRow,MATCH(MAX(_xlpm.dates),_xlpm.dates,0),TRIM(SUBSTITUTE(INDEX(Evictions_RSI!$I$3:$I$200,_xlpm.latestRow),_xlfn.UNICHAR(8204),""))),""),IF(AND(_xlpm.llStatus="",_xlpm.rsiStatus=""),"",IF(_xlpm.llStatus="","RSI: "&amp;_xlpm.rsiStatus,IF(_xlpm.rsiStatus="","LL: "&amp;_xlpm.llStatus,"LL: "&amp;_xlpm.llStatus&amp;" | RSI: "&amp;_xlpm.rsiStatus)))),""))</f>
        <v/>
      </c>
      <c r="L100" s="1002"/>
      <c r="Q100" s="973"/>
      <c r="R100" s="973"/>
      <c r="S100" s="973"/>
      <c r="T100" s="973"/>
      <c r="U100" s="973"/>
      <c r="V100" s="973"/>
      <c r="W100" s="973"/>
      <c r="X100" s="973"/>
      <c r="Y100" s="973"/>
      <c r="Z100" s="973"/>
    </row>
    <row r="101" spans="1:26" ht="12" customHeight="1">
      <c r="A101" s="996" cm="1">
        <f t="array" ref="A101">IFERROR(_xlfn.LET(_xlpm.n,ROW()-16,_xlpm.adj,IF((((ISNUMBER(SEARCH("Eviction",'resident aged receivable'!$E$2:$E$460)))+(ISNUMBER(SEARCH("Past",'resident aged receivable'!$E$2:$E$460)))+(ISNUMBER(SEARCH("Skip",'resident aged receivable'!$E$2:$E$460)))+(ISNUMBER(SEARCH("Collections",'resident aged receivable'!$E$2:$E$460)))+(COUNTIF($N$3:$N$24,'resident aged receivable'!$D$2:$D$460)&gt;0))&gt;0)*(((((LEFT('resident aged receivable'!$E$2:$E$460,7)="Current")+(LEFT('resident aged receivable'!$E$2:$E$460,6)="Notice"))=0)+(COUNTIF($N$3:$N$24,'resident aged receivable'!$D$2:$D$460)&gt;0))&gt;0)*(COUNTIF($P$3:$P$24,'resident aged receivable'!$D$2:$D$460)=0)*('resident aged receivable'!$I$2:$I$460&gt;0),'resident aged receivable'!$I$2:$I$460-ROW('resident aged receivable'!$I$2:$I$460)/1000000),_xlpm.tgt,LARGE(_xlpm.adj,_xlpm.n),MATCH(_xlpm.tgt,_xlpm.adj,0)+1),"")</f>
        <v>111</v>
      </c>
      <c r="B101" s="997" t="str" cm="1">
        <f t="array" ref="B101">IF($A101="","",INDEX('resident aged receivable'!$B:$B,$A101))</f>
        <v>W07-1-0705</v>
      </c>
      <c r="C101" s="997" t="str" cm="1">
        <f t="array" ref="C101">IF($A101="","",INDEX('resident aged receivable'!$D:$D,$A101))</f>
        <v>EREKOSIMA, PRIYE</v>
      </c>
      <c r="D101" s="998" cm="1">
        <f t="array" ref="D101">IF($A101="","",INDEX('resident aged receivable'!$F:$F,$A101))</f>
        <v>45276</v>
      </c>
      <c r="E101" s="998" cm="1">
        <f t="array" ref="E101">IF($A101="","",_xlfn.LET(_xlpm.leaseEnd,INDEX('resident aged receivable'!$H:$H,$A101),_xlpm.moLookup,IFERROR(_xlfn.LET(_xlpm.lastFirst,C101,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46196</v>
      </c>
      <c r="F101" s="999" t="str">
        <f t="shared" si="2"/>
        <v>IPS</v>
      </c>
      <c r="G101" s="1000" t="str" cm="1">
        <f t="array" ref="G101">IF($A101="","",IF(COUNTIF($N$3:$N$24,C101)&gt;0,"Former",_xlfn.LET(_xlpm.s,INDEX('resident aged receivable'!$E:$E,$A101),IF(ISNUMBER(SEARCH("Eviction",_xlpm.s)),"Eviction",IF(ISNUMBER(SEARCH("Skip",_xlpm.s)),"Skip",IF(ISNUMBER(SEARCH("Past",_xlpm.s))+ISNUMBER(SEARCH("Collections",_xlpm.s)),"Former",_xlpm.s))))))</f>
        <v>Former</v>
      </c>
      <c r="H101" s="1001" cm="1">
        <f t="array" ref="H101">IF($A101="","",INDEX('resident aged receivable'!$I:$I,$A101))</f>
        <v>555.69000000000005</v>
      </c>
      <c r="I101" s="1001" cm="1">
        <f t="array" ref="I101">IF($A101="","",INDEX('resident aged receivable'!$J:$J,$A101))</f>
        <v>0</v>
      </c>
      <c r="J101" s="1001" cm="1">
        <f t="array" ref="J101">IF($A101="","",INDEX('resident aged receivable'!$K:$K,$A101))</f>
        <v>555.69000000000005</v>
      </c>
      <c r="K101" s="1020" t="str" cm="1">
        <f t="array" ref="K101">IF($C101="","",IFERROR(_xlfn.LET(_xlpm.unit,B101,_xlpm.resident,C101,_xlpm.lastName,IFERROR(LEFT(_xlpm.resident,FIND(",",_xlpm.resident)-1),_xlpm.resident),_xlpm.llMatch,(LeaseLock!$D$2:$D$500=_xlpm.unit)*ISNUMBER(SEARCH(_xlpm.lastName,LeaseLock!$C$2:$C$500)),_xlpm.hasLL,SUMPRODUCT(_xlpm.llMatch)&gt;0,_xlpm.llStatus,IF(_xlpm.hasLL,_xlfn.LET(_xlpm.stat,LOOKUP(2,1/_xlpm.llMatch,LeaseLock!$F$2:$F$500),_xlpm.sub,LOOKUP(2,1/_xlpm.llMatch,LeaseLock!$G$2:$G$500),_xlpm.paid,LOOKUP(2,1/_xlpm.llMatch,LeaseLock!$M$2:$M$500),IF(_xlpm.stat="Claim Denied","Claim Denied ("&amp;_xlpm.sub&amp;")",IF(_xlpm.stat="Open","Open - "&amp;_xlpm.sub,IF(_xlpm.paid&gt;0,_xlpm.stat&amp;" - $"&amp;TEXT(_xlpm.paid,"#,##0.00")&amp;" paid",_xlpm.stat&amp;" - no payment")))),""),_xlpm.rsiMatches,ISNUMBER(SEARCH(_xlpm.lastName,Evictions_RSI!$B$3:$B$200))*(Evictions_RSI!$B$3:$B$200&lt;&gt;""),_xlpm.hasRSI,SUMPRODUCT(_xlpm.rsiMatches)&gt;0,_xlpm.rsiStatus,IF(_xlpm.hasRSI,_xlfn.LET(_xlpm.dates,IF(_xlpm.rsiMatches,IFERROR(DATEVALUE(SUBSTITUTE(Evictions_RSI!$A$3:$A$200,_xlfn.UNICHAR(8204),"")),0),0),_xlpm.latestRow,MATCH(MAX(_xlpm.dates),_xlpm.dates,0),TRIM(SUBSTITUTE(INDEX(Evictions_RSI!$I$3:$I$200,_xlpm.latestRow),_xlfn.UNICHAR(8204),""))),""),IF(AND(_xlpm.llStatus="",_xlpm.rsiStatus=""),"",IF(_xlpm.llStatus="","RSI: "&amp;_xlpm.rsiStatus,IF(_xlpm.rsiStatus="","LL: "&amp;_xlpm.llStatus,"LL: "&amp;_xlpm.llStatus&amp;" | RSI: "&amp;_xlpm.rsiStatus)))),""))</f>
        <v/>
      </c>
      <c r="L101" s="1002"/>
      <c r="Q101" s="973"/>
      <c r="R101" s="973"/>
      <c r="S101" s="973"/>
      <c r="T101" s="973"/>
      <c r="U101" s="973"/>
      <c r="V101" s="973"/>
      <c r="W101" s="973"/>
      <c r="X101" s="973"/>
      <c r="Y101" s="973"/>
      <c r="Z101" s="973"/>
    </row>
    <row r="102" spans="1:26" ht="12" customHeight="1">
      <c r="A102" s="996" cm="1">
        <f t="array" ref="A102">IFERROR(_xlfn.LET(_xlpm.n,ROW()-16,_xlpm.adj,IF((((ISNUMBER(SEARCH("Eviction",'resident aged receivable'!$E$2:$E$460)))+(ISNUMBER(SEARCH("Past",'resident aged receivable'!$E$2:$E$460)))+(ISNUMBER(SEARCH("Skip",'resident aged receivable'!$E$2:$E$460)))+(ISNUMBER(SEARCH("Collections",'resident aged receivable'!$E$2:$E$460)))+(COUNTIF($N$3:$N$24,'resident aged receivable'!$D$2:$D$460)&gt;0))&gt;0)*(((((LEFT('resident aged receivable'!$E$2:$E$460,7)="Current")+(LEFT('resident aged receivable'!$E$2:$E$460,6)="Notice"))=0)+(COUNTIF($N$3:$N$24,'resident aged receivable'!$D$2:$D$460)&gt;0))&gt;0)*(COUNTIF($P$3:$P$24,'resident aged receivable'!$D$2:$D$460)=0)*('resident aged receivable'!$I$2:$I$460&gt;0),'resident aged receivable'!$I$2:$I$460-ROW('resident aged receivable'!$I$2:$I$460)/1000000),_xlpm.tgt,LARGE(_xlpm.adj,_xlpm.n),MATCH(_xlpm.tgt,_xlpm.adj,0)+1),"")</f>
        <v>84</v>
      </c>
      <c r="B102" s="997" t="str" cm="1">
        <f t="array" ref="B102">IF($A102="","",INDEX('resident aged receivable'!$B:$B,$A102))</f>
        <v>S41-165</v>
      </c>
      <c r="C102" s="997" t="str" cm="1">
        <f t="array" ref="C102">IF($A102="","",INDEX('resident aged receivable'!$D:$D,$A102))</f>
        <v>Torres, Saul</v>
      </c>
      <c r="D102" s="998" cm="1">
        <f t="array" ref="D102">IF($A102="","",INDEX('resident aged receivable'!$F:$F,$A102))</f>
        <v>45231</v>
      </c>
      <c r="E102" s="998" cm="1">
        <f t="array" ref="E102">IF($A102="","",_xlfn.LET(_xlpm.leaseEnd,INDEX('resident aged receivable'!$H:$H,$A102),_xlpm.moLookup,IFERROR(_xlfn.LET(_xlpm.lastFirst,C102,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46242</v>
      </c>
      <c r="F102" s="999" t="str">
        <f t="shared" si="2"/>
        <v>IPS</v>
      </c>
      <c r="G102" s="1000" t="str" cm="1">
        <f t="array" ref="G102">IF($A102="","",IF(COUNTIF($N$3:$N$24,C102)&gt;0,"Former",_xlfn.LET(_xlpm.s,INDEX('resident aged receivable'!$E:$E,$A102),IF(ISNUMBER(SEARCH("Eviction",_xlpm.s)),"Eviction",IF(ISNUMBER(SEARCH("Skip",_xlpm.s)),"Skip",IF(ISNUMBER(SEARCH("Past",_xlpm.s))+ISNUMBER(SEARCH("Collections",_xlpm.s)),"Former",_xlpm.s))))))</f>
        <v>Former</v>
      </c>
      <c r="H102" s="1001" cm="1">
        <f t="array" ref="H102">IF($A102="","",INDEX('resident aged receivable'!$I:$I,$A102))</f>
        <v>516.54999999999995</v>
      </c>
      <c r="I102" s="1001" cm="1">
        <f t="array" ref="I102">IF($A102="","",INDEX('resident aged receivable'!$J:$J,$A102))</f>
        <v>516.54999999999995</v>
      </c>
      <c r="J102" s="1001" cm="1">
        <f t="array" ref="J102">IF($A102="","",INDEX('resident aged receivable'!$K:$K,$A102))</f>
        <v>0</v>
      </c>
      <c r="K102" s="1020" t="str" cm="1">
        <f t="array" ref="K102">IF($C102="","",IFERROR(_xlfn.LET(_xlpm.unit,B102,_xlpm.resident,C102,_xlpm.lastName,IFERROR(LEFT(_xlpm.resident,FIND(",",_xlpm.resident)-1),_xlpm.resident),_xlpm.llMatch,(LeaseLock!$D$2:$D$500=_xlpm.unit)*ISNUMBER(SEARCH(_xlpm.lastName,LeaseLock!$C$2:$C$500)),_xlpm.hasLL,SUMPRODUCT(_xlpm.llMatch)&gt;0,_xlpm.llStatus,IF(_xlpm.hasLL,_xlfn.LET(_xlpm.stat,LOOKUP(2,1/_xlpm.llMatch,LeaseLock!$F$2:$F$500),_xlpm.sub,LOOKUP(2,1/_xlpm.llMatch,LeaseLock!$G$2:$G$500),_xlpm.paid,LOOKUP(2,1/_xlpm.llMatch,LeaseLock!$M$2:$M$500),IF(_xlpm.stat="Claim Denied","Claim Denied ("&amp;_xlpm.sub&amp;")",IF(_xlpm.stat="Open","Open - "&amp;_xlpm.sub,IF(_xlpm.paid&gt;0,_xlpm.stat&amp;" - $"&amp;TEXT(_xlpm.paid,"#,##0.00")&amp;" paid",_xlpm.stat&amp;" - no payment")))),""),_xlpm.rsiMatches,ISNUMBER(SEARCH(_xlpm.lastName,Evictions_RSI!$B$3:$B$200))*(Evictions_RSI!$B$3:$B$200&lt;&gt;""),_xlpm.hasRSI,SUMPRODUCT(_xlpm.rsiMatches)&gt;0,_xlpm.rsiStatus,IF(_xlpm.hasRSI,_xlfn.LET(_xlpm.dates,IF(_xlpm.rsiMatches,IFERROR(DATEVALUE(SUBSTITUTE(Evictions_RSI!$A$3:$A$200,_xlfn.UNICHAR(8204),"")),0),0),_xlpm.latestRow,MATCH(MAX(_xlpm.dates),_xlpm.dates,0),TRIM(SUBSTITUTE(INDEX(Evictions_RSI!$I$3:$I$200,_xlpm.latestRow),_xlfn.UNICHAR(8204),""))),""),IF(AND(_xlpm.llStatus="",_xlpm.rsiStatus=""),"",IF(_xlpm.llStatus="","RSI: "&amp;_xlpm.rsiStatus,IF(_xlpm.rsiStatus="","LL: "&amp;_xlpm.llStatus,"LL: "&amp;_xlpm.llStatus&amp;" | RSI: "&amp;_xlpm.rsiStatus)))),""))</f>
        <v>RSI: Cancelled (Notes)</v>
      </c>
      <c r="L102" s="1002"/>
      <c r="Q102" s="973"/>
      <c r="R102" s="973"/>
      <c r="S102" s="973"/>
      <c r="T102" s="973"/>
      <c r="U102" s="973"/>
      <c r="V102" s="973"/>
      <c r="W102" s="973"/>
      <c r="X102" s="973"/>
      <c r="Y102" s="973"/>
      <c r="Z102" s="973"/>
    </row>
    <row r="103" spans="1:26" ht="12" customHeight="1">
      <c r="A103" s="996" cm="1">
        <f t="array" ref="A103">IFERROR(_xlfn.LET(_xlpm.n,ROW()-16,_xlpm.adj,IF((((ISNUMBER(SEARCH("Eviction",'resident aged receivable'!$E$2:$E$460)))+(ISNUMBER(SEARCH("Past",'resident aged receivable'!$E$2:$E$460)))+(ISNUMBER(SEARCH("Skip",'resident aged receivable'!$E$2:$E$460)))+(ISNUMBER(SEARCH("Collections",'resident aged receivable'!$E$2:$E$460)))+(COUNTIF($N$3:$N$24,'resident aged receivable'!$D$2:$D$460)&gt;0))&gt;0)*(((((LEFT('resident aged receivable'!$E$2:$E$460,7)="Current")+(LEFT('resident aged receivable'!$E$2:$E$460,6)="Notice"))=0)+(COUNTIF($N$3:$N$24,'resident aged receivable'!$D$2:$D$460)&gt;0))&gt;0)*(COUNTIF($P$3:$P$24,'resident aged receivable'!$D$2:$D$460)=0)*('resident aged receivable'!$I$2:$I$460&gt;0),'resident aged receivable'!$I$2:$I$460-ROW('resident aged receivable'!$I$2:$I$460)/1000000),_xlpm.tgt,LARGE(_xlpm.adj,_xlpm.n),MATCH(_xlpm.tgt,_xlpm.adj,0)+1),"")</f>
        <v>148</v>
      </c>
      <c r="B103" s="997" t="str" cm="1">
        <f t="array" ref="B103">IF($A103="","",INDEX('resident aged receivable'!$B:$B,$A103))</f>
        <v>W15-2-3087</v>
      </c>
      <c r="C103" s="997" t="str" cm="1">
        <f t="array" ref="C103">IF($A103="","",INDEX('resident aged receivable'!$D:$D,$A103))</f>
        <v>Amaya, Hermis</v>
      </c>
      <c r="D103" s="998" cm="1">
        <f t="array" ref="D103">IF($A103="","",INDEX('resident aged receivable'!$F:$F,$A103))</f>
        <v>45842</v>
      </c>
      <c r="E103" s="998" cm="1">
        <f t="array" ref="E103">IF($A103="","",_xlfn.LET(_xlpm.leaseEnd,INDEX('resident aged receivable'!$H:$H,$A103),_xlpm.moLookup,IFERROR(_xlfn.LET(_xlpm.lastFirst,C103,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46209</v>
      </c>
      <c r="F103" s="999" t="str">
        <f t="shared" si="2"/>
        <v>IPS</v>
      </c>
      <c r="G103" s="1000" t="str" cm="1">
        <f t="array" ref="G103">IF($A103="","",IF(COUNTIF($N$3:$N$24,C103)&gt;0,"Former",_xlfn.LET(_xlpm.s,INDEX('resident aged receivable'!$E:$E,$A103),IF(ISNUMBER(SEARCH("Eviction",_xlpm.s)),"Eviction",IF(ISNUMBER(SEARCH("Skip",_xlpm.s)),"Skip",IF(ISNUMBER(SEARCH("Past",_xlpm.s))+ISNUMBER(SEARCH("Collections",_xlpm.s)),"Former",_xlpm.s))))))</f>
        <v>Former</v>
      </c>
      <c r="H103" s="1001" cm="1">
        <f t="array" ref="H103">IF($A103="","",INDEX('resident aged receivable'!$I:$I,$A103))</f>
        <v>509.89</v>
      </c>
      <c r="I103" s="1001" cm="1">
        <f t="array" ref="I103">IF($A103="","",INDEX('resident aged receivable'!$J:$J,$A103))</f>
        <v>0</v>
      </c>
      <c r="J103" s="1001" cm="1">
        <f t="array" ref="J103">IF($A103="","",INDEX('resident aged receivable'!$K:$K,$A103))</f>
        <v>509.89</v>
      </c>
      <c r="K103" s="1020" t="str" cm="1">
        <f t="array" ref="K103">IF($C103="","",IFERROR(_xlfn.LET(_xlpm.unit,B103,_xlpm.resident,C103,_xlpm.lastName,IFERROR(LEFT(_xlpm.resident,FIND(",",_xlpm.resident)-1),_xlpm.resident),_xlpm.llMatch,(LeaseLock!$D$2:$D$500=_xlpm.unit)*ISNUMBER(SEARCH(_xlpm.lastName,LeaseLock!$C$2:$C$500)),_xlpm.hasLL,SUMPRODUCT(_xlpm.llMatch)&gt;0,_xlpm.llStatus,IF(_xlpm.hasLL,_xlfn.LET(_xlpm.stat,LOOKUP(2,1/_xlpm.llMatch,LeaseLock!$F$2:$F$500),_xlpm.sub,LOOKUP(2,1/_xlpm.llMatch,LeaseLock!$G$2:$G$500),_xlpm.paid,LOOKUP(2,1/_xlpm.llMatch,LeaseLock!$M$2:$M$500),IF(_xlpm.stat="Claim Denied","Claim Denied ("&amp;_xlpm.sub&amp;")",IF(_xlpm.stat="Open","Open - "&amp;_xlpm.sub,IF(_xlpm.paid&gt;0,_xlpm.stat&amp;" - $"&amp;TEXT(_xlpm.paid,"#,##0.00")&amp;" paid",_xlpm.stat&amp;" - no payment")))),""),_xlpm.rsiMatches,ISNUMBER(SEARCH(_xlpm.lastName,Evictions_RSI!$B$3:$B$200))*(Evictions_RSI!$B$3:$B$200&lt;&gt;""),_xlpm.hasRSI,SUMPRODUCT(_xlpm.rsiMatches)&gt;0,_xlpm.rsiStatus,IF(_xlpm.hasRSI,_xlfn.LET(_xlpm.dates,IF(_xlpm.rsiMatches,IFERROR(DATEVALUE(SUBSTITUTE(Evictions_RSI!$A$3:$A$200,_xlfn.UNICHAR(8204),"")),0),0),_xlpm.latestRow,MATCH(MAX(_xlpm.dates),_xlpm.dates,0),TRIM(SUBSTITUTE(INDEX(Evictions_RSI!$I$3:$I$200,_xlpm.latestRow),_xlfn.UNICHAR(8204),""))),""),IF(AND(_xlpm.llStatus="",_xlpm.rsiStatus=""),"",IF(_xlpm.llStatus="","RSI: "&amp;_xlpm.rsiStatus,IF(_xlpm.rsiStatus="","LL: "&amp;_xlpm.llStatus,"LL: "&amp;_xlpm.llStatus&amp;" | RSI: "&amp;_xlpm.rsiStatus)))),""))</f>
        <v/>
      </c>
      <c r="L103" s="1002"/>
      <c r="Q103" s="973"/>
      <c r="R103" s="973"/>
      <c r="S103" s="973"/>
      <c r="T103" s="973"/>
      <c r="U103" s="973"/>
      <c r="V103" s="973"/>
      <c r="W103" s="973"/>
      <c r="X103" s="973"/>
      <c r="Y103" s="973"/>
      <c r="Z103" s="973"/>
    </row>
    <row r="104" spans="1:26" ht="12" customHeight="1">
      <c r="A104" s="996" cm="1">
        <f t="array" ref="A104">IFERROR(_xlfn.LET(_xlpm.n,ROW()-16,_xlpm.adj,IF((((ISNUMBER(SEARCH("Eviction",'resident aged receivable'!$E$2:$E$460)))+(ISNUMBER(SEARCH("Past",'resident aged receivable'!$E$2:$E$460)))+(ISNUMBER(SEARCH("Skip",'resident aged receivable'!$E$2:$E$460)))+(ISNUMBER(SEARCH("Collections",'resident aged receivable'!$E$2:$E$460)))+(COUNTIF($N$3:$N$24,'resident aged receivable'!$D$2:$D$460)&gt;0))&gt;0)*(((((LEFT('resident aged receivable'!$E$2:$E$460,7)="Current")+(LEFT('resident aged receivable'!$E$2:$E$460,6)="Notice"))=0)+(COUNTIF($N$3:$N$24,'resident aged receivable'!$D$2:$D$460)&gt;0))&gt;0)*(COUNTIF($P$3:$P$24,'resident aged receivable'!$D$2:$D$460)=0)*('resident aged receivable'!$I$2:$I$460&gt;0),'resident aged receivable'!$I$2:$I$460-ROW('resident aged receivable'!$I$2:$I$460)/1000000),_xlpm.tgt,LARGE(_xlpm.adj,_xlpm.n),MATCH(_xlpm.tgt,_xlpm.adj,0)+1),"")</f>
        <v>16</v>
      </c>
      <c r="B104" s="997" t="str" cm="1">
        <f t="array" ref="B104">IF($A104="","",INDEX('resident aged receivable'!$B:$B,$A104))</f>
        <v>N09-2037</v>
      </c>
      <c r="C104" s="997" t="str" cm="1">
        <f t="array" ref="C104">IF($A104="","",INDEX('resident aged receivable'!$D:$D,$A104))</f>
        <v>Yanez-Almonaci, Miguel</v>
      </c>
      <c r="D104" s="998" cm="1">
        <f t="array" ref="D104">IF($A104="","",INDEX('resident aged receivable'!$F:$F,$A104))</f>
        <v>43017</v>
      </c>
      <c r="E104" s="998" cm="1">
        <f t="array" ref="E104">IF($A104="","",_xlfn.LET(_xlpm.leaseEnd,INDEX('resident aged receivable'!$H:$H,$A104),_xlpm.moLookup,IFERROR(_xlfn.LET(_xlpm.lastFirst,C104,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46234</v>
      </c>
      <c r="F104" s="999" t="str">
        <f t="shared" si="2"/>
        <v>IPS</v>
      </c>
      <c r="G104" s="1000" t="str" cm="1">
        <f t="array" ref="G104">IF($A104="","",IF(COUNTIF($N$3:$N$24,C104)&gt;0,"Former",_xlfn.LET(_xlpm.s,INDEX('resident aged receivable'!$E:$E,$A104),IF(ISNUMBER(SEARCH("Eviction",_xlpm.s)),"Eviction",IF(ISNUMBER(SEARCH("Skip",_xlpm.s)),"Skip",IF(ISNUMBER(SEARCH("Past",_xlpm.s))+ISNUMBER(SEARCH("Collections",_xlpm.s)),"Former",_xlpm.s))))))</f>
        <v>Former</v>
      </c>
      <c r="H104" s="1001" cm="1">
        <f t="array" ref="H104">IF($A104="","",INDEX('resident aged receivable'!$I:$I,$A104))</f>
        <v>507.9</v>
      </c>
      <c r="I104" s="1001" cm="1">
        <f t="array" ref="I104">IF($A104="","",INDEX('resident aged receivable'!$J:$J,$A104))</f>
        <v>0</v>
      </c>
      <c r="J104" s="1001" cm="1">
        <f t="array" ref="J104">IF($A104="","",INDEX('resident aged receivable'!$K:$K,$A104))</f>
        <v>507.9</v>
      </c>
      <c r="K104" s="1020" t="str" cm="1">
        <f t="array" ref="K104">IF($C104="","",IFERROR(_xlfn.LET(_xlpm.unit,B104,_xlpm.resident,C104,_xlpm.lastName,IFERROR(LEFT(_xlpm.resident,FIND(",",_xlpm.resident)-1),_xlpm.resident),_xlpm.llMatch,(LeaseLock!$D$2:$D$500=_xlpm.unit)*ISNUMBER(SEARCH(_xlpm.lastName,LeaseLock!$C$2:$C$500)),_xlpm.hasLL,SUMPRODUCT(_xlpm.llMatch)&gt;0,_xlpm.llStatus,IF(_xlpm.hasLL,_xlfn.LET(_xlpm.stat,LOOKUP(2,1/_xlpm.llMatch,LeaseLock!$F$2:$F$500),_xlpm.sub,LOOKUP(2,1/_xlpm.llMatch,LeaseLock!$G$2:$G$500),_xlpm.paid,LOOKUP(2,1/_xlpm.llMatch,LeaseLock!$M$2:$M$500),IF(_xlpm.stat="Claim Denied","Claim Denied ("&amp;_xlpm.sub&amp;")",IF(_xlpm.stat="Open","Open - "&amp;_xlpm.sub,IF(_xlpm.paid&gt;0,_xlpm.stat&amp;" - $"&amp;TEXT(_xlpm.paid,"#,##0.00")&amp;" paid",_xlpm.stat&amp;" - no payment")))),""),_xlpm.rsiMatches,ISNUMBER(SEARCH(_xlpm.lastName,Evictions_RSI!$B$3:$B$200))*(Evictions_RSI!$B$3:$B$200&lt;&gt;""),_xlpm.hasRSI,SUMPRODUCT(_xlpm.rsiMatches)&gt;0,_xlpm.rsiStatus,IF(_xlpm.hasRSI,_xlfn.LET(_xlpm.dates,IF(_xlpm.rsiMatches,IFERROR(DATEVALUE(SUBSTITUTE(Evictions_RSI!$A$3:$A$200,_xlfn.UNICHAR(8204),"")),0),0),_xlpm.latestRow,MATCH(MAX(_xlpm.dates),_xlpm.dates,0),TRIM(SUBSTITUTE(INDEX(Evictions_RSI!$I$3:$I$200,_xlpm.latestRow),_xlfn.UNICHAR(8204),""))),""),IF(AND(_xlpm.llStatus="",_xlpm.rsiStatus=""),"",IF(_xlpm.llStatus="","RSI: "&amp;_xlpm.rsiStatus,IF(_xlpm.rsiStatus="","LL: "&amp;_xlpm.llStatus,"LL: "&amp;_xlpm.llStatus&amp;" | RSI: "&amp;_xlpm.rsiStatus)))),""))</f>
        <v/>
      </c>
      <c r="L104" s="1002"/>
      <c r="Q104" s="973"/>
      <c r="R104" s="973"/>
      <c r="S104" s="973"/>
      <c r="T104" s="973"/>
      <c r="U104" s="973"/>
      <c r="V104" s="973"/>
      <c r="W104" s="973"/>
      <c r="X104" s="973"/>
      <c r="Y104" s="973"/>
      <c r="Z104" s="973"/>
    </row>
    <row r="105" spans="1:26" ht="12" customHeight="1">
      <c r="A105" s="996" cm="1">
        <f t="array" ref="A105">IFERROR(_xlfn.LET(_xlpm.n,ROW()-16,_xlpm.adj,IF((((ISNUMBER(SEARCH("Eviction",'resident aged receivable'!$E$2:$E$460)))+(ISNUMBER(SEARCH("Past",'resident aged receivable'!$E$2:$E$460)))+(ISNUMBER(SEARCH("Skip",'resident aged receivable'!$E$2:$E$460)))+(ISNUMBER(SEARCH("Collections",'resident aged receivable'!$E$2:$E$460)))+(COUNTIF($N$3:$N$24,'resident aged receivable'!$D$2:$D$460)&gt;0))&gt;0)*(((((LEFT('resident aged receivable'!$E$2:$E$460,7)="Current")+(LEFT('resident aged receivable'!$E$2:$E$460,6)="Notice"))=0)+(COUNTIF($N$3:$N$24,'resident aged receivable'!$D$2:$D$460)&gt;0))&gt;0)*(COUNTIF($P$3:$P$24,'resident aged receivable'!$D$2:$D$460)=0)*('resident aged receivable'!$I$2:$I$460&gt;0),'resident aged receivable'!$I$2:$I$460-ROW('resident aged receivable'!$I$2:$I$460)/1000000),_xlpm.tgt,LARGE(_xlpm.adj,_xlpm.n),MATCH(_xlpm.tgt,_xlpm.adj,0)+1),"")</f>
        <v>97</v>
      </c>
      <c r="B105" s="997" t="str" cm="1">
        <f t="array" ref="B105">IF($A105="","",INDEX('resident aged receivable'!$B:$B,$A105))</f>
        <v>W03-1-0311</v>
      </c>
      <c r="C105" s="997" t="str" cm="1">
        <f t="array" ref="C105">IF($A105="","",INDEX('resident aged receivable'!$D:$D,$A105))</f>
        <v>EMMANUEL, NNADI</v>
      </c>
      <c r="D105" s="998" cm="1">
        <f t="array" ref="D105">IF($A105="","",INDEX('resident aged receivable'!$F:$F,$A105))</f>
        <v>45869</v>
      </c>
      <c r="E105" s="998" cm="1">
        <f t="array" ref="E105">IF($A105="","",_xlfn.LET(_xlpm.leaseEnd,INDEX('resident aged receivable'!$H:$H,$A105),_xlpm.moLookup,IFERROR(_xlfn.LET(_xlpm.lastFirst,C105,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46233</v>
      </c>
      <c r="F105" s="999" t="str">
        <f t="shared" si="2"/>
        <v>IPS</v>
      </c>
      <c r="G105" s="1000" t="str" cm="1">
        <f t="array" ref="G105">IF($A105="","",IF(COUNTIF($N$3:$N$24,C105)&gt;0,"Former",_xlfn.LET(_xlpm.s,INDEX('resident aged receivable'!$E:$E,$A105),IF(ISNUMBER(SEARCH("Eviction",_xlpm.s)),"Eviction",IF(ISNUMBER(SEARCH("Skip",_xlpm.s)),"Skip",IF(ISNUMBER(SEARCH("Past",_xlpm.s))+ISNUMBER(SEARCH("Collections",_xlpm.s)),"Former",_xlpm.s))))))</f>
        <v>Former</v>
      </c>
      <c r="H105" s="1001" cm="1">
        <f t="array" ref="H105">IF($A105="","",INDEX('resident aged receivable'!$I:$I,$A105))</f>
        <v>435.66</v>
      </c>
      <c r="I105" s="1001" cm="1">
        <f t="array" ref="I105">IF($A105="","",INDEX('resident aged receivable'!$J:$J,$A105))</f>
        <v>0</v>
      </c>
      <c r="J105" s="1001" cm="1">
        <f t="array" ref="J105">IF($A105="","",INDEX('resident aged receivable'!$K:$K,$A105))</f>
        <v>435.66</v>
      </c>
      <c r="K105" s="1020" t="str" cm="1">
        <f t="array" ref="K105">IF($C105="","",IFERROR(_xlfn.LET(_xlpm.unit,B105,_xlpm.resident,C105,_xlpm.lastName,IFERROR(LEFT(_xlpm.resident,FIND(",",_xlpm.resident)-1),_xlpm.resident),_xlpm.llMatch,(LeaseLock!$D$2:$D$500=_xlpm.unit)*ISNUMBER(SEARCH(_xlpm.lastName,LeaseLock!$C$2:$C$500)),_xlpm.hasLL,SUMPRODUCT(_xlpm.llMatch)&gt;0,_xlpm.llStatus,IF(_xlpm.hasLL,_xlfn.LET(_xlpm.stat,LOOKUP(2,1/_xlpm.llMatch,LeaseLock!$F$2:$F$500),_xlpm.sub,LOOKUP(2,1/_xlpm.llMatch,LeaseLock!$G$2:$G$500),_xlpm.paid,LOOKUP(2,1/_xlpm.llMatch,LeaseLock!$M$2:$M$500),IF(_xlpm.stat="Claim Denied","Claim Denied ("&amp;_xlpm.sub&amp;")",IF(_xlpm.stat="Open","Open - "&amp;_xlpm.sub,IF(_xlpm.paid&gt;0,_xlpm.stat&amp;" - $"&amp;TEXT(_xlpm.paid,"#,##0.00")&amp;" paid",_xlpm.stat&amp;" - no payment")))),""),_xlpm.rsiMatches,ISNUMBER(SEARCH(_xlpm.lastName,Evictions_RSI!$B$3:$B$200))*(Evictions_RSI!$B$3:$B$200&lt;&gt;""),_xlpm.hasRSI,SUMPRODUCT(_xlpm.rsiMatches)&gt;0,_xlpm.rsiStatus,IF(_xlpm.hasRSI,_xlfn.LET(_xlpm.dates,IF(_xlpm.rsiMatches,IFERROR(DATEVALUE(SUBSTITUTE(Evictions_RSI!$A$3:$A$200,_xlfn.UNICHAR(8204),"")),0),0),_xlpm.latestRow,MATCH(MAX(_xlpm.dates),_xlpm.dates,0),TRIM(SUBSTITUTE(INDEX(Evictions_RSI!$I$3:$I$200,_xlpm.latestRow),_xlfn.UNICHAR(8204),""))),""),IF(AND(_xlpm.llStatus="",_xlpm.rsiStatus=""),"",IF(_xlpm.llStatus="","RSI: "&amp;_xlpm.rsiStatus,IF(_xlpm.rsiStatus="","LL: "&amp;_xlpm.llStatus,"LL: "&amp;_xlpm.llStatus&amp;" | RSI: "&amp;_xlpm.rsiStatus)))),""))</f>
        <v>RSI: Cancelled (Notes)</v>
      </c>
      <c r="L105" s="1002"/>
      <c r="Q105" s="973"/>
      <c r="R105" s="973"/>
      <c r="S105" s="973"/>
      <c r="T105" s="973"/>
      <c r="U105" s="973"/>
      <c r="V105" s="973"/>
      <c r="W105" s="973"/>
      <c r="X105" s="973"/>
      <c r="Y105" s="973"/>
      <c r="Z105" s="973"/>
    </row>
    <row r="106" spans="1:26" ht="12" customHeight="1">
      <c r="A106" s="996" cm="1">
        <f t="array" ref="A106">IFERROR(_xlfn.LET(_xlpm.n,ROW()-16,_xlpm.adj,IF((((ISNUMBER(SEARCH("Eviction",'resident aged receivable'!$E$2:$E$460)))+(ISNUMBER(SEARCH("Past",'resident aged receivable'!$E$2:$E$460)))+(ISNUMBER(SEARCH("Skip",'resident aged receivable'!$E$2:$E$460)))+(ISNUMBER(SEARCH("Collections",'resident aged receivable'!$E$2:$E$460)))+(COUNTIF($N$3:$N$24,'resident aged receivable'!$D$2:$D$460)&gt;0))&gt;0)*(((((LEFT('resident aged receivable'!$E$2:$E$460,7)="Current")+(LEFT('resident aged receivable'!$E$2:$E$460,6)="Notice"))=0)+(COUNTIF($N$3:$N$24,'resident aged receivable'!$D$2:$D$460)&gt;0))&gt;0)*(COUNTIF($P$3:$P$24,'resident aged receivable'!$D$2:$D$460)=0)*('resident aged receivable'!$I$2:$I$460&gt;0),'resident aged receivable'!$I$2:$I$460-ROW('resident aged receivable'!$I$2:$I$460)/1000000),_xlpm.tgt,LARGE(_xlpm.adj,_xlpm.n),MATCH(_xlpm.tgt,_xlpm.adj,0)+1),"")</f>
        <v>144</v>
      </c>
      <c r="B106" s="997" t="str" cm="1">
        <f t="array" ref="B106">IF($A106="","",INDEX('resident aged receivable'!$B:$B,$A106))</f>
        <v>W15-2-1088</v>
      </c>
      <c r="C106" s="997" t="str" cm="1">
        <f t="array" ref="C106">IF($A106="","",INDEX('resident aged receivable'!$D:$D,$A106))</f>
        <v>Arellano, Sandra (Sandra)</v>
      </c>
      <c r="D106" s="998" cm="1">
        <f t="array" ref="D106">IF($A106="","",INDEX('resident aged receivable'!$F:$F,$A106))</f>
        <v>45866</v>
      </c>
      <c r="E106" s="998" cm="1">
        <f t="array" ref="E106">IF($A106="","",_xlfn.LET(_xlpm.leaseEnd,INDEX('resident aged receivable'!$H:$H,$A106),_xlpm.moLookup,IFERROR(_xlfn.LET(_xlpm.lastFirst,C106,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46230</v>
      </c>
      <c r="F106" s="999" t="str">
        <f t="shared" si="2"/>
        <v>IPS</v>
      </c>
      <c r="G106" s="1000" t="str" cm="1">
        <f t="array" ref="G106">IF($A106="","",IF(COUNTIF($N$3:$N$24,C106)&gt;0,"Former",_xlfn.LET(_xlpm.s,INDEX('resident aged receivable'!$E:$E,$A106),IF(ISNUMBER(SEARCH("Eviction",_xlpm.s)),"Eviction",IF(ISNUMBER(SEARCH("Skip",_xlpm.s)),"Skip",IF(ISNUMBER(SEARCH("Past",_xlpm.s))+ISNUMBER(SEARCH("Collections",_xlpm.s)),"Former",_xlpm.s))))))</f>
        <v>Former</v>
      </c>
      <c r="H106" s="1001" cm="1">
        <f t="array" ref="H106">IF($A106="","",INDEX('resident aged receivable'!$I:$I,$A106))</f>
        <v>424.84</v>
      </c>
      <c r="I106" s="1001" cm="1">
        <f t="array" ref="I106">IF($A106="","",INDEX('resident aged receivable'!$J:$J,$A106))</f>
        <v>0</v>
      </c>
      <c r="J106" s="1001" cm="1">
        <f t="array" ref="J106">IF($A106="","",INDEX('resident aged receivable'!$K:$K,$A106))</f>
        <v>424.84</v>
      </c>
      <c r="K106" s="1020" t="str" cm="1">
        <f t="array" ref="K106">IF($C106="","",IFERROR(_xlfn.LET(_xlpm.unit,B106,_xlpm.resident,C106,_xlpm.lastName,IFERROR(LEFT(_xlpm.resident,FIND(",",_xlpm.resident)-1),_xlpm.resident),_xlpm.llMatch,(LeaseLock!$D$2:$D$500=_xlpm.unit)*ISNUMBER(SEARCH(_xlpm.lastName,LeaseLock!$C$2:$C$500)),_xlpm.hasLL,SUMPRODUCT(_xlpm.llMatch)&gt;0,_xlpm.llStatus,IF(_xlpm.hasLL,_xlfn.LET(_xlpm.stat,LOOKUP(2,1/_xlpm.llMatch,LeaseLock!$F$2:$F$500),_xlpm.sub,LOOKUP(2,1/_xlpm.llMatch,LeaseLock!$G$2:$G$500),_xlpm.paid,LOOKUP(2,1/_xlpm.llMatch,LeaseLock!$M$2:$M$500),IF(_xlpm.stat="Claim Denied","Claim Denied ("&amp;_xlpm.sub&amp;")",IF(_xlpm.stat="Open","Open - "&amp;_xlpm.sub,IF(_xlpm.paid&gt;0,_xlpm.stat&amp;" - $"&amp;TEXT(_xlpm.paid,"#,##0.00")&amp;" paid",_xlpm.stat&amp;" - no payment")))),""),_xlpm.rsiMatches,ISNUMBER(SEARCH(_xlpm.lastName,Evictions_RSI!$B$3:$B$200))*(Evictions_RSI!$B$3:$B$200&lt;&gt;""),_xlpm.hasRSI,SUMPRODUCT(_xlpm.rsiMatches)&gt;0,_xlpm.rsiStatus,IF(_xlpm.hasRSI,_xlfn.LET(_xlpm.dates,IF(_xlpm.rsiMatches,IFERROR(DATEVALUE(SUBSTITUTE(Evictions_RSI!$A$3:$A$200,_xlfn.UNICHAR(8204),"")),0),0),_xlpm.latestRow,MATCH(MAX(_xlpm.dates),_xlpm.dates,0),TRIM(SUBSTITUTE(INDEX(Evictions_RSI!$I$3:$I$200,_xlpm.latestRow),_xlfn.UNICHAR(8204),""))),""),IF(AND(_xlpm.llStatus="",_xlpm.rsiStatus=""),"",IF(_xlpm.llStatus="","RSI: "&amp;_xlpm.rsiStatus,IF(_xlpm.rsiStatus="","LL: "&amp;_xlpm.llStatus,"LL: "&amp;_xlpm.llStatus&amp;" | RSI: "&amp;_xlpm.rsiStatus)))),""))</f>
        <v/>
      </c>
      <c r="L106" s="1002"/>
      <c r="Q106" s="973"/>
      <c r="R106" s="973"/>
      <c r="S106" s="973"/>
      <c r="T106" s="973"/>
      <c r="U106" s="973"/>
      <c r="V106" s="973"/>
      <c r="W106" s="973"/>
      <c r="X106" s="973"/>
      <c r="Y106" s="973"/>
      <c r="Z106" s="973"/>
    </row>
    <row r="107" spans="1:26" ht="12" customHeight="1">
      <c r="A107" s="996" cm="1">
        <f t="array" ref="A107">IFERROR(_xlfn.LET(_xlpm.n,ROW()-16,_xlpm.adj,IF((((ISNUMBER(SEARCH("Eviction",'resident aged receivable'!$E$2:$E$460)))+(ISNUMBER(SEARCH("Past",'resident aged receivable'!$E$2:$E$460)))+(ISNUMBER(SEARCH("Skip",'resident aged receivable'!$E$2:$E$460)))+(ISNUMBER(SEARCH("Collections",'resident aged receivable'!$E$2:$E$460)))+(COUNTIF($N$3:$N$24,'resident aged receivable'!$D$2:$D$460)&gt;0))&gt;0)*(((((LEFT('resident aged receivable'!$E$2:$E$460,7)="Current")+(LEFT('resident aged receivable'!$E$2:$E$460,6)="Notice"))=0)+(COUNTIF($N$3:$N$24,'resident aged receivable'!$D$2:$D$460)&gt;0))&gt;0)*(COUNTIF($P$3:$P$24,'resident aged receivable'!$D$2:$D$460)=0)*('resident aged receivable'!$I$2:$I$460&gt;0),'resident aged receivable'!$I$2:$I$460-ROW('resident aged receivable'!$I$2:$I$460)/1000000),_xlpm.tgt,LARGE(_xlpm.adj,_xlpm.n),MATCH(_xlpm.tgt,_xlpm.adj,0)+1),"")</f>
        <v>40</v>
      </c>
      <c r="B107" s="997" t="str" cm="1">
        <f t="array" ref="B107">IF($A107="","",INDEX('resident aged receivable'!$B:$B,$A107))</f>
        <v>N19-2079</v>
      </c>
      <c r="C107" s="997" t="str" cm="1">
        <f t="array" ref="C107">IF($A107="","",INDEX('resident aged receivable'!$D:$D,$A107))</f>
        <v>Villegas, Lidia</v>
      </c>
      <c r="D107" s="998" cm="1">
        <f t="array" ref="D107">IF($A107="","",INDEX('resident aged receivable'!$F:$F,$A107))</f>
        <v>41467</v>
      </c>
      <c r="E107" s="998" cm="1">
        <f t="array" ref="E107">IF($A107="","",_xlfn.LET(_xlpm.leaseEnd,INDEX('resident aged receivable'!$H:$H,$A107),_xlpm.moLookup,IFERROR(_xlfn.LET(_xlpm.lastFirst,C107,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46191</v>
      </c>
      <c r="F107" s="999" t="str">
        <f t="shared" si="2"/>
        <v>IPS</v>
      </c>
      <c r="G107" s="1000" t="str" cm="1">
        <f t="array" ref="G107">IF($A107="","",IF(COUNTIF($N$3:$N$24,C107)&gt;0,"Former",_xlfn.LET(_xlpm.s,INDEX('resident aged receivable'!$E:$E,$A107),IF(ISNUMBER(SEARCH("Eviction",_xlpm.s)),"Eviction",IF(ISNUMBER(SEARCH("Skip",_xlpm.s)),"Skip",IF(ISNUMBER(SEARCH("Past",_xlpm.s))+ISNUMBER(SEARCH("Collections",_xlpm.s)),"Former",_xlpm.s))))))</f>
        <v>Former</v>
      </c>
      <c r="H107" s="1001" cm="1">
        <f t="array" ref="H107">IF($A107="","",INDEX('resident aged receivable'!$I:$I,$A107))</f>
        <v>405.64</v>
      </c>
      <c r="I107" s="1001" cm="1">
        <f t="array" ref="I107">IF($A107="","",INDEX('resident aged receivable'!$J:$J,$A107))</f>
        <v>0</v>
      </c>
      <c r="J107" s="1001" cm="1">
        <f t="array" ref="J107">IF($A107="","",INDEX('resident aged receivable'!$K:$K,$A107))</f>
        <v>125</v>
      </c>
      <c r="K107" s="1020" t="str" cm="1">
        <f t="array" ref="K107">IF($C107="","",IFERROR(_xlfn.LET(_xlpm.unit,B107,_xlpm.resident,C107,_xlpm.lastName,IFERROR(LEFT(_xlpm.resident,FIND(",",_xlpm.resident)-1),_xlpm.resident),_xlpm.llMatch,(LeaseLock!$D$2:$D$500=_xlpm.unit)*ISNUMBER(SEARCH(_xlpm.lastName,LeaseLock!$C$2:$C$500)),_xlpm.hasLL,SUMPRODUCT(_xlpm.llMatch)&gt;0,_xlpm.llStatus,IF(_xlpm.hasLL,_xlfn.LET(_xlpm.stat,LOOKUP(2,1/_xlpm.llMatch,LeaseLock!$F$2:$F$500),_xlpm.sub,LOOKUP(2,1/_xlpm.llMatch,LeaseLock!$G$2:$G$500),_xlpm.paid,LOOKUP(2,1/_xlpm.llMatch,LeaseLock!$M$2:$M$500),IF(_xlpm.stat="Claim Denied","Claim Denied ("&amp;_xlpm.sub&amp;")",IF(_xlpm.stat="Open","Open - "&amp;_xlpm.sub,IF(_xlpm.paid&gt;0,_xlpm.stat&amp;" - $"&amp;TEXT(_xlpm.paid,"#,##0.00")&amp;" paid",_xlpm.stat&amp;" - no payment")))),""),_xlpm.rsiMatches,ISNUMBER(SEARCH(_xlpm.lastName,Evictions_RSI!$B$3:$B$200))*(Evictions_RSI!$B$3:$B$200&lt;&gt;""),_xlpm.hasRSI,SUMPRODUCT(_xlpm.rsiMatches)&gt;0,_xlpm.rsiStatus,IF(_xlpm.hasRSI,_xlfn.LET(_xlpm.dates,IF(_xlpm.rsiMatches,IFERROR(DATEVALUE(SUBSTITUTE(Evictions_RSI!$A$3:$A$200,_xlfn.UNICHAR(8204),"")),0),0),_xlpm.latestRow,MATCH(MAX(_xlpm.dates),_xlpm.dates,0),TRIM(SUBSTITUTE(INDEX(Evictions_RSI!$I$3:$I$200,_xlpm.latestRow),_xlfn.UNICHAR(8204),""))),""),IF(AND(_xlpm.llStatus="",_xlpm.rsiStatus=""),"",IF(_xlpm.llStatus="","RSI: "&amp;_xlpm.rsiStatus,IF(_xlpm.rsiStatus="","LL: "&amp;_xlpm.llStatus,"LL: "&amp;_xlpm.llStatus&amp;" | RSI: "&amp;_xlpm.rsiStatus)))),""))</f>
        <v/>
      </c>
      <c r="L107" s="1002"/>
      <c r="Q107" s="973"/>
      <c r="R107" s="973"/>
      <c r="S107" s="973"/>
      <c r="T107" s="973"/>
      <c r="U107" s="973"/>
      <c r="V107" s="973"/>
      <c r="W107" s="973"/>
      <c r="X107" s="973"/>
      <c r="Y107" s="973"/>
      <c r="Z107" s="973"/>
    </row>
    <row r="108" spans="1:26" ht="12" customHeight="1">
      <c r="A108" s="996" cm="1">
        <f t="array" ref="A108">IFERROR(_xlfn.LET(_xlpm.n,ROW()-16,_xlpm.adj,IF((((ISNUMBER(SEARCH("Eviction",'resident aged receivable'!$E$2:$E$460)))+(ISNUMBER(SEARCH("Past",'resident aged receivable'!$E$2:$E$460)))+(ISNUMBER(SEARCH("Skip",'resident aged receivable'!$E$2:$E$460)))+(ISNUMBER(SEARCH("Collections",'resident aged receivable'!$E$2:$E$460)))+(COUNTIF($N$3:$N$24,'resident aged receivable'!$D$2:$D$460)&gt;0))&gt;0)*(((((LEFT('resident aged receivable'!$E$2:$E$460,7)="Current")+(LEFT('resident aged receivable'!$E$2:$E$460,6)="Notice"))=0)+(COUNTIF($N$3:$N$24,'resident aged receivable'!$D$2:$D$460)&gt;0))&gt;0)*(COUNTIF($P$3:$P$24,'resident aged receivable'!$D$2:$D$460)=0)*('resident aged receivable'!$I$2:$I$460&gt;0),'resident aged receivable'!$I$2:$I$460-ROW('resident aged receivable'!$I$2:$I$460)/1000000),_xlpm.tgt,LARGE(_xlpm.adj,_xlpm.n),MATCH(_xlpm.tgt,_xlpm.adj,0)+1),"")</f>
        <v>37</v>
      </c>
      <c r="B108" s="997" t="str" cm="1">
        <f t="array" ref="B108">IF($A108="","",INDEX('resident aged receivable'!$B:$B,$A108))</f>
        <v>N19-1076</v>
      </c>
      <c r="C108" s="997" t="str" cm="1">
        <f t="array" ref="C108">IF($A108="","",INDEX('resident aged receivable'!$D:$D,$A108))</f>
        <v>Nunez, Valeria</v>
      </c>
      <c r="D108" s="998" cm="1">
        <f t="array" ref="D108">IF($A108="","",INDEX('resident aged receivable'!$F:$F,$A108))</f>
        <v>44793</v>
      </c>
      <c r="E108" s="998" cm="1">
        <f t="array" ref="E108">IF($A108="","",_xlfn.LET(_xlpm.leaseEnd,INDEX('resident aged receivable'!$H:$H,$A108),_xlpm.moLookup,IFERROR(_xlfn.LET(_xlpm.lastFirst,C108,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46235</v>
      </c>
      <c r="F108" s="999" t="str">
        <f t="shared" si="2"/>
        <v>IPS</v>
      </c>
      <c r="G108" s="1000" t="str" cm="1">
        <f t="array" ref="G108">IF($A108="","",IF(COUNTIF($N$3:$N$24,C108)&gt;0,"Former",_xlfn.LET(_xlpm.s,INDEX('resident aged receivable'!$E:$E,$A108),IF(ISNUMBER(SEARCH("Eviction",_xlpm.s)),"Eviction",IF(ISNUMBER(SEARCH("Skip",_xlpm.s)),"Skip",IF(ISNUMBER(SEARCH("Past",_xlpm.s))+ISNUMBER(SEARCH("Collections",_xlpm.s)),"Former",_xlpm.s))))))</f>
        <v>Former</v>
      </c>
      <c r="H108" s="1001" cm="1">
        <f t="array" ref="H108">IF($A108="","",INDEX('resident aged receivable'!$I:$I,$A108))</f>
        <v>382.4</v>
      </c>
      <c r="I108" s="1001" cm="1">
        <f t="array" ref="I108">IF($A108="","",INDEX('resident aged receivable'!$J:$J,$A108))</f>
        <v>382.4</v>
      </c>
      <c r="J108" s="1001" cm="1">
        <f t="array" ref="J108">IF($A108="","",INDEX('resident aged receivable'!$K:$K,$A108))</f>
        <v>0</v>
      </c>
      <c r="K108" s="1020" t="str" cm="1">
        <f t="array" ref="K108">IF($C108="","",IFERROR(_xlfn.LET(_xlpm.unit,B108,_xlpm.resident,C108,_xlpm.lastName,IFERROR(LEFT(_xlpm.resident,FIND(",",_xlpm.resident)-1),_xlpm.resident),_xlpm.llMatch,(LeaseLock!$D$2:$D$500=_xlpm.unit)*ISNUMBER(SEARCH(_xlpm.lastName,LeaseLock!$C$2:$C$500)),_xlpm.hasLL,SUMPRODUCT(_xlpm.llMatch)&gt;0,_xlpm.llStatus,IF(_xlpm.hasLL,_xlfn.LET(_xlpm.stat,LOOKUP(2,1/_xlpm.llMatch,LeaseLock!$F$2:$F$500),_xlpm.sub,LOOKUP(2,1/_xlpm.llMatch,LeaseLock!$G$2:$G$500),_xlpm.paid,LOOKUP(2,1/_xlpm.llMatch,LeaseLock!$M$2:$M$500),IF(_xlpm.stat="Claim Denied","Claim Denied ("&amp;_xlpm.sub&amp;")",IF(_xlpm.stat="Open","Open - "&amp;_xlpm.sub,IF(_xlpm.paid&gt;0,_xlpm.stat&amp;" - $"&amp;TEXT(_xlpm.paid,"#,##0.00")&amp;" paid",_xlpm.stat&amp;" - no payment")))),""),_xlpm.rsiMatches,ISNUMBER(SEARCH(_xlpm.lastName,Evictions_RSI!$B$3:$B$200))*(Evictions_RSI!$B$3:$B$200&lt;&gt;""),_xlpm.hasRSI,SUMPRODUCT(_xlpm.rsiMatches)&gt;0,_xlpm.rsiStatus,IF(_xlpm.hasRSI,_xlfn.LET(_xlpm.dates,IF(_xlpm.rsiMatches,IFERROR(DATEVALUE(SUBSTITUTE(Evictions_RSI!$A$3:$A$200,_xlfn.UNICHAR(8204),"")),0),0),_xlpm.latestRow,MATCH(MAX(_xlpm.dates),_xlpm.dates,0),TRIM(SUBSTITUTE(INDEX(Evictions_RSI!$I$3:$I$200,_xlpm.latestRow),_xlfn.UNICHAR(8204),""))),""),IF(AND(_xlpm.llStatus="",_xlpm.rsiStatus=""),"",IF(_xlpm.llStatus="","RSI: "&amp;_xlpm.rsiStatus,IF(_xlpm.rsiStatus="","LL: "&amp;_xlpm.llStatus,"LL: "&amp;_xlpm.llStatus&amp;" | RSI: "&amp;_xlpm.rsiStatus)))),""))</f>
        <v/>
      </c>
      <c r="L108" s="1002"/>
      <c r="Q108" s="973"/>
      <c r="R108" s="973"/>
      <c r="S108" s="973"/>
      <c r="T108" s="973"/>
      <c r="U108" s="973"/>
      <c r="V108" s="973"/>
      <c r="W108" s="973"/>
      <c r="X108" s="973"/>
      <c r="Y108" s="973"/>
      <c r="Z108" s="973"/>
    </row>
    <row r="109" spans="1:26" ht="12" customHeight="1">
      <c r="A109" s="996" cm="1">
        <f t="array" ref="A109">IFERROR(_xlfn.LET(_xlpm.n,ROW()-16,_xlpm.adj,IF((((ISNUMBER(SEARCH("Eviction",'resident aged receivable'!$E$2:$E$460)))+(ISNUMBER(SEARCH("Past",'resident aged receivable'!$E$2:$E$460)))+(ISNUMBER(SEARCH("Skip",'resident aged receivable'!$E$2:$E$460)))+(ISNUMBER(SEARCH("Collections",'resident aged receivable'!$E$2:$E$460)))+(COUNTIF($N$3:$N$24,'resident aged receivable'!$D$2:$D$460)&gt;0))&gt;0)*(((((LEFT('resident aged receivable'!$E$2:$E$460,7)="Current")+(LEFT('resident aged receivable'!$E$2:$E$460,6)="Notice"))=0)+(COUNTIF($N$3:$N$24,'resident aged receivable'!$D$2:$D$460)&gt;0))&gt;0)*(COUNTIF($P$3:$P$24,'resident aged receivable'!$D$2:$D$460)=0)*('resident aged receivable'!$I$2:$I$460&gt;0),'resident aged receivable'!$I$2:$I$460-ROW('resident aged receivable'!$I$2:$I$460)/1000000),_xlpm.tgt,LARGE(_xlpm.adj,_xlpm.n),MATCH(_xlpm.tgt,_xlpm.adj,0)+1),"")</f>
        <v>164</v>
      </c>
      <c r="B109" s="997" t="str" cm="1">
        <f t="array" ref="B109">IF($A109="","",INDEX('resident aged receivable'!$B:$B,$A109))</f>
        <v>W21-2-1052</v>
      </c>
      <c r="C109" s="997" t="str" cm="1">
        <f t="array" ref="C109">IF($A109="","",INDEX('resident aged receivable'!$D:$D,$A109))</f>
        <v>Murphy, Angenique</v>
      </c>
      <c r="D109" s="998" cm="1">
        <f t="array" ref="D109">IF($A109="","",INDEX('resident aged receivable'!$F:$F,$A109))</f>
        <v>45948</v>
      </c>
      <c r="E109" s="998" cm="1">
        <f t="array" ref="E109">IF($A109="","",_xlfn.LET(_xlpm.leaseEnd,INDEX('resident aged receivable'!$H:$H,$A109),_xlpm.moLookup,IFERROR(_xlfn.LET(_xlpm.lastFirst,C109,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46312</v>
      </c>
      <c r="F109" s="999" t="str">
        <f t="shared" si="2"/>
        <v>IPS</v>
      </c>
      <c r="G109" s="1000" t="str" cm="1">
        <f t="array" ref="G109">IF($A109="","",IF(COUNTIF($N$3:$N$24,C109)&gt;0,"Former",_xlfn.LET(_xlpm.s,INDEX('resident aged receivable'!$E:$E,$A109),IF(ISNUMBER(SEARCH("Eviction",_xlpm.s)),"Eviction",IF(ISNUMBER(SEARCH("Skip",_xlpm.s)),"Skip",IF(ISNUMBER(SEARCH("Past",_xlpm.s))+ISNUMBER(SEARCH("Collections",_xlpm.s)),"Former",_xlpm.s))))))</f>
        <v>Former</v>
      </c>
      <c r="H109" s="1001" cm="1">
        <f t="array" ref="H109">IF($A109="","",INDEX('resident aged receivable'!$I:$I,$A109))</f>
        <v>370</v>
      </c>
      <c r="I109" s="1001" cm="1">
        <f t="array" ref="I109">IF($A109="","",INDEX('resident aged receivable'!$J:$J,$A109))</f>
        <v>0</v>
      </c>
      <c r="J109" s="1001" cm="1">
        <f t="array" ref="J109">IF($A109="","",INDEX('resident aged receivable'!$K:$K,$A109))</f>
        <v>370</v>
      </c>
      <c r="K109" s="1020" t="str" cm="1">
        <f t="array" ref="K109">IF($C109="","",IFERROR(_xlfn.LET(_xlpm.unit,B109,_xlpm.resident,C109,_xlpm.lastName,IFERROR(LEFT(_xlpm.resident,FIND(",",_xlpm.resident)-1),_xlpm.resident),_xlpm.llMatch,(LeaseLock!$D$2:$D$500=_xlpm.unit)*ISNUMBER(SEARCH(_xlpm.lastName,LeaseLock!$C$2:$C$500)),_xlpm.hasLL,SUMPRODUCT(_xlpm.llMatch)&gt;0,_xlpm.llStatus,IF(_xlpm.hasLL,_xlfn.LET(_xlpm.stat,LOOKUP(2,1/_xlpm.llMatch,LeaseLock!$F$2:$F$500),_xlpm.sub,LOOKUP(2,1/_xlpm.llMatch,LeaseLock!$G$2:$G$500),_xlpm.paid,LOOKUP(2,1/_xlpm.llMatch,LeaseLock!$M$2:$M$500),IF(_xlpm.stat="Claim Denied","Claim Denied ("&amp;_xlpm.sub&amp;")",IF(_xlpm.stat="Open","Open - "&amp;_xlpm.sub,IF(_xlpm.paid&gt;0,_xlpm.stat&amp;" - $"&amp;TEXT(_xlpm.paid,"#,##0.00")&amp;" paid",_xlpm.stat&amp;" - no payment")))),""),_xlpm.rsiMatches,ISNUMBER(SEARCH(_xlpm.lastName,Evictions_RSI!$B$3:$B$200))*(Evictions_RSI!$B$3:$B$200&lt;&gt;""),_xlpm.hasRSI,SUMPRODUCT(_xlpm.rsiMatches)&gt;0,_xlpm.rsiStatus,IF(_xlpm.hasRSI,_xlfn.LET(_xlpm.dates,IF(_xlpm.rsiMatches,IFERROR(DATEVALUE(SUBSTITUTE(Evictions_RSI!$A$3:$A$200,_xlfn.UNICHAR(8204),"")),0),0),_xlpm.latestRow,MATCH(MAX(_xlpm.dates),_xlpm.dates,0),TRIM(SUBSTITUTE(INDEX(Evictions_RSI!$I$3:$I$200,_xlpm.latestRow),_xlfn.UNICHAR(8204),""))),""),IF(AND(_xlpm.llStatus="",_xlpm.rsiStatus=""),"",IF(_xlpm.llStatus="","RSI: "&amp;_xlpm.rsiStatus,IF(_xlpm.rsiStatus="","LL: "&amp;_xlpm.llStatus,"LL: "&amp;_xlpm.llStatus&amp;" | RSI: "&amp;_xlpm.rsiStatus)))),""))</f>
        <v/>
      </c>
      <c r="L109" s="1002"/>
      <c r="Q109" s="973"/>
      <c r="R109" s="973"/>
      <c r="S109" s="973"/>
      <c r="T109" s="973"/>
      <c r="U109" s="973"/>
      <c r="V109" s="973"/>
      <c r="W109" s="973"/>
      <c r="X109" s="973"/>
      <c r="Y109" s="973"/>
      <c r="Z109" s="973"/>
    </row>
    <row r="110" spans="1:26" ht="12" hidden="1" customHeight="1">
      <c r="A110" s="996" cm="1">
        <f t="array" ref="A110">IFERROR(_xlfn.LET(_xlpm.n,ROW()-16,_xlpm.adj,IF((((ISNUMBER(SEARCH("Eviction",'resident aged receivable'!$E$2:$E$460)))+(ISNUMBER(SEARCH("Past",'resident aged receivable'!$E$2:$E$460)))+(ISNUMBER(SEARCH("Skip",'resident aged receivable'!$E$2:$E$460)))+(ISNUMBER(SEARCH("Collections",'resident aged receivable'!$E$2:$E$460)))+(COUNTIF($N$3:$N$24,'resident aged receivable'!$D$2:$D$460)&gt;0))&gt;0)*(((((LEFT('resident aged receivable'!$E$2:$E$460,7)="Current")+(LEFT('resident aged receivable'!$E$2:$E$460,6)="Notice"))=0)+(COUNTIF($N$3:$N$24,'resident aged receivable'!$D$2:$D$460)&gt;0))&gt;0)*(COUNTIF($P$3:$P$24,'resident aged receivable'!$D$2:$D$460)=0)*('resident aged receivable'!$I$2:$I$460&gt;0),'resident aged receivable'!$I$2:$I$460-ROW('resident aged receivable'!$I$2:$I$460)/1000000),_xlpm.tgt,LARGE(_xlpm.adj,_xlpm.n),MATCH(_xlpm.tgt,_xlpm.adj,0)+1),"")</f>
        <v>78</v>
      </c>
      <c r="B110" s="997" t="str" cm="1">
        <f t="array" ref="B110">IF($A110="","",INDEX('resident aged receivable'!$B:$B,$A110))</f>
        <v>S35-145</v>
      </c>
      <c r="C110" s="997" t="str" cm="1">
        <f t="array" ref="C110">IF($A110="","",INDEX('resident aged receivable'!$D:$D,$A110))</f>
        <v>Zapata, Deissy</v>
      </c>
      <c r="D110" s="998" cm="1">
        <f t="array" ref="D110">IF($A110="","",INDEX('resident aged receivable'!$F:$F,$A110))</f>
        <v>44958</v>
      </c>
      <c r="E110" s="998" cm="1">
        <f t="array" ref="E110">IF($A110="","",_xlfn.LET(_xlpm.leaseEnd,INDEX('resident aged receivable'!$H:$H,$A110),_xlpm.moLookup,IFERROR(_xlfn.LET(_xlpm.lastFirst,C110,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46234</v>
      </c>
      <c r="F110" s="999" t="str">
        <f t="shared" si="2"/>
        <v>IPS</v>
      </c>
      <c r="G110" s="1000" t="str" cm="1">
        <f t="array" ref="G110">IF($A110="","",IF(COUNTIF($N$3:$N$24,C110)&gt;0,"Former",_xlfn.LET(_xlpm.s,INDEX('resident aged receivable'!$E:$E,$A110),IF(ISNUMBER(SEARCH("Eviction",_xlpm.s)),"Eviction",IF(ISNUMBER(SEARCH("Skip",_xlpm.s)),"Skip",IF(ISNUMBER(SEARCH("Past",_xlpm.s))+ISNUMBER(SEARCH("Collections",_xlpm.s)),"Former",_xlpm.s))))))</f>
        <v>Former</v>
      </c>
      <c r="H110" s="1001" cm="1">
        <f t="array" ref="H110">IF($A110="","",INDEX('resident aged receivable'!$I:$I,$A110))</f>
        <v>363.07</v>
      </c>
      <c r="I110" s="1001" cm="1">
        <f t="array" ref="I110">IF($A110="","",INDEX('resident aged receivable'!$J:$J,$A110))</f>
        <v>363.07</v>
      </c>
      <c r="J110" s="1001" cm="1">
        <f t="array" ref="J110">IF($A110="","",INDEX('resident aged receivable'!$K:$K,$A110))</f>
        <v>0</v>
      </c>
      <c r="K110" s="1020" t="str" cm="1">
        <f t="array" ref="K110">IF($C110="","",IFERROR(_xlfn.LET(_xlpm.unit,B110,_xlpm.resident,C110,_xlpm.lastName,IFERROR(LEFT(_xlpm.resident,FIND(",",_xlpm.resident)-1),_xlpm.resident),_xlpm.llMatch,(LeaseLock!$D$2:$D$500=_xlpm.unit)*ISNUMBER(SEARCH(_xlpm.lastName,LeaseLock!$C$2:$C$500)),_xlpm.hasLL,SUMPRODUCT(_xlpm.llMatch)&gt;0,_xlpm.llStatus,IF(_xlpm.hasLL,_xlfn.LET(_xlpm.stat,LOOKUP(2,1/_xlpm.llMatch,LeaseLock!$F$2:$F$500),_xlpm.sub,LOOKUP(2,1/_xlpm.llMatch,LeaseLock!$G$2:$G$500),_xlpm.paid,LOOKUP(2,1/_xlpm.llMatch,LeaseLock!$M$2:$M$500),IF(_xlpm.stat="Claim Denied","Claim Denied ("&amp;_xlpm.sub&amp;")",IF(_xlpm.stat="Open","Open - "&amp;_xlpm.sub,IF(_xlpm.paid&gt;0,_xlpm.stat&amp;" - $"&amp;TEXT(_xlpm.paid,"#,##0.00")&amp;" paid",_xlpm.stat&amp;" - no payment")))),""),_xlpm.rsiMatches,ISNUMBER(SEARCH(_xlpm.lastName,Evictions_RSI!$B$3:$B$200))*(Evictions_RSI!$B$3:$B$200&lt;&gt;""),_xlpm.hasRSI,SUMPRODUCT(_xlpm.rsiMatches)&gt;0,_xlpm.rsiStatus,IF(_xlpm.hasRSI,_xlfn.LET(_xlpm.dates,IF(_xlpm.rsiMatches,IFERROR(DATEVALUE(SUBSTITUTE(Evictions_RSI!$A$3:$A$200,_xlfn.UNICHAR(8204),"")),0),0),_xlpm.latestRow,MATCH(MAX(_xlpm.dates),_xlpm.dates,0),TRIM(SUBSTITUTE(INDEX(Evictions_RSI!$I$3:$I$200,_xlpm.latestRow),_xlfn.UNICHAR(8204),""))),""),IF(AND(_xlpm.llStatus="",_xlpm.rsiStatus=""),"",IF(_xlpm.llStatus="","RSI: "&amp;_xlpm.rsiStatus,IF(_xlpm.rsiStatus="","LL: "&amp;_xlpm.llStatus,"LL: "&amp;_xlpm.llStatus&amp;" | RSI: "&amp;_xlpm.rsiStatus)))),""))</f>
        <v/>
      </c>
      <c r="L110" s="1002"/>
      <c r="Q110" s="973"/>
      <c r="R110" s="973"/>
      <c r="S110" s="973"/>
      <c r="T110" s="973"/>
      <c r="U110" s="973"/>
      <c r="V110" s="973"/>
      <c r="W110" s="973"/>
      <c r="X110" s="973"/>
      <c r="Y110" s="973"/>
      <c r="Z110" s="973"/>
    </row>
    <row r="111" spans="1:26" ht="12" hidden="1" customHeight="1">
      <c r="A111" s="996" cm="1">
        <f t="array" ref="A111">IFERROR(_xlfn.LET(_xlpm.n,ROW()-16,_xlpm.adj,IF((((ISNUMBER(SEARCH("Eviction",'resident aged receivable'!$E$2:$E$460)))+(ISNUMBER(SEARCH("Past",'resident aged receivable'!$E$2:$E$460)))+(ISNUMBER(SEARCH("Skip",'resident aged receivable'!$E$2:$E$460)))+(ISNUMBER(SEARCH("Collections",'resident aged receivable'!$E$2:$E$460)))+(COUNTIF($N$3:$N$24,'resident aged receivable'!$D$2:$D$460)&gt;0))&gt;0)*(((((LEFT('resident aged receivable'!$E$2:$E$460,7)="Current")+(LEFT('resident aged receivable'!$E$2:$E$460,6)="Notice"))=0)+(COUNTIF($N$3:$N$24,'resident aged receivable'!$D$2:$D$460)&gt;0))&gt;0)*(COUNTIF($P$3:$P$24,'resident aged receivable'!$D$2:$D$460)=0)*('resident aged receivable'!$I$2:$I$460&gt;0),'resident aged receivable'!$I$2:$I$460-ROW('resident aged receivable'!$I$2:$I$460)/1000000),_xlpm.tgt,LARGE(_xlpm.adj,_xlpm.n),MATCH(_xlpm.tgt,_xlpm.adj,0)+1),"")</f>
        <v>129</v>
      </c>
      <c r="B111" s="997" t="str" cm="1">
        <f t="array" ref="B111">IF($A111="","",INDEX('resident aged receivable'!$B:$B,$A111))</f>
        <v>W11-1-1114</v>
      </c>
      <c r="C111" s="997" t="str" cm="1">
        <f t="array" ref="C111">IF($A111="","",INDEX('resident aged receivable'!$D:$D,$A111))</f>
        <v>Abigail, Eden</v>
      </c>
      <c r="D111" s="998" cm="1">
        <f t="array" ref="D111">IF($A111="","",INDEX('resident aged receivable'!$F:$F,$A111))</f>
        <v>45809</v>
      </c>
      <c r="E111" s="998" cm="1">
        <f t="array" ref="E111">IF($A111="","",_xlfn.LET(_xlpm.leaseEnd,INDEX('resident aged receivable'!$H:$H,$A111),_xlpm.moLookup,IFERROR(_xlfn.LET(_xlpm.lastFirst,C111,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46174</v>
      </c>
      <c r="F111" s="999" t="str">
        <f t="shared" si="2"/>
        <v>IPS</v>
      </c>
      <c r="G111" s="1000" t="str" cm="1">
        <f t="array" ref="G111">IF($A111="","",IF(COUNTIF($N$3:$N$24,C111)&gt;0,"Former",_xlfn.LET(_xlpm.s,INDEX('resident aged receivable'!$E:$E,$A111),IF(ISNUMBER(SEARCH("Eviction",_xlpm.s)),"Eviction",IF(ISNUMBER(SEARCH("Skip",_xlpm.s)),"Skip",IF(ISNUMBER(SEARCH("Past",_xlpm.s))+ISNUMBER(SEARCH("Collections",_xlpm.s)),"Former",_xlpm.s))))))</f>
        <v>Former</v>
      </c>
      <c r="H111" s="1001" cm="1">
        <f t="array" ref="H111">IF($A111="","",INDEX('resident aged receivable'!$I:$I,$A111))</f>
        <v>354.83</v>
      </c>
      <c r="I111" s="1001" cm="1">
        <f t="array" ref="I111">IF($A111="","",INDEX('resident aged receivable'!$J:$J,$A111))</f>
        <v>0</v>
      </c>
      <c r="J111" s="1001" cm="1">
        <f t="array" ref="J111">IF($A111="","",INDEX('resident aged receivable'!$K:$K,$A111))</f>
        <v>0</v>
      </c>
      <c r="K111" s="1020" t="str" cm="1">
        <f t="array" ref="K111">IF($C111="","",IFERROR(_xlfn.LET(_xlpm.unit,B111,_xlpm.resident,C111,_xlpm.lastName,IFERROR(LEFT(_xlpm.resident,FIND(",",_xlpm.resident)-1),_xlpm.resident),_xlpm.llMatch,(LeaseLock!$D$2:$D$500=_xlpm.unit)*ISNUMBER(SEARCH(_xlpm.lastName,LeaseLock!$C$2:$C$500)),_xlpm.hasLL,SUMPRODUCT(_xlpm.llMatch)&gt;0,_xlpm.llStatus,IF(_xlpm.hasLL,_xlfn.LET(_xlpm.stat,LOOKUP(2,1/_xlpm.llMatch,LeaseLock!$F$2:$F$500),_xlpm.sub,LOOKUP(2,1/_xlpm.llMatch,LeaseLock!$G$2:$G$500),_xlpm.paid,LOOKUP(2,1/_xlpm.llMatch,LeaseLock!$M$2:$M$500),IF(_xlpm.stat="Claim Denied","Claim Denied ("&amp;_xlpm.sub&amp;")",IF(_xlpm.stat="Open","Open - "&amp;_xlpm.sub,IF(_xlpm.paid&gt;0,_xlpm.stat&amp;" - $"&amp;TEXT(_xlpm.paid,"#,##0.00")&amp;" paid",_xlpm.stat&amp;" - no payment")))),""),_xlpm.rsiMatches,ISNUMBER(SEARCH(_xlpm.lastName,Evictions_RSI!$B$3:$B$200))*(Evictions_RSI!$B$3:$B$200&lt;&gt;""),_xlpm.hasRSI,SUMPRODUCT(_xlpm.rsiMatches)&gt;0,_xlpm.rsiStatus,IF(_xlpm.hasRSI,_xlfn.LET(_xlpm.dates,IF(_xlpm.rsiMatches,IFERROR(DATEVALUE(SUBSTITUTE(Evictions_RSI!$A$3:$A$200,_xlfn.UNICHAR(8204),"")),0),0),_xlpm.latestRow,MATCH(MAX(_xlpm.dates),_xlpm.dates,0),TRIM(SUBSTITUTE(INDEX(Evictions_RSI!$I$3:$I$200,_xlpm.latestRow),_xlfn.UNICHAR(8204),""))),""),IF(AND(_xlpm.llStatus="",_xlpm.rsiStatus=""),"",IF(_xlpm.llStatus="","RSI: "&amp;_xlpm.rsiStatus,IF(_xlpm.rsiStatus="","LL: "&amp;_xlpm.llStatus,"LL: "&amp;_xlpm.llStatus&amp;" | RSI: "&amp;_xlpm.rsiStatus)))),""))</f>
        <v/>
      </c>
      <c r="L111" s="1002"/>
      <c r="Q111" s="973"/>
      <c r="R111" s="973"/>
      <c r="S111" s="973"/>
      <c r="T111" s="973"/>
      <c r="U111" s="973"/>
      <c r="V111" s="973"/>
      <c r="W111" s="973"/>
      <c r="X111" s="973"/>
      <c r="Y111" s="973"/>
      <c r="Z111" s="973"/>
    </row>
    <row r="112" spans="1:26" ht="12" hidden="1" customHeight="1">
      <c r="A112" s="996" cm="1">
        <f t="array" ref="A112">IFERROR(_xlfn.LET(_xlpm.n,ROW()-16,_xlpm.adj,IF((((ISNUMBER(SEARCH("Eviction",'resident aged receivable'!$E$2:$E$460)))+(ISNUMBER(SEARCH("Past",'resident aged receivable'!$E$2:$E$460)))+(ISNUMBER(SEARCH("Skip",'resident aged receivable'!$E$2:$E$460)))+(ISNUMBER(SEARCH("Collections",'resident aged receivable'!$E$2:$E$460)))+(COUNTIF($N$3:$N$24,'resident aged receivable'!$D$2:$D$460)&gt;0))&gt;0)*(((((LEFT('resident aged receivable'!$E$2:$E$460,7)="Current")+(LEFT('resident aged receivable'!$E$2:$E$460,6)="Notice"))=0)+(COUNTIF($N$3:$N$24,'resident aged receivable'!$D$2:$D$460)&gt;0))&gt;0)*(COUNTIF($P$3:$P$24,'resident aged receivable'!$D$2:$D$460)=0)*('resident aged receivable'!$I$2:$I$460&gt;0),'resident aged receivable'!$I$2:$I$460-ROW('resident aged receivable'!$I$2:$I$460)/1000000),_xlpm.tgt,LARGE(_xlpm.adj,_xlpm.n),MATCH(_xlpm.tgt,_xlpm.adj,0)+1),"")</f>
        <v>71</v>
      </c>
      <c r="B112" s="997" t="str" cm="1">
        <f t="array" ref="B112">IF($A112="","",INDEX('resident aged receivable'!$B:$B,$A112))</f>
        <v>S29-211</v>
      </c>
      <c r="C112" s="997" t="str" cm="1">
        <f t="array" ref="C112">IF($A112="","",INDEX('resident aged receivable'!$D:$D,$A112))</f>
        <v>Bastidas, Maria</v>
      </c>
      <c r="D112" s="998" cm="1">
        <f t="array" ref="D112">IF($A112="","",INDEX('resident aged receivable'!$F:$F,$A112))</f>
        <v>45139</v>
      </c>
      <c r="E112" s="998" cm="1">
        <f t="array" ref="E112">IF($A112="","",_xlfn.LET(_xlpm.leaseEnd,INDEX('resident aged receivable'!$H:$H,$A112),_xlpm.moLookup,IFERROR(_xlfn.LET(_xlpm.lastFirst,C112,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46160</v>
      </c>
      <c r="F112" s="999" t="str">
        <f t="shared" si="2"/>
        <v>IPS</v>
      </c>
      <c r="G112" s="1000" t="str" cm="1">
        <f t="array" ref="G112">IF($A112="","",IF(COUNTIF($N$3:$N$24,C112)&gt;0,"Former",_xlfn.LET(_xlpm.s,INDEX('resident aged receivable'!$E:$E,$A112),IF(ISNUMBER(SEARCH("Eviction",_xlpm.s)),"Eviction",IF(ISNUMBER(SEARCH("Skip",_xlpm.s)),"Skip",IF(ISNUMBER(SEARCH("Past",_xlpm.s))+ISNUMBER(SEARCH("Collections",_xlpm.s)),"Former",_xlpm.s))))))</f>
        <v>Former</v>
      </c>
      <c r="H112" s="1001" cm="1">
        <f t="array" ref="H112">IF($A112="","",INDEX('resident aged receivable'!$I:$I,$A112))</f>
        <v>347.51</v>
      </c>
      <c r="I112" s="1001" cm="1">
        <f t="array" ref="I112">IF($A112="","",INDEX('resident aged receivable'!$J:$J,$A112))</f>
        <v>0</v>
      </c>
      <c r="J112" s="1001" cm="1">
        <f t="array" ref="J112">IF($A112="","",INDEX('resident aged receivable'!$K:$K,$A112))</f>
        <v>0</v>
      </c>
      <c r="K112" s="1020" t="str" cm="1">
        <f t="array" ref="K112">IF($C112="","",IFERROR(_xlfn.LET(_xlpm.unit,B112,_xlpm.resident,C112,_xlpm.lastName,IFERROR(LEFT(_xlpm.resident,FIND(",",_xlpm.resident)-1),_xlpm.resident),_xlpm.llMatch,(LeaseLock!$D$2:$D$500=_xlpm.unit)*ISNUMBER(SEARCH(_xlpm.lastName,LeaseLock!$C$2:$C$500)),_xlpm.hasLL,SUMPRODUCT(_xlpm.llMatch)&gt;0,_xlpm.llStatus,IF(_xlpm.hasLL,_xlfn.LET(_xlpm.stat,LOOKUP(2,1/_xlpm.llMatch,LeaseLock!$F$2:$F$500),_xlpm.sub,LOOKUP(2,1/_xlpm.llMatch,LeaseLock!$G$2:$G$500),_xlpm.paid,LOOKUP(2,1/_xlpm.llMatch,LeaseLock!$M$2:$M$500),IF(_xlpm.stat="Claim Denied","Claim Denied ("&amp;_xlpm.sub&amp;")",IF(_xlpm.stat="Open","Open - "&amp;_xlpm.sub,IF(_xlpm.paid&gt;0,_xlpm.stat&amp;" - $"&amp;TEXT(_xlpm.paid,"#,##0.00")&amp;" paid",_xlpm.stat&amp;" - no payment")))),""),_xlpm.rsiMatches,ISNUMBER(SEARCH(_xlpm.lastName,Evictions_RSI!$B$3:$B$200))*(Evictions_RSI!$B$3:$B$200&lt;&gt;""),_xlpm.hasRSI,SUMPRODUCT(_xlpm.rsiMatches)&gt;0,_xlpm.rsiStatus,IF(_xlpm.hasRSI,_xlfn.LET(_xlpm.dates,IF(_xlpm.rsiMatches,IFERROR(DATEVALUE(SUBSTITUTE(Evictions_RSI!$A$3:$A$200,_xlfn.UNICHAR(8204),"")),0),0),_xlpm.latestRow,MATCH(MAX(_xlpm.dates),_xlpm.dates,0),TRIM(SUBSTITUTE(INDEX(Evictions_RSI!$I$3:$I$200,_xlpm.latestRow),_xlfn.UNICHAR(8204),""))),""),IF(AND(_xlpm.llStatus="",_xlpm.rsiStatus=""),"",IF(_xlpm.llStatus="","RSI: "&amp;_xlpm.rsiStatus,IF(_xlpm.rsiStatus="","LL: "&amp;_xlpm.llStatus,"LL: "&amp;_xlpm.llStatus&amp;" | RSI: "&amp;_xlpm.rsiStatus)))),""))</f>
        <v/>
      </c>
      <c r="L112" s="1005"/>
      <c r="M112" s="992"/>
      <c r="N112" s="992"/>
      <c r="Q112" s="973"/>
      <c r="R112" s="973"/>
      <c r="S112" s="973"/>
      <c r="T112" s="973"/>
      <c r="U112" s="973"/>
      <c r="V112" s="973"/>
      <c r="W112" s="973"/>
      <c r="X112" s="973"/>
      <c r="Y112" s="973"/>
      <c r="Z112" s="973"/>
    </row>
    <row r="113" spans="1:26" ht="12" hidden="1" customHeight="1">
      <c r="A113" s="996" cm="1">
        <f t="array" ref="A113">IFERROR(_xlfn.LET(_xlpm.n,ROW()-16,_xlpm.adj,IF((((ISNUMBER(SEARCH("Eviction",'resident aged receivable'!$E$2:$E$460)))+(ISNUMBER(SEARCH("Past",'resident aged receivable'!$E$2:$E$460)))+(ISNUMBER(SEARCH("Skip",'resident aged receivable'!$E$2:$E$460)))+(ISNUMBER(SEARCH("Collections",'resident aged receivable'!$E$2:$E$460)))+(COUNTIF($N$3:$N$24,'resident aged receivable'!$D$2:$D$460)&gt;0))&gt;0)*(((((LEFT('resident aged receivable'!$E$2:$E$460,7)="Current")+(LEFT('resident aged receivable'!$E$2:$E$460,6)="Notice"))=0)+(COUNTIF($N$3:$N$24,'resident aged receivable'!$D$2:$D$460)&gt;0))&gt;0)*(COUNTIF($P$3:$P$24,'resident aged receivable'!$D$2:$D$460)=0)*('resident aged receivable'!$I$2:$I$460&gt;0),'resident aged receivable'!$I$2:$I$460-ROW('resident aged receivable'!$I$2:$I$460)/1000000),_xlpm.tgt,LARGE(_xlpm.adj,_xlpm.n),MATCH(_xlpm.tgt,_xlpm.adj,0)+1),"")</f>
        <v>67</v>
      </c>
      <c r="B113" s="997" t="str" cm="1">
        <f t="array" ref="B113">IF($A113="","",INDEX('resident aged receivable'!$B:$B,$A113))</f>
        <v>S28-206</v>
      </c>
      <c r="C113" s="997" t="str" cm="1">
        <f t="array" ref="C113">IF($A113="","",INDEX('resident aged receivable'!$D:$D,$A113))</f>
        <v>Artis, Stephanie</v>
      </c>
      <c r="D113" s="998" cm="1">
        <f t="array" ref="D113">IF($A113="","",INDEX('resident aged receivable'!$F:$F,$A113))</f>
        <v>45465</v>
      </c>
      <c r="E113" s="998" cm="1">
        <f t="array" ref="E113">IF($A113="","",_xlfn.LET(_xlpm.leaseEnd,INDEX('resident aged receivable'!$H:$H,$A113),_xlpm.moLookup,IFERROR(_xlfn.LET(_xlpm.lastFirst,C113,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46234</v>
      </c>
      <c r="F113" s="999" t="str">
        <f t="shared" ref="F113:F134" si="3">IF(D113="","",IF(D113&lt;DATE(2025,12,15),"IPS","CAF"))</f>
        <v>IPS</v>
      </c>
      <c r="G113" s="1000" t="str" cm="1">
        <f t="array" ref="G113">IF($A113="","",IF(COUNTIF($N$3:$N$24,C113)&gt;0,"Former",_xlfn.LET(_xlpm.s,INDEX('resident aged receivable'!$E:$E,$A113),IF(ISNUMBER(SEARCH("Eviction",_xlpm.s)),"Eviction",IF(ISNUMBER(SEARCH("Skip",_xlpm.s)),"Skip",IF(ISNUMBER(SEARCH("Past",_xlpm.s))+ISNUMBER(SEARCH("Collections",_xlpm.s)),"Former",_xlpm.s))))))</f>
        <v>Former</v>
      </c>
      <c r="H113" s="1001" cm="1">
        <f t="array" ref="H113">IF($A113="","",INDEX('resident aged receivable'!$I:$I,$A113))</f>
        <v>325.8</v>
      </c>
      <c r="I113" s="1001" cm="1">
        <f t="array" ref="I113">IF($A113="","",INDEX('resident aged receivable'!$J:$J,$A113))</f>
        <v>0</v>
      </c>
      <c r="J113" s="1001" cm="1">
        <f t="array" ref="J113">IF($A113="","",INDEX('resident aged receivable'!$K:$K,$A113))</f>
        <v>325.8</v>
      </c>
      <c r="K113" s="1020" t="str" cm="1">
        <f t="array" ref="K113">IF($C113="","",IFERROR(_xlfn.LET(_xlpm.unit,B113,_xlpm.resident,C113,_xlpm.lastName,IFERROR(LEFT(_xlpm.resident,FIND(",",_xlpm.resident)-1),_xlpm.resident),_xlpm.llMatch,(LeaseLock!$D$2:$D$500=_xlpm.unit)*ISNUMBER(SEARCH(_xlpm.lastName,LeaseLock!$C$2:$C$500)),_xlpm.hasLL,SUMPRODUCT(_xlpm.llMatch)&gt;0,_xlpm.llStatus,IF(_xlpm.hasLL,_xlfn.LET(_xlpm.stat,LOOKUP(2,1/_xlpm.llMatch,LeaseLock!$F$2:$F$500),_xlpm.sub,LOOKUP(2,1/_xlpm.llMatch,LeaseLock!$G$2:$G$500),_xlpm.paid,LOOKUP(2,1/_xlpm.llMatch,LeaseLock!$M$2:$M$500),IF(_xlpm.stat="Claim Denied","Claim Denied ("&amp;_xlpm.sub&amp;")",IF(_xlpm.stat="Open","Open - "&amp;_xlpm.sub,IF(_xlpm.paid&gt;0,_xlpm.stat&amp;" - $"&amp;TEXT(_xlpm.paid,"#,##0.00")&amp;" paid",_xlpm.stat&amp;" - no payment")))),""),_xlpm.rsiMatches,ISNUMBER(SEARCH(_xlpm.lastName,Evictions_RSI!$B$3:$B$200))*(Evictions_RSI!$B$3:$B$200&lt;&gt;""),_xlpm.hasRSI,SUMPRODUCT(_xlpm.rsiMatches)&gt;0,_xlpm.rsiStatus,IF(_xlpm.hasRSI,_xlfn.LET(_xlpm.dates,IF(_xlpm.rsiMatches,IFERROR(DATEVALUE(SUBSTITUTE(Evictions_RSI!$A$3:$A$200,_xlfn.UNICHAR(8204),"")),0),0),_xlpm.latestRow,MATCH(MAX(_xlpm.dates),_xlpm.dates,0),TRIM(SUBSTITUTE(INDEX(Evictions_RSI!$I$3:$I$200,_xlpm.latestRow),_xlfn.UNICHAR(8204),""))),""),IF(AND(_xlpm.llStatus="",_xlpm.rsiStatus=""),"",IF(_xlpm.llStatus="","RSI: "&amp;_xlpm.rsiStatus,IF(_xlpm.rsiStatus="","LL: "&amp;_xlpm.llStatus,"LL: "&amp;_xlpm.llStatus&amp;" | RSI: "&amp;_xlpm.rsiStatus)))),""))</f>
        <v/>
      </c>
      <c r="L113" s="1005"/>
      <c r="M113" s="992"/>
      <c r="N113" s="992"/>
      <c r="Q113" s="973"/>
      <c r="R113" s="973"/>
      <c r="S113" s="973"/>
      <c r="T113" s="973"/>
      <c r="U113" s="973"/>
      <c r="V113" s="973"/>
      <c r="W113" s="973"/>
      <c r="X113" s="973"/>
      <c r="Y113" s="973"/>
      <c r="Z113" s="973"/>
    </row>
    <row r="114" spans="1:26" ht="12" hidden="1" customHeight="1">
      <c r="A114" s="996" cm="1">
        <f t="array" ref="A114">IFERROR(_xlfn.LET(_xlpm.n,ROW()-16,_xlpm.adj,IF((((ISNUMBER(SEARCH("Eviction",'resident aged receivable'!$E$2:$E$460)))+(ISNUMBER(SEARCH("Past",'resident aged receivable'!$E$2:$E$460)))+(ISNUMBER(SEARCH("Skip",'resident aged receivable'!$E$2:$E$460)))+(ISNUMBER(SEARCH("Collections",'resident aged receivable'!$E$2:$E$460)))+(COUNTIF($N$3:$N$24,'resident aged receivable'!$D$2:$D$460)&gt;0))&gt;0)*(((((LEFT('resident aged receivable'!$E$2:$E$460,7)="Current")+(LEFT('resident aged receivable'!$E$2:$E$460,6)="Notice"))=0)+(COUNTIF($N$3:$N$24,'resident aged receivable'!$D$2:$D$460)&gt;0))&gt;0)*(COUNTIF($P$3:$P$24,'resident aged receivable'!$D$2:$D$460)=0)*('resident aged receivable'!$I$2:$I$460&gt;0),'resident aged receivable'!$I$2:$I$460-ROW('resident aged receivable'!$I$2:$I$460)/1000000),_xlpm.tgt,LARGE(_xlpm.adj,_xlpm.n),MATCH(_xlpm.tgt,_xlpm.adj,0)+1),"")</f>
        <v>177</v>
      </c>
      <c r="B114" s="997" t="str" cm="1">
        <f t="array" ref="B114">IF($A114="","",INDEX('resident aged receivable'!$B:$B,$A114))</f>
        <v>W25-2-1027</v>
      </c>
      <c r="C114" s="997" t="str" cm="1">
        <f t="array" ref="C114">IF($A114="","",INDEX('resident aged receivable'!$D:$D,$A114))</f>
        <v>Yoryina, Emelyn</v>
      </c>
      <c r="D114" s="998" cm="1">
        <f t="array" ref="D114">IF($A114="","",INDEX('resident aged receivable'!$F:$F,$A114))</f>
        <v>45869</v>
      </c>
      <c r="E114" s="998" cm="1">
        <f t="array" ref="E114">IF($A114="","",_xlfn.LET(_xlpm.leaseEnd,INDEX('resident aged receivable'!$H:$H,$A114),_xlpm.moLookup,IFERROR(_xlfn.LET(_xlpm.lastFirst,C114,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46237</v>
      </c>
      <c r="F114" s="999" t="str">
        <f t="shared" si="3"/>
        <v>IPS</v>
      </c>
      <c r="G114" s="1000" t="str" cm="1">
        <f t="array" ref="G114">IF($A114="","",IF(COUNTIF($N$3:$N$24,C114)&gt;0,"Former",_xlfn.LET(_xlpm.s,INDEX('resident aged receivable'!$E:$E,$A114),IF(ISNUMBER(SEARCH("Eviction",_xlpm.s)),"Eviction",IF(ISNUMBER(SEARCH("Skip",_xlpm.s)),"Skip",IF(ISNUMBER(SEARCH("Past",_xlpm.s))+ISNUMBER(SEARCH("Collections",_xlpm.s)),"Former",_xlpm.s))))))</f>
        <v>Former</v>
      </c>
      <c r="H114" s="1001" cm="1">
        <f t="array" ref="H114">IF($A114="","",INDEX('resident aged receivable'!$I:$I,$A114))</f>
        <v>232.37</v>
      </c>
      <c r="I114" s="1001" cm="1">
        <f t="array" ref="I114">IF($A114="","",INDEX('resident aged receivable'!$J:$J,$A114))</f>
        <v>197.37</v>
      </c>
      <c r="J114" s="1001" cm="1">
        <f t="array" ref="J114">IF($A114="","",INDEX('resident aged receivable'!$K:$K,$A114))</f>
        <v>35</v>
      </c>
      <c r="K114" s="1020" t="str" cm="1">
        <f t="array" ref="K114">IF($C114="","",IFERROR(_xlfn.LET(_xlpm.unit,B114,_xlpm.resident,C114,_xlpm.lastName,IFERROR(LEFT(_xlpm.resident,FIND(",",_xlpm.resident)-1),_xlpm.resident),_xlpm.llMatch,(LeaseLock!$D$2:$D$500=_xlpm.unit)*ISNUMBER(SEARCH(_xlpm.lastName,LeaseLock!$C$2:$C$500)),_xlpm.hasLL,SUMPRODUCT(_xlpm.llMatch)&gt;0,_xlpm.llStatus,IF(_xlpm.hasLL,_xlfn.LET(_xlpm.stat,LOOKUP(2,1/_xlpm.llMatch,LeaseLock!$F$2:$F$500),_xlpm.sub,LOOKUP(2,1/_xlpm.llMatch,LeaseLock!$G$2:$G$500),_xlpm.paid,LOOKUP(2,1/_xlpm.llMatch,LeaseLock!$M$2:$M$500),IF(_xlpm.stat="Claim Denied","Claim Denied ("&amp;_xlpm.sub&amp;")",IF(_xlpm.stat="Open","Open - "&amp;_xlpm.sub,IF(_xlpm.paid&gt;0,_xlpm.stat&amp;" - $"&amp;TEXT(_xlpm.paid,"#,##0.00")&amp;" paid",_xlpm.stat&amp;" - no payment")))),""),_xlpm.rsiMatches,ISNUMBER(SEARCH(_xlpm.lastName,Evictions_RSI!$B$3:$B$200))*(Evictions_RSI!$B$3:$B$200&lt;&gt;""),_xlpm.hasRSI,SUMPRODUCT(_xlpm.rsiMatches)&gt;0,_xlpm.rsiStatus,IF(_xlpm.hasRSI,_xlfn.LET(_xlpm.dates,IF(_xlpm.rsiMatches,IFERROR(DATEVALUE(SUBSTITUTE(Evictions_RSI!$A$3:$A$200,_xlfn.UNICHAR(8204),"")),0),0),_xlpm.latestRow,MATCH(MAX(_xlpm.dates),_xlpm.dates,0),TRIM(SUBSTITUTE(INDEX(Evictions_RSI!$I$3:$I$200,_xlpm.latestRow),_xlfn.UNICHAR(8204),""))),""),IF(AND(_xlpm.llStatus="",_xlpm.rsiStatus=""),"",IF(_xlpm.llStatus="","RSI: "&amp;_xlpm.rsiStatus,IF(_xlpm.rsiStatus="","LL: "&amp;_xlpm.llStatus,"LL: "&amp;_xlpm.llStatus&amp;" | RSI: "&amp;_xlpm.rsiStatus)))),""))</f>
        <v>RSI: Cancelled (Notes)</v>
      </c>
      <c r="L114" s="1005"/>
      <c r="M114" s="992"/>
      <c r="N114" s="992"/>
      <c r="Q114" s="973"/>
      <c r="R114" s="973"/>
      <c r="S114" s="973"/>
      <c r="T114" s="973"/>
      <c r="U114" s="973"/>
      <c r="V114" s="973"/>
      <c r="W114" s="973"/>
      <c r="X114" s="973"/>
      <c r="Y114" s="973"/>
      <c r="Z114" s="973"/>
    </row>
    <row r="115" spans="1:26" ht="12" hidden="1" customHeight="1">
      <c r="A115" s="996" cm="1">
        <f t="array" ref="A115">IFERROR(_xlfn.LET(_xlpm.n,ROW()-16,_xlpm.adj,IF((((ISNUMBER(SEARCH("Eviction",'resident aged receivable'!$E$2:$E$460)))+(ISNUMBER(SEARCH("Past",'resident aged receivable'!$E$2:$E$460)))+(ISNUMBER(SEARCH("Skip",'resident aged receivable'!$E$2:$E$460)))+(ISNUMBER(SEARCH("Collections",'resident aged receivable'!$E$2:$E$460)))+(COUNTIF($N$3:$N$24,'resident aged receivable'!$D$2:$D$460)&gt;0))&gt;0)*(((((LEFT('resident aged receivable'!$E$2:$E$460,7)="Current")+(LEFT('resident aged receivable'!$E$2:$E$460,6)="Notice"))=0)+(COUNTIF($N$3:$N$24,'resident aged receivable'!$D$2:$D$460)&gt;0))&gt;0)*(COUNTIF($P$3:$P$24,'resident aged receivable'!$D$2:$D$460)=0)*('resident aged receivable'!$I$2:$I$460&gt;0),'resident aged receivable'!$I$2:$I$460-ROW('resident aged receivable'!$I$2:$I$460)/1000000),_xlpm.tgt,LARGE(_xlpm.adj,_xlpm.n),MATCH(_xlpm.tgt,_xlpm.adj,0)+1),"")</f>
        <v>127</v>
      </c>
      <c r="B115" s="997" t="str" cm="1">
        <f t="array" ref="B115">IF($A115="","",INDEX('resident aged receivable'!$B:$B,$A115))</f>
        <v>W11-1-1109</v>
      </c>
      <c r="C115" s="997" t="str" cm="1">
        <f t="array" ref="C115">IF($A115="","",INDEX('resident aged receivable'!$D:$D,$A115))</f>
        <v>Polynïce, Marie</v>
      </c>
      <c r="D115" s="998" cm="1">
        <f t="array" ref="D115">IF($A115="","",INDEX('resident aged receivable'!$F:$F,$A115))</f>
        <v>45846</v>
      </c>
      <c r="E115" s="998" cm="1">
        <f t="array" ref="E115">IF($A115="","",_xlfn.LET(_xlpm.leaseEnd,INDEX('resident aged receivable'!$H:$H,$A115),_xlpm.moLookup,IFERROR(_xlfn.LET(_xlpm.lastFirst,C115,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46210</v>
      </c>
      <c r="F115" s="999" t="str">
        <f t="shared" si="3"/>
        <v>IPS</v>
      </c>
      <c r="G115" s="1000" t="str" cm="1">
        <f t="array" ref="G115">IF($A115="","",IF(COUNTIF($N$3:$N$24,C115)&gt;0,"Former",_xlfn.LET(_xlpm.s,INDEX('resident aged receivable'!$E:$E,$A115),IF(ISNUMBER(SEARCH("Eviction",_xlpm.s)),"Eviction",IF(ISNUMBER(SEARCH("Skip",_xlpm.s)),"Skip",IF(ISNUMBER(SEARCH("Past",_xlpm.s))+ISNUMBER(SEARCH("Collections",_xlpm.s)),"Former",_xlpm.s))))))</f>
        <v>Former</v>
      </c>
      <c r="H115" s="1001" cm="1">
        <f t="array" ref="H115">IF($A115="","",INDEX('resident aged receivable'!$I:$I,$A115))</f>
        <v>207.84</v>
      </c>
      <c r="I115" s="1001" cm="1">
        <f t="array" ref="I115">IF($A115="","",INDEX('resident aged receivable'!$J:$J,$A115))</f>
        <v>0</v>
      </c>
      <c r="J115" s="1001" cm="1">
        <f t="array" ref="J115">IF($A115="","",INDEX('resident aged receivable'!$K:$K,$A115))</f>
        <v>207.84</v>
      </c>
      <c r="K115" s="1020" t="str" cm="1">
        <f t="array" ref="K115">IF($C115="","",IFERROR(_xlfn.LET(_xlpm.unit,B115,_xlpm.resident,C115,_xlpm.lastName,IFERROR(LEFT(_xlpm.resident,FIND(",",_xlpm.resident)-1),_xlpm.resident),_xlpm.llMatch,(LeaseLock!$D$2:$D$500=_xlpm.unit)*ISNUMBER(SEARCH(_xlpm.lastName,LeaseLock!$C$2:$C$500)),_xlpm.hasLL,SUMPRODUCT(_xlpm.llMatch)&gt;0,_xlpm.llStatus,IF(_xlpm.hasLL,_xlfn.LET(_xlpm.stat,LOOKUP(2,1/_xlpm.llMatch,LeaseLock!$F$2:$F$500),_xlpm.sub,LOOKUP(2,1/_xlpm.llMatch,LeaseLock!$G$2:$G$500),_xlpm.paid,LOOKUP(2,1/_xlpm.llMatch,LeaseLock!$M$2:$M$500),IF(_xlpm.stat="Claim Denied","Claim Denied ("&amp;_xlpm.sub&amp;")",IF(_xlpm.stat="Open","Open - "&amp;_xlpm.sub,IF(_xlpm.paid&gt;0,_xlpm.stat&amp;" - $"&amp;TEXT(_xlpm.paid,"#,##0.00")&amp;" paid",_xlpm.stat&amp;" - no payment")))),""),_xlpm.rsiMatches,ISNUMBER(SEARCH(_xlpm.lastName,Evictions_RSI!$B$3:$B$200))*(Evictions_RSI!$B$3:$B$200&lt;&gt;""),_xlpm.hasRSI,SUMPRODUCT(_xlpm.rsiMatches)&gt;0,_xlpm.rsiStatus,IF(_xlpm.hasRSI,_xlfn.LET(_xlpm.dates,IF(_xlpm.rsiMatches,IFERROR(DATEVALUE(SUBSTITUTE(Evictions_RSI!$A$3:$A$200,_xlfn.UNICHAR(8204),"")),0),0),_xlpm.latestRow,MATCH(MAX(_xlpm.dates),_xlpm.dates,0),TRIM(SUBSTITUTE(INDEX(Evictions_RSI!$I$3:$I$200,_xlpm.latestRow),_xlfn.UNICHAR(8204),""))),""),IF(AND(_xlpm.llStatus="",_xlpm.rsiStatus=""),"",IF(_xlpm.llStatus="","RSI: "&amp;_xlpm.rsiStatus,IF(_xlpm.rsiStatus="","LL: "&amp;_xlpm.llStatus,"LL: "&amp;_xlpm.llStatus&amp;" | RSI: "&amp;_xlpm.rsiStatus)))),""))</f>
        <v/>
      </c>
      <c r="L115" s="1005"/>
      <c r="M115" s="992"/>
      <c r="N115" s="992"/>
      <c r="Q115" s="973"/>
      <c r="R115" s="973"/>
      <c r="S115" s="973"/>
      <c r="T115" s="973"/>
      <c r="U115" s="973"/>
      <c r="V115" s="973"/>
      <c r="W115" s="973"/>
      <c r="X115" s="973"/>
      <c r="Y115" s="973"/>
      <c r="Z115" s="973"/>
    </row>
    <row r="116" spans="1:26" ht="12" hidden="1" customHeight="1">
      <c r="A116" s="996" cm="1">
        <f t="array" ref="A116">IFERROR(_xlfn.LET(_xlpm.n,ROW()-16,_xlpm.adj,IF((((ISNUMBER(SEARCH("Eviction",'resident aged receivable'!$E$2:$E$460)))+(ISNUMBER(SEARCH("Past",'resident aged receivable'!$E$2:$E$460)))+(ISNUMBER(SEARCH("Skip",'resident aged receivable'!$E$2:$E$460)))+(ISNUMBER(SEARCH("Collections",'resident aged receivable'!$E$2:$E$460)))+(COUNTIF($N$3:$N$24,'resident aged receivable'!$D$2:$D$460)&gt;0))&gt;0)*(((((LEFT('resident aged receivable'!$E$2:$E$460,7)="Current")+(LEFT('resident aged receivable'!$E$2:$E$460,6)="Notice"))=0)+(COUNTIF($N$3:$N$24,'resident aged receivable'!$D$2:$D$460)&gt;0))&gt;0)*(COUNTIF($P$3:$P$24,'resident aged receivable'!$D$2:$D$460)=0)*('resident aged receivable'!$I$2:$I$460&gt;0),'resident aged receivable'!$I$2:$I$460-ROW('resident aged receivable'!$I$2:$I$460)/1000000),_xlpm.tgt,LARGE(_xlpm.adj,_xlpm.n),MATCH(_xlpm.tgt,_xlpm.adj,0)+1),"")</f>
        <v>25</v>
      </c>
      <c r="B116" s="997" t="str" cm="1">
        <f t="array" ref="B116">IF($A116="","",INDEX('resident aged receivable'!$B:$B,$A116))</f>
        <v>N14-1058</v>
      </c>
      <c r="C116" s="997" t="str" cm="1">
        <f t="array" ref="C116">IF($A116="","",INDEX('resident aged receivable'!$D:$D,$A116))</f>
        <v>Abuzu, Augustine</v>
      </c>
      <c r="D116" s="998" cm="1">
        <f t="array" ref="D116">IF($A116="","",INDEX('resident aged receivable'!$F:$F,$A116))</f>
        <v>45828</v>
      </c>
      <c r="E116" s="998" cm="1">
        <f t="array" ref="E116">IF($A116="","",_xlfn.LET(_xlpm.leaseEnd,INDEX('resident aged receivable'!$H:$H,$A116),_xlpm.moLookup,IFERROR(_xlfn.LET(_xlpm.lastFirst,C116,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46192</v>
      </c>
      <c r="F116" s="999" t="str">
        <f t="shared" si="3"/>
        <v>IPS</v>
      </c>
      <c r="G116" s="1000" t="str" cm="1">
        <f t="array" ref="G116">IF($A116="","",IF(COUNTIF($N$3:$N$24,C116)&gt;0,"Former",_xlfn.LET(_xlpm.s,INDEX('resident aged receivable'!$E:$E,$A116),IF(ISNUMBER(SEARCH("Eviction",_xlpm.s)),"Eviction",IF(ISNUMBER(SEARCH("Skip",_xlpm.s)),"Skip",IF(ISNUMBER(SEARCH("Past",_xlpm.s))+ISNUMBER(SEARCH("Collections",_xlpm.s)),"Former",_xlpm.s))))))</f>
        <v>Former</v>
      </c>
      <c r="H116" s="1001" cm="1">
        <f t="array" ref="H116">IF($A116="","",INDEX('resident aged receivable'!$I:$I,$A116))</f>
        <v>90.87</v>
      </c>
      <c r="I116" s="1001" cm="1">
        <f t="array" ref="I116">IF($A116="","",INDEX('resident aged receivable'!$J:$J,$A116))</f>
        <v>0</v>
      </c>
      <c r="J116" s="1001" cm="1">
        <f t="array" ref="J116">IF($A116="","",INDEX('resident aged receivable'!$K:$K,$A116))</f>
        <v>0</v>
      </c>
      <c r="K116" s="1020" t="str" cm="1">
        <f t="array" ref="K116">IF($C116="","",IFERROR(_xlfn.LET(_xlpm.unit,B116,_xlpm.resident,C116,_xlpm.lastName,IFERROR(LEFT(_xlpm.resident,FIND(",",_xlpm.resident)-1),_xlpm.resident),_xlpm.llMatch,(LeaseLock!$D$2:$D$500=_xlpm.unit)*ISNUMBER(SEARCH(_xlpm.lastName,LeaseLock!$C$2:$C$500)),_xlpm.hasLL,SUMPRODUCT(_xlpm.llMatch)&gt;0,_xlpm.llStatus,IF(_xlpm.hasLL,_xlfn.LET(_xlpm.stat,LOOKUP(2,1/_xlpm.llMatch,LeaseLock!$F$2:$F$500),_xlpm.sub,LOOKUP(2,1/_xlpm.llMatch,LeaseLock!$G$2:$G$500),_xlpm.paid,LOOKUP(2,1/_xlpm.llMatch,LeaseLock!$M$2:$M$500),IF(_xlpm.stat="Claim Denied","Claim Denied ("&amp;_xlpm.sub&amp;")",IF(_xlpm.stat="Open","Open - "&amp;_xlpm.sub,IF(_xlpm.paid&gt;0,_xlpm.stat&amp;" - $"&amp;TEXT(_xlpm.paid,"#,##0.00")&amp;" paid",_xlpm.stat&amp;" - no payment")))),""),_xlpm.rsiMatches,ISNUMBER(SEARCH(_xlpm.lastName,Evictions_RSI!$B$3:$B$200))*(Evictions_RSI!$B$3:$B$200&lt;&gt;""),_xlpm.hasRSI,SUMPRODUCT(_xlpm.rsiMatches)&gt;0,_xlpm.rsiStatus,IF(_xlpm.hasRSI,_xlfn.LET(_xlpm.dates,IF(_xlpm.rsiMatches,IFERROR(DATEVALUE(SUBSTITUTE(Evictions_RSI!$A$3:$A$200,_xlfn.UNICHAR(8204),"")),0),0),_xlpm.latestRow,MATCH(MAX(_xlpm.dates),_xlpm.dates,0),TRIM(SUBSTITUTE(INDEX(Evictions_RSI!$I$3:$I$200,_xlpm.latestRow),_xlfn.UNICHAR(8204),""))),""),IF(AND(_xlpm.llStatus="",_xlpm.rsiStatus=""),"",IF(_xlpm.llStatus="","RSI: "&amp;_xlpm.rsiStatus,IF(_xlpm.rsiStatus="","LL: "&amp;_xlpm.llStatus,"LL: "&amp;_xlpm.llStatus&amp;" | RSI: "&amp;_xlpm.rsiStatus)))),""))</f>
        <v/>
      </c>
      <c r="L116" s="1005"/>
      <c r="M116" s="992"/>
      <c r="N116" s="992"/>
      <c r="Q116" s="973"/>
      <c r="R116" s="973"/>
      <c r="S116" s="973"/>
      <c r="T116" s="973"/>
      <c r="U116" s="973"/>
      <c r="V116" s="973"/>
      <c r="W116" s="973"/>
      <c r="X116" s="973"/>
      <c r="Y116" s="973"/>
      <c r="Z116" s="973"/>
    </row>
    <row r="117" spans="1:26" ht="12" hidden="1" customHeight="1">
      <c r="A117" s="996" cm="1">
        <f t="array" ref="A117">IFERROR(_xlfn.LET(_xlpm.n,ROW()-16,_xlpm.adj,IF((((ISNUMBER(SEARCH("Eviction",'resident aged receivable'!$E$2:$E$460)))+(ISNUMBER(SEARCH("Past",'resident aged receivable'!$E$2:$E$460)))+(ISNUMBER(SEARCH("Skip",'resident aged receivable'!$E$2:$E$460)))+(ISNUMBER(SEARCH("Collections",'resident aged receivable'!$E$2:$E$460)))+(COUNTIF($N$3:$N$24,'resident aged receivable'!$D$2:$D$460)&gt;0))&gt;0)*(((((LEFT('resident aged receivable'!$E$2:$E$460,7)="Current")+(LEFT('resident aged receivable'!$E$2:$E$460,6)="Notice"))=0)+(COUNTIF($N$3:$N$24,'resident aged receivable'!$D$2:$D$460)&gt;0))&gt;0)*(COUNTIF($P$3:$P$24,'resident aged receivable'!$D$2:$D$460)=0)*('resident aged receivable'!$I$2:$I$460&gt;0),'resident aged receivable'!$I$2:$I$460-ROW('resident aged receivable'!$I$2:$I$460)/1000000),_xlpm.tgt,LARGE(_xlpm.adj,_xlpm.n),MATCH(_xlpm.tgt,_xlpm.adj,0)+1),"")</f>
        <v>82</v>
      </c>
      <c r="B117" s="997" t="str" cm="1">
        <f t="array" ref="B117">IF($A117="","",INDEX('resident aged receivable'!$B:$B,$A117))</f>
        <v>S38-153</v>
      </c>
      <c r="C117" s="997" t="str" cm="1">
        <f t="array" ref="C117">IF($A117="","",INDEX('resident aged receivable'!$D:$D,$A117))</f>
        <v>Randall, Sherry</v>
      </c>
      <c r="D117" s="998" cm="1">
        <f t="array" ref="D117">IF($A117="","",INDEX('resident aged receivable'!$F:$F,$A117))</f>
        <v>45780</v>
      </c>
      <c r="E117" s="998" cm="1">
        <f t="array" ref="E117">IF($A117="","",_xlfn.LET(_xlpm.leaseEnd,INDEX('resident aged receivable'!$H:$H,$A117),_xlpm.moLookup,IFERROR(_xlfn.LET(_xlpm.lastFirst,C117,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46142</v>
      </c>
      <c r="F117" s="999" t="str">
        <f t="shared" si="3"/>
        <v>IPS</v>
      </c>
      <c r="G117" s="1000" t="str" cm="1">
        <f t="array" ref="G117">IF($A117="","",IF(COUNTIF($N$3:$N$24,C117)&gt;0,"Former",_xlfn.LET(_xlpm.s,INDEX('resident aged receivable'!$E:$E,$A117),IF(ISNUMBER(SEARCH("Eviction",_xlpm.s)),"Eviction",IF(ISNUMBER(SEARCH("Skip",_xlpm.s)),"Skip",IF(ISNUMBER(SEARCH("Past",_xlpm.s))+ISNUMBER(SEARCH("Collections",_xlpm.s)),"Former",_xlpm.s))))))</f>
        <v>Former</v>
      </c>
      <c r="H117" s="1001" cm="1">
        <f t="array" ref="H117">IF($A117="","",INDEX('resident aged receivable'!$I:$I,$A117))</f>
        <v>59.67</v>
      </c>
      <c r="I117" s="1001" cm="1">
        <f t="array" ref="I117">IF($A117="","",INDEX('resident aged receivable'!$J:$J,$A117))</f>
        <v>0</v>
      </c>
      <c r="J117" s="1001" cm="1">
        <f t="array" ref="J117">IF($A117="","",INDEX('resident aged receivable'!$K:$K,$A117))</f>
        <v>0</v>
      </c>
      <c r="K117" s="1020" t="str" cm="1">
        <f t="array" ref="K117">IF($C117="","",IFERROR(_xlfn.LET(_xlpm.unit,B117,_xlpm.resident,C117,_xlpm.lastName,IFERROR(LEFT(_xlpm.resident,FIND(",",_xlpm.resident)-1),_xlpm.resident),_xlpm.llMatch,(LeaseLock!$D$2:$D$500=_xlpm.unit)*ISNUMBER(SEARCH(_xlpm.lastName,LeaseLock!$C$2:$C$500)),_xlpm.hasLL,SUMPRODUCT(_xlpm.llMatch)&gt;0,_xlpm.llStatus,IF(_xlpm.hasLL,_xlfn.LET(_xlpm.stat,LOOKUP(2,1/_xlpm.llMatch,LeaseLock!$F$2:$F$500),_xlpm.sub,LOOKUP(2,1/_xlpm.llMatch,LeaseLock!$G$2:$G$500),_xlpm.paid,LOOKUP(2,1/_xlpm.llMatch,LeaseLock!$M$2:$M$500),IF(_xlpm.stat="Claim Denied","Claim Denied ("&amp;_xlpm.sub&amp;")",IF(_xlpm.stat="Open","Open - "&amp;_xlpm.sub,IF(_xlpm.paid&gt;0,_xlpm.stat&amp;" - $"&amp;TEXT(_xlpm.paid,"#,##0.00")&amp;" paid",_xlpm.stat&amp;" - no payment")))),""),_xlpm.rsiMatches,ISNUMBER(SEARCH(_xlpm.lastName,Evictions_RSI!$B$3:$B$200))*(Evictions_RSI!$B$3:$B$200&lt;&gt;""),_xlpm.hasRSI,SUMPRODUCT(_xlpm.rsiMatches)&gt;0,_xlpm.rsiStatus,IF(_xlpm.hasRSI,_xlfn.LET(_xlpm.dates,IF(_xlpm.rsiMatches,IFERROR(DATEVALUE(SUBSTITUTE(Evictions_RSI!$A$3:$A$200,_xlfn.UNICHAR(8204),"")),0),0),_xlpm.latestRow,MATCH(MAX(_xlpm.dates),_xlpm.dates,0),TRIM(SUBSTITUTE(INDEX(Evictions_RSI!$I$3:$I$200,_xlpm.latestRow),_xlfn.UNICHAR(8204),""))),""),IF(AND(_xlpm.llStatus="",_xlpm.rsiStatus=""),"",IF(_xlpm.llStatus="","RSI: "&amp;_xlpm.rsiStatus,IF(_xlpm.rsiStatus="","LL: "&amp;_xlpm.llStatus,"LL: "&amp;_xlpm.llStatus&amp;" | RSI: "&amp;_xlpm.rsiStatus)))),""))</f>
        <v/>
      </c>
      <c r="L117" s="1005"/>
      <c r="M117" s="992"/>
      <c r="N117" s="992"/>
      <c r="Q117" s="973"/>
      <c r="R117" s="973"/>
      <c r="S117" s="973"/>
      <c r="T117" s="973"/>
      <c r="U117" s="973"/>
      <c r="V117" s="973"/>
      <c r="W117" s="973"/>
      <c r="X117" s="973"/>
      <c r="Y117" s="973"/>
      <c r="Z117" s="973"/>
    </row>
    <row r="118" spans="1:26" ht="12" hidden="1" customHeight="1">
      <c r="A118" s="996" cm="1">
        <f t="array" ref="A118">IFERROR(_xlfn.LET(_xlpm.n,ROW()-16,_xlpm.adj,IF((((ISNUMBER(SEARCH("Eviction",'resident aged receivable'!$E$2:$E$460)))+(ISNUMBER(SEARCH("Past",'resident aged receivable'!$E$2:$E$460)))+(ISNUMBER(SEARCH("Skip",'resident aged receivable'!$E$2:$E$460)))+(ISNUMBER(SEARCH("Collections",'resident aged receivable'!$E$2:$E$460)))+(COUNTIF($N$3:$N$24,'resident aged receivable'!$D$2:$D$460)&gt;0))&gt;0)*(((((LEFT('resident aged receivable'!$E$2:$E$460,7)="Current")+(LEFT('resident aged receivable'!$E$2:$E$460,6)="Notice"))=0)+(COUNTIF($N$3:$N$24,'resident aged receivable'!$D$2:$D$460)&gt;0))&gt;0)*(COUNTIF($P$3:$P$24,'resident aged receivable'!$D$2:$D$460)=0)*('resident aged receivable'!$I$2:$I$460&gt;0),'resident aged receivable'!$I$2:$I$460-ROW('resident aged receivable'!$I$2:$I$460)/1000000),_xlpm.tgt,LARGE(_xlpm.adj,_xlpm.n),MATCH(_xlpm.tgt,_xlpm.adj,0)+1),"")</f>
        <v>2</v>
      </c>
      <c r="B118" s="997" t="str" cm="1">
        <f t="array" ref="B118">IF($A118="","",INDEX('resident aged receivable'!$B:$B,$A118))</f>
        <v>N01-1003</v>
      </c>
      <c r="C118" s="997" t="str" cm="1">
        <f t="array" ref="C118">IF($A118="","",INDEX('resident aged receivable'!$D:$D,$A118))</f>
        <v>Andemariam, Nehom</v>
      </c>
      <c r="D118" s="998" cm="1">
        <f t="array" ref="D118">IF($A118="","",INDEX('resident aged receivable'!$F:$F,$A118))</f>
        <v>45586</v>
      </c>
      <c r="E118" s="998" cm="1">
        <f t="array" ref="E118">IF($A118="","",_xlfn.LET(_xlpm.leaseEnd,INDEX('resident aged receivable'!$H:$H,$A118),_xlpm.moLookup,IFERROR(_xlfn.LET(_xlpm.lastFirst,C118,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46011</v>
      </c>
      <c r="F118" s="999" t="str">
        <f t="shared" si="3"/>
        <v>IPS</v>
      </c>
      <c r="G118" s="1000" t="str" cm="1">
        <f t="array" ref="G118">IF($A118="","",IF(COUNTIF($N$3:$N$24,C118)&gt;0,"Former",_xlfn.LET(_xlpm.s,INDEX('resident aged receivable'!$E:$E,$A118),IF(ISNUMBER(SEARCH("Eviction",_xlpm.s)),"Eviction",IF(ISNUMBER(SEARCH("Skip",_xlpm.s)),"Skip",IF(ISNUMBER(SEARCH("Past",_xlpm.s))+ISNUMBER(SEARCH("Collections",_xlpm.s)),"Former",_xlpm.s))))))</f>
        <v>Former</v>
      </c>
      <c r="H118" s="1001" cm="1">
        <f t="array" ref="H118">IF($A118="","",INDEX('resident aged receivable'!$I:$I,$A118))</f>
        <v>58.25</v>
      </c>
      <c r="I118" s="1001" cm="1">
        <f t="array" ref="I118">IF($A118="","",INDEX('resident aged receivable'!$J:$J,$A118))</f>
        <v>0</v>
      </c>
      <c r="J118" s="1001" cm="1">
        <f t="array" ref="J118">IF($A118="","",INDEX('resident aged receivable'!$K:$K,$A118))</f>
        <v>0</v>
      </c>
      <c r="K118" s="1020" t="str" cm="1">
        <f t="array" ref="K118">IF($C118="","",IFERROR(_xlfn.LET(_xlpm.unit,B118,_xlpm.resident,C118,_xlpm.lastName,IFERROR(LEFT(_xlpm.resident,FIND(",",_xlpm.resident)-1),_xlpm.resident),_xlpm.llMatch,(LeaseLock!$D$2:$D$500=_xlpm.unit)*ISNUMBER(SEARCH(_xlpm.lastName,LeaseLock!$C$2:$C$500)),_xlpm.hasLL,SUMPRODUCT(_xlpm.llMatch)&gt;0,_xlpm.llStatus,IF(_xlpm.hasLL,_xlfn.LET(_xlpm.stat,LOOKUP(2,1/_xlpm.llMatch,LeaseLock!$F$2:$F$500),_xlpm.sub,LOOKUP(2,1/_xlpm.llMatch,LeaseLock!$G$2:$G$500),_xlpm.paid,LOOKUP(2,1/_xlpm.llMatch,LeaseLock!$M$2:$M$500),IF(_xlpm.stat="Claim Denied","Claim Denied ("&amp;_xlpm.sub&amp;")",IF(_xlpm.stat="Open","Open - "&amp;_xlpm.sub,IF(_xlpm.paid&gt;0,_xlpm.stat&amp;" - $"&amp;TEXT(_xlpm.paid,"#,##0.00")&amp;" paid",_xlpm.stat&amp;" - no payment")))),""),_xlpm.rsiMatches,ISNUMBER(SEARCH(_xlpm.lastName,Evictions_RSI!$B$3:$B$200))*(Evictions_RSI!$B$3:$B$200&lt;&gt;""),_xlpm.hasRSI,SUMPRODUCT(_xlpm.rsiMatches)&gt;0,_xlpm.rsiStatus,IF(_xlpm.hasRSI,_xlfn.LET(_xlpm.dates,IF(_xlpm.rsiMatches,IFERROR(DATEVALUE(SUBSTITUTE(Evictions_RSI!$A$3:$A$200,_xlfn.UNICHAR(8204),"")),0),0),_xlpm.latestRow,MATCH(MAX(_xlpm.dates),_xlpm.dates,0),TRIM(SUBSTITUTE(INDEX(Evictions_RSI!$I$3:$I$200,_xlpm.latestRow),_xlfn.UNICHAR(8204),""))),""),IF(AND(_xlpm.llStatus="",_xlpm.rsiStatus=""),"",IF(_xlpm.llStatus="","RSI: "&amp;_xlpm.rsiStatus,IF(_xlpm.rsiStatus="","LL: "&amp;_xlpm.llStatus,"LL: "&amp;_xlpm.llStatus&amp;" | RSI: "&amp;_xlpm.rsiStatus)))),""))</f>
        <v/>
      </c>
      <c r="L118" s="1005"/>
      <c r="M118" s="992"/>
      <c r="N118" s="992"/>
      <c r="Q118" s="973"/>
      <c r="R118" s="973"/>
      <c r="S118" s="973"/>
      <c r="T118" s="973"/>
      <c r="U118" s="973"/>
      <c r="V118" s="973"/>
      <c r="W118" s="973"/>
      <c r="X118" s="973"/>
      <c r="Y118" s="973"/>
      <c r="Z118" s="973"/>
    </row>
    <row r="119" spans="1:26" ht="12" hidden="1" customHeight="1">
      <c r="A119" s="996" t="str" cm="1">
        <f t="array" ref="A119">IFERROR(_xlfn.LET(_xlpm.n,ROW()-16,_xlpm.adj,IF((((ISNUMBER(SEARCH("Eviction",'resident aged receivable'!$E$2:$E$460)))+(ISNUMBER(SEARCH("Past",'resident aged receivable'!$E$2:$E$460)))+(ISNUMBER(SEARCH("Skip",'resident aged receivable'!$E$2:$E$460)))+(ISNUMBER(SEARCH("Collections",'resident aged receivable'!$E$2:$E$460)))+(COUNTIF($N$3:$N$24,'resident aged receivable'!$D$2:$D$460)&gt;0))&gt;0)*(((((LEFT('resident aged receivable'!$E$2:$E$460,7)="Current")+(LEFT('resident aged receivable'!$E$2:$E$460,6)="Notice"))=0)+(COUNTIF($N$3:$N$24,'resident aged receivable'!$D$2:$D$460)&gt;0))&gt;0)*(COUNTIF($P$3:$P$24,'resident aged receivable'!$D$2:$D$460)=0)*('resident aged receivable'!$I$2:$I$460&gt;0),'resident aged receivable'!$I$2:$I$460-ROW('resident aged receivable'!$I$2:$I$460)/1000000),_xlpm.tgt,LARGE(_xlpm.adj,_xlpm.n),MATCH(_xlpm.tgt,_xlpm.adj,0)+1),"")</f>
        <v/>
      </c>
      <c r="B119" s="997" t="str" cm="1">
        <f t="array" ref="B119">IF($A119="","",INDEX('resident aged receivable'!$B:$B,$A119))</f>
        <v/>
      </c>
      <c r="C119" s="997" t="str" cm="1">
        <f t="array" ref="C119">IF($A119="","",INDEX('resident aged receivable'!$D:$D,$A119))</f>
        <v/>
      </c>
      <c r="D119" s="998" t="str" cm="1">
        <f t="array" ref="D119">IF($A119="","",INDEX('resident aged receivable'!$F:$F,$A119))</f>
        <v/>
      </c>
      <c r="E119" s="998" t="str" cm="1">
        <f t="array" ref="E119">IF($A119="","",_xlfn.LET(_xlpm.leaseEnd,INDEX('resident aged receivable'!$H:$H,$A119),_xlpm.moLookup,IFERROR(_xlfn.LET(_xlpm.lastFirst,C119,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
      </c>
      <c r="F119" s="999" t="str">
        <f t="shared" si="3"/>
        <v/>
      </c>
      <c r="G119" s="1000" t="str" cm="1">
        <f t="array" ref="G119">IF($A119="","",IF(COUNTIF($N$3:$N$24,C119)&gt;0,"Former",_xlfn.LET(_xlpm.s,INDEX('resident aged receivable'!$E:$E,$A119),IF(ISNUMBER(SEARCH("Eviction",_xlpm.s)),"Eviction",IF(ISNUMBER(SEARCH("Skip",_xlpm.s)),"Skip",IF(ISNUMBER(SEARCH("Past",_xlpm.s))+ISNUMBER(SEARCH("Collections",_xlpm.s)),"Former",_xlpm.s))))))</f>
        <v/>
      </c>
      <c r="H119" s="1001" t="str" cm="1">
        <f t="array" ref="H119">IF($A119="","",INDEX('resident aged receivable'!$I:$I,$A119))</f>
        <v/>
      </c>
      <c r="I119" s="1001" t="str" cm="1">
        <f t="array" ref="I119">IF($A119="","",INDEX('resident aged receivable'!$J:$J,$A119))</f>
        <v/>
      </c>
      <c r="J119" s="1001" t="str" cm="1">
        <f t="array" ref="J119">IF($A119="","",INDEX('resident aged receivable'!$K:$K,$A119))</f>
        <v/>
      </c>
      <c r="K119" s="1020" t="str" cm="1">
        <f t="array" ref="K119">IF($C119="","",IFERROR(_xlfn.LET(_xlpm.unit,B119,_xlpm.resident,C119,_xlpm.lastName,IFERROR(LEFT(_xlpm.resident,FIND(",",_xlpm.resident)-1),_xlpm.resident),_xlpm.llMatch,(LeaseLock!$D$2:$D$500=_xlpm.unit)*ISNUMBER(SEARCH(_xlpm.lastName,LeaseLock!$C$2:$C$500)),_xlpm.hasLL,SUMPRODUCT(_xlpm.llMatch)&gt;0,_xlpm.llStatus,IF(_xlpm.hasLL,_xlfn.LET(_xlpm.stat,LOOKUP(2,1/_xlpm.llMatch,LeaseLock!$F$2:$F$500),_xlpm.sub,LOOKUP(2,1/_xlpm.llMatch,LeaseLock!$G$2:$G$500),_xlpm.paid,LOOKUP(2,1/_xlpm.llMatch,LeaseLock!$M$2:$M$500),IF(_xlpm.stat="Claim Denied","Claim Denied ("&amp;_xlpm.sub&amp;")",IF(_xlpm.stat="Open","Open - "&amp;_xlpm.sub,IF(_xlpm.paid&gt;0,_xlpm.stat&amp;" - $"&amp;TEXT(_xlpm.paid,"#,##0.00")&amp;" paid",_xlpm.stat&amp;" - no payment")))),""),_xlpm.rsiMatches,ISNUMBER(SEARCH(_xlpm.lastName,Evictions_RSI!$B$3:$B$200))*(Evictions_RSI!$B$3:$B$200&lt;&gt;""),_xlpm.hasRSI,SUMPRODUCT(_xlpm.rsiMatches)&gt;0,_xlpm.rsiStatus,IF(_xlpm.hasRSI,_xlfn.LET(_xlpm.dates,IF(_xlpm.rsiMatches,IFERROR(DATEVALUE(SUBSTITUTE(Evictions_RSI!$A$3:$A$200,_xlfn.UNICHAR(8204),"")),0),0),_xlpm.latestRow,MATCH(MAX(_xlpm.dates),_xlpm.dates,0),TRIM(SUBSTITUTE(INDEX(Evictions_RSI!$I$3:$I$200,_xlpm.latestRow),_xlfn.UNICHAR(8204),""))),""),IF(AND(_xlpm.llStatus="",_xlpm.rsiStatus=""),"",IF(_xlpm.llStatus="","RSI: "&amp;_xlpm.rsiStatus,IF(_xlpm.rsiStatus="","LL: "&amp;_xlpm.llStatus,"LL: "&amp;_xlpm.llStatus&amp;" | RSI: "&amp;_xlpm.rsiStatus)))),""))</f>
        <v/>
      </c>
      <c r="L119" s="1005"/>
      <c r="M119" s="992"/>
      <c r="N119" s="992"/>
      <c r="Q119" s="973"/>
      <c r="R119" s="973"/>
      <c r="S119" s="973"/>
      <c r="T119" s="973"/>
      <c r="U119" s="973"/>
      <c r="V119" s="973"/>
      <c r="W119" s="973"/>
      <c r="X119" s="973"/>
      <c r="Y119" s="973"/>
      <c r="Z119" s="973"/>
    </row>
    <row r="120" spans="1:26" ht="12" hidden="1" customHeight="1">
      <c r="A120" s="996" t="str" cm="1">
        <f t="array" ref="A120">IFERROR(_xlfn.LET(_xlpm.n,ROW()-16,_xlpm.adj,IF((((ISNUMBER(SEARCH("Eviction",'resident aged receivable'!$E$2:$E$460)))+(ISNUMBER(SEARCH("Past",'resident aged receivable'!$E$2:$E$460)))+(ISNUMBER(SEARCH("Skip",'resident aged receivable'!$E$2:$E$460)))+(ISNUMBER(SEARCH("Collections",'resident aged receivable'!$E$2:$E$460)))+(COUNTIF($N$3:$N$24,'resident aged receivable'!$D$2:$D$460)&gt;0))&gt;0)*(((((LEFT('resident aged receivable'!$E$2:$E$460,7)="Current")+(LEFT('resident aged receivable'!$E$2:$E$460,6)="Notice"))=0)+(COUNTIF($N$3:$N$24,'resident aged receivable'!$D$2:$D$460)&gt;0))&gt;0)*(COUNTIF($P$3:$P$24,'resident aged receivable'!$D$2:$D$460)=0)*('resident aged receivable'!$I$2:$I$460&gt;0),'resident aged receivable'!$I$2:$I$460-ROW('resident aged receivable'!$I$2:$I$460)/1000000),_xlpm.tgt,LARGE(_xlpm.adj,_xlpm.n),MATCH(_xlpm.tgt,_xlpm.adj,0)+1),"")</f>
        <v/>
      </c>
      <c r="B120" s="997" t="str" cm="1">
        <f t="array" ref="B120">IF($A120="","",INDEX('resident aged receivable'!$B:$B,$A120))</f>
        <v/>
      </c>
      <c r="C120" s="997" t="str" cm="1">
        <f t="array" ref="C120">IF($A120="","",INDEX('resident aged receivable'!$D:$D,$A120))</f>
        <v/>
      </c>
      <c r="D120" s="998" t="str" cm="1">
        <f t="array" ref="D120">IF($A120="","",INDEX('resident aged receivable'!$F:$F,$A120))</f>
        <v/>
      </c>
      <c r="E120" s="998" t="str" cm="1">
        <f t="array" ref="E120">IF($A120="","",_xlfn.LET(_xlpm.leaseEnd,INDEX('resident aged receivable'!$H:$H,$A120),_xlpm.moLookup,IFERROR(_xlfn.LET(_xlpm.lastFirst,C120,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
      </c>
      <c r="F120" s="999" t="str">
        <f t="shared" si="3"/>
        <v/>
      </c>
      <c r="G120" s="1000" t="str" cm="1">
        <f t="array" ref="G120">IF($A120="","",IF(COUNTIF($N$3:$N$24,C120)&gt;0,"Former",_xlfn.LET(_xlpm.s,INDEX('resident aged receivable'!$E:$E,$A120),IF(ISNUMBER(SEARCH("Eviction",_xlpm.s)),"Eviction",IF(ISNUMBER(SEARCH("Skip",_xlpm.s)),"Skip",IF(ISNUMBER(SEARCH("Past",_xlpm.s))+ISNUMBER(SEARCH("Collections",_xlpm.s)),"Former",_xlpm.s))))))</f>
        <v/>
      </c>
      <c r="H120" s="1001" t="str" cm="1">
        <f t="array" ref="H120">IF($A120="","",INDEX('resident aged receivable'!$I:$I,$A120))</f>
        <v/>
      </c>
      <c r="I120" s="1001" t="str" cm="1">
        <f t="array" ref="I120">IF($A120="","",INDEX('resident aged receivable'!$J:$J,$A120))</f>
        <v/>
      </c>
      <c r="J120" s="1001" t="str" cm="1">
        <f t="array" ref="J120">IF($A120="","",INDEX('resident aged receivable'!$K:$K,$A120))</f>
        <v/>
      </c>
      <c r="K120" s="1020" t="str" cm="1">
        <f t="array" ref="K120">IF($C120="","",IFERROR(_xlfn.LET(_xlpm.unit,B120,_xlpm.resident,C120,_xlpm.lastName,IFERROR(LEFT(_xlpm.resident,FIND(",",_xlpm.resident)-1),_xlpm.resident),_xlpm.llMatch,(LeaseLock!$D$2:$D$500=_xlpm.unit)*ISNUMBER(SEARCH(_xlpm.lastName,LeaseLock!$C$2:$C$500)),_xlpm.hasLL,SUMPRODUCT(_xlpm.llMatch)&gt;0,_xlpm.llStatus,IF(_xlpm.hasLL,_xlfn.LET(_xlpm.stat,LOOKUP(2,1/_xlpm.llMatch,LeaseLock!$F$2:$F$500),_xlpm.sub,LOOKUP(2,1/_xlpm.llMatch,LeaseLock!$G$2:$G$500),_xlpm.paid,LOOKUP(2,1/_xlpm.llMatch,LeaseLock!$M$2:$M$500),IF(_xlpm.stat="Claim Denied","Claim Denied ("&amp;_xlpm.sub&amp;")",IF(_xlpm.stat="Open","Open - "&amp;_xlpm.sub,IF(_xlpm.paid&gt;0,_xlpm.stat&amp;" - $"&amp;TEXT(_xlpm.paid,"#,##0.00")&amp;" paid",_xlpm.stat&amp;" - no payment")))),""),_xlpm.rsiMatches,ISNUMBER(SEARCH(_xlpm.lastName,Evictions_RSI!$B$3:$B$200))*(Evictions_RSI!$B$3:$B$200&lt;&gt;""),_xlpm.hasRSI,SUMPRODUCT(_xlpm.rsiMatches)&gt;0,_xlpm.rsiStatus,IF(_xlpm.hasRSI,_xlfn.LET(_xlpm.dates,IF(_xlpm.rsiMatches,IFERROR(DATEVALUE(SUBSTITUTE(Evictions_RSI!$A$3:$A$200,_xlfn.UNICHAR(8204),"")),0),0),_xlpm.latestRow,MATCH(MAX(_xlpm.dates),_xlpm.dates,0),TRIM(SUBSTITUTE(INDEX(Evictions_RSI!$I$3:$I$200,_xlpm.latestRow),_xlfn.UNICHAR(8204),""))),""),IF(AND(_xlpm.llStatus="",_xlpm.rsiStatus=""),"",IF(_xlpm.llStatus="","RSI: "&amp;_xlpm.rsiStatus,IF(_xlpm.rsiStatus="","LL: "&amp;_xlpm.llStatus,"LL: "&amp;_xlpm.llStatus&amp;" | RSI: "&amp;_xlpm.rsiStatus)))),""))</f>
        <v/>
      </c>
      <c r="L120" s="1005"/>
      <c r="M120" s="992"/>
      <c r="N120" s="992"/>
      <c r="Q120" s="973"/>
      <c r="R120" s="973"/>
      <c r="S120" s="973"/>
      <c r="T120" s="973"/>
      <c r="U120" s="973"/>
      <c r="V120" s="973"/>
      <c r="W120" s="973"/>
      <c r="X120" s="973"/>
      <c r="Y120" s="973"/>
      <c r="Z120" s="973"/>
    </row>
    <row r="121" spans="1:26" ht="12" hidden="1" customHeight="1">
      <c r="A121" s="996" t="str" cm="1">
        <f t="array" ref="A121">IFERROR(_xlfn.LET(_xlpm.n,ROW()-16,_xlpm.adj,IF((((ISNUMBER(SEARCH("Eviction",'resident aged receivable'!$E$2:$E$460)))+(ISNUMBER(SEARCH("Past",'resident aged receivable'!$E$2:$E$460)))+(ISNUMBER(SEARCH("Skip",'resident aged receivable'!$E$2:$E$460)))+(ISNUMBER(SEARCH("Collections",'resident aged receivable'!$E$2:$E$460)))+(COUNTIF($N$3:$N$24,'resident aged receivable'!$D$2:$D$460)&gt;0))&gt;0)*(((((LEFT('resident aged receivable'!$E$2:$E$460,7)="Current")+(LEFT('resident aged receivable'!$E$2:$E$460,6)="Notice"))=0)+(COUNTIF($N$3:$N$24,'resident aged receivable'!$D$2:$D$460)&gt;0))&gt;0)*(COUNTIF($P$3:$P$24,'resident aged receivable'!$D$2:$D$460)=0)*('resident aged receivable'!$I$2:$I$460&gt;0),'resident aged receivable'!$I$2:$I$460-ROW('resident aged receivable'!$I$2:$I$460)/1000000),_xlpm.tgt,LARGE(_xlpm.adj,_xlpm.n),MATCH(_xlpm.tgt,_xlpm.adj,0)+1),"")</f>
        <v/>
      </c>
      <c r="B121" s="997" t="str" cm="1">
        <f t="array" ref="B121">IF($A121="","",INDEX('resident aged receivable'!$B:$B,$A121))</f>
        <v/>
      </c>
      <c r="C121" s="997" t="str" cm="1">
        <f t="array" ref="C121">IF($A121="","",INDEX('resident aged receivable'!$D:$D,$A121))</f>
        <v/>
      </c>
      <c r="D121" s="998" t="str" cm="1">
        <f t="array" ref="D121">IF($A121="","",INDEX('resident aged receivable'!$F:$F,$A121))</f>
        <v/>
      </c>
      <c r="E121" s="998" t="str" cm="1">
        <f t="array" ref="E121">IF($A121="","",_xlfn.LET(_xlpm.leaseEnd,INDEX('resident aged receivable'!$H:$H,$A121),_xlpm.moLookup,IFERROR(_xlfn.LET(_xlpm.lastFirst,C121,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
      </c>
      <c r="F121" s="999" t="str">
        <f t="shared" si="3"/>
        <v/>
      </c>
      <c r="G121" s="1000" t="str" cm="1">
        <f t="array" ref="G121">IF($A121="","",IF(COUNTIF($N$3:$N$24,C121)&gt;0,"Former",_xlfn.LET(_xlpm.s,INDEX('resident aged receivable'!$E:$E,$A121),IF(ISNUMBER(SEARCH("Eviction",_xlpm.s)),"Eviction",IF(ISNUMBER(SEARCH("Skip",_xlpm.s)),"Skip",IF(ISNUMBER(SEARCH("Past",_xlpm.s))+ISNUMBER(SEARCH("Collections",_xlpm.s)),"Former",_xlpm.s))))))</f>
        <v/>
      </c>
      <c r="H121" s="1001" t="str" cm="1">
        <f t="array" ref="H121">IF($A121="","",INDEX('resident aged receivable'!$I:$I,$A121))</f>
        <v/>
      </c>
      <c r="I121" s="1001" t="str" cm="1">
        <f t="array" ref="I121">IF($A121="","",INDEX('resident aged receivable'!$J:$J,$A121))</f>
        <v/>
      </c>
      <c r="J121" s="1001" t="str" cm="1">
        <f t="array" ref="J121">IF($A121="","",INDEX('resident aged receivable'!$K:$K,$A121))</f>
        <v/>
      </c>
      <c r="K121" s="1020" t="str" cm="1">
        <f t="array" ref="K121">IF($C121="","",IFERROR(_xlfn.LET(_xlpm.unit,B121,_xlpm.resident,C121,_xlpm.lastName,IFERROR(LEFT(_xlpm.resident,FIND(",",_xlpm.resident)-1),_xlpm.resident),_xlpm.llMatch,(LeaseLock!$D$2:$D$500=_xlpm.unit)*ISNUMBER(SEARCH(_xlpm.lastName,LeaseLock!$C$2:$C$500)),_xlpm.hasLL,SUMPRODUCT(_xlpm.llMatch)&gt;0,_xlpm.llStatus,IF(_xlpm.hasLL,_xlfn.LET(_xlpm.stat,LOOKUP(2,1/_xlpm.llMatch,LeaseLock!$F$2:$F$500),_xlpm.sub,LOOKUP(2,1/_xlpm.llMatch,LeaseLock!$G$2:$G$500),_xlpm.paid,LOOKUP(2,1/_xlpm.llMatch,LeaseLock!$M$2:$M$500),IF(_xlpm.stat="Claim Denied","Claim Denied ("&amp;_xlpm.sub&amp;")",IF(_xlpm.stat="Open","Open - "&amp;_xlpm.sub,IF(_xlpm.paid&gt;0,_xlpm.stat&amp;" - $"&amp;TEXT(_xlpm.paid,"#,##0.00")&amp;" paid",_xlpm.stat&amp;" - no payment")))),""),_xlpm.rsiMatches,ISNUMBER(SEARCH(_xlpm.lastName,Evictions_RSI!$B$3:$B$200))*(Evictions_RSI!$B$3:$B$200&lt;&gt;""),_xlpm.hasRSI,SUMPRODUCT(_xlpm.rsiMatches)&gt;0,_xlpm.rsiStatus,IF(_xlpm.hasRSI,_xlfn.LET(_xlpm.dates,IF(_xlpm.rsiMatches,IFERROR(DATEVALUE(SUBSTITUTE(Evictions_RSI!$A$3:$A$200,_xlfn.UNICHAR(8204),"")),0),0),_xlpm.latestRow,MATCH(MAX(_xlpm.dates),_xlpm.dates,0),TRIM(SUBSTITUTE(INDEX(Evictions_RSI!$I$3:$I$200,_xlpm.latestRow),_xlfn.UNICHAR(8204),""))),""),IF(AND(_xlpm.llStatus="",_xlpm.rsiStatus=""),"",IF(_xlpm.llStatus="","RSI: "&amp;_xlpm.rsiStatus,IF(_xlpm.rsiStatus="","LL: "&amp;_xlpm.llStatus,"LL: "&amp;_xlpm.llStatus&amp;" | RSI: "&amp;_xlpm.rsiStatus)))),""))</f>
        <v/>
      </c>
      <c r="L121" s="1005"/>
      <c r="M121" s="992"/>
      <c r="N121" s="992"/>
      <c r="Q121" s="973"/>
      <c r="R121" s="973"/>
      <c r="S121" s="973"/>
      <c r="T121" s="973"/>
      <c r="U121" s="973"/>
      <c r="V121" s="973"/>
      <c r="W121" s="973"/>
      <c r="X121" s="973"/>
      <c r="Y121" s="973"/>
      <c r="Z121" s="973"/>
    </row>
    <row r="122" spans="1:26" ht="12" hidden="1" customHeight="1">
      <c r="A122" s="996" t="str" cm="1">
        <f t="array" ref="A122">IFERROR(_xlfn.LET(_xlpm.n,ROW()-16,_xlpm.adj,IF((((ISNUMBER(SEARCH("Eviction",'resident aged receivable'!$E$2:$E$460)))+(ISNUMBER(SEARCH("Past",'resident aged receivable'!$E$2:$E$460)))+(ISNUMBER(SEARCH("Skip",'resident aged receivable'!$E$2:$E$460)))+(ISNUMBER(SEARCH("Collections",'resident aged receivable'!$E$2:$E$460)))+(COUNTIF($N$3:$N$24,'resident aged receivable'!$D$2:$D$460)&gt;0))&gt;0)*(((((LEFT('resident aged receivable'!$E$2:$E$460,7)="Current")+(LEFT('resident aged receivable'!$E$2:$E$460,6)="Notice"))=0)+(COUNTIF($N$3:$N$24,'resident aged receivable'!$D$2:$D$460)&gt;0))&gt;0)*(COUNTIF($P$3:$P$24,'resident aged receivable'!$D$2:$D$460)=0)*('resident aged receivable'!$I$2:$I$460&gt;0),'resident aged receivable'!$I$2:$I$460-ROW('resident aged receivable'!$I$2:$I$460)/1000000),_xlpm.tgt,LARGE(_xlpm.adj,_xlpm.n),MATCH(_xlpm.tgt,_xlpm.adj,0)+1),"")</f>
        <v/>
      </c>
      <c r="B122" s="997" t="str" cm="1">
        <f t="array" ref="B122">IF($A122="","",INDEX('resident aged receivable'!$B:$B,$A122))</f>
        <v/>
      </c>
      <c r="C122" s="997" t="str" cm="1">
        <f t="array" ref="C122">IF($A122="","",INDEX('resident aged receivable'!$D:$D,$A122))</f>
        <v/>
      </c>
      <c r="D122" s="998" t="str" cm="1">
        <f t="array" ref="D122">IF($A122="","",INDEX('resident aged receivable'!$F:$F,$A122))</f>
        <v/>
      </c>
      <c r="E122" s="998" t="str" cm="1">
        <f t="array" ref="E122">IF($A122="","",_xlfn.LET(_xlpm.leaseEnd,INDEX('resident aged receivable'!$H:$H,$A122),_xlpm.moLookup,IFERROR(_xlfn.LET(_xlpm.lastFirst,C122,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
      </c>
      <c r="F122" s="999" t="str">
        <f t="shared" si="3"/>
        <v/>
      </c>
      <c r="G122" s="1000" t="str" cm="1">
        <f t="array" ref="G122">IF($A122="","",IF(COUNTIF($N$3:$N$24,C122)&gt;0,"Former",_xlfn.LET(_xlpm.s,INDEX('resident aged receivable'!$E:$E,$A122),IF(ISNUMBER(SEARCH("Eviction",_xlpm.s)),"Eviction",IF(ISNUMBER(SEARCH("Skip",_xlpm.s)),"Skip",IF(ISNUMBER(SEARCH("Past",_xlpm.s))+ISNUMBER(SEARCH("Collections",_xlpm.s)),"Former",_xlpm.s))))))</f>
        <v/>
      </c>
      <c r="H122" s="1001" t="str" cm="1">
        <f t="array" ref="H122">IF($A122="","",INDEX('resident aged receivable'!$I:$I,$A122))</f>
        <v/>
      </c>
      <c r="I122" s="1001" t="str" cm="1">
        <f t="array" ref="I122">IF($A122="","",INDEX('resident aged receivable'!$J:$J,$A122))</f>
        <v/>
      </c>
      <c r="J122" s="1001" t="str" cm="1">
        <f t="array" ref="J122">IF($A122="","",INDEX('resident aged receivable'!$K:$K,$A122))</f>
        <v/>
      </c>
      <c r="K122" s="1020" t="str" cm="1">
        <f t="array" ref="K122">IF($C122="","",IFERROR(_xlfn.LET(_xlpm.unit,B122,_xlpm.resident,C122,_xlpm.lastName,IFERROR(LEFT(_xlpm.resident,FIND(",",_xlpm.resident)-1),_xlpm.resident),_xlpm.llMatch,(LeaseLock!$D$2:$D$500=_xlpm.unit)*ISNUMBER(SEARCH(_xlpm.lastName,LeaseLock!$C$2:$C$500)),_xlpm.hasLL,SUMPRODUCT(_xlpm.llMatch)&gt;0,_xlpm.llStatus,IF(_xlpm.hasLL,_xlfn.LET(_xlpm.stat,LOOKUP(2,1/_xlpm.llMatch,LeaseLock!$F$2:$F$500),_xlpm.sub,LOOKUP(2,1/_xlpm.llMatch,LeaseLock!$G$2:$G$500),_xlpm.paid,LOOKUP(2,1/_xlpm.llMatch,LeaseLock!$M$2:$M$500),IF(_xlpm.stat="Claim Denied","Claim Denied ("&amp;_xlpm.sub&amp;")",IF(_xlpm.stat="Open","Open - "&amp;_xlpm.sub,IF(_xlpm.paid&gt;0,_xlpm.stat&amp;" - $"&amp;TEXT(_xlpm.paid,"#,##0.00")&amp;" paid",_xlpm.stat&amp;" - no payment")))),""),_xlpm.rsiMatches,ISNUMBER(SEARCH(_xlpm.lastName,Evictions_RSI!$B$3:$B$200))*(Evictions_RSI!$B$3:$B$200&lt;&gt;""),_xlpm.hasRSI,SUMPRODUCT(_xlpm.rsiMatches)&gt;0,_xlpm.rsiStatus,IF(_xlpm.hasRSI,_xlfn.LET(_xlpm.dates,IF(_xlpm.rsiMatches,IFERROR(DATEVALUE(SUBSTITUTE(Evictions_RSI!$A$3:$A$200,_xlfn.UNICHAR(8204),"")),0),0),_xlpm.latestRow,MATCH(MAX(_xlpm.dates),_xlpm.dates,0),TRIM(SUBSTITUTE(INDEX(Evictions_RSI!$I$3:$I$200,_xlpm.latestRow),_xlfn.UNICHAR(8204),""))),""),IF(AND(_xlpm.llStatus="",_xlpm.rsiStatus=""),"",IF(_xlpm.llStatus="","RSI: "&amp;_xlpm.rsiStatus,IF(_xlpm.rsiStatus="","LL: "&amp;_xlpm.llStatus,"LL: "&amp;_xlpm.llStatus&amp;" | RSI: "&amp;_xlpm.rsiStatus)))),""))</f>
        <v/>
      </c>
      <c r="L122" s="1005"/>
      <c r="M122" s="992"/>
      <c r="N122" s="992"/>
      <c r="Q122" s="973"/>
      <c r="R122" s="973"/>
      <c r="S122" s="973"/>
      <c r="T122" s="973"/>
      <c r="U122" s="973"/>
      <c r="V122" s="973"/>
      <c r="W122" s="973"/>
      <c r="X122" s="973"/>
      <c r="Y122" s="973"/>
      <c r="Z122" s="973"/>
    </row>
    <row r="123" spans="1:26" ht="12" hidden="1" customHeight="1">
      <c r="A123" s="996" t="str" cm="1">
        <f t="array" ref="A123">IFERROR(_xlfn.LET(_xlpm.n,ROW()-16,_xlpm.adj,IF((((ISNUMBER(SEARCH("Eviction",'resident aged receivable'!$E$2:$E$460)))+(ISNUMBER(SEARCH("Past",'resident aged receivable'!$E$2:$E$460)))+(ISNUMBER(SEARCH("Skip",'resident aged receivable'!$E$2:$E$460)))+(ISNUMBER(SEARCH("Collections",'resident aged receivable'!$E$2:$E$460)))+(COUNTIF($N$3:$N$24,'resident aged receivable'!$D$2:$D$460)&gt;0))&gt;0)*(((((LEFT('resident aged receivable'!$E$2:$E$460,7)="Current")+(LEFT('resident aged receivable'!$E$2:$E$460,6)="Notice"))=0)+(COUNTIF($N$3:$N$24,'resident aged receivable'!$D$2:$D$460)&gt;0))&gt;0)*(COUNTIF($P$3:$P$24,'resident aged receivable'!$D$2:$D$460)=0)*('resident aged receivable'!$I$2:$I$460&gt;0),'resident aged receivable'!$I$2:$I$460-ROW('resident aged receivable'!$I$2:$I$460)/1000000),_xlpm.tgt,LARGE(_xlpm.adj,_xlpm.n),MATCH(_xlpm.tgt,_xlpm.adj,0)+1),"")</f>
        <v/>
      </c>
      <c r="B123" s="997" t="str" cm="1">
        <f t="array" ref="B123">IF($A123="","",INDEX('resident aged receivable'!$B:$B,$A123))</f>
        <v/>
      </c>
      <c r="C123" s="997" t="str" cm="1">
        <f t="array" ref="C123">IF($A123="","",INDEX('resident aged receivable'!$D:$D,$A123))</f>
        <v/>
      </c>
      <c r="D123" s="998" t="str" cm="1">
        <f t="array" ref="D123">IF($A123="","",INDEX('resident aged receivable'!$F:$F,$A123))</f>
        <v/>
      </c>
      <c r="E123" s="998" t="str" cm="1">
        <f t="array" ref="E123">IF($A123="","",_xlfn.LET(_xlpm.leaseEnd,INDEX('resident aged receivable'!$H:$H,$A123),_xlpm.moLookup,IFERROR(_xlfn.LET(_xlpm.lastFirst,C123,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
      </c>
      <c r="F123" s="999" t="str">
        <f t="shared" si="3"/>
        <v/>
      </c>
      <c r="G123" s="1000" t="str" cm="1">
        <f t="array" ref="G123">IF($A123="","",IF(COUNTIF($N$3:$N$24,C123)&gt;0,"Former",_xlfn.LET(_xlpm.s,INDEX('resident aged receivable'!$E:$E,$A123),IF(ISNUMBER(SEARCH("Eviction",_xlpm.s)),"Eviction",IF(ISNUMBER(SEARCH("Skip",_xlpm.s)),"Skip",IF(ISNUMBER(SEARCH("Past",_xlpm.s))+ISNUMBER(SEARCH("Collections",_xlpm.s)),"Former",_xlpm.s))))))</f>
        <v/>
      </c>
      <c r="H123" s="1001" t="str" cm="1">
        <f t="array" ref="H123">IF($A123="","",INDEX('resident aged receivable'!$I:$I,$A123))</f>
        <v/>
      </c>
      <c r="I123" s="1001" t="str" cm="1">
        <f t="array" ref="I123">IF($A123="","",INDEX('resident aged receivable'!$J:$J,$A123))</f>
        <v/>
      </c>
      <c r="J123" s="1001" t="str" cm="1">
        <f t="array" ref="J123">IF($A123="","",INDEX('resident aged receivable'!$K:$K,$A123))</f>
        <v/>
      </c>
      <c r="K123" s="1020" t="str" cm="1">
        <f t="array" ref="K123">IF($C123="","",IFERROR(_xlfn.LET(_xlpm.unit,B123,_xlpm.resident,C123,_xlpm.lastName,IFERROR(LEFT(_xlpm.resident,FIND(",",_xlpm.resident)-1),_xlpm.resident),_xlpm.llMatch,(LeaseLock!$D$2:$D$500=_xlpm.unit)*ISNUMBER(SEARCH(_xlpm.lastName,LeaseLock!$C$2:$C$500)),_xlpm.hasLL,SUMPRODUCT(_xlpm.llMatch)&gt;0,_xlpm.llStatus,IF(_xlpm.hasLL,_xlfn.LET(_xlpm.stat,LOOKUP(2,1/_xlpm.llMatch,LeaseLock!$F$2:$F$500),_xlpm.sub,LOOKUP(2,1/_xlpm.llMatch,LeaseLock!$G$2:$G$500),_xlpm.paid,LOOKUP(2,1/_xlpm.llMatch,LeaseLock!$M$2:$M$500),IF(_xlpm.stat="Claim Denied","Claim Denied ("&amp;_xlpm.sub&amp;")",IF(_xlpm.stat="Open","Open - "&amp;_xlpm.sub,IF(_xlpm.paid&gt;0,_xlpm.stat&amp;" - $"&amp;TEXT(_xlpm.paid,"#,##0.00")&amp;" paid",_xlpm.stat&amp;" - no payment")))),""),_xlpm.rsiMatches,ISNUMBER(SEARCH(_xlpm.lastName,Evictions_RSI!$B$3:$B$200))*(Evictions_RSI!$B$3:$B$200&lt;&gt;""),_xlpm.hasRSI,SUMPRODUCT(_xlpm.rsiMatches)&gt;0,_xlpm.rsiStatus,IF(_xlpm.hasRSI,_xlfn.LET(_xlpm.dates,IF(_xlpm.rsiMatches,IFERROR(DATEVALUE(SUBSTITUTE(Evictions_RSI!$A$3:$A$200,_xlfn.UNICHAR(8204),"")),0),0),_xlpm.latestRow,MATCH(MAX(_xlpm.dates),_xlpm.dates,0),TRIM(SUBSTITUTE(INDEX(Evictions_RSI!$I$3:$I$200,_xlpm.latestRow),_xlfn.UNICHAR(8204),""))),""),IF(AND(_xlpm.llStatus="",_xlpm.rsiStatus=""),"",IF(_xlpm.llStatus="","RSI: "&amp;_xlpm.rsiStatus,IF(_xlpm.rsiStatus="","LL: "&amp;_xlpm.llStatus,"LL: "&amp;_xlpm.llStatus&amp;" | RSI: "&amp;_xlpm.rsiStatus)))),""))</f>
        <v/>
      </c>
      <c r="L123" s="1005"/>
      <c r="M123" s="992"/>
      <c r="N123" s="992"/>
      <c r="Q123" s="973"/>
      <c r="R123" s="973"/>
      <c r="S123" s="973"/>
      <c r="T123" s="973"/>
      <c r="U123" s="973"/>
      <c r="V123" s="973"/>
      <c r="W123" s="973"/>
      <c r="X123" s="973"/>
      <c r="Y123" s="973"/>
      <c r="Z123" s="973"/>
    </row>
    <row r="124" spans="1:26" ht="12" hidden="1" customHeight="1">
      <c r="A124" s="996" t="str" cm="1">
        <f t="array" ref="A124">IFERROR(_xlfn.LET(_xlpm.n,ROW()-16,_xlpm.adj,IF((((ISNUMBER(SEARCH("Eviction",'resident aged receivable'!$E$2:$E$460)))+(ISNUMBER(SEARCH("Past",'resident aged receivable'!$E$2:$E$460)))+(ISNUMBER(SEARCH("Skip",'resident aged receivable'!$E$2:$E$460)))+(ISNUMBER(SEARCH("Collections",'resident aged receivable'!$E$2:$E$460)))+(COUNTIF($N$3:$N$24,'resident aged receivable'!$D$2:$D$460)&gt;0))&gt;0)*(((((LEFT('resident aged receivable'!$E$2:$E$460,7)="Current")+(LEFT('resident aged receivable'!$E$2:$E$460,6)="Notice"))=0)+(COUNTIF($N$3:$N$24,'resident aged receivable'!$D$2:$D$460)&gt;0))&gt;0)*(COUNTIF($P$3:$P$24,'resident aged receivable'!$D$2:$D$460)=0)*('resident aged receivable'!$I$2:$I$460&gt;0),'resident aged receivable'!$I$2:$I$460-ROW('resident aged receivable'!$I$2:$I$460)/1000000),_xlpm.tgt,LARGE(_xlpm.adj,_xlpm.n),MATCH(_xlpm.tgt,_xlpm.adj,0)+1),"")</f>
        <v/>
      </c>
      <c r="B124" s="997" t="str" cm="1">
        <f t="array" ref="B124">IF($A124="","",INDEX('resident aged receivable'!$B:$B,$A124))</f>
        <v/>
      </c>
      <c r="C124" s="997" t="str" cm="1">
        <f t="array" ref="C124">IF($A124="","",INDEX('resident aged receivable'!$D:$D,$A124))</f>
        <v/>
      </c>
      <c r="D124" s="998" t="str" cm="1">
        <f t="array" ref="D124">IF($A124="","",INDEX('resident aged receivable'!$F:$F,$A124))</f>
        <v/>
      </c>
      <c r="E124" s="998" t="str" cm="1">
        <f t="array" ref="E124">IF($A124="","",_xlfn.LET(_xlpm.leaseEnd,INDEX('resident aged receivable'!$H:$H,$A124),_xlpm.moLookup,IFERROR(_xlfn.LET(_xlpm.lastFirst,C124,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
      </c>
      <c r="F124" s="999" t="str">
        <f t="shared" si="3"/>
        <v/>
      </c>
      <c r="G124" s="1000" t="str" cm="1">
        <f t="array" ref="G124">IF($A124="","",IF(COUNTIF($N$3:$N$24,C124)&gt;0,"Former",_xlfn.LET(_xlpm.s,INDEX('resident aged receivable'!$E:$E,$A124),IF(ISNUMBER(SEARCH("Eviction",_xlpm.s)),"Eviction",IF(ISNUMBER(SEARCH("Skip",_xlpm.s)),"Skip",IF(ISNUMBER(SEARCH("Past",_xlpm.s))+ISNUMBER(SEARCH("Collections",_xlpm.s)),"Former",_xlpm.s))))))</f>
        <v/>
      </c>
      <c r="H124" s="1001" t="str" cm="1">
        <f t="array" ref="H124">IF($A124="","",INDEX('resident aged receivable'!$I:$I,$A124))</f>
        <v/>
      </c>
      <c r="I124" s="1001" t="str" cm="1">
        <f t="array" ref="I124">IF($A124="","",INDEX('resident aged receivable'!$J:$J,$A124))</f>
        <v/>
      </c>
      <c r="J124" s="1001" t="str" cm="1">
        <f t="array" ref="J124">IF($A124="","",INDEX('resident aged receivable'!$K:$K,$A124))</f>
        <v/>
      </c>
      <c r="K124" s="1020" t="str" cm="1">
        <f t="array" ref="K124">IF($C124="","",IFERROR(_xlfn.LET(_xlpm.unit,B124,_xlpm.resident,C124,_xlpm.lastName,IFERROR(LEFT(_xlpm.resident,FIND(",",_xlpm.resident)-1),_xlpm.resident),_xlpm.llMatch,(LeaseLock!$D$2:$D$500=_xlpm.unit)*ISNUMBER(SEARCH(_xlpm.lastName,LeaseLock!$C$2:$C$500)),_xlpm.hasLL,SUMPRODUCT(_xlpm.llMatch)&gt;0,_xlpm.llStatus,IF(_xlpm.hasLL,_xlfn.LET(_xlpm.stat,LOOKUP(2,1/_xlpm.llMatch,LeaseLock!$F$2:$F$500),_xlpm.sub,LOOKUP(2,1/_xlpm.llMatch,LeaseLock!$G$2:$G$500),_xlpm.paid,LOOKUP(2,1/_xlpm.llMatch,LeaseLock!$M$2:$M$500),IF(_xlpm.stat="Claim Denied","Claim Denied ("&amp;_xlpm.sub&amp;")",IF(_xlpm.stat="Open","Open - "&amp;_xlpm.sub,IF(_xlpm.paid&gt;0,_xlpm.stat&amp;" - $"&amp;TEXT(_xlpm.paid,"#,##0.00")&amp;" paid",_xlpm.stat&amp;" - no payment")))),""),_xlpm.rsiMatches,ISNUMBER(SEARCH(_xlpm.lastName,Evictions_RSI!$B$3:$B$200))*(Evictions_RSI!$B$3:$B$200&lt;&gt;""),_xlpm.hasRSI,SUMPRODUCT(_xlpm.rsiMatches)&gt;0,_xlpm.rsiStatus,IF(_xlpm.hasRSI,_xlfn.LET(_xlpm.dates,IF(_xlpm.rsiMatches,IFERROR(DATEVALUE(SUBSTITUTE(Evictions_RSI!$A$3:$A$200,_xlfn.UNICHAR(8204),"")),0),0),_xlpm.latestRow,MATCH(MAX(_xlpm.dates),_xlpm.dates,0),TRIM(SUBSTITUTE(INDEX(Evictions_RSI!$I$3:$I$200,_xlpm.latestRow),_xlfn.UNICHAR(8204),""))),""),IF(AND(_xlpm.llStatus="",_xlpm.rsiStatus=""),"",IF(_xlpm.llStatus="","RSI: "&amp;_xlpm.rsiStatus,IF(_xlpm.rsiStatus="","LL: "&amp;_xlpm.llStatus,"LL: "&amp;_xlpm.llStatus&amp;" | RSI: "&amp;_xlpm.rsiStatus)))),""))</f>
        <v/>
      </c>
      <c r="L124" s="1005"/>
      <c r="M124" s="992"/>
      <c r="N124" s="992"/>
      <c r="Q124" s="973"/>
      <c r="R124" s="973"/>
      <c r="S124" s="973"/>
      <c r="T124" s="973"/>
      <c r="U124" s="973"/>
      <c r="V124" s="973"/>
      <c r="W124" s="973"/>
      <c r="X124" s="973"/>
      <c r="Y124" s="973"/>
      <c r="Z124" s="973"/>
    </row>
    <row r="125" spans="1:26" ht="12" hidden="1" customHeight="1">
      <c r="A125" s="996" t="str" cm="1">
        <f t="array" ref="A125">IFERROR(_xlfn.LET(_xlpm.n,ROW()-16,_xlpm.adj,IF((((ISNUMBER(SEARCH("Eviction",'resident aged receivable'!$E$2:$E$460)))+(ISNUMBER(SEARCH("Past",'resident aged receivable'!$E$2:$E$460)))+(ISNUMBER(SEARCH("Skip",'resident aged receivable'!$E$2:$E$460)))+(ISNUMBER(SEARCH("Collections",'resident aged receivable'!$E$2:$E$460)))+(COUNTIF($N$3:$N$24,'resident aged receivable'!$D$2:$D$460)&gt;0))&gt;0)*(((((LEFT('resident aged receivable'!$E$2:$E$460,7)="Current")+(LEFT('resident aged receivable'!$E$2:$E$460,6)="Notice"))=0)+(COUNTIF($N$3:$N$24,'resident aged receivable'!$D$2:$D$460)&gt;0))&gt;0)*(COUNTIF($P$3:$P$24,'resident aged receivable'!$D$2:$D$460)=0)*('resident aged receivable'!$I$2:$I$460&gt;0),'resident aged receivable'!$I$2:$I$460-ROW('resident aged receivable'!$I$2:$I$460)/1000000),_xlpm.tgt,LARGE(_xlpm.adj,_xlpm.n),MATCH(_xlpm.tgt,_xlpm.adj,0)+1),"")</f>
        <v/>
      </c>
      <c r="B125" s="997" t="str" cm="1">
        <f t="array" ref="B125">IF($A125="","",INDEX('resident aged receivable'!$B:$B,$A125))</f>
        <v/>
      </c>
      <c r="C125" s="997" t="str" cm="1">
        <f t="array" ref="C125">IF($A125="","",INDEX('resident aged receivable'!$D:$D,$A125))</f>
        <v/>
      </c>
      <c r="D125" s="998" t="str" cm="1">
        <f t="array" ref="D125">IF($A125="","",INDEX('resident aged receivable'!$F:$F,$A125))</f>
        <v/>
      </c>
      <c r="E125" s="998" t="str" cm="1">
        <f t="array" ref="E125">IF($A125="","",_xlfn.LET(_xlpm.leaseEnd,INDEX('resident aged receivable'!$H:$H,$A125),_xlpm.moLookup,IFERROR(_xlfn.LET(_xlpm.lastFirst,C125,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
      </c>
      <c r="F125" s="999" t="str">
        <f t="shared" si="3"/>
        <v/>
      </c>
      <c r="G125" s="1000" t="str" cm="1">
        <f t="array" ref="G125">IF($A125="","",IF(COUNTIF($N$3:$N$24,C125)&gt;0,"Former",_xlfn.LET(_xlpm.s,INDEX('resident aged receivable'!$E:$E,$A125),IF(ISNUMBER(SEARCH("Eviction",_xlpm.s)),"Eviction",IF(ISNUMBER(SEARCH("Skip",_xlpm.s)),"Skip",IF(ISNUMBER(SEARCH("Past",_xlpm.s))+ISNUMBER(SEARCH("Collections",_xlpm.s)),"Former",_xlpm.s))))))</f>
        <v/>
      </c>
      <c r="H125" s="1001" t="str" cm="1">
        <f t="array" ref="H125">IF($A125="","",INDEX('resident aged receivable'!$I:$I,$A125))</f>
        <v/>
      </c>
      <c r="I125" s="1001" t="str" cm="1">
        <f t="array" ref="I125">IF($A125="","",INDEX('resident aged receivable'!$J:$J,$A125))</f>
        <v/>
      </c>
      <c r="J125" s="1001" t="str" cm="1">
        <f t="array" ref="J125">IF($A125="","",INDEX('resident aged receivable'!$K:$K,$A125))</f>
        <v/>
      </c>
      <c r="K125" s="1020" t="str" cm="1">
        <f t="array" ref="K125">IF($C125="","",IFERROR(_xlfn.LET(_xlpm.unit,B125,_xlpm.resident,C125,_xlpm.lastName,IFERROR(LEFT(_xlpm.resident,FIND(",",_xlpm.resident)-1),_xlpm.resident),_xlpm.llMatch,(LeaseLock!$D$2:$D$500=_xlpm.unit)*ISNUMBER(SEARCH(_xlpm.lastName,LeaseLock!$C$2:$C$500)),_xlpm.hasLL,SUMPRODUCT(_xlpm.llMatch)&gt;0,_xlpm.llStatus,IF(_xlpm.hasLL,_xlfn.LET(_xlpm.stat,LOOKUP(2,1/_xlpm.llMatch,LeaseLock!$F$2:$F$500),_xlpm.sub,LOOKUP(2,1/_xlpm.llMatch,LeaseLock!$G$2:$G$500),_xlpm.paid,LOOKUP(2,1/_xlpm.llMatch,LeaseLock!$M$2:$M$500),IF(_xlpm.stat="Claim Denied","Claim Denied ("&amp;_xlpm.sub&amp;")",IF(_xlpm.stat="Open","Open - "&amp;_xlpm.sub,IF(_xlpm.paid&gt;0,_xlpm.stat&amp;" - $"&amp;TEXT(_xlpm.paid,"#,##0.00")&amp;" paid",_xlpm.stat&amp;" - no payment")))),""),_xlpm.rsiMatches,ISNUMBER(SEARCH(_xlpm.lastName,Evictions_RSI!$B$3:$B$200))*(Evictions_RSI!$B$3:$B$200&lt;&gt;""),_xlpm.hasRSI,SUMPRODUCT(_xlpm.rsiMatches)&gt;0,_xlpm.rsiStatus,IF(_xlpm.hasRSI,_xlfn.LET(_xlpm.dates,IF(_xlpm.rsiMatches,IFERROR(DATEVALUE(SUBSTITUTE(Evictions_RSI!$A$3:$A$200,_xlfn.UNICHAR(8204),"")),0),0),_xlpm.latestRow,MATCH(MAX(_xlpm.dates),_xlpm.dates,0),TRIM(SUBSTITUTE(INDEX(Evictions_RSI!$I$3:$I$200,_xlpm.latestRow),_xlfn.UNICHAR(8204),""))),""),IF(AND(_xlpm.llStatus="",_xlpm.rsiStatus=""),"",IF(_xlpm.llStatus="","RSI: "&amp;_xlpm.rsiStatus,IF(_xlpm.rsiStatus="","LL: "&amp;_xlpm.llStatus,"LL: "&amp;_xlpm.llStatus&amp;" | RSI: "&amp;_xlpm.rsiStatus)))),""))</f>
        <v/>
      </c>
      <c r="L125" s="1005"/>
      <c r="M125" s="992"/>
      <c r="N125" s="992"/>
      <c r="Q125" s="973"/>
      <c r="R125" s="973"/>
      <c r="S125" s="973"/>
      <c r="T125" s="973"/>
      <c r="U125" s="973"/>
      <c r="V125" s="973"/>
      <c r="W125" s="973"/>
      <c r="X125" s="973"/>
      <c r="Y125" s="973"/>
      <c r="Z125" s="973"/>
    </row>
    <row r="126" spans="1:26" ht="12" hidden="1" customHeight="1">
      <c r="A126" s="996" t="str" cm="1">
        <f t="array" ref="A126">IFERROR(_xlfn.LET(_xlpm.n,ROW()-16,_xlpm.adj,IF((((ISNUMBER(SEARCH("Eviction",'resident aged receivable'!$E$2:$E$460)))+(ISNUMBER(SEARCH("Past",'resident aged receivable'!$E$2:$E$460)))+(ISNUMBER(SEARCH("Skip",'resident aged receivable'!$E$2:$E$460)))+(ISNUMBER(SEARCH("Collections",'resident aged receivable'!$E$2:$E$460)))+(COUNTIF($N$3:$N$24,'resident aged receivable'!$D$2:$D$460)&gt;0))&gt;0)*(((((LEFT('resident aged receivable'!$E$2:$E$460,7)="Current")+(LEFT('resident aged receivable'!$E$2:$E$460,6)="Notice"))=0)+(COUNTIF($N$3:$N$24,'resident aged receivable'!$D$2:$D$460)&gt;0))&gt;0)*(COUNTIF($P$3:$P$24,'resident aged receivable'!$D$2:$D$460)=0)*('resident aged receivable'!$I$2:$I$460&gt;0),'resident aged receivable'!$I$2:$I$460-ROW('resident aged receivable'!$I$2:$I$460)/1000000),_xlpm.tgt,LARGE(_xlpm.adj,_xlpm.n),MATCH(_xlpm.tgt,_xlpm.adj,0)+1),"")</f>
        <v/>
      </c>
      <c r="B126" s="997" t="str" cm="1">
        <f t="array" ref="B126">IF($A126="","",INDEX('resident aged receivable'!$B:$B,$A126))</f>
        <v/>
      </c>
      <c r="C126" s="997" t="str" cm="1">
        <f t="array" ref="C126">IF($A126="","",INDEX('resident aged receivable'!$D:$D,$A126))</f>
        <v/>
      </c>
      <c r="D126" s="998" t="str" cm="1">
        <f t="array" ref="D126">IF($A126="","",INDEX('resident aged receivable'!$F:$F,$A126))</f>
        <v/>
      </c>
      <c r="E126" s="998" t="str" cm="1">
        <f t="array" ref="E126">IF($A126="","",_xlfn.LET(_xlpm.leaseEnd,INDEX('resident aged receivable'!$H:$H,$A126),_xlpm.moLookup,IFERROR(_xlfn.LET(_xlpm.lastFirst,C126,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
      </c>
      <c r="F126" s="999" t="str">
        <f t="shared" si="3"/>
        <v/>
      </c>
      <c r="G126" s="1000" t="str" cm="1">
        <f t="array" ref="G126">IF($A126="","",IF(COUNTIF($N$3:$N$24,C126)&gt;0,"Former",_xlfn.LET(_xlpm.s,INDEX('resident aged receivable'!$E:$E,$A126),IF(ISNUMBER(SEARCH("Eviction",_xlpm.s)),"Eviction",IF(ISNUMBER(SEARCH("Skip",_xlpm.s)),"Skip",IF(ISNUMBER(SEARCH("Past",_xlpm.s))+ISNUMBER(SEARCH("Collections",_xlpm.s)),"Former",_xlpm.s))))))</f>
        <v/>
      </c>
      <c r="H126" s="1001" t="str" cm="1">
        <f t="array" ref="H126">IF($A126="","",INDEX('resident aged receivable'!$I:$I,$A126))</f>
        <v/>
      </c>
      <c r="I126" s="1001" t="str" cm="1">
        <f t="array" ref="I126">IF($A126="","",INDEX('resident aged receivable'!$J:$J,$A126))</f>
        <v/>
      </c>
      <c r="J126" s="1001" t="str" cm="1">
        <f t="array" ref="J126">IF($A126="","",INDEX('resident aged receivable'!$K:$K,$A126))</f>
        <v/>
      </c>
      <c r="K126" s="1020" t="str" cm="1">
        <f t="array" ref="K126">IF($C126="","",IFERROR(_xlfn.LET(_xlpm.unit,B126,_xlpm.resident,C126,_xlpm.lastName,IFERROR(LEFT(_xlpm.resident,FIND(",",_xlpm.resident)-1),_xlpm.resident),_xlpm.llMatch,(LeaseLock!$D$2:$D$500=_xlpm.unit)*ISNUMBER(SEARCH(_xlpm.lastName,LeaseLock!$C$2:$C$500)),_xlpm.hasLL,SUMPRODUCT(_xlpm.llMatch)&gt;0,_xlpm.llStatus,IF(_xlpm.hasLL,_xlfn.LET(_xlpm.stat,LOOKUP(2,1/_xlpm.llMatch,LeaseLock!$F$2:$F$500),_xlpm.sub,LOOKUP(2,1/_xlpm.llMatch,LeaseLock!$G$2:$G$500),_xlpm.paid,LOOKUP(2,1/_xlpm.llMatch,LeaseLock!$M$2:$M$500),IF(_xlpm.stat="Claim Denied","Claim Denied ("&amp;_xlpm.sub&amp;")",IF(_xlpm.stat="Open","Open - "&amp;_xlpm.sub,IF(_xlpm.paid&gt;0,_xlpm.stat&amp;" - $"&amp;TEXT(_xlpm.paid,"#,##0.00")&amp;" paid",_xlpm.stat&amp;" - no payment")))),""),_xlpm.rsiMatches,ISNUMBER(SEARCH(_xlpm.lastName,Evictions_RSI!$B$3:$B$200))*(Evictions_RSI!$B$3:$B$200&lt;&gt;""),_xlpm.hasRSI,SUMPRODUCT(_xlpm.rsiMatches)&gt;0,_xlpm.rsiStatus,IF(_xlpm.hasRSI,_xlfn.LET(_xlpm.dates,IF(_xlpm.rsiMatches,IFERROR(DATEVALUE(SUBSTITUTE(Evictions_RSI!$A$3:$A$200,_xlfn.UNICHAR(8204),"")),0),0),_xlpm.latestRow,MATCH(MAX(_xlpm.dates),_xlpm.dates,0),TRIM(SUBSTITUTE(INDEX(Evictions_RSI!$I$3:$I$200,_xlpm.latestRow),_xlfn.UNICHAR(8204),""))),""),IF(AND(_xlpm.llStatus="",_xlpm.rsiStatus=""),"",IF(_xlpm.llStatus="","RSI: "&amp;_xlpm.rsiStatus,IF(_xlpm.rsiStatus="","LL: "&amp;_xlpm.llStatus,"LL: "&amp;_xlpm.llStatus&amp;" | RSI: "&amp;_xlpm.rsiStatus)))),""))</f>
        <v/>
      </c>
      <c r="L126" s="1005"/>
      <c r="M126" s="992"/>
      <c r="N126" s="992"/>
      <c r="Q126" s="973"/>
      <c r="R126" s="973"/>
      <c r="S126" s="973"/>
      <c r="T126" s="973"/>
      <c r="U126" s="973"/>
      <c r="V126" s="973"/>
      <c r="W126" s="973"/>
      <c r="X126" s="973"/>
      <c r="Y126" s="973"/>
      <c r="Z126" s="973"/>
    </row>
    <row r="127" spans="1:26" ht="12" hidden="1" customHeight="1">
      <c r="A127" s="996" t="str" cm="1">
        <f t="array" ref="A127">IFERROR(_xlfn.LET(_xlpm.n,ROW()-16,_xlpm.adj,IF((((ISNUMBER(SEARCH("Eviction",'resident aged receivable'!$E$2:$E$460)))+(ISNUMBER(SEARCH("Past",'resident aged receivable'!$E$2:$E$460)))+(ISNUMBER(SEARCH("Skip",'resident aged receivable'!$E$2:$E$460)))+(ISNUMBER(SEARCH("Collections",'resident aged receivable'!$E$2:$E$460)))+(COUNTIF($N$3:$N$24,'resident aged receivable'!$D$2:$D$460)&gt;0))&gt;0)*(((((LEFT('resident aged receivable'!$E$2:$E$460,7)="Current")+(LEFT('resident aged receivable'!$E$2:$E$460,6)="Notice"))=0)+(COUNTIF($N$3:$N$24,'resident aged receivable'!$D$2:$D$460)&gt;0))&gt;0)*(COUNTIF($P$3:$P$24,'resident aged receivable'!$D$2:$D$460)=0)*('resident aged receivable'!$I$2:$I$460&gt;0),'resident aged receivable'!$I$2:$I$460-ROW('resident aged receivable'!$I$2:$I$460)/1000000),_xlpm.tgt,LARGE(_xlpm.adj,_xlpm.n),MATCH(_xlpm.tgt,_xlpm.adj,0)+1),"")</f>
        <v/>
      </c>
      <c r="B127" s="997" t="str" cm="1">
        <f t="array" ref="B127">IF($A127="","",INDEX('resident aged receivable'!$B:$B,$A127))</f>
        <v/>
      </c>
      <c r="C127" s="997" t="str" cm="1">
        <f t="array" ref="C127">IF($A127="","",INDEX('resident aged receivable'!$D:$D,$A127))</f>
        <v/>
      </c>
      <c r="D127" s="998" t="str" cm="1">
        <f t="array" ref="D127">IF($A127="","",INDEX('resident aged receivable'!$F:$F,$A127))</f>
        <v/>
      </c>
      <c r="E127" s="998" t="str" cm="1">
        <f t="array" ref="E127">IF($A127="","",_xlfn.LET(_xlpm.leaseEnd,INDEX('resident aged receivable'!$H:$H,$A127),_xlpm.moLookup,IFERROR(_xlfn.LET(_xlpm.lastFirst,C127,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
      </c>
      <c r="F127" s="999" t="str">
        <f t="shared" si="3"/>
        <v/>
      </c>
      <c r="G127" s="1000" t="str" cm="1">
        <f t="array" ref="G127">IF($A127="","",IF(COUNTIF($N$3:$N$24,C127)&gt;0,"Former",_xlfn.LET(_xlpm.s,INDEX('resident aged receivable'!$E:$E,$A127),IF(ISNUMBER(SEARCH("Eviction",_xlpm.s)),"Eviction",IF(ISNUMBER(SEARCH("Skip",_xlpm.s)),"Skip",IF(ISNUMBER(SEARCH("Past",_xlpm.s))+ISNUMBER(SEARCH("Collections",_xlpm.s)),"Former",_xlpm.s))))))</f>
        <v/>
      </c>
      <c r="H127" s="1001" t="str" cm="1">
        <f t="array" ref="H127">IF($A127="","",INDEX('resident aged receivable'!$I:$I,$A127))</f>
        <v/>
      </c>
      <c r="I127" s="1001" t="str" cm="1">
        <f t="array" ref="I127">IF($A127="","",INDEX('resident aged receivable'!$J:$J,$A127))</f>
        <v/>
      </c>
      <c r="J127" s="1001" t="str" cm="1">
        <f t="array" ref="J127">IF($A127="","",INDEX('resident aged receivable'!$K:$K,$A127))</f>
        <v/>
      </c>
      <c r="K127" s="1020" t="str" cm="1">
        <f t="array" ref="K127">IF($C127="","",IFERROR(_xlfn.LET(_xlpm.unit,B127,_xlpm.resident,C127,_xlpm.lastName,IFERROR(LEFT(_xlpm.resident,FIND(",",_xlpm.resident)-1),_xlpm.resident),_xlpm.llMatch,(LeaseLock!$D$2:$D$500=_xlpm.unit)*ISNUMBER(SEARCH(_xlpm.lastName,LeaseLock!$C$2:$C$500)),_xlpm.hasLL,SUMPRODUCT(_xlpm.llMatch)&gt;0,_xlpm.llStatus,IF(_xlpm.hasLL,_xlfn.LET(_xlpm.stat,LOOKUP(2,1/_xlpm.llMatch,LeaseLock!$F$2:$F$500),_xlpm.sub,LOOKUP(2,1/_xlpm.llMatch,LeaseLock!$G$2:$G$500),_xlpm.paid,LOOKUP(2,1/_xlpm.llMatch,LeaseLock!$M$2:$M$500),IF(_xlpm.stat="Claim Denied","Claim Denied ("&amp;_xlpm.sub&amp;")",IF(_xlpm.stat="Open","Open - "&amp;_xlpm.sub,IF(_xlpm.paid&gt;0,_xlpm.stat&amp;" - $"&amp;TEXT(_xlpm.paid,"#,##0.00")&amp;" paid",_xlpm.stat&amp;" - no payment")))),""),_xlpm.rsiMatches,ISNUMBER(SEARCH(_xlpm.lastName,Evictions_RSI!$B$3:$B$200))*(Evictions_RSI!$B$3:$B$200&lt;&gt;""),_xlpm.hasRSI,SUMPRODUCT(_xlpm.rsiMatches)&gt;0,_xlpm.rsiStatus,IF(_xlpm.hasRSI,_xlfn.LET(_xlpm.dates,IF(_xlpm.rsiMatches,IFERROR(DATEVALUE(SUBSTITUTE(Evictions_RSI!$A$3:$A$200,_xlfn.UNICHAR(8204),"")),0),0),_xlpm.latestRow,MATCH(MAX(_xlpm.dates),_xlpm.dates,0),TRIM(SUBSTITUTE(INDEX(Evictions_RSI!$I$3:$I$200,_xlpm.latestRow),_xlfn.UNICHAR(8204),""))),""),IF(AND(_xlpm.llStatus="",_xlpm.rsiStatus=""),"",IF(_xlpm.llStatus="","RSI: "&amp;_xlpm.rsiStatus,IF(_xlpm.rsiStatus="","LL: "&amp;_xlpm.llStatus,"LL: "&amp;_xlpm.llStatus&amp;" | RSI: "&amp;_xlpm.rsiStatus)))),""))</f>
        <v/>
      </c>
      <c r="L127" s="1005"/>
      <c r="M127" s="992"/>
      <c r="N127" s="992"/>
      <c r="Q127" s="973"/>
      <c r="R127" s="973"/>
      <c r="S127" s="973"/>
      <c r="T127" s="973"/>
      <c r="U127" s="973"/>
      <c r="V127" s="973"/>
      <c r="W127" s="973"/>
      <c r="X127" s="973"/>
      <c r="Y127" s="973"/>
      <c r="Z127" s="973"/>
    </row>
    <row r="128" spans="1:26" ht="12" hidden="1" customHeight="1">
      <c r="A128" s="996" t="str" cm="1">
        <f t="array" ref="A128">IFERROR(_xlfn.LET(_xlpm.n,ROW()-16,_xlpm.adj,IF((((ISNUMBER(SEARCH("Eviction",'resident aged receivable'!$E$2:$E$460)))+(ISNUMBER(SEARCH("Past",'resident aged receivable'!$E$2:$E$460)))+(ISNUMBER(SEARCH("Skip",'resident aged receivable'!$E$2:$E$460)))+(ISNUMBER(SEARCH("Collections",'resident aged receivable'!$E$2:$E$460)))+(COUNTIF($N$3:$N$24,'resident aged receivable'!$D$2:$D$460)&gt;0))&gt;0)*(((((LEFT('resident aged receivable'!$E$2:$E$460,7)="Current")+(LEFT('resident aged receivable'!$E$2:$E$460,6)="Notice"))=0)+(COUNTIF($N$3:$N$24,'resident aged receivable'!$D$2:$D$460)&gt;0))&gt;0)*(COUNTIF($P$3:$P$24,'resident aged receivable'!$D$2:$D$460)=0)*('resident aged receivable'!$I$2:$I$460&gt;0),'resident aged receivable'!$I$2:$I$460-ROW('resident aged receivable'!$I$2:$I$460)/1000000),_xlpm.tgt,LARGE(_xlpm.adj,_xlpm.n),MATCH(_xlpm.tgt,_xlpm.adj,0)+1),"")</f>
        <v/>
      </c>
      <c r="B128" s="997" t="str" cm="1">
        <f t="array" ref="B128">IF($A128="","",INDEX('resident aged receivable'!$B:$B,$A128))</f>
        <v/>
      </c>
      <c r="C128" s="997" t="str" cm="1">
        <f t="array" ref="C128">IF($A128="","",INDEX('resident aged receivable'!$D:$D,$A128))</f>
        <v/>
      </c>
      <c r="D128" s="998" t="str" cm="1">
        <f t="array" ref="D128">IF($A128="","",INDEX('resident aged receivable'!$F:$F,$A128))</f>
        <v/>
      </c>
      <c r="E128" s="998" t="str" cm="1">
        <f t="array" ref="E128">IF($A128="","",_xlfn.LET(_xlpm.leaseEnd,INDEX('resident aged receivable'!$H:$H,$A128),_xlpm.moLookup,IFERROR(_xlfn.LET(_xlpm.lastFirst,C128,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
      </c>
      <c r="F128" s="999" t="str">
        <f t="shared" si="3"/>
        <v/>
      </c>
      <c r="G128" s="1000" t="str" cm="1">
        <f t="array" ref="G128">IF($A128="","",IF(COUNTIF($N$3:$N$24,C128)&gt;0,"Former",_xlfn.LET(_xlpm.s,INDEX('resident aged receivable'!$E:$E,$A128),IF(ISNUMBER(SEARCH("Eviction",_xlpm.s)),"Eviction",IF(ISNUMBER(SEARCH("Skip",_xlpm.s)),"Skip",IF(ISNUMBER(SEARCH("Past",_xlpm.s))+ISNUMBER(SEARCH("Collections",_xlpm.s)),"Former",_xlpm.s))))))</f>
        <v/>
      </c>
      <c r="H128" s="1001" t="str" cm="1">
        <f t="array" ref="H128">IF($A128="","",INDEX('resident aged receivable'!$I:$I,$A128))</f>
        <v/>
      </c>
      <c r="I128" s="1001" t="str" cm="1">
        <f t="array" ref="I128">IF($A128="","",INDEX('resident aged receivable'!$J:$J,$A128))</f>
        <v/>
      </c>
      <c r="J128" s="1001" t="str" cm="1">
        <f t="array" ref="J128">IF($A128="","",INDEX('resident aged receivable'!$K:$K,$A128))</f>
        <v/>
      </c>
      <c r="K128" s="1020" t="str" cm="1">
        <f t="array" ref="K128">IF($C128="","",IFERROR(_xlfn.LET(_xlpm.unit,B128,_xlpm.resident,C128,_xlpm.lastName,IFERROR(LEFT(_xlpm.resident,FIND(",",_xlpm.resident)-1),_xlpm.resident),_xlpm.llMatch,(LeaseLock!$D$2:$D$500=_xlpm.unit)*ISNUMBER(SEARCH(_xlpm.lastName,LeaseLock!$C$2:$C$500)),_xlpm.hasLL,SUMPRODUCT(_xlpm.llMatch)&gt;0,_xlpm.llStatus,IF(_xlpm.hasLL,_xlfn.LET(_xlpm.stat,LOOKUP(2,1/_xlpm.llMatch,LeaseLock!$F$2:$F$500),_xlpm.sub,LOOKUP(2,1/_xlpm.llMatch,LeaseLock!$G$2:$G$500),_xlpm.paid,LOOKUP(2,1/_xlpm.llMatch,LeaseLock!$M$2:$M$500),IF(_xlpm.stat="Claim Denied","Claim Denied ("&amp;_xlpm.sub&amp;")",IF(_xlpm.stat="Open","Open - "&amp;_xlpm.sub,IF(_xlpm.paid&gt;0,_xlpm.stat&amp;" - $"&amp;TEXT(_xlpm.paid,"#,##0.00")&amp;" paid",_xlpm.stat&amp;" - no payment")))),""),_xlpm.rsiMatches,ISNUMBER(SEARCH(_xlpm.lastName,Evictions_RSI!$B$3:$B$200))*(Evictions_RSI!$B$3:$B$200&lt;&gt;""),_xlpm.hasRSI,SUMPRODUCT(_xlpm.rsiMatches)&gt;0,_xlpm.rsiStatus,IF(_xlpm.hasRSI,_xlfn.LET(_xlpm.dates,IF(_xlpm.rsiMatches,IFERROR(DATEVALUE(SUBSTITUTE(Evictions_RSI!$A$3:$A$200,_xlfn.UNICHAR(8204),"")),0),0),_xlpm.latestRow,MATCH(MAX(_xlpm.dates),_xlpm.dates,0),TRIM(SUBSTITUTE(INDEX(Evictions_RSI!$I$3:$I$200,_xlpm.latestRow),_xlfn.UNICHAR(8204),""))),""),IF(AND(_xlpm.llStatus="",_xlpm.rsiStatus=""),"",IF(_xlpm.llStatus="","RSI: "&amp;_xlpm.rsiStatus,IF(_xlpm.rsiStatus="","LL: "&amp;_xlpm.llStatus,"LL: "&amp;_xlpm.llStatus&amp;" | RSI: "&amp;_xlpm.rsiStatus)))),""))</f>
        <v/>
      </c>
      <c r="L128" s="1005"/>
      <c r="M128" s="992"/>
      <c r="N128" s="992"/>
      <c r="Q128" s="973"/>
      <c r="R128" s="973"/>
      <c r="S128" s="973"/>
      <c r="T128" s="973"/>
      <c r="U128" s="973"/>
      <c r="V128" s="973"/>
      <c r="W128" s="973"/>
      <c r="X128" s="973"/>
      <c r="Y128" s="973"/>
      <c r="Z128" s="973"/>
    </row>
    <row r="129" spans="1:26" ht="12" hidden="1" customHeight="1">
      <c r="A129" s="996" t="str" cm="1">
        <f t="array" ref="A129">IFERROR(_xlfn.LET(_xlpm.n,ROW()-16,_xlpm.adj,IF((((ISNUMBER(SEARCH("Eviction",'resident aged receivable'!$E$2:$E$460)))+(ISNUMBER(SEARCH("Past",'resident aged receivable'!$E$2:$E$460)))+(ISNUMBER(SEARCH("Skip",'resident aged receivable'!$E$2:$E$460)))+(ISNUMBER(SEARCH("Collections",'resident aged receivable'!$E$2:$E$460)))+(COUNTIF($N$3:$N$24,'resident aged receivable'!$D$2:$D$460)&gt;0))&gt;0)*(((((LEFT('resident aged receivable'!$E$2:$E$460,7)="Current")+(LEFT('resident aged receivable'!$E$2:$E$460,6)="Notice"))=0)+(COUNTIF($N$3:$N$24,'resident aged receivable'!$D$2:$D$460)&gt;0))&gt;0)*(COUNTIF($P$3:$P$24,'resident aged receivable'!$D$2:$D$460)=0)*('resident aged receivable'!$I$2:$I$460&gt;0),'resident aged receivable'!$I$2:$I$460-ROW('resident aged receivable'!$I$2:$I$460)/1000000),_xlpm.tgt,LARGE(_xlpm.adj,_xlpm.n),MATCH(_xlpm.tgt,_xlpm.adj,0)+1),"")</f>
        <v/>
      </c>
      <c r="B129" s="997" t="str" cm="1">
        <f t="array" ref="B129">IF($A129="","",INDEX('resident aged receivable'!$B:$B,$A129))</f>
        <v/>
      </c>
      <c r="C129" s="997" t="str" cm="1">
        <f t="array" ref="C129">IF($A129="","",INDEX('resident aged receivable'!$D:$D,$A129))</f>
        <v/>
      </c>
      <c r="D129" s="998" t="str" cm="1">
        <f t="array" ref="D129">IF($A129="","",INDEX('resident aged receivable'!$F:$F,$A129))</f>
        <v/>
      </c>
      <c r="E129" s="998" t="str" cm="1">
        <f t="array" ref="E129">IF($A129="","",_xlfn.LET(_xlpm.leaseEnd,INDEX('resident aged receivable'!$H:$H,$A129),_xlpm.moLookup,IFERROR(_xlfn.LET(_xlpm.lastFirst,C129,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
      </c>
      <c r="F129" s="999" t="str">
        <f t="shared" si="3"/>
        <v/>
      </c>
      <c r="G129" s="1000" t="str" cm="1">
        <f t="array" ref="G129">IF($A129="","",IF(COUNTIF($N$3:$N$24,C129)&gt;0,"Former",_xlfn.LET(_xlpm.s,INDEX('resident aged receivable'!$E:$E,$A129),IF(ISNUMBER(SEARCH("Eviction",_xlpm.s)),"Eviction",IF(ISNUMBER(SEARCH("Skip",_xlpm.s)),"Skip",IF(ISNUMBER(SEARCH("Past",_xlpm.s))+ISNUMBER(SEARCH("Collections",_xlpm.s)),"Former",_xlpm.s))))))</f>
        <v/>
      </c>
      <c r="H129" s="1001" t="str" cm="1">
        <f t="array" ref="H129">IF($A129="","",INDEX('resident aged receivable'!$I:$I,$A129))</f>
        <v/>
      </c>
      <c r="I129" s="1001" t="str" cm="1">
        <f t="array" ref="I129">IF($A129="","",INDEX('resident aged receivable'!$J:$J,$A129))</f>
        <v/>
      </c>
      <c r="J129" s="1001" t="str" cm="1">
        <f t="array" ref="J129">IF($A129="","",INDEX('resident aged receivable'!$K:$K,$A129))</f>
        <v/>
      </c>
      <c r="K129" s="1020" t="str" cm="1">
        <f t="array" ref="K129">IF($C129="","",IFERROR(_xlfn.LET(_xlpm.unit,B129,_xlpm.resident,C129,_xlpm.lastName,IFERROR(LEFT(_xlpm.resident,FIND(",",_xlpm.resident)-1),_xlpm.resident),_xlpm.llMatch,(LeaseLock!$D$2:$D$500=_xlpm.unit)*ISNUMBER(SEARCH(_xlpm.lastName,LeaseLock!$C$2:$C$500)),_xlpm.hasLL,SUMPRODUCT(_xlpm.llMatch)&gt;0,_xlpm.llStatus,IF(_xlpm.hasLL,_xlfn.LET(_xlpm.stat,LOOKUP(2,1/_xlpm.llMatch,LeaseLock!$F$2:$F$500),_xlpm.sub,LOOKUP(2,1/_xlpm.llMatch,LeaseLock!$G$2:$G$500),_xlpm.paid,LOOKUP(2,1/_xlpm.llMatch,LeaseLock!$M$2:$M$500),IF(_xlpm.stat="Claim Denied","Claim Denied ("&amp;_xlpm.sub&amp;")",IF(_xlpm.stat="Open","Open - "&amp;_xlpm.sub,IF(_xlpm.paid&gt;0,_xlpm.stat&amp;" - $"&amp;TEXT(_xlpm.paid,"#,##0.00")&amp;" paid",_xlpm.stat&amp;" - no payment")))),""),_xlpm.rsiMatches,ISNUMBER(SEARCH(_xlpm.lastName,Evictions_RSI!$B$3:$B$200))*(Evictions_RSI!$B$3:$B$200&lt;&gt;""),_xlpm.hasRSI,SUMPRODUCT(_xlpm.rsiMatches)&gt;0,_xlpm.rsiStatus,IF(_xlpm.hasRSI,_xlfn.LET(_xlpm.dates,IF(_xlpm.rsiMatches,IFERROR(DATEVALUE(SUBSTITUTE(Evictions_RSI!$A$3:$A$200,_xlfn.UNICHAR(8204),"")),0),0),_xlpm.latestRow,MATCH(MAX(_xlpm.dates),_xlpm.dates,0),TRIM(SUBSTITUTE(INDEX(Evictions_RSI!$I$3:$I$200,_xlpm.latestRow),_xlfn.UNICHAR(8204),""))),""),IF(AND(_xlpm.llStatus="",_xlpm.rsiStatus=""),"",IF(_xlpm.llStatus="","RSI: "&amp;_xlpm.rsiStatus,IF(_xlpm.rsiStatus="","LL: "&amp;_xlpm.llStatus,"LL: "&amp;_xlpm.llStatus&amp;" | RSI: "&amp;_xlpm.rsiStatus)))),""))</f>
        <v/>
      </c>
      <c r="L129" s="1005"/>
      <c r="M129" s="992"/>
      <c r="N129" s="992"/>
      <c r="Q129" s="973"/>
      <c r="R129" s="973"/>
      <c r="S129" s="973"/>
      <c r="T129" s="973"/>
      <c r="U129" s="973"/>
      <c r="V129" s="973"/>
      <c r="W129" s="973"/>
      <c r="X129" s="973"/>
      <c r="Y129" s="973"/>
      <c r="Z129" s="973"/>
    </row>
    <row r="130" spans="1:26" ht="12" hidden="1" customHeight="1">
      <c r="A130" s="996" t="str" cm="1">
        <f t="array" ref="A130">IFERROR(_xlfn.LET(_xlpm.n,ROW()-16,_xlpm.adj,IF((((ISNUMBER(SEARCH("Eviction",'resident aged receivable'!$E$2:$E$460)))+(ISNUMBER(SEARCH("Past",'resident aged receivable'!$E$2:$E$460)))+(ISNUMBER(SEARCH("Skip",'resident aged receivable'!$E$2:$E$460)))+(ISNUMBER(SEARCH("Collections",'resident aged receivable'!$E$2:$E$460)))+(COUNTIF($N$3:$N$24,'resident aged receivable'!$D$2:$D$460)&gt;0))&gt;0)*(((((LEFT('resident aged receivable'!$E$2:$E$460,7)="Current")+(LEFT('resident aged receivable'!$E$2:$E$460,6)="Notice"))=0)+(COUNTIF($N$3:$N$24,'resident aged receivable'!$D$2:$D$460)&gt;0))&gt;0)*(COUNTIF($P$3:$P$24,'resident aged receivable'!$D$2:$D$460)=0)*('resident aged receivable'!$I$2:$I$460&gt;0),'resident aged receivable'!$I$2:$I$460-ROW('resident aged receivable'!$I$2:$I$460)/1000000),_xlpm.tgt,LARGE(_xlpm.adj,_xlpm.n),MATCH(_xlpm.tgt,_xlpm.adj,0)+1),"")</f>
        <v/>
      </c>
      <c r="B130" s="997" t="str" cm="1">
        <f t="array" ref="B130">IF($A130="","",INDEX('resident aged receivable'!$B:$B,$A130))</f>
        <v/>
      </c>
      <c r="C130" s="997" t="str" cm="1">
        <f t="array" ref="C130">IF($A130="","",INDEX('resident aged receivable'!$D:$D,$A130))</f>
        <v/>
      </c>
      <c r="D130" s="998" t="str" cm="1">
        <f t="array" ref="D130">IF($A130="","",INDEX('resident aged receivable'!$F:$F,$A130))</f>
        <v/>
      </c>
      <c r="E130" s="998" t="str" cm="1">
        <f t="array" ref="E130">IF($A130="","",_xlfn.LET(_xlpm.leaseEnd,INDEX('resident aged receivable'!$H:$H,$A130),_xlpm.moLookup,IFERROR(_xlfn.LET(_xlpm.lastFirst,C130,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
      </c>
      <c r="F130" s="999" t="str">
        <f t="shared" si="3"/>
        <v/>
      </c>
      <c r="G130" s="1000" t="str" cm="1">
        <f t="array" ref="G130">IF($A130="","",IF(COUNTIF($N$3:$N$24,C130)&gt;0,"Former",_xlfn.LET(_xlpm.s,INDEX('resident aged receivable'!$E:$E,$A130),IF(ISNUMBER(SEARCH("Eviction",_xlpm.s)),"Eviction",IF(ISNUMBER(SEARCH("Skip",_xlpm.s)),"Skip",IF(ISNUMBER(SEARCH("Past",_xlpm.s))+ISNUMBER(SEARCH("Collections",_xlpm.s)),"Former",_xlpm.s))))))</f>
        <v/>
      </c>
      <c r="H130" s="1001" t="str" cm="1">
        <f t="array" ref="H130">IF($A130="","",INDEX('resident aged receivable'!$I:$I,$A130))</f>
        <v/>
      </c>
      <c r="I130" s="1001" t="str" cm="1">
        <f t="array" ref="I130">IF($A130="","",INDEX('resident aged receivable'!$J:$J,$A130))</f>
        <v/>
      </c>
      <c r="J130" s="1001" t="str" cm="1">
        <f t="array" ref="J130">IF($A130="","",INDEX('resident aged receivable'!$K:$K,$A130))</f>
        <v/>
      </c>
      <c r="K130" s="1020" t="str" cm="1">
        <f t="array" ref="K130">IF($C130="","",IFERROR(_xlfn.LET(_xlpm.unit,B130,_xlpm.resident,C130,_xlpm.lastName,IFERROR(LEFT(_xlpm.resident,FIND(",",_xlpm.resident)-1),_xlpm.resident),_xlpm.llMatch,(LeaseLock!$D$2:$D$500=_xlpm.unit)*ISNUMBER(SEARCH(_xlpm.lastName,LeaseLock!$C$2:$C$500)),_xlpm.hasLL,SUMPRODUCT(_xlpm.llMatch)&gt;0,_xlpm.llStatus,IF(_xlpm.hasLL,_xlfn.LET(_xlpm.stat,LOOKUP(2,1/_xlpm.llMatch,LeaseLock!$F$2:$F$500),_xlpm.sub,LOOKUP(2,1/_xlpm.llMatch,LeaseLock!$G$2:$G$500),_xlpm.paid,LOOKUP(2,1/_xlpm.llMatch,LeaseLock!$M$2:$M$500),IF(_xlpm.stat="Claim Denied","Claim Denied ("&amp;_xlpm.sub&amp;")",IF(_xlpm.stat="Open","Open - "&amp;_xlpm.sub,IF(_xlpm.paid&gt;0,_xlpm.stat&amp;" - $"&amp;TEXT(_xlpm.paid,"#,##0.00")&amp;" paid",_xlpm.stat&amp;" - no payment")))),""),_xlpm.rsiMatches,ISNUMBER(SEARCH(_xlpm.lastName,Evictions_RSI!$B$3:$B$200))*(Evictions_RSI!$B$3:$B$200&lt;&gt;""),_xlpm.hasRSI,SUMPRODUCT(_xlpm.rsiMatches)&gt;0,_xlpm.rsiStatus,IF(_xlpm.hasRSI,_xlfn.LET(_xlpm.dates,IF(_xlpm.rsiMatches,IFERROR(DATEVALUE(SUBSTITUTE(Evictions_RSI!$A$3:$A$200,_xlfn.UNICHAR(8204),"")),0),0),_xlpm.latestRow,MATCH(MAX(_xlpm.dates),_xlpm.dates,0),TRIM(SUBSTITUTE(INDEX(Evictions_RSI!$I$3:$I$200,_xlpm.latestRow),_xlfn.UNICHAR(8204),""))),""),IF(AND(_xlpm.llStatus="",_xlpm.rsiStatus=""),"",IF(_xlpm.llStatus="","RSI: "&amp;_xlpm.rsiStatus,IF(_xlpm.rsiStatus="","LL: "&amp;_xlpm.llStatus,"LL: "&amp;_xlpm.llStatus&amp;" | RSI: "&amp;_xlpm.rsiStatus)))),""))</f>
        <v/>
      </c>
      <c r="L130" s="1005"/>
      <c r="M130" s="992"/>
      <c r="N130" s="992"/>
      <c r="Q130" s="973"/>
      <c r="R130" s="973"/>
      <c r="S130" s="973"/>
      <c r="T130" s="973"/>
      <c r="U130" s="973"/>
      <c r="V130" s="973"/>
      <c r="W130" s="973"/>
      <c r="X130" s="973"/>
      <c r="Y130" s="973"/>
      <c r="Z130" s="973"/>
    </row>
    <row r="131" spans="1:26" ht="12" hidden="1" customHeight="1">
      <c r="A131" s="996" t="str" cm="1">
        <f t="array" ref="A131">IFERROR(_xlfn.LET(_xlpm.n,ROW()-16,_xlpm.adj,IF((((ISNUMBER(SEARCH("Eviction",'resident aged receivable'!$E$2:$E$460)))+(ISNUMBER(SEARCH("Past",'resident aged receivable'!$E$2:$E$460)))+(ISNUMBER(SEARCH("Skip",'resident aged receivable'!$E$2:$E$460)))+(ISNUMBER(SEARCH("Collections",'resident aged receivable'!$E$2:$E$460)))+(COUNTIF($N$3:$N$24,'resident aged receivable'!$D$2:$D$460)&gt;0))&gt;0)*(((((LEFT('resident aged receivable'!$E$2:$E$460,7)="Current")+(LEFT('resident aged receivable'!$E$2:$E$460,6)="Notice"))=0)+(COUNTIF($N$3:$N$24,'resident aged receivable'!$D$2:$D$460)&gt;0))&gt;0)*(COUNTIF($P$3:$P$24,'resident aged receivable'!$D$2:$D$460)=0)*('resident aged receivable'!$I$2:$I$460&gt;0),'resident aged receivable'!$I$2:$I$460-ROW('resident aged receivable'!$I$2:$I$460)/1000000),_xlpm.tgt,LARGE(_xlpm.adj,_xlpm.n),MATCH(_xlpm.tgt,_xlpm.adj,0)+1),"")</f>
        <v/>
      </c>
      <c r="B131" s="997" t="str" cm="1">
        <f t="array" ref="B131">IF($A131="","",INDEX('resident aged receivable'!$B:$B,$A131))</f>
        <v/>
      </c>
      <c r="C131" s="997" t="str" cm="1">
        <f t="array" ref="C131">IF($A131="","",INDEX('resident aged receivable'!$D:$D,$A131))</f>
        <v/>
      </c>
      <c r="D131" s="998" t="str" cm="1">
        <f t="array" ref="D131">IF($A131="","",INDEX('resident aged receivable'!$F:$F,$A131))</f>
        <v/>
      </c>
      <c r="E131" s="998" t="str" cm="1">
        <f t="array" ref="E131">IF($A131="","",_xlfn.LET(_xlpm.leaseEnd,INDEX('resident aged receivable'!$H:$H,$A131),_xlpm.moLookup,IFERROR(_xlfn.LET(_xlpm.lastFirst,C131,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
      </c>
      <c r="F131" s="999" t="str">
        <f t="shared" si="3"/>
        <v/>
      </c>
      <c r="G131" s="1000" t="str" cm="1">
        <f t="array" ref="G131">IF($A131="","",IF(COUNTIF($N$3:$N$24,C131)&gt;0,"Former",_xlfn.LET(_xlpm.s,INDEX('resident aged receivable'!$E:$E,$A131),IF(ISNUMBER(SEARCH("Eviction",_xlpm.s)),"Eviction",IF(ISNUMBER(SEARCH("Skip",_xlpm.s)),"Skip",IF(ISNUMBER(SEARCH("Past",_xlpm.s))+ISNUMBER(SEARCH("Collections",_xlpm.s)),"Former",_xlpm.s))))))</f>
        <v/>
      </c>
      <c r="H131" s="1001" t="str" cm="1">
        <f t="array" ref="H131">IF($A131="","",INDEX('resident aged receivable'!$I:$I,$A131))</f>
        <v/>
      </c>
      <c r="I131" s="1001" t="str" cm="1">
        <f t="array" ref="I131">IF($A131="","",INDEX('resident aged receivable'!$J:$J,$A131))</f>
        <v/>
      </c>
      <c r="J131" s="1001" t="str" cm="1">
        <f t="array" ref="J131">IF($A131="","",INDEX('resident aged receivable'!$K:$K,$A131))</f>
        <v/>
      </c>
      <c r="K131" s="1020" t="str" cm="1">
        <f t="array" ref="K131">IF($C131="","",IFERROR(_xlfn.LET(_xlpm.unit,B131,_xlpm.resident,C131,_xlpm.lastName,IFERROR(LEFT(_xlpm.resident,FIND(",",_xlpm.resident)-1),_xlpm.resident),_xlpm.llMatch,(LeaseLock!$D$2:$D$500=_xlpm.unit)*ISNUMBER(SEARCH(_xlpm.lastName,LeaseLock!$C$2:$C$500)),_xlpm.hasLL,SUMPRODUCT(_xlpm.llMatch)&gt;0,_xlpm.llStatus,IF(_xlpm.hasLL,_xlfn.LET(_xlpm.stat,LOOKUP(2,1/_xlpm.llMatch,LeaseLock!$F$2:$F$500),_xlpm.sub,LOOKUP(2,1/_xlpm.llMatch,LeaseLock!$G$2:$G$500),_xlpm.paid,LOOKUP(2,1/_xlpm.llMatch,LeaseLock!$M$2:$M$500),IF(_xlpm.stat="Claim Denied","Claim Denied ("&amp;_xlpm.sub&amp;")",IF(_xlpm.stat="Open","Open - "&amp;_xlpm.sub,IF(_xlpm.paid&gt;0,_xlpm.stat&amp;" - $"&amp;TEXT(_xlpm.paid,"#,##0.00")&amp;" paid",_xlpm.stat&amp;" - no payment")))),""),_xlpm.rsiMatches,ISNUMBER(SEARCH(_xlpm.lastName,Evictions_RSI!$B$3:$B$200))*(Evictions_RSI!$B$3:$B$200&lt;&gt;""),_xlpm.hasRSI,SUMPRODUCT(_xlpm.rsiMatches)&gt;0,_xlpm.rsiStatus,IF(_xlpm.hasRSI,_xlfn.LET(_xlpm.dates,IF(_xlpm.rsiMatches,IFERROR(DATEVALUE(SUBSTITUTE(Evictions_RSI!$A$3:$A$200,_xlfn.UNICHAR(8204),"")),0),0),_xlpm.latestRow,MATCH(MAX(_xlpm.dates),_xlpm.dates,0),TRIM(SUBSTITUTE(INDEX(Evictions_RSI!$I$3:$I$200,_xlpm.latestRow),_xlfn.UNICHAR(8204),""))),""),IF(AND(_xlpm.llStatus="",_xlpm.rsiStatus=""),"",IF(_xlpm.llStatus="","RSI: "&amp;_xlpm.rsiStatus,IF(_xlpm.rsiStatus="","LL: "&amp;_xlpm.llStatus,"LL: "&amp;_xlpm.llStatus&amp;" | RSI: "&amp;_xlpm.rsiStatus)))),""))</f>
        <v/>
      </c>
      <c r="L131" s="1005"/>
      <c r="M131" s="992"/>
      <c r="N131" s="992"/>
      <c r="Q131" s="973"/>
      <c r="R131" s="973"/>
      <c r="S131" s="973"/>
      <c r="T131" s="973"/>
      <c r="U131" s="973"/>
      <c r="V131" s="973"/>
      <c r="W131" s="973"/>
      <c r="X131" s="973"/>
      <c r="Y131" s="973"/>
      <c r="Z131" s="973"/>
    </row>
    <row r="132" spans="1:26" ht="12" hidden="1" customHeight="1">
      <c r="A132" s="996" t="str" cm="1">
        <f t="array" ref="A132">IFERROR(_xlfn.LET(_xlpm.n,ROW()-16,_xlpm.adj,IF((((ISNUMBER(SEARCH("Eviction",'resident aged receivable'!$E$2:$E$460)))+(ISNUMBER(SEARCH("Past",'resident aged receivable'!$E$2:$E$460)))+(ISNUMBER(SEARCH("Skip",'resident aged receivable'!$E$2:$E$460)))+(ISNUMBER(SEARCH("Collections",'resident aged receivable'!$E$2:$E$460)))+(COUNTIF($N$3:$N$24,'resident aged receivable'!$D$2:$D$460)&gt;0))&gt;0)*(((((LEFT('resident aged receivable'!$E$2:$E$460,7)="Current")+(LEFT('resident aged receivable'!$E$2:$E$460,6)="Notice"))=0)+(COUNTIF($N$3:$N$24,'resident aged receivable'!$D$2:$D$460)&gt;0))&gt;0)*(COUNTIF($P$3:$P$24,'resident aged receivable'!$D$2:$D$460)=0)*('resident aged receivable'!$I$2:$I$460&gt;0),'resident aged receivable'!$I$2:$I$460-ROW('resident aged receivable'!$I$2:$I$460)/1000000),_xlpm.tgt,LARGE(_xlpm.adj,_xlpm.n),MATCH(_xlpm.tgt,_xlpm.adj,0)+1),"")</f>
        <v/>
      </c>
      <c r="B132" s="997" t="str" cm="1">
        <f t="array" ref="B132">IF($A132="","",INDEX('resident aged receivable'!$B:$B,$A132))</f>
        <v/>
      </c>
      <c r="C132" s="997" t="str" cm="1">
        <f t="array" ref="C132">IF($A132="","",INDEX('resident aged receivable'!$D:$D,$A132))</f>
        <v/>
      </c>
      <c r="D132" s="998" t="str" cm="1">
        <f t="array" ref="D132">IF($A132="","",INDEX('resident aged receivable'!$F:$F,$A132))</f>
        <v/>
      </c>
      <c r="E132" s="998" t="str" cm="1">
        <f t="array" ref="E132">IF($A132="","",_xlfn.LET(_xlpm.leaseEnd,INDEX('resident aged receivable'!$H:$H,$A132),_xlpm.moLookup,IFERROR(_xlfn.LET(_xlpm.lastFirst,C132,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
      </c>
      <c r="F132" s="999" t="str">
        <f t="shared" si="3"/>
        <v/>
      </c>
      <c r="G132" s="1000" t="str" cm="1">
        <f t="array" ref="G132">IF($A132="","",IF(COUNTIF($N$3:$N$24,C132)&gt;0,"Former",_xlfn.LET(_xlpm.s,INDEX('resident aged receivable'!$E:$E,$A132),IF(ISNUMBER(SEARCH("Eviction",_xlpm.s)),"Eviction",IF(ISNUMBER(SEARCH("Skip",_xlpm.s)),"Skip",IF(ISNUMBER(SEARCH("Past",_xlpm.s))+ISNUMBER(SEARCH("Collections",_xlpm.s)),"Former",_xlpm.s))))))</f>
        <v/>
      </c>
      <c r="H132" s="1001" t="str" cm="1">
        <f t="array" ref="H132">IF($A132="","",INDEX('resident aged receivable'!$I:$I,$A132))</f>
        <v/>
      </c>
      <c r="I132" s="1001" t="str" cm="1">
        <f t="array" ref="I132">IF($A132="","",INDEX('resident aged receivable'!$J:$J,$A132))</f>
        <v/>
      </c>
      <c r="J132" s="1001" t="str" cm="1">
        <f t="array" ref="J132">IF($A132="","",INDEX('resident aged receivable'!$K:$K,$A132))</f>
        <v/>
      </c>
      <c r="K132" s="1020" t="str" cm="1">
        <f t="array" ref="K132">IF($C132="","",IFERROR(_xlfn.LET(_xlpm.unit,B132,_xlpm.resident,C132,_xlpm.lastName,IFERROR(LEFT(_xlpm.resident,FIND(",",_xlpm.resident)-1),_xlpm.resident),_xlpm.llMatch,(LeaseLock!$D$2:$D$500=_xlpm.unit)*ISNUMBER(SEARCH(_xlpm.lastName,LeaseLock!$C$2:$C$500)),_xlpm.hasLL,SUMPRODUCT(_xlpm.llMatch)&gt;0,_xlpm.llStatus,IF(_xlpm.hasLL,_xlfn.LET(_xlpm.stat,LOOKUP(2,1/_xlpm.llMatch,LeaseLock!$F$2:$F$500),_xlpm.sub,LOOKUP(2,1/_xlpm.llMatch,LeaseLock!$G$2:$G$500),_xlpm.paid,LOOKUP(2,1/_xlpm.llMatch,LeaseLock!$M$2:$M$500),IF(_xlpm.stat="Claim Denied","Claim Denied ("&amp;_xlpm.sub&amp;")",IF(_xlpm.stat="Open","Open - "&amp;_xlpm.sub,IF(_xlpm.paid&gt;0,_xlpm.stat&amp;" - $"&amp;TEXT(_xlpm.paid,"#,##0.00")&amp;" paid",_xlpm.stat&amp;" - no payment")))),""),_xlpm.rsiMatches,ISNUMBER(SEARCH(_xlpm.lastName,Evictions_RSI!$B$3:$B$200))*(Evictions_RSI!$B$3:$B$200&lt;&gt;""),_xlpm.hasRSI,SUMPRODUCT(_xlpm.rsiMatches)&gt;0,_xlpm.rsiStatus,IF(_xlpm.hasRSI,_xlfn.LET(_xlpm.dates,IF(_xlpm.rsiMatches,IFERROR(DATEVALUE(SUBSTITUTE(Evictions_RSI!$A$3:$A$200,_xlfn.UNICHAR(8204),"")),0),0),_xlpm.latestRow,MATCH(MAX(_xlpm.dates),_xlpm.dates,0),TRIM(SUBSTITUTE(INDEX(Evictions_RSI!$I$3:$I$200,_xlpm.latestRow),_xlfn.UNICHAR(8204),""))),""),IF(AND(_xlpm.llStatus="",_xlpm.rsiStatus=""),"",IF(_xlpm.llStatus="","RSI: "&amp;_xlpm.rsiStatus,IF(_xlpm.rsiStatus="","LL: "&amp;_xlpm.llStatus,"LL: "&amp;_xlpm.llStatus&amp;" | RSI: "&amp;_xlpm.rsiStatus)))),""))</f>
        <v/>
      </c>
      <c r="L132" s="1005"/>
      <c r="M132" s="992"/>
      <c r="N132" s="992"/>
      <c r="Q132" s="973"/>
      <c r="R132" s="973"/>
      <c r="S132" s="973"/>
      <c r="T132" s="973"/>
      <c r="U132" s="973"/>
      <c r="V132" s="973"/>
      <c r="W132" s="973"/>
      <c r="X132" s="973"/>
      <c r="Y132" s="973"/>
      <c r="Z132" s="973"/>
    </row>
    <row r="133" spans="1:26" ht="12" hidden="1" customHeight="1">
      <c r="A133" s="996" t="str" cm="1">
        <f t="array" ref="A133">IFERROR(_xlfn.LET(_xlpm.n,ROW()-16,_xlpm.adj,IF((((ISNUMBER(SEARCH("Eviction",'resident aged receivable'!$E$2:$E$460)))+(ISNUMBER(SEARCH("Past",'resident aged receivable'!$E$2:$E$460)))+(ISNUMBER(SEARCH("Skip",'resident aged receivable'!$E$2:$E$460)))+(ISNUMBER(SEARCH("Collections",'resident aged receivable'!$E$2:$E$460)))+(COUNTIF($N$3:$N$24,'resident aged receivable'!$D$2:$D$460)&gt;0))&gt;0)*(((((LEFT('resident aged receivable'!$E$2:$E$460,7)="Current")+(LEFT('resident aged receivable'!$E$2:$E$460,6)="Notice"))=0)+(COUNTIF($N$3:$N$24,'resident aged receivable'!$D$2:$D$460)&gt;0))&gt;0)*(COUNTIF($P$3:$P$24,'resident aged receivable'!$D$2:$D$460)=0)*('resident aged receivable'!$I$2:$I$460&gt;0),'resident aged receivable'!$I$2:$I$460-ROW('resident aged receivable'!$I$2:$I$460)/1000000),_xlpm.tgt,LARGE(_xlpm.adj,_xlpm.n),MATCH(_xlpm.tgt,_xlpm.adj,0)+1),"")</f>
        <v/>
      </c>
      <c r="B133" s="997" t="str" cm="1">
        <f t="array" ref="B133">IF($A133="","",INDEX('resident aged receivable'!$B:$B,$A133))</f>
        <v/>
      </c>
      <c r="C133" s="997" t="str" cm="1">
        <f t="array" ref="C133">IF($A133="","",INDEX('resident aged receivable'!$D:$D,$A133))</f>
        <v/>
      </c>
      <c r="D133" s="998" t="str" cm="1">
        <f t="array" ref="D133">IF($A133="","",INDEX('resident aged receivable'!$F:$F,$A133))</f>
        <v/>
      </c>
      <c r="E133" s="998" t="str" cm="1">
        <f t="array" ref="E133">IF($A133="","",_xlfn.LET(_xlpm.leaseEnd,INDEX('resident aged receivable'!$H:$H,$A133),_xlpm.moLookup,IFERROR(_xlfn.LET(_xlpm.lastFirst,C133,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
      </c>
      <c r="F133" s="999" t="str">
        <f t="shared" si="3"/>
        <v/>
      </c>
      <c r="G133" s="1000" t="str" cm="1">
        <f t="array" ref="G133">IF($A133="","",IF(COUNTIF($N$3:$N$24,C133)&gt;0,"Former",_xlfn.LET(_xlpm.s,INDEX('resident aged receivable'!$E:$E,$A133),IF(ISNUMBER(SEARCH("Eviction",_xlpm.s)),"Eviction",IF(ISNUMBER(SEARCH("Skip",_xlpm.s)),"Skip",IF(ISNUMBER(SEARCH("Past",_xlpm.s))+ISNUMBER(SEARCH("Collections",_xlpm.s)),"Former",_xlpm.s))))))</f>
        <v/>
      </c>
      <c r="H133" s="1001" t="str" cm="1">
        <f t="array" ref="H133">IF($A133="","",INDEX('resident aged receivable'!$I:$I,$A133))</f>
        <v/>
      </c>
      <c r="I133" s="1001" t="str" cm="1">
        <f t="array" ref="I133">IF($A133="","",INDEX('resident aged receivable'!$J:$J,$A133))</f>
        <v/>
      </c>
      <c r="J133" s="1001" t="str" cm="1">
        <f t="array" ref="J133">IF($A133="","",INDEX('resident aged receivable'!$K:$K,$A133))</f>
        <v/>
      </c>
      <c r="K133" s="1020" t="str" cm="1">
        <f t="array" ref="K133">IF($C133="","",IFERROR(_xlfn.LET(_xlpm.unit,B133,_xlpm.resident,C133,_xlpm.lastName,IFERROR(LEFT(_xlpm.resident,FIND(",",_xlpm.resident)-1),_xlpm.resident),_xlpm.llMatch,(LeaseLock!$D$2:$D$500=_xlpm.unit)*ISNUMBER(SEARCH(_xlpm.lastName,LeaseLock!$C$2:$C$500)),_xlpm.hasLL,SUMPRODUCT(_xlpm.llMatch)&gt;0,_xlpm.llStatus,IF(_xlpm.hasLL,_xlfn.LET(_xlpm.stat,LOOKUP(2,1/_xlpm.llMatch,LeaseLock!$F$2:$F$500),_xlpm.sub,LOOKUP(2,1/_xlpm.llMatch,LeaseLock!$G$2:$G$500),_xlpm.paid,LOOKUP(2,1/_xlpm.llMatch,LeaseLock!$M$2:$M$500),IF(_xlpm.stat="Claim Denied","Claim Denied ("&amp;_xlpm.sub&amp;")",IF(_xlpm.stat="Open","Open - "&amp;_xlpm.sub,IF(_xlpm.paid&gt;0,_xlpm.stat&amp;" - $"&amp;TEXT(_xlpm.paid,"#,##0.00")&amp;" paid",_xlpm.stat&amp;" - no payment")))),""),_xlpm.rsiMatches,ISNUMBER(SEARCH(_xlpm.lastName,Evictions_RSI!$B$3:$B$200))*(Evictions_RSI!$B$3:$B$200&lt;&gt;""),_xlpm.hasRSI,SUMPRODUCT(_xlpm.rsiMatches)&gt;0,_xlpm.rsiStatus,IF(_xlpm.hasRSI,_xlfn.LET(_xlpm.dates,IF(_xlpm.rsiMatches,IFERROR(DATEVALUE(SUBSTITUTE(Evictions_RSI!$A$3:$A$200,_xlfn.UNICHAR(8204),"")),0),0),_xlpm.latestRow,MATCH(MAX(_xlpm.dates),_xlpm.dates,0),TRIM(SUBSTITUTE(INDEX(Evictions_RSI!$I$3:$I$200,_xlpm.latestRow),_xlfn.UNICHAR(8204),""))),""),IF(AND(_xlpm.llStatus="",_xlpm.rsiStatus=""),"",IF(_xlpm.llStatus="","RSI: "&amp;_xlpm.rsiStatus,IF(_xlpm.rsiStatus="","LL: "&amp;_xlpm.llStatus,"LL: "&amp;_xlpm.llStatus&amp;" | RSI: "&amp;_xlpm.rsiStatus)))),""))</f>
        <v/>
      </c>
      <c r="L133" s="1005"/>
      <c r="M133" s="992"/>
      <c r="N133" s="992"/>
      <c r="Q133" s="973"/>
      <c r="R133" s="973"/>
      <c r="S133" s="973"/>
      <c r="T133" s="973"/>
      <c r="U133" s="973"/>
      <c r="V133" s="973"/>
      <c r="W133" s="973"/>
      <c r="X133" s="973"/>
      <c r="Y133" s="973"/>
      <c r="Z133" s="973"/>
    </row>
    <row r="134" spans="1:26" ht="12" hidden="1" customHeight="1">
      <c r="A134" s="996" t="str" cm="1">
        <f t="array" ref="A134">IFERROR(_xlfn.LET(_xlpm.n,ROW()-16,_xlpm.adj,IF((((ISNUMBER(SEARCH("Eviction",'resident aged receivable'!$E$2:$E$460)))+(ISNUMBER(SEARCH("Past",'resident aged receivable'!$E$2:$E$460)))+(ISNUMBER(SEARCH("Skip",'resident aged receivable'!$E$2:$E$460)))+(ISNUMBER(SEARCH("Collections",'resident aged receivable'!$E$2:$E$460)))+(COUNTIF($N$3:$N$24,'resident aged receivable'!$D$2:$D$460)&gt;0))&gt;0)*(((((LEFT('resident aged receivable'!$E$2:$E$460,7)="Current")+(LEFT('resident aged receivable'!$E$2:$E$460,6)="Notice"))=0)+(COUNTIF($N$3:$N$24,'resident aged receivable'!$D$2:$D$460)&gt;0))&gt;0)*(COUNTIF($P$3:$P$24,'resident aged receivable'!$D$2:$D$460)=0)*('resident aged receivable'!$I$2:$I$460&gt;0),'resident aged receivable'!$I$2:$I$460-ROW('resident aged receivable'!$I$2:$I$460)/1000000),_xlpm.tgt,LARGE(_xlpm.adj,_xlpm.n),MATCH(_xlpm.tgt,_xlpm.adj,0)+1),"")</f>
        <v/>
      </c>
      <c r="B134" s="997" t="str" cm="1">
        <f t="array" ref="B134">IF($A134="","",INDEX('resident aged receivable'!$B:$B,$A134))</f>
        <v/>
      </c>
      <c r="C134" s="997" t="str" cm="1">
        <f t="array" ref="C134">IF($A134="","",INDEX('resident aged receivable'!$D:$D,$A134))</f>
        <v/>
      </c>
      <c r="D134" s="998" t="str" cm="1">
        <f t="array" ref="D134">IF($A134="","",INDEX('resident aged receivable'!$F:$F,$A134))</f>
        <v/>
      </c>
      <c r="E134" s="998" t="str" cm="1">
        <f t="array" ref="E134">IF($A134="","",_xlfn.LET(_xlpm.leaseEnd,INDEX('resident aged receivable'!$H:$H,$A134),_xlpm.moLookup,IFERROR(_xlfn.LET(_xlpm.lastFirst,C134,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
      </c>
      <c r="F134" s="999" t="str">
        <f t="shared" si="3"/>
        <v/>
      </c>
      <c r="G134" s="1000" t="str" cm="1">
        <f t="array" ref="G134">IF($A134="","",IF(COUNTIF($N$3:$N$24,C134)&gt;0,"Former",_xlfn.LET(_xlpm.s,INDEX('resident aged receivable'!$E:$E,$A134),IF(ISNUMBER(SEARCH("Eviction",_xlpm.s)),"Eviction",IF(ISNUMBER(SEARCH("Skip",_xlpm.s)),"Skip",IF(ISNUMBER(SEARCH("Past",_xlpm.s))+ISNUMBER(SEARCH("Collections",_xlpm.s)),"Former",_xlpm.s))))))</f>
        <v/>
      </c>
      <c r="H134" s="1001" t="str" cm="1">
        <f t="array" ref="H134">IF($A134="","",INDEX('resident aged receivable'!$I:$I,$A134))</f>
        <v/>
      </c>
      <c r="I134" s="1001" t="str" cm="1">
        <f t="array" ref="I134">IF($A134="","",INDEX('resident aged receivable'!$J:$J,$A134))</f>
        <v/>
      </c>
      <c r="J134" s="1001" t="str" cm="1">
        <f t="array" ref="J134">IF($A134="","",INDEX('resident aged receivable'!$K:$K,$A134))</f>
        <v/>
      </c>
      <c r="K134" s="1020" t="str" cm="1">
        <f t="array" ref="K134">IF($C134="","",IFERROR(_xlfn.LET(_xlpm.unit,B134,_xlpm.resident,C134,_xlpm.lastName,IFERROR(LEFT(_xlpm.resident,FIND(",",_xlpm.resident)-1),_xlpm.resident),_xlpm.llMatch,(LeaseLock!$D$2:$D$500=_xlpm.unit)*ISNUMBER(SEARCH(_xlpm.lastName,LeaseLock!$C$2:$C$500)),_xlpm.hasLL,SUMPRODUCT(_xlpm.llMatch)&gt;0,_xlpm.llStatus,IF(_xlpm.hasLL,_xlfn.LET(_xlpm.stat,LOOKUP(2,1/_xlpm.llMatch,LeaseLock!$F$2:$F$500),_xlpm.sub,LOOKUP(2,1/_xlpm.llMatch,LeaseLock!$G$2:$G$500),_xlpm.paid,LOOKUP(2,1/_xlpm.llMatch,LeaseLock!$M$2:$M$500),IF(_xlpm.stat="Claim Denied","Claim Denied ("&amp;_xlpm.sub&amp;")",IF(_xlpm.stat="Open","Open - "&amp;_xlpm.sub,IF(_xlpm.paid&gt;0,_xlpm.stat&amp;" - $"&amp;TEXT(_xlpm.paid,"#,##0.00")&amp;" paid",_xlpm.stat&amp;" - no payment")))),""),_xlpm.rsiMatches,ISNUMBER(SEARCH(_xlpm.lastName,Evictions_RSI!$B$3:$B$200))*(Evictions_RSI!$B$3:$B$200&lt;&gt;""),_xlpm.hasRSI,SUMPRODUCT(_xlpm.rsiMatches)&gt;0,_xlpm.rsiStatus,IF(_xlpm.hasRSI,_xlfn.LET(_xlpm.dates,IF(_xlpm.rsiMatches,IFERROR(DATEVALUE(SUBSTITUTE(Evictions_RSI!$A$3:$A$200,_xlfn.UNICHAR(8204),"")),0),0),_xlpm.latestRow,MATCH(MAX(_xlpm.dates),_xlpm.dates,0),TRIM(SUBSTITUTE(INDEX(Evictions_RSI!$I$3:$I$200,_xlpm.latestRow),_xlfn.UNICHAR(8204),""))),""),IF(AND(_xlpm.llStatus="",_xlpm.rsiStatus=""),"",IF(_xlpm.llStatus="","RSI: "&amp;_xlpm.rsiStatus,IF(_xlpm.rsiStatus="","LL: "&amp;_xlpm.llStatus,"LL: "&amp;_xlpm.llStatus&amp;" | RSI: "&amp;_xlpm.rsiStatus)))),""))</f>
        <v/>
      </c>
      <c r="L134" s="1005"/>
      <c r="M134" s="992"/>
      <c r="N134" s="992"/>
      <c r="Q134" s="973"/>
      <c r="R134" s="973"/>
      <c r="S134" s="973"/>
      <c r="T134" s="973"/>
      <c r="U134" s="973"/>
      <c r="V134" s="973"/>
      <c r="W134" s="973"/>
      <c r="X134" s="973"/>
      <c r="Y134" s="973"/>
      <c r="Z134" s="973"/>
    </row>
    <row r="135" spans="1:26" ht="12" customHeight="1">
      <c r="A135" s="996"/>
      <c r="B135" s="1006" t="str" cm="1">
        <f t="array" ref="B135">"TOTAL displayed ("&amp;SUMPRODUCT(--(B17:B134&lt;&gt;""))&amp;" of "&amp;SUMPRODUCT(((ISNUMBER(SEARCH("Eviction",'resident aged receivable'!$E$2:$E$460)))+(ISNUMBER(SEARCH("Past",'resident aged receivable'!$E$2:$E$460)))+(ISNUMBER(SEARCH("Skip",'resident aged receivable'!$E$2:$E$460)))+(ISNUMBER(SEARCH("Collections",'resident aged receivable'!$E$2:$E$460)))+(COUNTIF($N$3:$N$24,'resident aged receivable'!$D$2:$D$460)&gt;0)&gt;0)*(((((LEFT('resident aged receivable'!$E$2:$E$460,7)="Current")+(LEFT('resident aged receivable'!$E$2:$E$460,6)="Notice"))=0)+(COUNTIF($N$3:$N$24,'resident aged receivable'!$D$2:$D$460)&gt;0))&gt;0)*(COUNTIF($P$3:$P$24,'resident aged receivable'!$D$2:$D$460)=0)*('resident aged receivable'!$I$2:$I$460&gt;0))&amp;" qualifying accounts)"</f>
        <v>TOTAL displayed (102 of 102 qualifying accounts)</v>
      </c>
      <c r="C135" s="1007"/>
      <c r="D135" s="1007"/>
      <c r="E135" s="1007"/>
      <c r="F135" s="1007"/>
      <c r="G135" s="1007"/>
      <c r="H135" s="1008">
        <f>SUM(H17:H134)</f>
        <v>562816.20000000007</v>
      </c>
      <c r="I135" s="1008">
        <f>SUM(I17:I134)</f>
        <v>7455.65</v>
      </c>
      <c r="J135" s="1008">
        <f>SUM(J17:J134)</f>
        <v>122162.35999999994</v>
      </c>
      <c r="K135" s="1070"/>
      <c r="L135" s="1007"/>
      <c r="M135" s="992"/>
      <c r="N135" s="992"/>
      <c r="Q135" s="973"/>
      <c r="R135" s="973"/>
      <c r="S135" s="973"/>
      <c r="T135" s="973"/>
      <c r="U135" s="973"/>
      <c r="V135" s="973"/>
      <c r="W135" s="973"/>
      <c r="X135" s="973"/>
      <c r="Y135" s="973"/>
      <c r="Z135" s="973"/>
    </row>
    <row r="136" spans="1:26" ht="12" customHeight="1">
      <c r="A136" s="996"/>
      <c r="B136" s="992"/>
      <c r="C136" s="992"/>
      <c r="D136" s="992"/>
      <c r="E136" s="992"/>
      <c r="F136" s="992"/>
      <c r="G136" s="992"/>
      <c r="H136" s="992"/>
      <c r="I136" s="992"/>
      <c r="J136" s="992"/>
      <c r="K136" s="992"/>
      <c r="L136" s="992"/>
      <c r="M136" s="992"/>
      <c r="N136" s="992"/>
      <c r="Q136" s="973"/>
      <c r="R136" s="973"/>
      <c r="S136" s="973"/>
      <c r="T136" s="973"/>
      <c r="U136" s="973"/>
      <c r="V136" s="973"/>
      <c r="W136" s="973"/>
      <c r="X136" s="973"/>
      <c r="Y136" s="973"/>
      <c r="Z136" s="973"/>
    </row>
    <row r="137" spans="1:26" ht="12" customHeight="1">
      <c r="A137" s="992"/>
      <c r="B137" s="1009" t="str">
        <f>CONCATENATE("CURRENT RESIDENTS (≥ ",TEXT($H$3,"$#,##0"),")")</f>
        <v>CURRENT RESIDENTS (≥ $200)</v>
      </c>
      <c r="C137" s="1009"/>
      <c r="D137" s="1009"/>
      <c r="E137" s="1009"/>
      <c r="F137" s="1009"/>
      <c r="G137" s="1009"/>
      <c r="H137" s="1009"/>
      <c r="I137" s="1009"/>
      <c r="J137" s="1009"/>
      <c r="K137" s="1071"/>
      <c r="L137" s="1009"/>
      <c r="M137" s="992"/>
      <c r="N137" s="992"/>
      <c r="Q137" s="973"/>
      <c r="R137" s="973"/>
      <c r="S137" s="973"/>
      <c r="T137" s="973"/>
      <c r="U137" s="973"/>
      <c r="V137" s="973"/>
      <c r="W137" s="973"/>
      <c r="X137" s="973"/>
      <c r="Y137" s="973"/>
      <c r="Z137" s="973"/>
    </row>
    <row r="138" spans="1:26" ht="12" customHeight="1">
      <c r="A138" s="992"/>
      <c r="B138" s="994" t="s">
        <v>1137</v>
      </c>
      <c r="C138" s="994" t="s">
        <v>1138</v>
      </c>
      <c r="D138" s="994" t="s">
        <v>1139</v>
      </c>
      <c r="E138" s="994" t="s">
        <v>1140</v>
      </c>
      <c r="F138" s="994" t="s">
        <v>1141</v>
      </c>
      <c r="G138" s="994" t="s">
        <v>929</v>
      </c>
      <c r="H138" s="994" t="s">
        <v>1142</v>
      </c>
      <c r="I138" s="994" t="s">
        <v>1143</v>
      </c>
      <c r="J138" s="994" t="s">
        <v>1144</v>
      </c>
      <c r="K138" s="1072" t="s">
        <v>1145</v>
      </c>
      <c r="L138" s="994" t="s">
        <v>1159</v>
      </c>
      <c r="M138" s="992"/>
      <c r="N138" s="992"/>
      <c r="Q138" s="973"/>
      <c r="R138" s="973"/>
      <c r="S138" s="973"/>
      <c r="T138" s="973"/>
      <c r="U138" s="973"/>
      <c r="V138" s="973"/>
      <c r="W138" s="973"/>
      <c r="X138" s="973"/>
      <c r="Y138" s="973"/>
      <c r="Z138" s="973"/>
    </row>
    <row r="139" spans="1:26" ht="12" customHeight="1">
      <c r="A139" s="996" cm="1">
        <f t="array" ref="A139">IFERROR(_xlfn.LET(_xlpm.n,ROW()-138,_xlpm.adj,IF(((((LEFT('resident aged receivable'!$E$2:$E$460,7)="Current")+(LEFT('resident aged receivable'!$E$2:$E$460,6)="Notice"))&gt;0)*(((ISNUMBER(SEARCH("Eviction",'resident aged receivable'!$E$2:$E$460))=FALSE)+(ISNUMBER(SEARCH("(On Property)",'resident aged receivable'!$E$2:$E$460))&gt;0))&gt;0)*(ISNUMBER(SEARCH("Skip",'resident aged receivable'!$E$2:$E$460))=FALSE)*(COUNTIF($N$3:$N$24,'resident aged receivable'!$D$2:$D$460)=0)*(COUNTIF($P$3:$P$24,'resident aged receivable'!$D$2:$D$460)=0)*('resident aged receivable'!$I$2:$I$460&gt;=$H$3)+(COUNTIF($P$3:$P$24,'resident aged receivable'!$D$2:$D$460)&gt;0)*(COUNTIF($N$3:$N$24,'resident aged receivable'!$D$2:$D$460)=0)*('resident aged receivable'!$I$2:$I$460&gt;0))&gt;0,'resident aged receivable'!$I$2:$I$460-ROW('resident aged receivable'!$I$2:$I$460)/1000000),_xlpm.tgt,LARGE(_xlpm.adj,_xlpm.n),MATCH(_xlpm.tgt,_xlpm.adj,0)+1),"")</f>
        <v>163</v>
      </c>
      <c r="B139" s="997" t="str" cm="1">
        <f t="array" ref="B139">IF($A139="","",INDEX('resident aged receivable'!$B:$B,$A139))</f>
        <v>W20-2-2065</v>
      </c>
      <c r="C139" s="997" t="str" cm="1">
        <f t="array" ref="C139">IF($A139="","",INDEX('resident aged receivable'!$D:$D,$A139))</f>
        <v>Simpson, William</v>
      </c>
      <c r="D139" s="998" cm="1">
        <f t="array" ref="D139">IF($A139="","",INDEX('resident aged receivable'!$F:$F,$A139))</f>
        <v>45848</v>
      </c>
      <c r="E139" s="998" t="str" cm="1">
        <f t="array" ref="E139">IF($A139="","",_xlfn.LET(_xlpm.leaseEnd,INDEX('resident aged receivable'!$H:$H,$A139),_xlpm.s,INDEX('resident aged receivable'!$E:$E,$A139),IF(ISNUMBER(SEARCH("Current",_xlpm.s))+ISNUMBER(SEARCH("Notice",_xlpm.s)),"",IF(ISNUMBER(_xlpm.leaseEnd),_xlpm.leaseEnd,""))))</f>
        <v/>
      </c>
      <c r="F139" s="997" t="str">
        <f t="shared" ref="F139:F181" si="4">IF(D139="","",IF(D139&lt;DATE(2025,12,15),"IPS","CAF"))</f>
        <v>IPS</v>
      </c>
      <c r="G139" s="1000" t="str" cm="1">
        <f t="array" ref="G139">IF($A139="","",_xlfn.LET(_xlpm.s,INDEX('resident aged receivable'!$E:$E,$A139),_xlpm.onRR,COUNTIF($P$3:$P$24,C139)&gt;0,IF(ISNUMBER(SEARCH("Eviction",_xlpm.s)),"Eviction",IF(_xlpm.onRR,"Current - On Rent Roll",IF(COUNTIF($N$3:$N$24,C139)&gt;0,"Former",IF(ISNUMBER(SEARCH("Skip",_xlpm.s)),"Skip",IF(ISNUMBER(SEARCH("Past",_xlpm.s))+ISNUMBER(SEARCH("Collections",_xlpm.s)),"Former",_xlpm.s)))))))</f>
        <v>Eviction</v>
      </c>
      <c r="H139" s="1010" cm="1">
        <f t="array" ref="H139">IF($A139="","",INDEX('resident aged receivable'!$I:$I,$A139))</f>
        <v>21680.73</v>
      </c>
      <c r="I139" s="1010" cm="1">
        <f t="array" ref="I139">IF($A139="","",INDEX('resident aged receivable'!$J:$J,$A139))</f>
        <v>1657.72</v>
      </c>
      <c r="J139" s="1010" cm="1">
        <f t="array" ref="J139">IF($A139="","",INDEX('resident aged receivable'!$K:$K,$A139))</f>
        <v>1678.37</v>
      </c>
      <c r="K139" s="1020" t="str" cm="1">
        <f t="array" ref="K139">IFERROR(_xlfn.LET(_xlpm.unit,B139,_xlpm.resident,C139,_xlpm.lastName,IFERROR(LEFT(_xlpm.resident,FIND(",",_xlpm.resident)-1),_xlpm.resident),_xlpm.llMatch,(LeaseLock!$D$2:$D$500=_xlpm.unit)*ISNUMBER(SEARCH(_xlpm.lastName,LeaseLock!$C$2:$C$500)),_xlpm.hasLL,SUMPRODUCT(_xlpm.llMatch)&gt;0,_xlpm.llStatus,IF(_xlpm.hasLL,_xlfn.LET(_xlpm.stat,LOOKUP(2,1/_xlpm.llMatch,LeaseLock!$F$2:$F$500),_xlpm.sub,LOOKUP(2,1/_xlpm.llMatch,LeaseLock!$G$2:$G$500),_xlpm.paid,LOOKUP(2,1/_xlpm.llMatch,LeaseLock!$M$2:$M$500),IF(_xlpm.stat="Claim Denied","Claim Denied ("&amp;_xlpm.sub&amp;")",IF(_xlpm.stat="Open","Open - "&amp;_xlpm.sub,IF(_xlpm.paid&gt;0,_xlpm.stat&amp;" - $"&amp;TEXT(_xlpm.paid,"#,##0.00")&amp;" paid",_xlpm.stat&amp;" - no payment")))),""),_xlpm.rsiMatches,ISNUMBER(SEARCH(_xlpm.lastName,Evictions_RSI!$B$3:$B$200))*(Evictions_RSI!$B$3:$B$200&lt;&gt;""),_xlpm.hasRSI,SUMPRODUCT(_xlpm.rsiMatches)&gt;0,_xlpm.rsiStatus,IF(_xlpm.hasRSI,_xlfn.LET(_xlpm.dates,IF(_xlpm.rsiMatches,IFERROR(DATEVALUE(SUBSTITUTE(Evictions_RSI!$A$3:$A$200,_xlfn.UNICHAR(8204),"")),0),0),_xlpm.latestRow,MATCH(MAX(_xlpm.dates),_xlpm.dates,0),TRIM(SUBSTITUTE(INDEX(Evictions_RSI!$I$3:$I$200,_xlpm.latestRow),_xlfn.UNICHAR(8204),""))),""),IF(AND(_xlpm.llStatus="",_xlpm.rsiStatus=""),"",IF(_xlpm.llStatus="","RSI: "&amp;_xlpm.rsiStatus,IF(_xlpm.rsiStatus="","LL: "&amp;_xlpm.llStatus,"LL: "&amp;_xlpm.llStatus&amp;" | RSI: "&amp;_xlpm.rsiStatus)))),"")</f>
        <v>RSI: LC Handling Appeal (Notes)</v>
      </c>
      <c r="L139" s="1210" t="s">
        <v>1160</v>
      </c>
      <c r="M139" s="992"/>
      <c r="N139" s="992"/>
      <c r="Q139" s="973"/>
      <c r="R139" s="973"/>
      <c r="S139" s="973"/>
      <c r="T139" s="973"/>
      <c r="U139" s="973"/>
      <c r="V139" s="973"/>
      <c r="W139" s="973"/>
      <c r="X139" s="973"/>
      <c r="Y139" s="973"/>
      <c r="Z139" s="973"/>
    </row>
    <row r="140" spans="1:26" ht="12" customHeight="1">
      <c r="A140" s="996" cm="1">
        <f t="array" ref="A140">IFERROR(_xlfn.LET(_xlpm.n,ROW()-138,_xlpm.adj,IF(((((LEFT('resident aged receivable'!$E$2:$E$460,7)="Current")+(LEFT('resident aged receivable'!$E$2:$E$460,6)="Notice"))&gt;0)*(((ISNUMBER(SEARCH("Eviction",'resident aged receivable'!$E$2:$E$460))=FALSE)+(ISNUMBER(SEARCH("(On Property)",'resident aged receivable'!$E$2:$E$460))&gt;0))&gt;0)*(ISNUMBER(SEARCH("Skip",'resident aged receivable'!$E$2:$E$460))=FALSE)*(COUNTIF($N$3:$N$24,'resident aged receivable'!$D$2:$D$460)=0)*(COUNTIF($P$3:$P$24,'resident aged receivable'!$D$2:$D$460)=0)*('resident aged receivable'!$I$2:$I$460&gt;=$H$3)+(COUNTIF($P$3:$P$24,'resident aged receivable'!$D$2:$D$460)&gt;0)*(COUNTIF($N$3:$N$24,'resident aged receivable'!$D$2:$D$460)=0)*('resident aged receivable'!$I$2:$I$460&gt;0))&gt;0,'resident aged receivable'!$I$2:$I$460-ROW('resident aged receivable'!$I$2:$I$460)/1000000),_xlpm.tgt,LARGE(_xlpm.adj,_xlpm.n),MATCH(_xlpm.tgt,_xlpm.adj,0)+1),"")</f>
        <v>18</v>
      </c>
      <c r="B140" s="997" t="str" cm="1">
        <f t="array" ref="B140">IF($A140="","",INDEX('resident aged receivable'!$B:$B,$A140))</f>
        <v>N10-2038</v>
      </c>
      <c r="C140" s="997" t="str" cm="1">
        <f t="array" ref="C140">IF($A140="","",INDEX('resident aged receivable'!$D:$D,$A140))</f>
        <v>Dixon, Dewayne</v>
      </c>
      <c r="D140" s="998" cm="1">
        <f t="array" ref="D140">IF($A140="","",INDEX('resident aged receivable'!$F:$F,$A140))</f>
        <v>45709</v>
      </c>
      <c r="E140" s="998" t="str" cm="1">
        <f t="array" ref="E140">IF($A140="","",_xlfn.LET(_xlpm.leaseEnd,INDEX('resident aged receivable'!$H:$H,$A140),_xlpm.s,INDEX('resident aged receivable'!$E:$E,$A140),IF(ISNUMBER(SEARCH("Current",_xlpm.s))+ISNUMBER(SEARCH("Notice",_xlpm.s)),"",IF(ISNUMBER(_xlpm.leaseEnd),_xlpm.leaseEnd,""))))</f>
        <v/>
      </c>
      <c r="F140" s="997" t="str">
        <f t="shared" si="4"/>
        <v>IPS</v>
      </c>
      <c r="G140" s="1000" t="str" cm="1">
        <f t="array" ref="G140">IF($A140="","",_xlfn.LET(_xlpm.s,INDEX('resident aged receivable'!$E:$E,$A140),_xlpm.onRR,COUNTIF($P$3:$P$24,C140)&gt;0,IF(ISNUMBER(SEARCH("Eviction",_xlpm.s)),"Eviction",IF(_xlpm.onRR,"Current - On Rent Roll",IF(COUNTIF($N$3:$N$24,C140)&gt;0,"Former",IF(ISNUMBER(SEARCH("Skip",_xlpm.s)),"Skip",IF(ISNUMBER(SEARCH("Past",_xlpm.s))+ISNUMBER(SEARCH("Collections",_xlpm.s)),"Former",_xlpm.s)))))))</f>
        <v>Eviction</v>
      </c>
      <c r="H140" s="1010" cm="1">
        <f t="array" ref="H140">IF($A140="","",INDEX('resident aged receivable'!$I:$I,$A140))</f>
        <v>14833.19</v>
      </c>
      <c r="I140" s="1010" cm="1">
        <f t="array" ref="I140">IF($A140="","",INDEX('resident aged receivable'!$J:$J,$A140))</f>
        <v>1354.7</v>
      </c>
      <c r="J140" s="1010" cm="1">
        <f t="array" ref="J140">IF($A140="","",INDEX('resident aged receivable'!$K:$K,$A140))</f>
        <v>1369.98</v>
      </c>
      <c r="K140" s="1020" t="str" cm="1">
        <f t="array" ref="K140">IFERROR(_xlfn.LET(_xlpm.unit,B140,_xlpm.resident,C140,_xlpm.lastName,IFERROR(LEFT(_xlpm.resident,FIND(",",_xlpm.resident)-1),_xlpm.resident),_xlpm.llMatch,(LeaseLock!$D$2:$D$500=_xlpm.unit)*ISNUMBER(SEARCH(_xlpm.lastName,LeaseLock!$C$2:$C$500)),_xlpm.hasLL,SUMPRODUCT(_xlpm.llMatch)&gt;0,_xlpm.llStatus,IF(_xlpm.hasLL,_xlfn.LET(_xlpm.stat,LOOKUP(2,1/_xlpm.llMatch,LeaseLock!$F$2:$F$500),_xlpm.sub,LOOKUP(2,1/_xlpm.llMatch,LeaseLock!$G$2:$G$500),_xlpm.paid,LOOKUP(2,1/_xlpm.llMatch,LeaseLock!$M$2:$M$500),IF(_xlpm.stat="Claim Denied","Claim Denied ("&amp;_xlpm.sub&amp;")",IF(_xlpm.stat="Open","Open - "&amp;_xlpm.sub,IF(_xlpm.paid&gt;0,_xlpm.stat&amp;" - $"&amp;TEXT(_xlpm.paid,"#,##0.00")&amp;" paid",_xlpm.stat&amp;" - no payment")))),""),_xlpm.rsiMatches,ISNUMBER(SEARCH(_xlpm.lastName,Evictions_RSI!$B$3:$B$200))*(Evictions_RSI!$B$3:$B$200&lt;&gt;""),_xlpm.hasRSI,SUMPRODUCT(_xlpm.rsiMatches)&gt;0,_xlpm.rsiStatus,IF(_xlpm.hasRSI,_xlfn.LET(_xlpm.dates,IF(_xlpm.rsiMatches,IFERROR(DATEVALUE(SUBSTITUTE(Evictions_RSI!$A$3:$A$200,_xlfn.UNICHAR(8204),"")),0),0),_xlpm.latestRow,MATCH(MAX(_xlpm.dates),_xlpm.dates,0),TRIM(SUBSTITUTE(INDEX(Evictions_RSI!$I$3:$I$200,_xlpm.latestRow),_xlfn.UNICHAR(8204),""))),""),IF(AND(_xlpm.llStatus="",_xlpm.rsiStatus=""),"",IF(_xlpm.llStatus="","RSI: "&amp;_xlpm.rsiStatus,IF(_xlpm.rsiStatus="","LL: "&amp;_xlpm.llStatus,"LL: "&amp;_xlpm.llStatus&amp;" | RSI: "&amp;_xlpm.rsiStatus)))),"")</f>
        <v>RSI: LC Handling Appeal (Notes)</v>
      </c>
      <c r="L140" s="1210" t="s">
        <v>1160</v>
      </c>
      <c r="M140" s="992"/>
      <c r="N140" s="992"/>
      <c r="Q140" s="973"/>
      <c r="R140" s="973"/>
      <c r="S140" s="973"/>
      <c r="T140" s="973"/>
      <c r="U140" s="973"/>
      <c r="V140" s="973"/>
      <c r="W140" s="973"/>
      <c r="X140" s="973"/>
      <c r="Y140" s="973"/>
      <c r="Z140" s="973"/>
    </row>
    <row r="141" spans="1:26" ht="12" customHeight="1">
      <c r="A141" s="996" cm="1">
        <f t="array" ref="A141">IFERROR(_xlfn.LET(_xlpm.n,ROW()-138,_xlpm.adj,IF(((((LEFT('resident aged receivable'!$E$2:$E$460,7)="Current")+(LEFT('resident aged receivable'!$E$2:$E$460,6)="Notice"))&gt;0)*(((ISNUMBER(SEARCH("Eviction",'resident aged receivable'!$E$2:$E$460))=FALSE)+(ISNUMBER(SEARCH("(On Property)",'resident aged receivable'!$E$2:$E$460))&gt;0))&gt;0)*(ISNUMBER(SEARCH("Skip",'resident aged receivable'!$E$2:$E$460))=FALSE)*(COUNTIF($N$3:$N$24,'resident aged receivable'!$D$2:$D$460)=0)*(COUNTIF($P$3:$P$24,'resident aged receivable'!$D$2:$D$460)=0)*('resident aged receivable'!$I$2:$I$460&gt;=$H$3)+(COUNTIF($P$3:$P$24,'resident aged receivable'!$D$2:$D$460)&gt;0)*(COUNTIF($N$3:$N$24,'resident aged receivable'!$D$2:$D$460)=0)*('resident aged receivable'!$I$2:$I$460&gt;0))&gt;0,'resident aged receivable'!$I$2:$I$460-ROW('resident aged receivable'!$I$2:$I$460)/1000000),_xlpm.tgt,LARGE(_xlpm.adj,_xlpm.n),MATCH(_xlpm.tgt,_xlpm.adj,0)+1),"")</f>
        <v>24</v>
      </c>
      <c r="B141" s="997" t="str" cm="1">
        <f t="array" ref="B141">IF($A141="","",INDEX('resident aged receivable'!$B:$B,$A141))</f>
        <v>N12-3046</v>
      </c>
      <c r="C141" s="997" t="str" cm="1">
        <f t="array" ref="C141">IF($A141="","",INDEX('resident aged receivable'!$D:$D,$A141))</f>
        <v>Burton, Allisa</v>
      </c>
      <c r="D141" s="998" cm="1">
        <f t="array" ref="D141">IF($A141="","",INDEX('resident aged receivable'!$F:$F,$A141))</f>
        <v>45926</v>
      </c>
      <c r="E141" s="998" t="str" cm="1">
        <f t="array" ref="E141">IF($A141="","",_xlfn.LET(_xlpm.leaseEnd,INDEX('resident aged receivable'!$H:$H,$A141),_xlpm.s,INDEX('resident aged receivable'!$E:$E,$A141),IF(ISNUMBER(SEARCH("Current",_xlpm.s))+ISNUMBER(SEARCH("Notice",_xlpm.s)),"",IF(ISNUMBER(_xlpm.leaseEnd),_xlpm.leaseEnd,""))))</f>
        <v/>
      </c>
      <c r="F141" s="997" t="str">
        <f t="shared" si="4"/>
        <v>IPS</v>
      </c>
      <c r="G141" s="1000" t="str" cm="1">
        <f t="array" ref="G141">IF($A141="","",_xlfn.LET(_xlpm.s,INDEX('resident aged receivable'!$E:$E,$A141),_xlpm.onRR,COUNTIF($P$3:$P$24,C141)&gt;0,IF(ISNUMBER(SEARCH("Eviction",_xlpm.s)),"Eviction",IF(_xlpm.onRR,"Current - On Rent Roll",IF(COUNTIF($N$3:$N$24,C141)&gt;0,"Former",IF(ISNUMBER(SEARCH("Skip",_xlpm.s)),"Skip",IF(ISNUMBER(SEARCH("Past",_xlpm.s))+ISNUMBER(SEARCH("Collections",_xlpm.s)),"Former",_xlpm.s)))))))</f>
        <v>Eviction</v>
      </c>
      <c r="H141" s="1010" cm="1">
        <f t="array" ref="H141">IF($A141="","",INDEX('resident aged receivable'!$I:$I,$A141))</f>
        <v>8436.07</v>
      </c>
      <c r="I141" s="1010" cm="1">
        <f t="array" ref="I141">IF($A141="","",INDEX('resident aged receivable'!$J:$J,$A141))</f>
        <v>1060.7</v>
      </c>
      <c r="J141" s="1010" cm="1">
        <f t="array" ref="J141">IF($A141="","",INDEX('resident aged receivable'!$K:$K,$A141))</f>
        <v>1075.98</v>
      </c>
      <c r="K141" s="1020" t="str" cm="1">
        <f t="array" ref="K141">IFERROR(_xlfn.LET(_xlpm.unit,B141,_xlpm.resident,C141,_xlpm.lastName,IFERROR(LEFT(_xlpm.resident,FIND(",",_xlpm.resident)-1),_xlpm.resident),_xlpm.llMatch,(LeaseLock!$D$2:$D$500=_xlpm.unit)*ISNUMBER(SEARCH(_xlpm.lastName,LeaseLock!$C$2:$C$500)),_xlpm.hasLL,SUMPRODUCT(_xlpm.llMatch)&gt;0,_xlpm.llStatus,IF(_xlpm.hasLL,_xlfn.LET(_xlpm.stat,LOOKUP(2,1/_xlpm.llMatch,LeaseLock!$F$2:$F$500),_xlpm.sub,LOOKUP(2,1/_xlpm.llMatch,LeaseLock!$G$2:$G$500),_xlpm.paid,LOOKUP(2,1/_xlpm.llMatch,LeaseLock!$M$2:$M$500),IF(_xlpm.stat="Claim Denied","Claim Denied ("&amp;_xlpm.sub&amp;")",IF(_xlpm.stat="Open","Open - "&amp;_xlpm.sub,IF(_xlpm.paid&gt;0,_xlpm.stat&amp;" - $"&amp;TEXT(_xlpm.paid,"#,##0.00")&amp;" paid",_xlpm.stat&amp;" - no payment")))),""),_xlpm.rsiMatches,ISNUMBER(SEARCH(_xlpm.lastName,Evictions_RSI!$B$3:$B$200))*(Evictions_RSI!$B$3:$B$200&lt;&gt;""),_xlpm.hasRSI,SUMPRODUCT(_xlpm.rsiMatches)&gt;0,_xlpm.rsiStatus,IF(_xlpm.hasRSI,_xlfn.LET(_xlpm.dates,IF(_xlpm.rsiMatches,IFERROR(DATEVALUE(SUBSTITUTE(Evictions_RSI!$A$3:$A$200,_xlfn.UNICHAR(8204),"")),0),0),_xlpm.latestRow,MATCH(MAX(_xlpm.dates),_xlpm.dates,0),TRIM(SUBSTITUTE(INDEX(Evictions_RSI!$I$3:$I$200,_xlpm.latestRow),_xlfn.UNICHAR(8204),""))),""),IF(AND(_xlpm.llStatus="",_xlpm.rsiStatus=""),"",IF(_xlpm.llStatus="","RSI: "&amp;_xlpm.rsiStatus,IF(_xlpm.rsiStatus="","LL: "&amp;_xlpm.llStatus,"LL: "&amp;_xlpm.llStatus&amp;" | RSI: "&amp;_xlpm.rsiStatus)))),"")</f>
        <v>RSI: LC Handling Appeal (Notes)</v>
      </c>
      <c r="L141" s="1210" t="s">
        <v>1160</v>
      </c>
      <c r="M141" s="992"/>
      <c r="N141" s="992"/>
      <c r="Q141" s="973"/>
      <c r="R141" s="973"/>
      <c r="S141" s="973"/>
      <c r="T141" s="973"/>
      <c r="U141" s="973"/>
      <c r="V141" s="973"/>
      <c r="W141" s="973"/>
      <c r="X141" s="973"/>
      <c r="Y141" s="973"/>
      <c r="Z141" s="973"/>
    </row>
    <row r="142" spans="1:26" ht="12" customHeight="1">
      <c r="A142" s="996" cm="1">
        <f t="array" ref="A142">IFERROR(_xlfn.LET(_xlpm.n,ROW()-138,_xlpm.adj,IF(((((LEFT('resident aged receivable'!$E$2:$E$460,7)="Current")+(LEFT('resident aged receivable'!$E$2:$E$460,6)="Notice"))&gt;0)*(((ISNUMBER(SEARCH("Eviction",'resident aged receivable'!$E$2:$E$460))=FALSE)+(ISNUMBER(SEARCH("(On Property)",'resident aged receivable'!$E$2:$E$460))&gt;0))&gt;0)*(ISNUMBER(SEARCH("Skip",'resident aged receivable'!$E$2:$E$460))=FALSE)*(COUNTIF($N$3:$N$24,'resident aged receivable'!$D$2:$D$460)=0)*(COUNTIF($P$3:$P$24,'resident aged receivable'!$D$2:$D$460)=0)*('resident aged receivable'!$I$2:$I$460&gt;=$H$3)+(COUNTIF($P$3:$P$24,'resident aged receivable'!$D$2:$D$460)&gt;0)*(COUNTIF($N$3:$N$24,'resident aged receivable'!$D$2:$D$460)=0)*('resident aged receivable'!$I$2:$I$460&gt;0))&gt;0,'resident aged receivable'!$I$2:$I$460-ROW('resident aged receivable'!$I$2:$I$460)/1000000),_xlpm.tgt,LARGE(_xlpm.adj,_xlpm.n),MATCH(_xlpm.tgt,_xlpm.adj,0)+1),"")</f>
        <v>49</v>
      </c>
      <c r="B142" s="997" t="str" cm="1">
        <f t="array" ref="B142">IF($A142="","",INDEX('resident aged receivable'!$B:$B,$A142))</f>
        <v>N22-2096</v>
      </c>
      <c r="C142" s="997" t="str" cm="1">
        <f t="array" ref="C142">IF($A142="","",INDEX('resident aged receivable'!$D:$D,$A142))</f>
        <v>Rashidi, Talasia</v>
      </c>
      <c r="D142" s="998" cm="1">
        <f t="array" ref="D142">IF($A142="","",INDEX('resident aged receivable'!$F:$F,$A142))</f>
        <v>45397</v>
      </c>
      <c r="E142" s="998" t="str" cm="1">
        <f t="array" ref="E142">IF($A142="","",_xlfn.LET(_xlpm.leaseEnd,INDEX('resident aged receivable'!$H:$H,$A142),_xlpm.s,INDEX('resident aged receivable'!$E:$E,$A142),IF(ISNUMBER(SEARCH("Current",_xlpm.s))+ISNUMBER(SEARCH("Notice",_xlpm.s)),"",IF(ISNUMBER(_xlpm.leaseEnd),_xlpm.leaseEnd,""))))</f>
        <v/>
      </c>
      <c r="F142" s="997" t="str">
        <f t="shared" si="4"/>
        <v>IPS</v>
      </c>
      <c r="G142" s="1000" t="str" cm="1">
        <f t="array" ref="G142">IF($A142="","",_xlfn.LET(_xlpm.s,INDEX('resident aged receivable'!$E:$E,$A142),_xlpm.onRR,COUNTIF($P$3:$P$24,C142)&gt;0,IF(ISNUMBER(SEARCH("Eviction",_xlpm.s)),"Eviction",IF(_xlpm.onRR,"Current - On Rent Roll",IF(COUNTIF($N$3:$N$24,C142)&gt;0,"Former",IF(ISNUMBER(SEARCH("Skip",_xlpm.s)),"Skip",IF(ISNUMBER(SEARCH("Past",_xlpm.s))+ISNUMBER(SEARCH("Collections",_xlpm.s)),"Former",_xlpm.s)))))))</f>
        <v>Eviction</v>
      </c>
      <c r="H142" s="1010" cm="1">
        <f t="array" ref="H142">IF($A142="","",INDEX('resident aged receivable'!$I:$I,$A142))</f>
        <v>6392.56</v>
      </c>
      <c r="I142" s="1010" cm="1">
        <f t="array" ref="I142">IF($A142="","",INDEX('resident aged receivable'!$J:$J,$A142))</f>
        <v>1472.65</v>
      </c>
      <c r="J142" s="1010" cm="1">
        <f t="array" ref="J142">IF($A142="","",INDEX('resident aged receivable'!$K:$K,$A142))</f>
        <v>1739.53</v>
      </c>
      <c r="K142" s="1020" t="str" cm="1">
        <f t="array" ref="K142">IFERROR(_xlfn.LET(_xlpm.unit,B142,_xlpm.resident,C142,_xlpm.lastName,IFERROR(LEFT(_xlpm.resident,FIND(",",_xlpm.resident)-1),_xlpm.resident),_xlpm.llMatch,(LeaseLock!$D$2:$D$500=_xlpm.unit)*ISNUMBER(SEARCH(_xlpm.lastName,LeaseLock!$C$2:$C$500)),_xlpm.hasLL,SUMPRODUCT(_xlpm.llMatch)&gt;0,_xlpm.llStatus,IF(_xlpm.hasLL,_xlfn.LET(_xlpm.stat,LOOKUP(2,1/_xlpm.llMatch,LeaseLock!$F$2:$F$500),_xlpm.sub,LOOKUP(2,1/_xlpm.llMatch,LeaseLock!$G$2:$G$500),_xlpm.paid,LOOKUP(2,1/_xlpm.llMatch,LeaseLock!$M$2:$M$500),IF(_xlpm.stat="Claim Denied","Claim Denied ("&amp;_xlpm.sub&amp;")",IF(_xlpm.stat="Open","Open - "&amp;_xlpm.sub,IF(_xlpm.paid&gt;0,_xlpm.stat&amp;" - $"&amp;TEXT(_xlpm.paid,"#,##0.00")&amp;" paid",_xlpm.stat&amp;" - no payment")))),""),_xlpm.rsiMatches,ISNUMBER(SEARCH(_xlpm.lastName,Evictions_RSI!$B$3:$B$200))*(Evictions_RSI!$B$3:$B$200&lt;&gt;""),_xlpm.hasRSI,SUMPRODUCT(_xlpm.rsiMatches)&gt;0,_xlpm.rsiStatus,IF(_xlpm.hasRSI,_xlfn.LET(_xlpm.dates,IF(_xlpm.rsiMatches,IFERROR(DATEVALUE(SUBSTITUTE(Evictions_RSI!$A$3:$A$200,_xlfn.UNICHAR(8204),"")),0),0),_xlpm.latestRow,MATCH(MAX(_xlpm.dates),_xlpm.dates,0),TRIM(SUBSTITUTE(INDEX(Evictions_RSI!$I$3:$I$200,_xlpm.latestRow),_xlfn.UNICHAR(8204),""))),""),IF(AND(_xlpm.llStatus="",_xlpm.rsiStatus=""),"",IF(_xlpm.llStatus="","RSI: "&amp;_xlpm.rsiStatus,IF(_xlpm.rsiStatus="","LL: "&amp;_xlpm.llStatus,"LL: "&amp;_xlpm.llStatus&amp;" | RSI: "&amp;_xlpm.rsiStatus)))),"")</f>
        <v>RSI: LC Handling Appeal (Notes)</v>
      </c>
      <c r="L142" s="1209" t="s">
        <v>1160</v>
      </c>
      <c r="M142" s="992"/>
      <c r="N142" s="992"/>
      <c r="Q142" s="973"/>
      <c r="R142" s="973"/>
      <c r="S142" s="973"/>
      <c r="T142" s="973"/>
      <c r="U142" s="973"/>
      <c r="V142" s="973"/>
      <c r="W142" s="973"/>
      <c r="X142" s="973"/>
      <c r="Y142" s="973"/>
      <c r="Z142" s="973"/>
    </row>
    <row r="143" spans="1:26" ht="12" customHeight="1">
      <c r="A143" s="996" cm="1">
        <f t="array" ref="A143">IFERROR(_xlfn.LET(_xlpm.n,ROW()-138,_xlpm.adj,IF(((((LEFT('resident aged receivable'!$E$2:$E$460,7)="Current")+(LEFT('resident aged receivable'!$E$2:$E$460,6)="Notice"))&gt;0)*(((ISNUMBER(SEARCH("Eviction",'resident aged receivable'!$E$2:$E$460))=FALSE)+(ISNUMBER(SEARCH("(On Property)",'resident aged receivable'!$E$2:$E$460))&gt;0))&gt;0)*(ISNUMBER(SEARCH("Skip",'resident aged receivable'!$E$2:$E$460))=FALSE)*(COUNTIF($N$3:$N$24,'resident aged receivable'!$D$2:$D$460)=0)*(COUNTIF($P$3:$P$24,'resident aged receivable'!$D$2:$D$460)=0)*('resident aged receivable'!$I$2:$I$460&gt;=$H$3)+(COUNTIF($P$3:$P$24,'resident aged receivable'!$D$2:$D$460)&gt;0)*(COUNTIF($N$3:$N$24,'resident aged receivable'!$D$2:$D$460)=0)*('resident aged receivable'!$I$2:$I$460&gt;0))&gt;0,'resident aged receivable'!$I$2:$I$460-ROW('resident aged receivable'!$I$2:$I$460)/1000000),_xlpm.tgt,LARGE(_xlpm.adj,_xlpm.n),MATCH(_xlpm.tgt,_xlpm.adj,0)+1),"")</f>
        <v>119</v>
      </c>
      <c r="B143" s="997" t="str" cm="1">
        <f t="array" ref="B143">IF($A143="","",INDEX('resident aged receivable'!$B:$B,$A143))</f>
        <v>W08-1-0812</v>
      </c>
      <c r="C143" s="997" t="str" cm="1">
        <f t="array" ref="C143">IF($A143="","",INDEX('resident aged receivable'!$D:$D,$A143))</f>
        <v>Broomfield, Deandra</v>
      </c>
      <c r="D143" s="998" cm="1">
        <f t="array" ref="D143">IF($A143="","",INDEX('resident aged receivable'!$F:$F,$A143))</f>
        <v>45701</v>
      </c>
      <c r="E143" s="998" t="str" cm="1">
        <f t="array" ref="E143">IF($A143="","",_xlfn.LET(_xlpm.leaseEnd,INDEX('resident aged receivable'!$H:$H,$A143),_xlpm.s,INDEX('resident aged receivable'!$E:$E,$A143),IF(ISNUMBER(SEARCH("Current",_xlpm.s))+ISNUMBER(SEARCH("Notice",_xlpm.s)),"",IF(ISNUMBER(_xlpm.leaseEnd),_xlpm.leaseEnd,""))))</f>
        <v/>
      </c>
      <c r="F143" s="997" t="str">
        <f t="shared" si="4"/>
        <v>IPS</v>
      </c>
      <c r="G143" s="1000" t="str" cm="1">
        <f t="array" ref="G143">IF($A143="","",_xlfn.LET(_xlpm.s,INDEX('resident aged receivable'!$E:$E,$A143),_xlpm.onRR,COUNTIF($P$3:$P$24,C143)&gt;0,IF(ISNUMBER(SEARCH("Eviction",_xlpm.s)),"Eviction",IF(_xlpm.onRR,"Current - On Rent Roll",IF(COUNTIF($N$3:$N$24,C143)&gt;0,"Former",IF(ISNUMBER(SEARCH("Skip",_xlpm.s)),"Skip",IF(ISNUMBER(SEARCH("Past",_xlpm.s))+ISNUMBER(SEARCH("Collections",_xlpm.s)),"Former",_xlpm.s)))))))</f>
        <v>Eviction</v>
      </c>
      <c r="H143" s="1010" cm="1">
        <f t="array" ref="H143">IF($A143="","",INDEX('resident aged receivable'!$I:$I,$A143))</f>
        <v>2972.31</v>
      </c>
      <c r="I143" s="1010" cm="1">
        <f t="array" ref="I143">IF($A143="","",INDEX('resident aged receivable'!$J:$J,$A143))</f>
        <v>1311.58</v>
      </c>
      <c r="J143" s="1010" cm="1">
        <f t="array" ref="J143">IF($A143="","",INDEX('resident aged receivable'!$K:$K,$A143))</f>
        <v>1296.0899999999999</v>
      </c>
      <c r="K143" s="1020" t="str" cm="1">
        <f t="array" ref="K143">IFERROR(_xlfn.LET(_xlpm.unit,B143,_xlpm.resident,C143,_xlpm.lastName,IFERROR(LEFT(_xlpm.resident,FIND(",",_xlpm.resident)-1),_xlpm.resident),_xlpm.llMatch,(LeaseLock!$D$2:$D$500=_xlpm.unit)*ISNUMBER(SEARCH(_xlpm.lastName,LeaseLock!$C$2:$C$500)),_xlpm.hasLL,SUMPRODUCT(_xlpm.llMatch)&gt;0,_xlpm.llStatus,IF(_xlpm.hasLL,_xlfn.LET(_xlpm.stat,LOOKUP(2,1/_xlpm.llMatch,LeaseLock!$F$2:$F$500),_xlpm.sub,LOOKUP(2,1/_xlpm.llMatch,LeaseLock!$G$2:$G$500),_xlpm.paid,LOOKUP(2,1/_xlpm.llMatch,LeaseLock!$M$2:$M$500),IF(_xlpm.stat="Claim Denied","Claim Denied ("&amp;_xlpm.sub&amp;")",IF(_xlpm.stat="Open","Open - "&amp;_xlpm.sub,IF(_xlpm.paid&gt;0,_xlpm.stat&amp;" - $"&amp;TEXT(_xlpm.paid,"#,##0.00")&amp;" paid",_xlpm.stat&amp;" - no payment")))),""),_xlpm.rsiMatches,ISNUMBER(SEARCH(_xlpm.lastName,Evictions_RSI!$B$3:$B$200))*(Evictions_RSI!$B$3:$B$200&lt;&gt;""),_xlpm.hasRSI,SUMPRODUCT(_xlpm.rsiMatches)&gt;0,_xlpm.rsiStatus,IF(_xlpm.hasRSI,_xlfn.LET(_xlpm.dates,IF(_xlpm.rsiMatches,IFERROR(DATEVALUE(SUBSTITUTE(Evictions_RSI!$A$3:$A$200,_xlfn.UNICHAR(8204),"")),0),0),_xlpm.latestRow,MATCH(MAX(_xlpm.dates),_xlpm.dates,0),TRIM(SUBSTITUTE(INDEX(Evictions_RSI!$I$3:$I$200,_xlpm.latestRow),_xlfn.UNICHAR(8204),""))),""),IF(AND(_xlpm.llStatus="",_xlpm.rsiStatus=""),"",IF(_xlpm.llStatus="","RSI: "&amp;_xlpm.rsiStatus,IF(_xlpm.rsiStatus="","LL: "&amp;_xlpm.llStatus,"LL: "&amp;_xlpm.llStatus&amp;" | RSI: "&amp;_xlpm.rsiStatus)))),"")</f>
        <v>RSI: Hearing Scheduled</v>
      </c>
      <c r="L143" s="1209" t="s">
        <v>1161</v>
      </c>
      <c r="M143" s="992"/>
      <c r="N143" s="992"/>
      <c r="Q143" s="973"/>
      <c r="R143" s="973"/>
      <c r="S143" s="973"/>
      <c r="T143" s="973"/>
      <c r="U143" s="973"/>
      <c r="V143" s="973"/>
      <c r="W143" s="973"/>
      <c r="X143" s="973"/>
      <c r="Y143" s="973"/>
      <c r="Z143" s="973"/>
    </row>
    <row r="144" spans="1:26" ht="12" customHeight="1">
      <c r="A144" s="996" cm="1">
        <f t="array" ref="A144">IFERROR(_xlfn.LET(_xlpm.n,ROW()-138,_xlpm.adj,IF(((((LEFT('resident aged receivable'!$E$2:$E$460,7)="Current")+(LEFT('resident aged receivable'!$E$2:$E$460,6)="Notice"))&gt;0)*(((ISNUMBER(SEARCH("Eviction",'resident aged receivable'!$E$2:$E$460))=FALSE)+(ISNUMBER(SEARCH("(On Property)",'resident aged receivable'!$E$2:$E$460))&gt;0))&gt;0)*(ISNUMBER(SEARCH("Skip",'resident aged receivable'!$E$2:$E$460))=FALSE)*(COUNTIF($N$3:$N$24,'resident aged receivable'!$D$2:$D$460)=0)*(COUNTIF($P$3:$P$24,'resident aged receivable'!$D$2:$D$460)=0)*('resident aged receivable'!$I$2:$I$460&gt;=$H$3)+(COUNTIF($P$3:$P$24,'resident aged receivable'!$D$2:$D$460)&gt;0)*(COUNTIF($N$3:$N$24,'resident aged receivable'!$D$2:$D$460)=0)*('resident aged receivable'!$I$2:$I$460&gt;0))&gt;0,'resident aged receivable'!$I$2:$I$460-ROW('resident aged receivable'!$I$2:$I$460)/1000000),_xlpm.tgt,LARGE(_xlpm.adj,_xlpm.n),MATCH(_xlpm.tgt,_xlpm.adj,0)+1),"")</f>
        <v>56</v>
      </c>
      <c r="B144" s="997" t="str" cm="1">
        <f t="array" ref="B144">IF($A144="","",INDEX('resident aged receivable'!$B:$B,$A144))</f>
        <v>S26-403</v>
      </c>
      <c r="C144" s="997" t="str" cm="1">
        <f t="array" ref="C144">IF($A144="","",INDEX('resident aged receivable'!$D:$D,$A144))</f>
        <v>Drissi-Messaly, Adam</v>
      </c>
      <c r="D144" s="998" cm="1">
        <f t="array" ref="D144">IF($A144="","",INDEX('resident aged receivable'!$F:$F,$A144))</f>
        <v>46121</v>
      </c>
      <c r="E144" s="998" t="str" cm="1">
        <f t="array" ref="E144">IF($A144="","",_xlfn.LET(_xlpm.leaseEnd,INDEX('resident aged receivable'!$H:$H,$A144),_xlpm.s,INDEX('resident aged receivable'!$E:$E,$A144),IF(ISNUMBER(SEARCH("Current",_xlpm.s))+ISNUMBER(SEARCH("Notice",_xlpm.s)),"",IF(ISNUMBER(_xlpm.leaseEnd),_xlpm.leaseEnd,""))))</f>
        <v/>
      </c>
      <c r="F144" s="997" t="str">
        <f t="shared" si="4"/>
        <v>CAF</v>
      </c>
      <c r="G144" s="1000" t="str" cm="1">
        <f t="array" ref="G144">IF($A144="","",_xlfn.LET(_xlpm.s,INDEX('resident aged receivable'!$E:$E,$A144),_xlpm.onRR,COUNTIF($P$3:$P$24,C144)&gt;0,IF(ISNUMBER(SEARCH("Eviction",_xlpm.s)),"Eviction",IF(_xlpm.onRR,"Current - On Rent Roll",IF(COUNTIF($N$3:$N$24,C144)&gt;0,"Former",IF(ISNUMBER(SEARCH("Skip",_xlpm.s)),"Skip",IF(ISNUMBER(SEARCH("Past",_xlpm.s))+ISNUMBER(SEARCH("Collections",_xlpm.s)),"Former",_xlpm.s)))))))</f>
        <v>Current</v>
      </c>
      <c r="H144" s="1010" cm="1">
        <f t="array" ref="H144">IF($A144="","",INDEX('resident aged receivable'!$I:$I,$A144))</f>
        <v>2709.48</v>
      </c>
      <c r="I144" s="1010" cm="1">
        <f t="array" ref="I144">IF($A144="","",INDEX('resident aged receivable'!$J:$J,$A144))</f>
        <v>1359.53</v>
      </c>
      <c r="J144" s="1010" cm="1">
        <f t="array" ref="J144">IF($A144="","",INDEX('resident aged receivable'!$K:$K,$A144))</f>
        <v>1349.95</v>
      </c>
      <c r="K144" s="1020" t="str" cm="1">
        <f t="array" ref="K144">IFERROR(_xlfn.LET(_xlpm.unit,B144,_xlpm.resident,C144,_xlpm.lastName,IFERROR(LEFT(_xlpm.resident,FIND(",",_xlpm.resident)-1),_xlpm.resident),_xlpm.llMatch,(LeaseLock!$D$2:$D$500=_xlpm.unit)*ISNUMBER(SEARCH(_xlpm.lastName,LeaseLock!$C$2:$C$500)),_xlpm.hasLL,SUMPRODUCT(_xlpm.llMatch)&gt;0,_xlpm.llStatus,IF(_xlpm.hasLL,_xlfn.LET(_xlpm.stat,LOOKUP(2,1/_xlpm.llMatch,LeaseLock!$F$2:$F$500),_xlpm.sub,LOOKUP(2,1/_xlpm.llMatch,LeaseLock!$G$2:$G$500),_xlpm.paid,LOOKUP(2,1/_xlpm.llMatch,LeaseLock!$M$2:$M$500),IF(_xlpm.stat="Claim Denied","Claim Denied ("&amp;_xlpm.sub&amp;")",IF(_xlpm.stat="Open","Open - "&amp;_xlpm.sub,IF(_xlpm.paid&gt;0,_xlpm.stat&amp;" - $"&amp;TEXT(_xlpm.paid,"#,##0.00")&amp;" paid",_xlpm.stat&amp;" - no payment")))),""),_xlpm.rsiMatches,ISNUMBER(SEARCH(_xlpm.lastName,Evictions_RSI!$B$3:$B$200))*(Evictions_RSI!$B$3:$B$200&lt;&gt;""),_xlpm.hasRSI,SUMPRODUCT(_xlpm.rsiMatches)&gt;0,_xlpm.rsiStatus,IF(_xlpm.hasRSI,_xlfn.LET(_xlpm.dates,IF(_xlpm.rsiMatches,IFERROR(DATEVALUE(SUBSTITUTE(Evictions_RSI!$A$3:$A$200,_xlfn.UNICHAR(8204),"")),0),0),_xlpm.latestRow,MATCH(MAX(_xlpm.dates),_xlpm.dates,0),TRIM(SUBSTITUTE(INDEX(Evictions_RSI!$I$3:$I$200,_xlpm.latestRow),_xlfn.UNICHAR(8204),""))),""),IF(AND(_xlpm.llStatus="",_xlpm.rsiStatus=""),"",IF(_xlpm.llStatus="","RSI: "&amp;_xlpm.rsiStatus,IF(_xlpm.rsiStatus="","LL: "&amp;_xlpm.llStatus,"LL: "&amp;_xlpm.llStatus&amp;" | RSI: "&amp;_xlpm.rsiStatus)))),"")</f>
        <v>RSI: Hearing Scheduled</v>
      </c>
      <c r="L144" s="1063" t="s">
        <v>1162</v>
      </c>
      <c r="M144" s="992"/>
      <c r="N144" s="992"/>
      <c r="Q144" s="973"/>
      <c r="R144" s="973"/>
      <c r="S144" s="973"/>
      <c r="T144" s="973"/>
      <c r="U144" s="973"/>
      <c r="V144" s="973"/>
      <c r="W144" s="973"/>
      <c r="X144" s="973"/>
      <c r="Y144" s="973"/>
      <c r="Z144" s="973"/>
    </row>
    <row r="145" spans="1:26" ht="12" customHeight="1">
      <c r="A145" s="996" cm="1">
        <f t="array" ref="A145">IFERROR(_xlfn.LET(_xlpm.n,ROW()-138,_xlpm.adj,IF(((((LEFT('resident aged receivable'!$E$2:$E$460,7)="Current")+(LEFT('resident aged receivable'!$E$2:$E$460,6)="Notice"))&gt;0)*(((ISNUMBER(SEARCH("Eviction",'resident aged receivable'!$E$2:$E$460))=FALSE)+(ISNUMBER(SEARCH("(On Property)",'resident aged receivable'!$E$2:$E$460))&gt;0))&gt;0)*(ISNUMBER(SEARCH("Skip",'resident aged receivable'!$E$2:$E$460))=FALSE)*(COUNTIF($N$3:$N$24,'resident aged receivable'!$D$2:$D$460)=0)*(COUNTIF($P$3:$P$24,'resident aged receivable'!$D$2:$D$460)=0)*('resident aged receivable'!$I$2:$I$460&gt;=$H$3)+(COUNTIF($P$3:$P$24,'resident aged receivable'!$D$2:$D$460)&gt;0)*(COUNTIF($N$3:$N$24,'resident aged receivable'!$D$2:$D$460)=0)*('resident aged receivable'!$I$2:$I$460&gt;0))&gt;0,'resident aged receivable'!$I$2:$I$460-ROW('resident aged receivable'!$I$2:$I$460)/1000000),_xlpm.tgt,LARGE(_xlpm.adj,_xlpm.n),MATCH(_xlpm.tgt,_xlpm.adj,0)+1),"")</f>
        <v>165</v>
      </c>
      <c r="B145" s="997" t="str" cm="1">
        <f t="array" ref="B145">IF($A145="","",INDEX('resident aged receivable'!$B:$B,$A145))</f>
        <v>W21-2-1056</v>
      </c>
      <c r="C145" s="997" t="str" cm="1">
        <f t="array" ref="C145">IF($A145="","",INDEX('resident aged receivable'!$D:$D,$A145))</f>
        <v>Hardin, Wynisha</v>
      </c>
      <c r="D145" s="998" cm="1">
        <f t="array" ref="D145">IF($A145="","",INDEX('resident aged receivable'!$F:$F,$A145))</f>
        <v>44107</v>
      </c>
      <c r="E145" s="998" t="str" cm="1">
        <f t="array" ref="E145">IF($A145="","",_xlfn.LET(_xlpm.leaseEnd,INDEX('resident aged receivable'!$H:$H,$A145),_xlpm.s,INDEX('resident aged receivable'!$E:$E,$A145),IF(ISNUMBER(SEARCH("Current",_xlpm.s))+ISNUMBER(SEARCH("Notice",_xlpm.s)),"",IF(ISNUMBER(_xlpm.leaseEnd),_xlpm.leaseEnd,""))))</f>
        <v/>
      </c>
      <c r="F145" s="997" t="str">
        <f t="shared" si="4"/>
        <v>IPS</v>
      </c>
      <c r="G145" s="1000" t="str" cm="1">
        <f t="array" ref="G145">IF($A145="","",_xlfn.LET(_xlpm.s,INDEX('resident aged receivable'!$E:$E,$A145),_xlpm.onRR,COUNTIF($P$3:$P$24,C145)&gt;0,IF(ISNUMBER(SEARCH("Eviction",_xlpm.s)),"Eviction",IF(_xlpm.onRR,"Current - On Rent Roll",IF(COUNTIF($N$3:$N$24,C145)&gt;0,"Former",IF(ISNUMBER(SEARCH("Skip",_xlpm.s)),"Skip",IF(ISNUMBER(SEARCH("Past",_xlpm.s))+ISNUMBER(SEARCH("Collections",_xlpm.s)),"Former",_xlpm.s)))))))</f>
        <v>Notice</v>
      </c>
      <c r="H145" s="1010" cm="1">
        <f t="array" ref="H145">IF($A145="","",INDEX('resident aged receivable'!$I:$I,$A145))</f>
        <v>2381.7800000000002</v>
      </c>
      <c r="I145" s="1010" cm="1">
        <f t="array" ref="I145">IF($A145="","",INDEX('resident aged receivable'!$J:$J,$A145))</f>
        <v>1182.19</v>
      </c>
      <c r="J145" s="1010" cm="1">
        <f t="array" ref="J145">IF($A145="","",INDEX('resident aged receivable'!$K:$K,$A145))</f>
        <v>1199.5899999999999</v>
      </c>
      <c r="K145" s="1020" t="str" cm="1">
        <f t="array" ref="K145">IFERROR(_xlfn.LET(_xlpm.unit,B145,_xlpm.resident,C145,_xlpm.lastName,IFERROR(LEFT(_xlpm.resident,FIND(",",_xlpm.resident)-1),_xlpm.resident),_xlpm.llMatch,(LeaseLock!$D$2:$D$500=_xlpm.unit)*ISNUMBER(SEARCH(_xlpm.lastName,LeaseLock!$C$2:$C$500)),_xlpm.hasLL,SUMPRODUCT(_xlpm.llMatch)&gt;0,_xlpm.llStatus,IF(_xlpm.hasLL,_xlfn.LET(_xlpm.stat,LOOKUP(2,1/_xlpm.llMatch,LeaseLock!$F$2:$F$500),_xlpm.sub,LOOKUP(2,1/_xlpm.llMatch,LeaseLock!$G$2:$G$500),_xlpm.paid,LOOKUP(2,1/_xlpm.llMatch,LeaseLock!$M$2:$M$500),IF(_xlpm.stat="Claim Denied","Claim Denied ("&amp;_xlpm.sub&amp;")",IF(_xlpm.stat="Open","Open - "&amp;_xlpm.sub,IF(_xlpm.paid&gt;0,_xlpm.stat&amp;" - $"&amp;TEXT(_xlpm.paid,"#,##0.00")&amp;" paid",_xlpm.stat&amp;" - no payment")))),""),_xlpm.rsiMatches,ISNUMBER(SEARCH(_xlpm.lastName,Evictions_RSI!$B$3:$B$200))*(Evictions_RSI!$B$3:$B$200&lt;&gt;""),_xlpm.hasRSI,SUMPRODUCT(_xlpm.rsiMatches)&gt;0,_xlpm.rsiStatus,IF(_xlpm.hasRSI,_xlfn.LET(_xlpm.dates,IF(_xlpm.rsiMatches,IFERROR(DATEVALUE(SUBSTITUTE(Evictions_RSI!$A$3:$A$200,_xlfn.UNICHAR(8204),"")),0),0),_xlpm.latestRow,MATCH(MAX(_xlpm.dates),_xlpm.dates,0),TRIM(SUBSTITUTE(INDEX(Evictions_RSI!$I$3:$I$200,_xlpm.latestRow),_xlfn.UNICHAR(8204),""))),""),IF(AND(_xlpm.llStatus="",_xlpm.rsiStatus=""),"",IF(_xlpm.llStatus="","RSI: "&amp;_xlpm.rsiStatus,IF(_xlpm.rsiStatus="","LL: "&amp;_xlpm.llStatus,"LL: "&amp;_xlpm.llStatus&amp;" | RSI: "&amp;_xlpm.rsiStatus)))),"")</f>
        <v>RSI: Hearing Scheduled</v>
      </c>
      <c r="L145" s="1063" t="s">
        <v>1162</v>
      </c>
      <c r="M145" s="992"/>
      <c r="N145" s="992"/>
      <c r="Q145" s="973"/>
      <c r="R145" s="973"/>
      <c r="S145" s="973"/>
      <c r="T145" s="973"/>
      <c r="U145" s="973"/>
      <c r="V145" s="973"/>
      <c r="W145" s="973"/>
      <c r="X145" s="973"/>
      <c r="Y145" s="973"/>
      <c r="Z145" s="973"/>
    </row>
    <row r="146" spans="1:26" ht="12" customHeight="1">
      <c r="A146" s="996" cm="1">
        <f t="array" ref="A146">IFERROR(_xlfn.LET(_xlpm.n,ROW()-138,_xlpm.adj,IF(((((LEFT('resident aged receivable'!$E$2:$E$460,7)="Current")+(LEFT('resident aged receivable'!$E$2:$E$460,6)="Notice"))&gt;0)*(((ISNUMBER(SEARCH("Eviction",'resident aged receivable'!$E$2:$E$460))=FALSE)+(ISNUMBER(SEARCH("(On Property)",'resident aged receivable'!$E$2:$E$460))&gt;0))&gt;0)*(ISNUMBER(SEARCH("Skip",'resident aged receivable'!$E$2:$E$460))=FALSE)*(COUNTIF($N$3:$N$24,'resident aged receivable'!$D$2:$D$460)=0)*(COUNTIF($P$3:$P$24,'resident aged receivable'!$D$2:$D$460)=0)*('resident aged receivable'!$I$2:$I$460&gt;=$H$3)+(COUNTIF($P$3:$P$24,'resident aged receivable'!$D$2:$D$460)&gt;0)*(COUNTIF($N$3:$N$24,'resident aged receivable'!$D$2:$D$460)=0)*('resident aged receivable'!$I$2:$I$460&gt;0))&gt;0,'resident aged receivable'!$I$2:$I$460-ROW('resident aged receivable'!$I$2:$I$460)/1000000),_xlpm.tgt,LARGE(_xlpm.adj,_xlpm.n),MATCH(_xlpm.tgt,_xlpm.adj,0)+1),"")</f>
        <v>158</v>
      </c>
      <c r="B146" s="997" t="str" cm="1">
        <f t="array" ref="B146">IF($A146="","",INDEX('resident aged receivable'!$B:$B,$A146))</f>
        <v>W18-2-1071</v>
      </c>
      <c r="C146" s="997" t="str" cm="1">
        <f t="array" ref="C146">IF($A146="","",INDEX('resident aged receivable'!$D:$D,$A146))</f>
        <v>Rodriguez, Nereyda</v>
      </c>
      <c r="D146" s="998" cm="1">
        <f t="array" ref="D146">IF($A146="","",INDEX('resident aged receivable'!$F:$F,$A146))</f>
        <v>45658</v>
      </c>
      <c r="E146" s="998" t="str" cm="1">
        <f t="array" ref="E146">IF($A146="","",_xlfn.LET(_xlpm.leaseEnd,INDEX('resident aged receivable'!$H:$H,$A146),_xlpm.s,INDEX('resident aged receivable'!$E:$E,$A146),IF(ISNUMBER(SEARCH("Current",_xlpm.s))+ISNUMBER(SEARCH("Notice",_xlpm.s)),"",IF(ISNUMBER(_xlpm.leaseEnd),_xlpm.leaseEnd,""))))</f>
        <v/>
      </c>
      <c r="F146" s="997" t="str">
        <f t="shared" si="4"/>
        <v>IPS</v>
      </c>
      <c r="G146" s="1000" t="str" cm="1">
        <f t="array" ref="G146">IF($A146="","",_xlfn.LET(_xlpm.s,INDEX('resident aged receivable'!$E:$E,$A146),_xlpm.onRR,COUNTIF($P$3:$P$24,C146)&gt;0,IF(ISNUMBER(SEARCH("Eviction",_xlpm.s)),"Eviction",IF(_xlpm.onRR,"Current - On Rent Roll",IF(COUNTIF($N$3:$N$24,C146)&gt;0,"Former",IF(ISNUMBER(SEARCH("Skip",_xlpm.s)),"Skip",IF(ISNUMBER(SEARCH("Past",_xlpm.s))+ISNUMBER(SEARCH("Collections",_xlpm.s)),"Former",_xlpm.s)))))))</f>
        <v>Current - Month To Month</v>
      </c>
      <c r="H146" s="1010" cm="1">
        <f t="array" ref="H146">IF($A146="","",INDEX('resident aged receivable'!$I:$I,$A146))</f>
        <v>2215.6799999999998</v>
      </c>
      <c r="I146" s="1010" cm="1">
        <f t="array" ref="I146">IF($A146="","",INDEX('resident aged receivable'!$J:$J,$A146))</f>
        <v>2040.9</v>
      </c>
      <c r="J146" s="1010" cm="1">
        <f t="array" ref="J146">IF($A146="","",INDEX('resident aged receivable'!$K:$K,$A146))</f>
        <v>174.78</v>
      </c>
      <c r="K146" s="1020" t="str" cm="1">
        <f t="array" ref="K146">IFERROR(_xlfn.LET(_xlpm.unit,B146,_xlpm.resident,C146,_xlpm.lastName,IFERROR(LEFT(_xlpm.resident,FIND(",",_xlpm.resident)-1),_xlpm.resident),_xlpm.llMatch,(LeaseLock!$D$2:$D$500=_xlpm.unit)*ISNUMBER(SEARCH(_xlpm.lastName,LeaseLock!$C$2:$C$500)),_xlpm.hasLL,SUMPRODUCT(_xlpm.llMatch)&gt;0,_xlpm.llStatus,IF(_xlpm.hasLL,_xlfn.LET(_xlpm.stat,LOOKUP(2,1/_xlpm.llMatch,LeaseLock!$F$2:$F$500),_xlpm.sub,LOOKUP(2,1/_xlpm.llMatch,LeaseLock!$G$2:$G$500),_xlpm.paid,LOOKUP(2,1/_xlpm.llMatch,LeaseLock!$M$2:$M$500),IF(_xlpm.stat="Claim Denied","Claim Denied ("&amp;_xlpm.sub&amp;")",IF(_xlpm.stat="Open","Open - "&amp;_xlpm.sub,IF(_xlpm.paid&gt;0,_xlpm.stat&amp;" - $"&amp;TEXT(_xlpm.paid,"#,##0.00")&amp;" paid",_xlpm.stat&amp;" - no payment")))),""),_xlpm.rsiMatches,ISNUMBER(SEARCH(_xlpm.lastName,Evictions_RSI!$B$3:$B$200))*(Evictions_RSI!$B$3:$B$200&lt;&gt;""),_xlpm.hasRSI,SUMPRODUCT(_xlpm.rsiMatches)&gt;0,_xlpm.rsiStatus,IF(_xlpm.hasRSI,_xlfn.LET(_xlpm.dates,IF(_xlpm.rsiMatches,IFERROR(DATEVALUE(SUBSTITUTE(Evictions_RSI!$A$3:$A$200,_xlfn.UNICHAR(8204),"")),0),0),_xlpm.latestRow,MATCH(MAX(_xlpm.dates),_xlpm.dates,0),TRIM(SUBSTITUTE(INDEX(Evictions_RSI!$I$3:$I$200,_xlpm.latestRow),_xlfn.UNICHAR(8204),""))),""),IF(AND(_xlpm.llStatus="",_xlpm.rsiStatus=""),"",IF(_xlpm.llStatus="","RSI: "&amp;_xlpm.rsiStatus,IF(_xlpm.rsiStatus="","LL: "&amp;_xlpm.llStatus,"LL: "&amp;_xlpm.llStatus&amp;" | RSI: "&amp;_xlpm.rsiStatus)))),"")</f>
        <v>RSI: Granted (Notes)</v>
      </c>
      <c r="L146" s="1063" t="s">
        <v>1163</v>
      </c>
      <c r="M146" s="992"/>
      <c r="N146" s="992"/>
      <c r="Q146" s="973"/>
      <c r="R146" s="973"/>
      <c r="S146" s="973"/>
      <c r="T146" s="973"/>
      <c r="U146" s="973"/>
      <c r="V146" s="973"/>
      <c r="W146" s="973"/>
      <c r="X146" s="973"/>
      <c r="Y146" s="973"/>
      <c r="Z146" s="973"/>
    </row>
    <row r="147" spans="1:26" ht="12" customHeight="1">
      <c r="A147" s="996" cm="1">
        <f t="array" ref="A147">IFERROR(_xlfn.LET(_xlpm.n,ROW()-138,_xlpm.adj,IF(((((LEFT('resident aged receivable'!$E$2:$E$460,7)="Current")+(LEFT('resident aged receivable'!$E$2:$E$460,6)="Notice"))&gt;0)*(((ISNUMBER(SEARCH("Eviction",'resident aged receivable'!$E$2:$E$460))=FALSE)+(ISNUMBER(SEARCH("(On Property)",'resident aged receivable'!$E$2:$E$460))&gt;0))&gt;0)*(ISNUMBER(SEARCH("Skip",'resident aged receivable'!$E$2:$E$460))=FALSE)*(COUNTIF($N$3:$N$24,'resident aged receivable'!$D$2:$D$460)=0)*(COUNTIF($P$3:$P$24,'resident aged receivable'!$D$2:$D$460)=0)*('resident aged receivable'!$I$2:$I$460&gt;=$H$3)+(COUNTIF($P$3:$P$24,'resident aged receivable'!$D$2:$D$460)&gt;0)*(COUNTIF($N$3:$N$24,'resident aged receivable'!$D$2:$D$460)=0)*('resident aged receivable'!$I$2:$I$460&gt;0))&gt;0,'resident aged receivable'!$I$2:$I$460-ROW('resident aged receivable'!$I$2:$I$460)/1000000),_xlpm.tgt,LARGE(_xlpm.adj,_xlpm.n),MATCH(_xlpm.tgt,_xlpm.adj,0)+1),"")</f>
        <v>181</v>
      </c>
      <c r="B147" s="997" t="str" cm="1">
        <f t="array" ref="B147">IF($A147="","",INDEX('resident aged receivable'!$B:$B,$A147))</f>
        <v>W27-2-2001</v>
      </c>
      <c r="C147" s="997" t="str" cm="1">
        <f t="array" ref="C147">IF($A147="","",INDEX('resident aged receivable'!$D:$D,$A147))</f>
        <v>Quincy, Rhianna</v>
      </c>
      <c r="D147" s="998" cm="1">
        <f t="array" ref="D147">IF($A147="","",INDEX('resident aged receivable'!$F:$F,$A147))</f>
        <v>46172</v>
      </c>
      <c r="E147" s="998" t="str" cm="1">
        <f t="array" ref="E147">IF($A147="","",_xlfn.LET(_xlpm.leaseEnd,INDEX('resident aged receivable'!$H:$H,$A147),_xlpm.s,INDEX('resident aged receivable'!$E:$E,$A147),IF(ISNUMBER(SEARCH("Current",_xlpm.s))+ISNUMBER(SEARCH("Notice",_xlpm.s)),"",IF(ISNUMBER(_xlpm.leaseEnd),_xlpm.leaseEnd,""))))</f>
        <v/>
      </c>
      <c r="F147" s="997" t="str">
        <f t="shared" si="4"/>
        <v>CAF</v>
      </c>
      <c r="G147" s="1000" t="str" cm="1">
        <f t="array" ref="G147">IF($A147="","",_xlfn.LET(_xlpm.s,INDEX('resident aged receivable'!$E:$E,$A147),_xlpm.onRR,COUNTIF($P$3:$P$24,C147)&gt;0,IF(ISNUMBER(SEARCH("Eviction",_xlpm.s)),"Eviction",IF(_xlpm.onRR,"Current - On Rent Roll",IF(COUNTIF($N$3:$N$24,C147)&gt;0,"Former",IF(ISNUMBER(SEARCH("Skip",_xlpm.s)),"Skip",IF(ISNUMBER(SEARCH("Past",_xlpm.s))+ISNUMBER(SEARCH("Collections",_xlpm.s)),"Former",_xlpm.s)))))))</f>
        <v>Current</v>
      </c>
      <c r="H147" s="1010" cm="1">
        <f t="array" ref="H147">IF($A147="","",INDEX('resident aged receivable'!$I:$I,$A147))</f>
        <v>2197.54</v>
      </c>
      <c r="I147" s="1010" cm="1">
        <f t="array" ref="I147">IF($A147="","",INDEX('resident aged receivable'!$J:$J,$A147))</f>
        <v>1114</v>
      </c>
      <c r="J147" s="1010" cm="1">
        <f t="array" ref="J147">IF($A147="","",INDEX('resident aged receivable'!$K:$K,$A147))</f>
        <v>1083.54</v>
      </c>
      <c r="K147" s="1020" t="str" cm="1">
        <f t="array" ref="K147">IFERROR(_xlfn.LET(_xlpm.unit,B147,_xlpm.resident,C147,_xlpm.lastName,IFERROR(LEFT(_xlpm.resident,FIND(",",_xlpm.resident)-1),_xlpm.resident),_xlpm.llMatch,(LeaseLock!$D$2:$D$500=_xlpm.unit)*ISNUMBER(SEARCH(_xlpm.lastName,LeaseLock!$C$2:$C$500)),_xlpm.hasLL,SUMPRODUCT(_xlpm.llMatch)&gt;0,_xlpm.llStatus,IF(_xlpm.hasLL,_xlfn.LET(_xlpm.stat,LOOKUP(2,1/_xlpm.llMatch,LeaseLock!$F$2:$F$500),_xlpm.sub,LOOKUP(2,1/_xlpm.llMatch,LeaseLock!$G$2:$G$500),_xlpm.paid,LOOKUP(2,1/_xlpm.llMatch,LeaseLock!$M$2:$M$500),IF(_xlpm.stat="Claim Denied","Claim Denied ("&amp;_xlpm.sub&amp;")",IF(_xlpm.stat="Open","Open - "&amp;_xlpm.sub,IF(_xlpm.paid&gt;0,_xlpm.stat&amp;" - $"&amp;TEXT(_xlpm.paid,"#,##0.00")&amp;" paid",_xlpm.stat&amp;" - no payment")))),""),_xlpm.rsiMatches,ISNUMBER(SEARCH(_xlpm.lastName,Evictions_RSI!$B$3:$B$200))*(Evictions_RSI!$B$3:$B$200&lt;&gt;""),_xlpm.hasRSI,SUMPRODUCT(_xlpm.rsiMatches)&gt;0,_xlpm.rsiStatus,IF(_xlpm.hasRSI,_xlfn.LET(_xlpm.dates,IF(_xlpm.rsiMatches,IFERROR(DATEVALUE(SUBSTITUTE(Evictions_RSI!$A$3:$A$200,_xlfn.UNICHAR(8204),"")),0),0),_xlpm.latestRow,MATCH(MAX(_xlpm.dates),_xlpm.dates,0),TRIM(SUBSTITUTE(INDEX(Evictions_RSI!$I$3:$I$200,_xlpm.latestRow),_xlfn.UNICHAR(8204),""))),""),IF(AND(_xlpm.llStatus="",_xlpm.rsiStatus=""),"",IF(_xlpm.llStatus="","RSI: "&amp;_xlpm.rsiStatus,IF(_xlpm.rsiStatus="","LL: "&amp;_xlpm.llStatus,"LL: "&amp;_xlpm.llStatus&amp;" | RSI: "&amp;_xlpm.rsiStatus)))),"")</f>
        <v>RSI: Dismissed (Other)</v>
      </c>
      <c r="L147" s="1063" t="s">
        <v>1164</v>
      </c>
      <c r="M147" s="992"/>
      <c r="N147" s="992"/>
      <c r="Q147" s="973"/>
      <c r="R147" s="973"/>
      <c r="S147" s="973"/>
      <c r="T147" s="973"/>
      <c r="U147" s="973"/>
      <c r="V147" s="973"/>
      <c r="W147" s="973"/>
      <c r="X147" s="973"/>
      <c r="Y147" s="973"/>
      <c r="Z147" s="973"/>
    </row>
    <row r="148" spans="1:26" ht="12" customHeight="1">
      <c r="A148" s="996" cm="1">
        <f t="array" ref="A148">IFERROR(_xlfn.LET(_xlpm.n,ROW()-138,_xlpm.adj,IF(((((LEFT('resident aged receivable'!$E$2:$E$460,7)="Current")+(LEFT('resident aged receivable'!$E$2:$E$460,6)="Notice"))&gt;0)*(((ISNUMBER(SEARCH("Eviction",'resident aged receivable'!$E$2:$E$460))=FALSE)+(ISNUMBER(SEARCH("(On Property)",'resident aged receivable'!$E$2:$E$460))&gt;0))&gt;0)*(ISNUMBER(SEARCH("Skip",'resident aged receivable'!$E$2:$E$460))=FALSE)*(COUNTIF($N$3:$N$24,'resident aged receivable'!$D$2:$D$460)=0)*(COUNTIF($P$3:$P$24,'resident aged receivable'!$D$2:$D$460)=0)*('resident aged receivable'!$I$2:$I$460&gt;=$H$3)+(COUNTIF($P$3:$P$24,'resident aged receivable'!$D$2:$D$460)&gt;0)*(COUNTIF($N$3:$N$24,'resident aged receivable'!$D$2:$D$460)=0)*('resident aged receivable'!$I$2:$I$460&gt;0))&gt;0,'resident aged receivable'!$I$2:$I$460-ROW('resident aged receivable'!$I$2:$I$460)/1000000),_xlpm.tgt,LARGE(_xlpm.adj,_xlpm.n),MATCH(_xlpm.tgt,_xlpm.adj,0)+1),"")</f>
        <v>133</v>
      </c>
      <c r="B148" s="997" t="str" cm="1">
        <f t="array" ref="B148">IF($A148="","",INDEX('resident aged receivable'!$B:$B,$A148))</f>
        <v>W12-1-1211</v>
      </c>
      <c r="C148" s="997" t="str" cm="1">
        <f t="array" ref="C148">IF($A148="","",INDEX('resident aged receivable'!$D:$D,$A148))</f>
        <v>Basilio, Uriel</v>
      </c>
      <c r="D148" s="998" cm="1">
        <f t="array" ref="D148">IF($A148="","",INDEX('resident aged receivable'!$F:$F,$A148))</f>
        <v>45628</v>
      </c>
      <c r="E148" s="998" t="str" cm="1">
        <f t="array" ref="E148">IF($A148="","",_xlfn.LET(_xlpm.leaseEnd,INDEX('resident aged receivable'!$H:$H,$A148),_xlpm.s,INDEX('resident aged receivable'!$E:$E,$A148),IF(ISNUMBER(SEARCH("Current",_xlpm.s))+ISNUMBER(SEARCH("Notice",_xlpm.s)),"",IF(ISNUMBER(_xlpm.leaseEnd),_xlpm.leaseEnd,""))))</f>
        <v/>
      </c>
      <c r="F148" s="997" t="str">
        <f t="shared" si="4"/>
        <v>IPS</v>
      </c>
      <c r="G148" s="1000" t="str" cm="1">
        <f t="array" ref="G148">IF($A148="","",_xlfn.LET(_xlpm.s,INDEX('resident aged receivable'!$E:$E,$A148),_xlpm.onRR,COUNTIF($P$3:$P$24,C148)&gt;0,IF(ISNUMBER(SEARCH("Eviction",_xlpm.s)),"Eviction",IF(_xlpm.onRR,"Current - On Rent Roll",IF(COUNTIF($N$3:$N$24,C148)&gt;0,"Former",IF(ISNUMBER(SEARCH("Skip",_xlpm.s)),"Skip",IF(ISNUMBER(SEARCH("Past",_xlpm.s))+ISNUMBER(SEARCH("Collections",_xlpm.s)),"Former",_xlpm.s)))))))</f>
        <v>Current</v>
      </c>
      <c r="H148" s="1010" cm="1">
        <f t="array" ref="H148">IF($A148="","",INDEX('resident aged receivable'!$I:$I,$A148))</f>
        <v>2131.6999999999998</v>
      </c>
      <c r="I148" s="1010" cm="1">
        <f t="array" ref="I148">IF($A148="","",INDEX('resident aged receivable'!$J:$J,$A148))</f>
        <v>1068.45</v>
      </c>
      <c r="J148" s="1010" cm="1">
        <f t="array" ref="J148">IF($A148="","",INDEX('resident aged receivable'!$K:$K,$A148))</f>
        <v>1063.25</v>
      </c>
      <c r="K148" s="1020" t="str" cm="1">
        <f t="array" ref="K148">IFERROR(_xlfn.LET(_xlpm.unit,B148,_xlpm.resident,C148,_xlpm.lastName,IFERROR(LEFT(_xlpm.resident,FIND(",",_xlpm.resident)-1),_xlpm.resident),_xlpm.llMatch,(LeaseLock!$D$2:$D$500=_xlpm.unit)*ISNUMBER(SEARCH(_xlpm.lastName,LeaseLock!$C$2:$C$500)),_xlpm.hasLL,SUMPRODUCT(_xlpm.llMatch)&gt;0,_xlpm.llStatus,IF(_xlpm.hasLL,_xlfn.LET(_xlpm.stat,LOOKUP(2,1/_xlpm.llMatch,LeaseLock!$F$2:$F$500),_xlpm.sub,LOOKUP(2,1/_xlpm.llMatch,LeaseLock!$G$2:$G$500),_xlpm.paid,LOOKUP(2,1/_xlpm.llMatch,LeaseLock!$M$2:$M$500),IF(_xlpm.stat="Claim Denied","Claim Denied ("&amp;_xlpm.sub&amp;")",IF(_xlpm.stat="Open","Open - "&amp;_xlpm.sub,IF(_xlpm.paid&gt;0,_xlpm.stat&amp;" - $"&amp;TEXT(_xlpm.paid,"#,##0.00")&amp;" paid",_xlpm.stat&amp;" - no payment")))),""),_xlpm.rsiMatches,ISNUMBER(SEARCH(_xlpm.lastName,Evictions_RSI!$B$3:$B$200))*(Evictions_RSI!$B$3:$B$200&lt;&gt;""),_xlpm.hasRSI,SUMPRODUCT(_xlpm.rsiMatches)&gt;0,_xlpm.rsiStatus,IF(_xlpm.hasRSI,_xlfn.LET(_xlpm.dates,IF(_xlpm.rsiMatches,IFERROR(DATEVALUE(SUBSTITUTE(Evictions_RSI!$A$3:$A$200,_xlfn.UNICHAR(8204),"")),0),0),_xlpm.latestRow,MATCH(MAX(_xlpm.dates),_xlpm.dates,0),TRIM(SUBSTITUTE(INDEX(Evictions_RSI!$I$3:$I$200,_xlpm.latestRow),_xlfn.UNICHAR(8204),""))),""),IF(AND(_xlpm.llStatus="",_xlpm.rsiStatus=""),"",IF(_xlpm.llStatus="","RSI: "&amp;_xlpm.rsiStatus,IF(_xlpm.rsiStatus="","LL: "&amp;_xlpm.llStatus,"LL: "&amp;_xlpm.llStatus&amp;" | RSI: "&amp;_xlpm.rsiStatus)))),"")</f>
        <v>RSI: Hearing Scheduled</v>
      </c>
      <c r="L148" s="1063" t="s">
        <v>1165</v>
      </c>
      <c r="M148" s="992"/>
      <c r="N148" s="992"/>
      <c r="Q148" s="973"/>
      <c r="R148" s="973"/>
      <c r="S148" s="973"/>
      <c r="T148" s="973"/>
      <c r="U148" s="973"/>
      <c r="V148" s="973"/>
      <c r="W148" s="973"/>
      <c r="X148" s="973"/>
      <c r="Y148" s="973"/>
      <c r="Z148" s="973"/>
    </row>
    <row r="149" spans="1:26" ht="12" customHeight="1">
      <c r="A149" s="996" cm="1">
        <f t="array" ref="A149">IFERROR(_xlfn.LET(_xlpm.n,ROW()-138,_xlpm.adj,IF(((((LEFT('resident aged receivable'!$E$2:$E$460,7)="Current")+(LEFT('resident aged receivable'!$E$2:$E$460,6)="Notice"))&gt;0)*(((ISNUMBER(SEARCH("Eviction",'resident aged receivable'!$E$2:$E$460))=FALSE)+(ISNUMBER(SEARCH("(On Property)",'resident aged receivable'!$E$2:$E$460))&gt;0))&gt;0)*(ISNUMBER(SEARCH("Skip",'resident aged receivable'!$E$2:$E$460))=FALSE)*(COUNTIF($N$3:$N$24,'resident aged receivable'!$D$2:$D$460)=0)*(COUNTIF($P$3:$P$24,'resident aged receivable'!$D$2:$D$460)=0)*('resident aged receivable'!$I$2:$I$460&gt;=$H$3)+(COUNTIF($P$3:$P$24,'resident aged receivable'!$D$2:$D$460)&gt;0)*(COUNTIF($N$3:$N$24,'resident aged receivable'!$D$2:$D$460)=0)*('resident aged receivable'!$I$2:$I$460&gt;0))&gt;0,'resident aged receivable'!$I$2:$I$460-ROW('resident aged receivable'!$I$2:$I$460)/1000000),_xlpm.tgt,LARGE(_xlpm.adj,_xlpm.n),MATCH(_xlpm.tgt,_xlpm.adj,0)+1),"")</f>
        <v>121</v>
      </c>
      <c r="B149" s="997" t="str" cm="1">
        <f t="array" ref="B149">IF($A149="","",INDEX('resident aged receivable'!$B:$B,$A149))</f>
        <v>W09-1-0901</v>
      </c>
      <c r="C149" s="997" t="str" cm="1">
        <f t="array" ref="C149">IF($A149="","",INDEX('resident aged receivable'!$D:$D,$A149))</f>
        <v>Camacho, Ana</v>
      </c>
      <c r="D149" s="998" cm="1">
        <f t="array" ref="D149">IF($A149="","",INDEX('resident aged receivable'!$F:$F,$A149))</f>
        <v>44317</v>
      </c>
      <c r="E149" s="998" t="str" cm="1">
        <f t="array" ref="E149">IF($A149="","",_xlfn.LET(_xlpm.leaseEnd,INDEX('resident aged receivable'!$H:$H,$A149),_xlpm.s,INDEX('resident aged receivable'!$E:$E,$A149),IF(ISNUMBER(SEARCH("Current",_xlpm.s))+ISNUMBER(SEARCH("Notice",_xlpm.s)),"",IF(ISNUMBER(_xlpm.leaseEnd),_xlpm.leaseEnd,""))))</f>
        <v/>
      </c>
      <c r="F149" s="997" t="str">
        <f t="shared" si="4"/>
        <v>IPS</v>
      </c>
      <c r="G149" s="1000" t="str" cm="1">
        <f t="array" ref="G149">IF($A149="","",_xlfn.LET(_xlpm.s,INDEX('resident aged receivable'!$E:$E,$A149),_xlpm.onRR,COUNTIF($P$3:$P$24,C149)&gt;0,IF(ISNUMBER(SEARCH("Eviction",_xlpm.s)),"Eviction",IF(_xlpm.onRR,"Current - On Rent Roll",IF(COUNTIF($N$3:$N$24,C149)&gt;0,"Former",IF(ISNUMBER(SEARCH("Skip",_xlpm.s)),"Skip",IF(ISNUMBER(SEARCH("Past",_xlpm.s))+ISNUMBER(SEARCH("Collections",_xlpm.s)),"Former",_xlpm.s)))))))</f>
        <v>Current</v>
      </c>
      <c r="H149" s="1010" cm="1">
        <f t="array" ref="H149">IF($A149="","",INDEX('resident aged receivable'!$I:$I,$A149))</f>
        <v>1953.54</v>
      </c>
      <c r="I149" s="1010" cm="1">
        <f t="array" ref="I149">IF($A149="","",INDEX('resident aged receivable'!$J:$J,$A149))</f>
        <v>1953.54</v>
      </c>
      <c r="J149" s="1010" cm="1">
        <f t="array" ref="J149">IF($A149="","",INDEX('resident aged receivable'!$K:$K,$A149))</f>
        <v>0</v>
      </c>
      <c r="K149" s="1020" t="str" cm="1">
        <f t="array" ref="K149">IFERROR(_xlfn.LET(_xlpm.unit,B149,_xlpm.resident,C149,_xlpm.lastName,IFERROR(LEFT(_xlpm.resident,FIND(",",_xlpm.resident)-1),_xlpm.resident),_xlpm.llMatch,(LeaseLock!$D$2:$D$500=_xlpm.unit)*ISNUMBER(SEARCH(_xlpm.lastName,LeaseLock!$C$2:$C$500)),_xlpm.hasLL,SUMPRODUCT(_xlpm.llMatch)&gt;0,_xlpm.llStatus,IF(_xlpm.hasLL,_xlfn.LET(_xlpm.stat,LOOKUP(2,1/_xlpm.llMatch,LeaseLock!$F$2:$F$500),_xlpm.sub,LOOKUP(2,1/_xlpm.llMatch,LeaseLock!$G$2:$G$500),_xlpm.paid,LOOKUP(2,1/_xlpm.llMatch,LeaseLock!$M$2:$M$500),IF(_xlpm.stat="Claim Denied","Claim Denied ("&amp;_xlpm.sub&amp;")",IF(_xlpm.stat="Open","Open - "&amp;_xlpm.sub,IF(_xlpm.paid&gt;0,_xlpm.stat&amp;" - $"&amp;TEXT(_xlpm.paid,"#,##0.00")&amp;" paid",_xlpm.stat&amp;" - no payment")))),""),_xlpm.rsiMatches,ISNUMBER(SEARCH(_xlpm.lastName,Evictions_RSI!$B$3:$B$200))*(Evictions_RSI!$B$3:$B$200&lt;&gt;""),_xlpm.hasRSI,SUMPRODUCT(_xlpm.rsiMatches)&gt;0,_xlpm.rsiStatus,IF(_xlpm.hasRSI,_xlfn.LET(_xlpm.dates,IF(_xlpm.rsiMatches,IFERROR(DATEVALUE(SUBSTITUTE(Evictions_RSI!$A$3:$A$200,_xlfn.UNICHAR(8204),"")),0),0),_xlpm.latestRow,MATCH(MAX(_xlpm.dates),_xlpm.dates,0),TRIM(SUBSTITUTE(INDEX(Evictions_RSI!$I$3:$I$200,_xlpm.latestRow),_xlfn.UNICHAR(8204),""))),""),IF(AND(_xlpm.llStatus="",_xlpm.rsiStatus=""),"",IF(_xlpm.llStatus="","RSI: "&amp;_xlpm.rsiStatus,IF(_xlpm.rsiStatus="","LL: "&amp;_xlpm.llStatus,"LL: "&amp;_xlpm.llStatus&amp;" | RSI: "&amp;_xlpm.rsiStatus)))),"")</f>
        <v>RSI: Dismissed (Notes)</v>
      </c>
      <c r="L149" s="1063" t="s">
        <v>1165</v>
      </c>
      <c r="M149" s="992"/>
      <c r="N149" s="992"/>
      <c r="Q149" s="973"/>
      <c r="R149" s="973"/>
      <c r="S149" s="973"/>
      <c r="T149" s="973"/>
      <c r="U149" s="973"/>
      <c r="V149" s="973"/>
      <c r="W149" s="973"/>
      <c r="X149" s="973"/>
      <c r="Y149" s="973"/>
      <c r="Z149" s="973"/>
    </row>
    <row r="150" spans="1:26" ht="12" customHeight="1">
      <c r="A150" s="996" cm="1">
        <f t="array" ref="A150">IFERROR(_xlfn.LET(_xlpm.n,ROW()-138,_xlpm.adj,IF(((((LEFT('resident aged receivable'!$E$2:$E$460,7)="Current")+(LEFT('resident aged receivable'!$E$2:$E$460,6)="Notice"))&gt;0)*(((ISNUMBER(SEARCH("Eviction",'resident aged receivable'!$E$2:$E$460))=FALSE)+(ISNUMBER(SEARCH("(On Property)",'resident aged receivable'!$E$2:$E$460))&gt;0))&gt;0)*(ISNUMBER(SEARCH("Skip",'resident aged receivable'!$E$2:$E$460))=FALSE)*(COUNTIF($N$3:$N$24,'resident aged receivable'!$D$2:$D$460)=0)*(COUNTIF($P$3:$P$24,'resident aged receivable'!$D$2:$D$460)=0)*('resident aged receivable'!$I$2:$I$460&gt;=$H$3)+(COUNTIF($P$3:$P$24,'resident aged receivable'!$D$2:$D$460)&gt;0)*(COUNTIF($N$3:$N$24,'resident aged receivable'!$D$2:$D$460)=0)*('resident aged receivable'!$I$2:$I$460&gt;0))&gt;0,'resident aged receivable'!$I$2:$I$460-ROW('resident aged receivable'!$I$2:$I$460)/1000000),_xlpm.tgt,LARGE(_xlpm.adj,_xlpm.n),MATCH(_xlpm.tgt,_xlpm.adj,0)+1),"")</f>
        <v>154</v>
      </c>
      <c r="B150" s="997" t="str" cm="1">
        <f t="array" ref="B150">IF($A150="","",INDEX('resident aged receivable'!$B:$B,$A150))</f>
        <v>W17-2-2074</v>
      </c>
      <c r="C150" s="997" t="str" cm="1">
        <f t="array" ref="C150">IF($A150="","",INDEX('resident aged receivable'!$D:$D,$A150))</f>
        <v>Atinmo, Juliet</v>
      </c>
      <c r="D150" s="998" cm="1">
        <f t="array" ref="D150">IF($A150="","",INDEX('resident aged receivable'!$F:$F,$A150))</f>
        <v>44593</v>
      </c>
      <c r="E150" s="998" t="str" cm="1">
        <f t="array" ref="E150">IF($A150="","",_xlfn.LET(_xlpm.leaseEnd,INDEX('resident aged receivable'!$H:$H,$A150),_xlpm.s,INDEX('resident aged receivable'!$E:$E,$A150),IF(ISNUMBER(SEARCH("Current",_xlpm.s))+ISNUMBER(SEARCH("Notice",_xlpm.s)),"",IF(ISNUMBER(_xlpm.leaseEnd),_xlpm.leaseEnd,""))))</f>
        <v/>
      </c>
      <c r="F150" s="997" t="str">
        <f t="shared" si="4"/>
        <v>IPS</v>
      </c>
      <c r="G150" s="1000" t="str" cm="1">
        <f t="array" ref="G150">IF($A150="","",_xlfn.LET(_xlpm.s,INDEX('resident aged receivable'!$E:$E,$A150),_xlpm.onRR,COUNTIF($P$3:$P$24,C150)&gt;0,IF(ISNUMBER(SEARCH("Eviction",_xlpm.s)),"Eviction",IF(_xlpm.onRR,"Current - On Rent Roll",IF(COUNTIF($N$3:$N$24,C150)&gt;0,"Former",IF(ISNUMBER(SEARCH("Skip",_xlpm.s)),"Skip",IF(ISNUMBER(SEARCH("Past",_xlpm.s))+ISNUMBER(SEARCH("Collections",_xlpm.s)),"Former",_xlpm.s)))))))</f>
        <v>Current</v>
      </c>
      <c r="H150" s="1010" cm="1">
        <f t="array" ref="H150">IF($A150="","",INDEX('resident aged receivable'!$I:$I,$A150))</f>
        <v>1947.4</v>
      </c>
      <c r="I150" s="1010" cm="1">
        <f t="array" ref="I150">IF($A150="","",INDEX('resident aged receivable'!$J:$J,$A150))</f>
        <v>1947.4</v>
      </c>
      <c r="J150" s="1010" cm="1">
        <f t="array" ref="J150">IF($A150="","",INDEX('resident aged receivable'!$K:$K,$A150))</f>
        <v>0</v>
      </c>
      <c r="K150" s="1020" t="str" cm="1">
        <f t="array" ref="K150">IFERROR(_xlfn.LET(_xlpm.unit,B150,_xlpm.resident,C150,_xlpm.lastName,IFERROR(LEFT(_xlpm.resident,FIND(",",_xlpm.resident)-1),_xlpm.resident),_xlpm.llMatch,(LeaseLock!$D$2:$D$500=_xlpm.unit)*ISNUMBER(SEARCH(_xlpm.lastName,LeaseLock!$C$2:$C$500)),_xlpm.hasLL,SUMPRODUCT(_xlpm.llMatch)&gt;0,_xlpm.llStatus,IF(_xlpm.hasLL,_xlfn.LET(_xlpm.stat,LOOKUP(2,1/_xlpm.llMatch,LeaseLock!$F$2:$F$500),_xlpm.sub,LOOKUP(2,1/_xlpm.llMatch,LeaseLock!$G$2:$G$500),_xlpm.paid,LOOKUP(2,1/_xlpm.llMatch,LeaseLock!$M$2:$M$500),IF(_xlpm.stat="Claim Denied","Claim Denied ("&amp;_xlpm.sub&amp;")",IF(_xlpm.stat="Open","Open - "&amp;_xlpm.sub,IF(_xlpm.paid&gt;0,_xlpm.stat&amp;" - $"&amp;TEXT(_xlpm.paid,"#,##0.00")&amp;" paid",_xlpm.stat&amp;" - no payment")))),""),_xlpm.rsiMatches,ISNUMBER(SEARCH(_xlpm.lastName,Evictions_RSI!$B$3:$B$200))*(Evictions_RSI!$B$3:$B$200&lt;&gt;""),_xlpm.hasRSI,SUMPRODUCT(_xlpm.rsiMatches)&gt;0,_xlpm.rsiStatus,IF(_xlpm.hasRSI,_xlfn.LET(_xlpm.dates,IF(_xlpm.rsiMatches,IFERROR(DATEVALUE(SUBSTITUTE(Evictions_RSI!$A$3:$A$200,_xlfn.UNICHAR(8204),"")),0),0),_xlpm.latestRow,MATCH(MAX(_xlpm.dates),_xlpm.dates,0),TRIM(SUBSTITUTE(INDEX(Evictions_RSI!$I$3:$I$200,_xlpm.latestRow),_xlfn.UNICHAR(8204),""))),""),IF(AND(_xlpm.llStatus="",_xlpm.rsiStatus=""),"",IF(_xlpm.llStatus="","RSI: "&amp;_xlpm.rsiStatus,IF(_xlpm.rsiStatus="","LL: "&amp;_xlpm.llStatus,"LL: "&amp;_xlpm.llStatus&amp;" | RSI: "&amp;_xlpm.rsiStatus)))),"")</f>
        <v/>
      </c>
      <c r="L150" s="1063" t="s">
        <v>1165</v>
      </c>
      <c r="M150" s="992"/>
      <c r="N150" s="992"/>
      <c r="Q150" s="973"/>
      <c r="R150" s="973"/>
      <c r="S150" s="973"/>
      <c r="T150" s="973"/>
      <c r="U150" s="973"/>
      <c r="V150" s="973"/>
      <c r="W150" s="973"/>
      <c r="X150" s="973"/>
      <c r="Y150" s="973"/>
      <c r="Z150" s="973"/>
    </row>
    <row r="151" spans="1:26" ht="12" customHeight="1">
      <c r="A151" s="996" cm="1">
        <f t="array" ref="A151">IFERROR(_xlfn.LET(_xlpm.n,ROW()-138,_xlpm.adj,IF(((((LEFT('resident aged receivable'!$E$2:$E$460,7)="Current")+(LEFT('resident aged receivable'!$E$2:$E$460,6)="Notice"))&gt;0)*(((ISNUMBER(SEARCH("Eviction",'resident aged receivable'!$E$2:$E$460))=FALSE)+(ISNUMBER(SEARCH("(On Property)",'resident aged receivable'!$E$2:$E$460))&gt;0))&gt;0)*(ISNUMBER(SEARCH("Skip",'resident aged receivable'!$E$2:$E$460))=FALSE)*(COUNTIF($N$3:$N$24,'resident aged receivable'!$D$2:$D$460)=0)*(COUNTIF($P$3:$P$24,'resident aged receivable'!$D$2:$D$460)=0)*('resident aged receivable'!$I$2:$I$460&gt;=$H$3)+(COUNTIF($P$3:$P$24,'resident aged receivable'!$D$2:$D$460)&gt;0)*(COUNTIF($N$3:$N$24,'resident aged receivable'!$D$2:$D$460)=0)*('resident aged receivable'!$I$2:$I$460&gt;0))&gt;0,'resident aged receivable'!$I$2:$I$460-ROW('resident aged receivable'!$I$2:$I$460)/1000000),_xlpm.tgt,LARGE(_xlpm.adj,_xlpm.n),MATCH(_xlpm.tgt,_xlpm.adj,0)+1),"")</f>
        <v>36</v>
      </c>
      <c r="B151" s="997" t="str" cm="1">
        <f t="array" ref="B151">IF($A151="","",INDEX('resident aged receivable'!$B:$B,$A151))</f>
        <v>N18-2087</v>
      </c>
      <c r="C151" s="997" t="str" cm="1">
        <f t="array" ref="C151">IF($A151="","",INDEX('resident aged receivable'!$D:$D,$A151))</f>
        <v>Ortega, Maria</v>
      </c>
      <c r="D151" s="998" cm="1">
        <f t="array" ref="D151">IF($A151="","",INDEX('resident aged receivable'!$F:$F,$A151))</f>
        <v>45226</v>
      </c>
      <c r="E151" s="998" t="str" cm="1">
        <f t="array" ref="E151">IF($A151="","",_xlfn.LET(_xlpm.leaseEnd,INDEX('resident aged receivable'!$H:$H,$A151),_xlpm.s,INDEX('resident aged receivable'!$E:$E,$A151),IF(ISNUMBER(SEARCH("Current",_xlpm.s))+ISNUMBER(SEARCH("Notice",_xlpm.s)),"",IF(ISNUMBER(_xlpm.leaseEnd),_xlpm.leaseEnd,""))))</f>
        <v/>
      </c>
      <c r="F151" s="997" t="str">
        <f t="shared" si="4"/>
        <v>IPS</v>
      </c>
      <c r="G151" s="1000" t="str" cm="1">
        <f t="array" ref="G151">IF($A151="","",_xlfn.LET(_xlpm.s,INDEX('resident aged receivable'!$E:$E,$A151),_xlpm.onRR,COUNTIF($P$3:$P$24,C151)&gt;0,IF(ISNUMBER(SEARCH("Eviction",_xlpm.s)),"Eviction",IF(_xlpm.onRR,"Current - On Rent Roll",IF(COUNTIF($N$3:$N$24,C151)&gt;0,"Former",IF(ISNUMBER(SEARCH("Skip",_xlpm.s)),"Skip",IF(ISNUMBER(SEARCH("Past",_xlpm.s))+ISNUMBER(SEARCH("Collections",_xlpm.s)),"Former",_xlpm.s)))))))</f>
        <v>Current</v>
      </c>
      <c r="H151" s="1010" cm="1">
        <f t="array" ref="H151">IF($A151="","",INDEX('resident aged receivable'!$I:$I,$A151))</f>
        <v>1889.63</v>
      </c>
      <c r="I151" s="1010" cm="1">
        <f t="array" ref="I151">IF($A151="","",INDEX('resident aged receivable'!$J:$J,$A151))</f>
        <v>1889.63</v>
      </c>
      <c r="J151" s="1010" cm="1">
        <f t="array" ref="J151">IF($A151="","",INDEX('resident aged receivable'!$K:$K,$A151))</f>
        <v>0</v>
      </c>
      <c r="K151" s="1020" t="str" cm="1">
        <f t="array" ref="K151">IFERROR(IF(B151="","",IF(SUMPRODUCT((LeaseLock!$D$2:$D$500=B151)*ISNUMBER(SEARCH(LEFT(C151,FIND(",",C151&amp;",")-1),LeaseLock!$C$2:$C$500)))=0,"",IF(LOOKUP(2,1/((LeaseLock!$D$2:$D$500=B151)*ISNUMBER(SEARCH(LEFT(C151,FIND(",",C151&amp;",")-1),LeaseLock!$C$2:$C$500))),LeaseLock!$F$2:$F$500)="Claim Denied","Claim Denied ("&amp;LOOKUP(2,1/((LeaseLock!$D$2:$D$500=B151)*ISNUMBER(SEARCH(LEFT(C151,FIND(",",C151&amp;",")-1),LeaseLock!$C$2:$C$500))),LeaseLock!$G$2:$G$500)&amp;")",IF(LOOKUP(2,1/((LeaseLock!$D$2:$D$500=B151)*ISNUMBER(SEARCH(LEFT(C151,FIND(",",C151&amp;",")-1),LeaseLock!$C$2:$C$500))),LeaseLock!$F$2:$F$500)="Open","Open - "&amp;LOOKUP(2,1/((LeaseLock!$D$2:$D$500=B151)*ISNUMBER(SEARCH(LEFT(C151,FIND(",",C151&amp;",")-1),LeaseLock!$C$2:$C$500))),LeaseLock!$G$2:$G$500),IF(LOOKUP(2,1/((LeaseLock!$D$2:$D$500=B151)*ISNUMBER(SEARCH(LEFT(C151,FIND(",",C151&amp;",")-1),LeaseLock!$C$2:$C$500))),LeaseLock!$M$2:$M$500)&gt;0,LOOKUP(2,1/((LeaseLock!$D$2:$D$500=B151)*ISNUMBER(SEARCH(LEFT(C151,FIND(",",C151&amp;",")-1),LeaseLock!$C$2:$C$500))),LeaseLock!$F$2:$F$500)&amp;" - $"&amp;TEXT(LOOKUP(2,1/((LeaseLock!$D$2:$D$500=B151)*ISNUMBER(SEARCH(LEFT(C151,FIND(",",C151&amp;",")-1),LeaseLock!$C$2:$C$500))),LeaseLock!$M$2:$M$500),"#,##0.00")&amp;" paid",LOOKUP(2,1/((LeaseLock!$D$2:$D$500=B151)*ISNUMBER(SEARCH(LEFT(C151,FIND(",",C151&amp;",")-1),LeaseLock!$C$2:$C$500))),LeaseLock!$F$2:$F$500)&amp;" - no payment"))))),"")</f>
        <v/>
      </c>
      <c r="L151" s="1063" t="s">
        <v>1166</v>
      </c>
      <c r="M151" s="992"/>
      <c r="N151" s="992"/>
      <c r="Q151" s="973"/>
      <c r="R151" s="973"/>
      <c r="S151" s="973"/>
      <c r="T151" s="973"/>
      <c r="U151" s="973"/>
      <c r="V151" s="973"/>
      <c r="W151" s="973"/>
      <c r="X151" s="973"/>
      <c r="Y151" s="973"/>
      <c r="Z151" s="973"/>
    </row>
    <row r="152" spans="1:26" ht="12" customHeight="1">
      <c r="A152" s="996" cm="1">
        <f t="array" ref="A152">IFERROR(_xlfn.LET(_xlpm.n,ROW()-138,_xlpm.adj,IF(((((LEFT('resident aged receivable'!$E$2:$E$460,7)="Current")+(LEFT('resident aged receivable'!$E$2:$E$460,6)="Notice"))&gt;0)*(((ISNUMBER(SEARCH("Eviction",'resident aged receivable'!$E$2:$E$460))=FALSE)+(ISNUMBER(SEARCH("(On Property)",'resident aged receivable'!$E$2:$E$460))&gt;0))&gt;0)*(ISNUMBER(SEARCH("Skip",'resident aged receivable'!$E$2:$E$460))=FALSE)*(COUNTIF($N$3:$N$24,'resident aged receivable'!$D$2:$D$460)=0)*(COUNTIF($P$3:$P$24,'resident aged receivable'!$D$2:$D$460)=0)*('resident aged receivable'!$I$2:$I$460&gt;=$H$3)+(COUNTIF($P$3:$P$24,'resident aged receivable'!$D$2:$D$460)&gt;0)*(COUNTIF($N$3:$N$24,'resident aged receivable'!$D$2:$D$460)=0)*('resident aged receivable'!$I$2:$I$460&gt;0))&gt;0,'resident aged receivable'!$I$2:$I$460-ROW('resident aged receivable'!$I$2:$I$460)/1000000),_xlpm.tgt,LARGE(_xlpm.adj,_xlpm.n),MATCH(_xlpm.tgt,_xlpm.adj,0)+1),"")</f>
        <v>159</v>
      </c>
      <c r="B152" s="997" t="str" cm="1">
        <f t="array" ref="B152">IF($A152="","",INDEX('resident aged receivable'!$B:$B,$A152))</f>
        <v>W18-2-1073</v>
      </c>
      <c r="C152" s="997" t="str" cm="1">
        <f t="array" ref="C152">IF($A152="","",INDEX('resident aged receivable'!$D:$D,$A152))</f>
        <v>Enriquez, Jaqueline</v>
      </c>
      <c r="D152" s="998" cm="1">
        <f t="array" ref="D152">IF($A152="","",INDEX('resident aged receivable'!$F:$F,$A152))</f>
        <v>46142</v>
      </c>
      <c r="E152" s="998" t="str" cm="1">
        <f t="array" ref="E152">IF($A152="","",_xlfn.LET(_xlpm.leaseEnd,INDEX('resident aged receivable'!$H:$H,$A152),_xlpm.s,INDEX('resident aged receivable'!$E:$E,$A152),IF(ISNUMBER(SEARCH("Current",_xlpm.s))+ISNUMBER(SEARCH("Notice",_xlpm.s)),"",IF(ISNUMBER(_xlpm.leaseEnd),_xlpm.leaseEnd,""))))</f>
        <v/>
      </c>
      <c r="F152" s="997" t="str">
        <f t="shared" si="4"/>
        <v>CAF</v>
      </c>
      <c r="G152" s="1000" t="str" cm="1">
        <f t="array" ref="G152">IF($A152="","",_xlfn.LET(_xlpm.s,INDEX('resident aged receivable'!$E:$E,$A152),_xlpm.onRR,COUNTIF($P$3:$P$24,C152)&gt;0,IF(ISNUMBER(SEARCH("Eviction",_xlpm.s)),"Eviction",IF(_xlpm.onRR,"Current - On Rent Roll",IF(COUNTIF($N$3:$N$24,C152)&gt;0,"Former",IF(ISNUMBER(SEARCH("Skip",_xlpm.s)),"Skip",IF(ISNUMBER(SEARCH("Past",_xlpm.s))+ISNUMBER(SEARCH("Collections",_xlpm.s)),"Former",_xlpm.s)))))))</f>
        <v>Current</v>
      </c>
      <c r="H152" s="1010" cm="1">
        <f t="array" ref="H152">IF($A152="","",INDEX('resident aged receivable'!$I:$I,$A152))</f>
        <v>1497.95</v>
      </c>
      <c r="I152" s="1010" cm="1">
        <f t="array" ref="I152">IF($A152="","",INDEX('resident aged receivable'!$J:$J,$A152))</f>
        <v>1497.95</v>
      </c>
      <c r="J152" s="1010" cm="1">
        <f t="array" ref="J152">IF($A152="","",INDEX('resident aged receivable'!$K:$K,$A152))</f>
        <v>0</v>
      </c>
      <c r="K152" s="1020" t="str" cm="1">
        <f t="array" ref="K152">IFERROR(IF(B152="","",IF(SUMPRODUCT((LeaseLock!$D$2:$D$500=B152)*ISNUMBER(SEARCH(LEFT(C152,FIND(",",C152&amp;",")-1),LeaseLock!$C$2:$C$500)))=0,"",IF(LOOKUP(2,1/((LeaseLock!$D$2:$D$500=B152)*ISNUMBER(SEARCH(LEFT(C152,FIND(",",C152&amp;",")-1),LeaseLock!$C$2:$C$500))),LeaseLock!$F$2:$F$500)="Claim Denied","Claim Denied ("&amp;LOOKUP(2,1/((LeaseLock!$D$2:$D$500=B152)*ISNUMBER(SEARCH(LEFT(C152,FIND(",",C152&amp;",")-1),LeaseLock!$C$2:$C$500))),LeaseLock!$G$2:$G$500)&amp;")",IF(LOOKUP(2,1/((LeaseLock!$D$2:$D$500=B152)*ISNUMBER(SEARCH(LEFT(C152,FIND(",",C152&amp;",")-1),LeaseLock!$C$2:$C$500))),LeaseLock!$F$2:$F$500)="Open","Open - "&amp;LOOKUP(2,1/((LeaseLock!$D$2:$D$500=B152)*ISNUMBER(SEARCH(LEFT(C152,FIND(",",C152&amp;",")-1),LeaseLock!$C$2:$C$500))),LeaseLock!$G$2:$G$500),IF(LOOKUP(2,1/((LeaseLock!$D$2:$D$500=B152)*ISNUMBER(SEARCH(LEFT(C152,FIND(",",C152&amp;",")-1),LeaseLock!$C$2:$C$500))),LeaseLock!$M$2:$M$500)&gt;0,LOOKUP(2,1/((LeaseLock!$D$2:$D$500=B152)*ISNUMBER(SEARCH(LEFT(C152,FIND(",",C152&amp;",")-1),LeaseLock!$C$2:$C$500))),LeaseLock!$F$2:$F$500)&amp;" - $"&amp;TEXT(LOOKUP(2,1/((LeaseLock!$D$2:$D$500=B152)*ISNUMBER(SEARCH(LEFT(C152,FIND(",",C152&amp;",")-1),LeaseLock!$C$2:$C$500))),LeaseLock!$M$2:$M$500),"#,##0.00")&amp;" paid",LOOKUP(2,1/((LeaseLock!$D$2:$D$500=B152)*ISNUMBER(SEARCH(LEFT(C152,FIND(",",C152&amp;",")-1),LeaseLock!$C$2:$C$500))),LeaseLock!$F$2:$F$500)&amp;" - no payment"))))),"")</f>
        <v/>
      </c>
      <c r="L152" s="1063" t="s">
        <v>1165</v>
      </c>
      <c r="M152" s="992"/>
      <c r="N152" s="992"/>
      <c r="Q152" s="973"/>
      <c r="R152" s="973"/>
      <c r="S152" s="973"/>
      <c r="T152" s="973"/>
      <c r="U152" s="973"/>
      <c r="V152" s="973"/>
      <c r="W152" s="973"/>
      <c r="X152" s="973"/>
      <c r="Y152" s="973"/>
      <c r="Z152" s="973"/>
    </row>
    <row r="153" spans="1:26" ht="12" customHeight="1">
      <c r="A153" s="996" cm="1">
        <f t="array" ref="A153">IFERROR(_xlfn.LET(_xlpm.n,ROW()-138,_xlpm.adj,IF(((((LEFT('resident aged receivable'!$E$2:$E$460,7)="Current")+(LEFT('resident aged receivable'!$E$2:$E$460,6)="Notice"))&gt;0)*(((ISNUMBER(SEARCH("Eviction",'resident aged receivable'!$E$2:$E$460))=FALSE)+(ISNUMBER(SEARCH("(On Property)",'resident aged receivable'!$E$2:$E$460))&gt;0))&gt;0)*(ISNUMBER(SEARCH("Skip",'resident aged receivable'!$E$2:$E$460))=FALSE)*(COUNTIF($N$3:$N$24,'resident aged receivable'!$D$2:$D$460)=0)*(COUNTIF($P$3:$P$24,'resident aged receivable'!$D$2:$D$460)=0)*('resident aged receivable'!$I$2:$I$460&gt;=$H$3)+(COUNTIF($P$3:$P$24,'resident aged receivable'!$D$2:$D$460)&gt;0)*(COUNTIF($N$3:$N$24,'resident aged receivable'!$D$2:$D$460)=0)*('resident aged receivable'!$I$2:$I$460&gt;0))&gt;0,'resident aged receivable'!$I$2:$I$460-ROW('resident aged receivable'!$I$2:$I$460)/1000000),_xlpm.tgt,LARGE(_xlpm.adj,_xlpm.n),MATCH(_xlpm.tgt,_xlpm.adj,0)+1),"")</f>
        <v>32</v>
      </c>
      <c r="B153" s="997" t="str" cm="1">
        <f t="array" ref="B153">IF($A153="","",INDEX('resident aged receivable'!$B:$B,$A153))</f>
        <v>N18-1085</v>
      </c>
      <c r="C153" s="997" t="str" cm="1">
        <f t="array" ref="C153">IF($A153="","",INDEX('resident aged receivable'!$D:$D,$A153))</f>
        <v>Washington, Kaylon</v>
      </c>
      <c r="D153" s="998" cm="1">
        <f t="array" ref="D153">IF($A153="","",INDEX('resident aged receivable'!$F:$F,$A153))</f>
        <v>46094</v>
      </c>
      <c r="E153" s="998" t="str" cm="1">
        <f t="array" ref="E153">IF($A153="","",_xlfn.LET(_xlpm.leaseEnd,INDEX('resident aged receivable'!$H:$H,$A153),_xlpm.s,INDEX('resident aged receivable'!$E:$E,$A153),IF(ISNUMBER(SEARCH("Current",_xlpm.s))+ISNUMBER(SEARCH("Notice",_xlpm.s)),"",IF(ISNUMBER(_xlpm.leaseEnd),_xlpm.leaseEnd,""))))</f>
        <v/>
      </c>
      <c r="F153" s="997" t="str">
        <f t="shared" si="4"/>
        <v>CAF</v>
      </c>
      <c r="G153" s="1000" t="str" cm="1">
        <f t="array" ref="G153">IF($A153="","",_xlfn.LET(_xlpm.s,INDEX('resident aged receivable'!$E:$E,$A153),_xlpm.onRR,COUNTIF($P$3:$P$24,C153)&gt;0,IF(ISNUMBER(SEARCH("Eviction",_xlpm.s)),"Eviction",IF(_xlpm.onRR,"Current - On Rent Roll",IF(COUNTIF($N$3:$N$24,C153)&gt;0,"Former",IF(ISNUMBER(SEARCH("Skip",_xlpm.s)),"Skip",IF(ISNUMBER(SEARCH("Past",_xlpm.s))+ISNUMBER(SEARCH("Collections",_xlpm.s)),"Former",_xlpm.s)))))))</f>
        <v>Current</v>
      </c>
      <c r="H153" s="1010" cm="1">
        <f t="array" ref="H153">IF($A153="","",INDEX('resident aged receivable'!$I:$I,$A153))</f>
        <v>1432.58</v>
      </c>
      <c r="I153" s="1010" cm="1">
        <f t="array" ref="I153">IF($A153="","",INDEX('resident aged receivable'!$J:$J,$A153))</f>
        <v>1432.58</v>
      </c>
      <c r="J153" s="1010" cm="1">
        <f t="array" ref="J153">IF($A153="","",INDEX('resident aged receivable'!$K:$K,$A153))</f>
        <v>0</v>
      </c>
      <c r="K153" s="1020" t="str" cm="1">
        <f t="array" ref="K153">IFERROR(IF(B153="","",IF(SUMPRODUCT((LeaseLock!$D$2:$D$500=B153)*ISNUMBER(SEARCH(LEFT(C153,FIND(",",C153&amp;",")-1),LeaseLock!$C$2:$C$500)))=0,"",IF(LOOKUP(2,1/((LeaseLock!$D$2:$D$500=B153)*ISNUMBER(SEARCH(LEFT(C153,FIND(",",C153&amp;",")-1),LeaseLock!$C$2:$C$500))),LeaseLock!$F$2:$F$500)="Claim Denied","Claim Denied ("&amp;LOOKUP(2,1/((LeaseLock!$D$2:$D$500=B153)*ISNUMBER(SEARCH(LEFT(C153,FIND(",",C153&amp;",")-1),LeaseLock!$C$2:$C$500))),LeaseLock!$G$2:$G$500)&amp;")",IF(LOOKUP(2,1/((LeaseLock!$D$2:$D$500=B153)*ISNUMBER(SEARCH(LEFT(C153,FIND(",",C153&amp;",")-1),LeaseLock!$C$2:$C$500))),LeaseLock!$F$2:$F$500)="Open","Open - "&amp;LOOKUP(2,1/((LeaseLock!$D$2:$D$500=B153)*ISNUMBER(SEARCH(LEFT(C153,FIND(",",C153&amp;",")-1),LeaseLock!$C$2:$C$500))),LeaseLock!$G$2:$G$500),IF(LOOKUP(2,1/((LeaseLock!$D$2:$D$500=B153)*ISNUMBER(SEARCH(LEFT(C153,FIND(",",C153&amp;",")-1),LeaseLock!$C$2:$C$500))),LeaseLock!$M$2:$M$500)&gt;0,LOOKUP(2,1/((LeaseLock!$D$2:$D$500=B153)*ISNUMBER(SEARCH(LEFT(C153,FIND(",",C153&amp;",")-1),LeaseLock!$C$2:$C$500))),LeaseLock!$F$2:$F$500)&amp;" - $"&amp;TEXT(LOOKUP(2,1/((LeaseLock!$D$2:$D$500=B153)*ISNUMBER(SEARCH(LEFT(C153,FIND(",",C153&amp;",")-1),LeaseLock!$C$2:$C$500))),LeaseLock!$M$2:$M$500),"#,##0.00")&amp;" paid",LOOKUP(2,1/((LeaseLock!$D$2:$D$500=B153)*ISNUMBER(SEARCH(LEFT(C153,FIND(",",C153&amp;",")-1),LeaseLock!$C$2:$C$500))),LeaseLock!$F$2:$F$500)&amp;" - no payment"))))),"")</f>
        <v/>
      </c>
      <c r="L153" s="1063" t="s">
        <v>1165</v>
      </c>
      <c r="M153" s="992"/>
      <c r="N153" s="992"/>
      <c r="Q153" s="973"/>
      <c r="R153" s="973"/>
      <c r="S153" s="973"/>
      <c r="T153" s="973"/>
      <c r="U153" s="973"/>
      <c r="V153" s="973"/>
      <c r="W153" s="973"/>
      <c r="X153" s="973"/>
      <c r="Y153" s="973"/>
      <c r="Z153" s="973"/>
    </row>
    <row r="154" spans="1:26" ht="12" customHeight="1">
      <c r="A154" s="996" cm="1">
        <f t="array" ref="A154">IFERROR(_xlfn.LET(_xlpm.n,ROW()-138,_xlpm.adj,IF(((((LEFT('resident aged receivable'!$E$2:$E$460,7)="Current")+(LEFT('resident aged receivable'!$E$2:$E$460,6)="Notice"))&gt;0)*(((ISNUMBER(SEARCH("Eviction",'resident aged receivable'!$E$2:$E$460))=FALSE)+(ISNUMBER(SEARCH("(On Property)",'resident aged receivable'!$E$2:$E$460))&gt;0))&gt;0)*(ISNUMBER(SEARCH("Skip",'resident aged receivable'!$E$2:$E$460))=FALSE)*(COUNTIF($N$3:$N$24,'resident aged receivable'!$D$2:$D$460)=0)*(COUNTIF($P$3:$P$24,'resident aged receivable'!$D$2:$D$460)=0)*('resident aged receivable'!$I$2:$I$460&gt;=$H$3)+(COUNTIF($P$3:$P$24,'resident aged receivable'!$D$2:$D$460)&gt;0)*(COUNTIF($N$3:$N$24,'resident aged receivable'!$D$2:$D$460)=0)*('resident aged receivable'!$I$2:$I$460&gt;0))&gt;0,'resident aged receivable'!$I$2:$I$460-ROW('resident aged receivable'!$I$2:$I$460)/1000000),_xlpm.tgt,LARGE(_xlpm.adj,_xlpm.n),MATCH(_xlpm.tgt,_xlpm.adj,0)+1),"")</f>
        <v>151</v>
      </c>
      <c r="B154" s="997" t="str" cm="1">
        <f t="array" ref="B154">IF($A154="","",INDEX('resident aged receivable'!$B:$B,$A154))</f>
        <v>W16-2-2084</v>
      </c>
      <c r="C154" s="997" t="str" cm="1">
        <f t="array" ref="C154">IF($A154="","",INDEX('resident aged receivable'!$D:$D,$A154))</f>
        <v>Aguilar, Antonio</v>
      </c>
      <c r="D154" s="998" cm="1">
        <f t="array" ref="D154">IF($A154="","",INDEX('resident aged receivable'!$F:$F,$A154))</f>
        <v>45566</v>
      </c>
      <c r="E154" s="998" t="str" cm="1">
        <f t="array" ref="E154">IF($A154="","",_xlfn.LET(_xlpm.leaseEnd,INDEX('resident aged receivable'!$H:$H,$A154),_xlpm.s,INDEX('resident aged receivable'!$E:$E,$A154),IF(ISNUMBER(SEARCH("Current",_xlpm.s))+ISNUMBER(SEARCH("Notice",_xlpm.s)),"",IF(ISNUMBER(_xlpm.leaseEnd),_xlpm.leaseEnd,""))))</f>
        <v/>
      </c>
      <c r="F154" s="997" t="str">
        <f t="shared" si="4"/>
        <v>IPS</v>
      </c>
      <c r="G154" s="1000" t="str" cm="1">
        <f t="array" ref="G154">IF($A154="","",_xlfn.LET(_xlpm.s,INDEX('resident aged receivable'!$E:$E,$A154),_xlpm.onRR,COUNTIF($P$3:$P$24,C154)&gt;0,IF(ISNUMBER(SEARCH("Eviction",_xlpm.s)),"Eviction",IF(_xlpm.onRR,"Current - On Rent Roll",IF(COUNTIF($N$3:$N$24,C154)&gt;0,"Former",IF(ISNUMBER(SEARCH("Skip",_xlpm.s)),"Skip",IF(ISNUMBER(SEARCH("Past",_xlpm.s))+ISNUMBER(SEARCH("Collections",_xlpm.s)),"Former",_xlpm.s)))))))</f>
        <v>Current</v>
      </c>
      <c r="H154" s="1010" cm="1">
        <f t="array" ref="H154">IF($A154="","",INDEX('resident aged receivable'!$I:$I,$A154))</f>
        <v>1392.58</v>
      </c>
      <c r="I154" s="1010" cm="1">
        <f t="array" ref="I154">IF($A154="","",INDEX('resident aged receivable'!$J:$J,$A154))</f>
        <v>1392.58</v>
      </c>
      <c r="J154" s="1010" cm="1">
        <f t="array" ref="J154">IF($A154="","",INDEX('resident aged receivable'!$K:$K,$A154))</f>
        <v>0</v>
      </c>
      <c r="K154" s="1020" t="str" cm="1">
        <f t="array" ref="K154">IFERROR(IF(B154="","",IF(SUMPRODUCT((LeaseLock!$D$2:$D$500=B154)*ISNUMBER(SEARCH(LEFT(C154,FIND(",",C154&amp;",")-1),LeaseLock!$C$2:$C$500)))=0,"",IF(LOOKUP(2,1/((LeaseLock!$D$2:$D$500=B154)*ISNUMBER(SEARCH(LEFT(C154,FIND(",",C154&amp;",")-1),LeaseLock!$C$2:$C$500))),LeaseLock!$F$2:$F$500)="Claim Denied","Claim Denied ("&amp;LOOKUP(2,1/((LeaseLock!$D$2:$D$500=B154)*ISNUMBER(SEARCH(LEFT(C154,FIND(",",C154&amp;",")-1),LeaseLock!$C$2:$C$500))),LeaseLock!$G$2:$G$500)&amp;")",IF(LOOKUP(2,1/((LeaseLock!$D$2:$D$500=B154)*ISNUMBER(SEARCH(LEFT(C154,FIND(",",C154&amp;",")-1),LeaseLock!$C$2:$C$500))),LeaseLock!$F$2:$F$500)="Open","Open - "&amp;LOOKUP(2,1/((LeaseLock!$D$2:$D$500=B154)*ISNUMBER(SEARCH(LEFT(C154,FIND(",",C154&amp;",")-1),LeaseLock!$C$2:$C$500))),LeaseLock!$G$2:$G$500),IF(LOOKUP(2,1/((LeaseLock!$D$2:$D$500=B154)*ISNUMBER(SEARCH(LEFT(C154,FIND(",",C154&amp;",")-1),LeaseLock!$C$2:$C$500))),LeaseLock!$M$2:$M$500)&gt;0,LOOKUP(2,1/((LeaseLock!$D$2:$D$500=B154)*ISNUMBER(SEARCH(LEFT(C154,FIND(",",C154&amp;",")-1),LeaseLock!$C$2:$C$500))),LeaseLock!$F$2:$F$500)&amp;" - $"&amp;TEXT(LOOKUP(2,1/((LeaseLock!$D$2:$D$500=B154)*ISNUMBER(SEARCH(LEFT(C154,FIND(",",C154&amp;",")-1),LeaseLock!$C$2:$C$500))),LeaseLock!$M$2:$M$500),"#,##0.00")&amp;" paid",LOOKUP(2,1/((LeaseLock!$D$2:$D$500=B154)*ISNUMBER(SEARCH(LEFT(C154,FIND(",",C154&amp;",")-1),LeaseLock!$C$2:$C$500))),LeaseLock!$F$2:$F$500)&amp;" - no payment"))))),"")</f>
        <v/>
      </c>
      <c r="L154" s="1063" t="s">
        <v>1165</v>
      </c>
      <c r="M154" s="992"/>
      <c r="N154" s="992"/>
      <c r="Q154" s="973"/>
      <c r="R154" s="973"/>
      <c r="S154" s="973"/>
      <c r="T154" s="973"/>
      <c r="U154" s="973"/>
      <c r="V154" s="973"/>
      <c r="W154" s="973"/>
      <c r="X154" s="973"/>
      <c r="Y154" s="973"/>
      <c r="Z154" s="973"/>
    </row>
    <row r="155" spans="1:26" ht="12" customHeight="1">
      <c r="A155" s="996" cm="1">
        <f t="array" ref="A155">IFERROR(_xlfn.LET(_xlpm.n,ROW()-138,_xlpm.adj,IF(((((LEFT('resident aged receivable'!$E$2:$E$460,7)="Current")+(LEFT('resident aged receivable'!$E$2:$E$460,6)="Notice"))&gt;0)*(((ISNUMBER(SEARCH("Eviction",'resident aged receivable'!$E$2:$E$460))=FALSE)+(ISNUMBER(SEARCH("(On Property)",'resident aged receivable'!$E$2:$E$460))&gt;0))&gt;0)*(ISNUMBER(SEARCH("Skip",'resident aged receivable'!$E$2:$E$460))=FALSE)*(COUNTIF($N$3:$N$24,'resident aged receivable'!$D$2:$D$460)=0)*(COUNTIF($P$3:$P$24,'resident aged receivable'!$D$2:$D$460)=0)*('resident aged receivable'!$I$2:$I$460&gt;=$H$3)+(COUNTIF($P$3:$P$24,'resident aged receivable'!$D$2:$D$460)&gt;0)*(COUNTIF($N$3:$N$24,'resident aged receivable'!$D$2:$D$460)=0)*('resident aged receivable'!$I$2:$I$460&gt;0))&gt;0,'resident aged receivable'!$I$2:$I$460-ROW('resident aged receivable'!$I$2:$I$460)/1000000),_xlpm.tgt,LARGE(_xlpm.adj,_xlpm.n),MATCH(_xlpm.tgt,_xlpm.adj,0)+1),"")</f>
        <v>73</v>
      </c>
      <c r="B155" s="997" t="str" cm="1">
        <f t="array" ref="B155">IF($A155="","",INDEX('resident aged receivable'!$B:$B,$A155))</f>
        <v>S31-119</v>
      </c>
      <c r="C155" s="997" t="str" cm="1">
        <f t="array" ref="C155">IF($A155="","",INDEX('resident aged receivable'!$D:$D,$A155))</f>
        <v>pacheco, leslie</v>
      </c>
      <c r="D155" s="998" cm="1">
        <f t="array" ref="D155">IF($A155="","",INDEX('resident aged receivable'!$F:$F,$A155))</f>
        <v>46111</v>
      </c>
      <c r="E155" s="998" t="str" cm="1">
        <f t="array" ref="E155">IF($A155="","",_xlfn.LET(_xlpm.leaseEnd,INDEX('resident aged receivable'!$H:$H,$A155),_xlpm.s,INDEX('resident aged receivable'!$E:$E,$A155),IF(ISNUMBER(SEARCH("Current",_xlpm.s))+ISNUMBER(SEARCH("Notice",_xlpm.s)),"",IF(ISNUMBER(_xlpm.leaseEnd),_xlpm.leaseEnd,""))))</f>
        <v/>
      </c>
      <c r="F155" s="997" t="str">
        <f t="shared" si="4"/>
        <v>CAF</v>
      </c>
      <c r="G155" s="1000" t="str" cm="1">
        <f t="array" ref="G155">IF($A155="","",_xlfn.LET(_xlpm.s,INDEX('resident aged receivable'!$E:$E,$A155),_xlpm.onRR,COUNTIF($P$3:$P$24,C155)&gt;0,IF(ISNUMBER(SEARCH("Eviction",_xlpm.s)),"Eviction",IF(_xlpm.onRR,"Current - On Rent Roll",IF(COUNTIF($N$3:$N$24,C155)&gt;0,"Former",IF(ISNUMBER(SEARCH("Skip",_xlpm.s)),"Skip",IF(ISNUMBER(SEARCH("Past",_xlpm.s))+ISNUMBER(SEARCH("Collections",_xlpm.s)),"Former",_xlpm.s)))))))</f>
        <v>Current</v>
      </c>
      <c r="H155" s="1010" cm="1">
        <f t="array" ref="H155">IF($A155="","",INDEX('resident aged receivable'!$I:$I,$A155))</f>
        <v>1390.09</v>
      </c>
      <c r="I155" s="1010" cm="1">
        <f t="array" ref="I155">IF($A155="","",INDEX('resident aged receivable'!$J:$J,$A155))</f>
        <v>1390.09</v>
      </c>
      <c r="J155" s="1010" cm="1">
        <f t="array" ref="J155">IF($A155="","",INDEX('resident aged receivable'!$K:$K,$A155))</f>
        <v>0</v>
      </c>
      <c r="K155" s="1020" t="str" cm="1">
        <f t="array" ref="K155">IFERROR(IF(B155="","",IF(SUMPRODUCT((LeaseLock!$D$2:$D$500=B155)*ISNUMBER(SEARCH(LEFT(C155,FIND(",",C155&amp;",")-1),LeaseLock!$C$2:$C$500)))=0,"",IF(LOOKUP(2,1/((LeaseLock!$D$2:$D$500=B155)*ISNUMBER(SEARCH(LEFT(C155,FIND(",",C155&amp;",")-1),LeaseLock!$C$2:$C$500))),LeaseLock!$F$2:$F$500)="Claim Denied","Claim Denied ("&amp;LOOKUP(2,1/((LeaseLock!$D$2:$D$500=B155)*ISNUMBER(SEARCH(LEFT(C155,FIND(",",C155&amp;",")-1),LeaseLock!$C$2:$C$500))),LeaseLock!$G$2:$G$500)&amp;")",IF(LOOKUP(2,1/((LeaseLock!$D$2:$D$500=B155)*ISNUMBER(SEARCH(LEFT(C155,FIND(",",C155&amp;",")-1),LeaseLock!$C$2:$C$500))),LeaseLock!$F$2:$F$500)="Open","Open - "&amp;LOOKUP(2,1/((LeaseLock!$D$2:$D$500=B155)*ISNUMBER(SEARCH(LEFT(C155,FIND(",",C155&amp;",")-1),LeaseLock!$C$2:$C$500))),LeaseLock!$G$2:$G$500),IF(LOOKUP(2,1/((LeaseLock!$D$2:$D$500=B155)*ISNUMBER(SEARCH(LEFT(C155,FIND(",",C155&amp;",")-1),LeaseLock!$C$2:$C$500))),LeaseLock!$M$2:$M$500)&gt;0,LOOKUP(2,1/((LeaseLock!$D$2:$D$500=B155)*ISNUMBER(SEARCH(LEFT(C155,FIND(",",C155&amp;",")-1),LeaseLock!$C$2:$C$500))),LeaseLock!$F$2:$F$500)&amp;" - $"&amp;TEXT(LOOKUP(2,1/((LeaseLock!$D$2:$D$500=B155)*ISNUMBER(SEARCH(LEFT(C155,FIND(",",C155&amp;",")-1),LeaseLock!$C$2:$C$500))),LeaseLock!$M$2:$M$500),"#,##0.00")&amp;" paid",LOOKUP(2,1/((LeaseLock!$D$2:$D$500=B155)*ISNUMBER(SEARCH(LEFT(C155,FIND(",",C155&amp;",")-1),LeaseLock!$C$2:$C$500))),LeaseLock!$F$2:$F$500)&amp;" - no payment"))))),"")</f>
        <v/>
      </c>
      <c r="L155" s="1063" t="s">
        <v>1165</v>
      </c>
      <c r="M155" s="992"/>
      <c r="N155" s="992"/>
      <c r="Q155" s="973"/>
      <c r="R155" s="973"/>
      <c r="S155" s="973"/>
      <c r="T155" s="973"/>
      <c r="U155" s="973"/>
      <c r="V155" s="973"/>
      <c r="W155" s="973"/>
      <c r="X155" s="973"/>
      <c r="Y155" s="973"/>
      <c r="Z155" s="973"/>
    </row>
    <row r="156" spans="1:26" ht="12" customHeight="1">
      <c r="A156" s="996" cm="1">
        <f t="array" ref="A156">IFERROR(_xlfn.LET(_xlpm.n,ROW()-138,_xlpm.adj,IF(((((LEFT('resident aged receivable'!$E$2:$E$460,7)="Current")+(LEFT('resident aged receivable'!$E$2:$E$460,6)="Notice"))&gt;0)*(((ISNUMBER(SEARCH("Eviction",'resident aged receivable'!$E$2:$E$460))=FALSE)+(ISNUMBER(SEARCH("(On Property)",'resident aged receivable'!$E$2:$E$460))&gt;0))&gt;0)*(ISNUMBER(SEARCH("Skip",'resident aged receivable'!$E$2:$E$460))=FALSE)*(COUNTIF($N$3:$N$24,'resident aged receivable'!$D$2:$D$460)=0)*(COUNTIF($P$3:$P$24,'resident aged receivable'!$D$2:$D$460)=0)*('resident aged receivable'!$I$2:$I$460&gt;=$H$3)+(COUNTIF($P$3:$P$24,'resident aged receivable'!$D$2:$D$460)&gt;0)*(COUNTIF($N$3:$N$24,'resident aged receivable'!$D$2:$D$460)=0)*('resident aged receivable'!$I$2:$I$460&gt;0))&gt;0,'resident aged receivable'!$I$2:$I$460-ROW('resident aged receivable'!$I$2:$I$460)/1000000),_xlpm.tgt,LARGE(_xlpm.adj,_xlpm.n),MATCH(_xlpm.tgt,_xlpm.adj,0)+1),"")</f>
        <v>155</v>
      </c>
      <c r="B156" s="997" t="str" cm="1">
        <f t="array" ref="B156">IF($A156="","",INDEX('resident aged receivable'!$B:$B,$A156))</f>
        <v>W17-2-2075</v>
      </c>
      <c r="C156" s="997" t="str" cm="1">
        <f t="array" ref="C156">IF($A156="","",INDEX('resident aged receivable'!$D:$D,$A156))</f>
        <v>Hetrick, Jerry</v>
      </c>
      <c r="D156" s="998" cm="1">
        <f t="array" ref="D156">IF($A156="","",INDEX('resident aged receivable'!$F:$F,$A156))</f>
        <v>46129</v>
      </c>
      <c r="E156" s="998" t="str" cm="1">
        <f t="array" ref="E156">IF($A156="","",_xlfn.LET(_xlpm.leaseEnd,INDEX('resident aged receivable'!$H:$H,$A156),_xlpm.s,INDEX('resident aged receivable'!$E:$E,$A156),IF(ISNUMBER(SEARCH("Current",_xlpm.s))+ISNUMBER(SEARCH("Notice",_xlpm.s)),"",IF(ISNUMBER(_xlpm.leaseEnd),_xlpm.leaseEnd,""))))</f>
        <v/>
      </c>
      <c r="F156" s="997" t="str">
        <f t="shared" si="4"/>
        <v>CAF</v>
      </c>
      <c r="G156" s="1000" t="str" cm="1">
        <f t="array" ref="G156">IF($A156="","",_xlfn.LET(_xlpm.s,INDEX('resident aged receivable'!$E:$E,$A156),_xlpm.onRR,COUNTIF($P$3:$P$24,C156)&gt;0,IF(ISNUMBER(SEARCH("Eviction",_xlpm.s)),"Eviction",IF(_xlpm.onRR,"Current - On Rent Roll",IF(COUNTIF($N$3:$N$24,C156)&gt;0,"Former",IF(ISNUMBER(SEARCH("Skip",_xlpm.s)),"Skip",IF(ISNUMBER(SEARCH("Past",_xlpm.s))+ISNUMBER(SEARCH("Collections",_xlpm.s)),"Former",_xlpm.s)))))))</f>
        <v>Current</v>
      </c>
      <c r="H156" s="1010" cm="1">
        <f t="array" ref="H156">IF($A156="","",INDEX('resident aged receivable'!$I:$I,$A156))</f>
        <v>1387.45</v>
      </c>
      <c r="I156" s="1010" cm="1">
        <f t="array" ref="I156">IF($A156="","",INDEX('resident aged receivable'!$J:$J,$A156))</f>
        <v>1387.45</v>
      </c>
      <c r="J156" s="1010" cm="1">
        <f t="array" ref="J156">IF($A156="","",INDEX('resident aged receivable'!$K:$K,$A156))</f>
        <v>0</v>
      </c>
      <c r="K156" s="1020" t="str" cm="1">
        <f t="array" ref="K156">IFERROR(IF(B156="","",IF(SUMPRODUCT((LeaseLock!$D$2:$D$500=B156)*ISNUMBER(SEARCH(LEFT(C156,FIND(",",C156&amp;",")-1),LeaseLock!$C$2:$C$500)))=0,"",IF(LOOKUP(2,1/((LeaseLock!$D$2:$D$500=B156)*ISNUMBER(SEARCH(LEFT(C156,FIND(",",C156&amp;",")-1),LeaseLock!$C$2:$C$500))),LeaseLock!$F$2:$F$500)="Claim Denied","Claim Denied ("&amp;LOOKUP(2,1/((LeaseLock!$D$2:$D$500=B156)*ISNUMBER(SEARCH(LEFT(C156,FIND(",",C156&amp;",")-1),LeaseLock!$C$2:$C$500))),LeaseLock!$G$2:$G$500)&amp;")",IF(LOOKUP(2,1/((LeaseLock!$D$2:$D$500=B156)*ISNUMBER(SEARCH(LEFT(C156,FIND(",",C156&amp;",")-1),LeaseLock!$C$2:$C$500))),LeaseLock!$F$2:$F$500)="Open","Open - "&amp;LOOKUP(2,1/((LeaseLock!$D$2:$D$500=B156)*ISNUMBER(SEARCH(LEFT(C156,FIND(",",C156&amp;",")-1),LeaseLock!$C$2:$C$500))),LeaseLock!$G$2:$G$500),IF(LOOKUP(2,1/((LeaseLock!$D$2:$D$500=B156)*ISNUMBER(SEARCH(LEFT(C156,FIND(",",C156&amp;",")-1),LeaseLock!$C$2:$C$500))),LeaseLock!$M$2:$M$500)&gt;0,LOOKUP(2,1/((LeaseLock!$D$2:$D$500=B156)*ISNUMBER(SEARCH(LEFT(C156,FIND(",",C156&amp;",")-1),LeaseLock!$C$2:$C$500))),LeaseLock!$F$2:$F$500)&amp;" - $"&amp;TEXT(LOOKUP(2,1/((LeaseLock!$D$2:$D$500=B156)*ISNUMBER(SEARCH(LEFT(C156,FIND(",",C156&amp;",")-1),LeaseLock!$C$2:$C$500))),LeaseLock!$M$2:$M$500),"#,##0.00")&amp;" paid",LOOKUP(2,1/((LeaseLock!$D$2:$D$500=B156)*ISNUMBER(SEARCH(LEFT(C156,FIND(",",C156&amp;",")-1),LeaseLock!$C$2:$C$500))),LeaseLock!$F$2:$F$500)&amp;" - no payment"))))),"")</f>
        <v/>
      </c>
      <c r="L156" s="1063" t="s">
        <v>1165</v>
      </c>
      <c r="M156" s="992"/>
      <c r="N156" s="992"/>
      <c r="Q156" s="973"/>
      <c r="R156" s="973"/>
      <c r="S156" s="973"/>
      <c r="T156" s="973"/>
      <c r="U156" s="973"/>
      <c r="V156" s="973"/>
      <c r="W156" s="973"/>
      <c r="X156" s="973"/>
      <c r="Y156" s="973"/>
      <c r="Z156" s="973"/>
    </row>
    <row r="157" spans="1:26" ht="12" customHeight="1">
      <c r="A157" s="996" cm="1">
        <f t="array" ref="A157">IFERROR(_xlfn.LET(_xlpm.n,ROW()-138,_xlpm.adj,IF(((((LEFT('resident aged receivable'!$E$2:$E$460,7)="Current")+(LEFT('resident aged receivable'!$E$2:$E$460,6)="Notice"))&gt;0)*(((ISNUMBER(SEARCH("Eviction",'resident aged receivable'!$E$2:$E$460))=FALSE)+(ISNUMBER(SEARCH("(On Property)",'resident aged receivable'!$E$2:$E$460))&gt;0))&gt;0)*(ISNUMBER(SEARCH("Skip",'resident aged receivable'!$E$2:$E$460))=FALSE)*(COUNTIF($N$3:$N$24,'resident aged receivable'!$D$2:$D$460)=0)*(COUNTIF($P$3:$P$24,'resident aged receivable'!$D$2:$D$460)=0)*('resident aged receivable'!$I$2:$I$460&gt;=$H$3)+(COUNTIF($P$3:$P$24,'resident aged receivable'!$D$2:$D$460)&gt;0)*(COUNTIF($N$3:$N$24,'resident aged receivable'!$D$2:$D$460)=0)*('resident aged receivable'!$I$2:$I$460&gt;0))&gt;0,'resident aged receivable'!$I$2:$I$460-ROW('resident aged receivable'!$I$2:$I$460)/1000000),_xlpm.tgt,LARGE(_xlpm.adj,_xlpm.n),MATCH(_xlpm.tgt,_xlpm.adj,0)+1),"")</f>
        <v>50</v>
      </c>
      <c r="B157" s="997" t="str" cm="1">
        <f t="array" ref="B157">IF($A157="","",INDEX('resident aged receivable'!$B:$B,$A157))</f>
        <v>N22-2097</v>
      </c>
      <c r="C157" s="997" t="str" cm="1">
        <f t="array" ref="C157">IF($A157="","",INDEX('resident aged receivable'!$D:$D,$A157))</f>
        <v>Mcgee, Alondra</v>
      </c>
      <c r="D157" s="998" cm="1">
        <f t="array" ref="D157">IF($A157="","",INDEX('resident aged receivable'!$F:$F,$A157))</f>
        <v>46148</v>
      </c>
      <c r="E157" s="998" t="str" cm="1">
        <f t="array" ref="E157">IF($A157="","",_xlfn.LET(_xlpm.leaseEnd,INDEX('resident aged receivable'!$H:$H,$A157),_xlpm.s,INDEX('resident aged receivable'!$E:$E,$A157),IF(ISNUMBER(SEARCH("Current",_xlpm.s))+ISNUMBER(SEARCH("Notice",_xlpm.s)),"",IF(ISNUMBER(_xlpm.leaseEnd),_xlpm.leaseEnd,""))))</f>
        <v/>
      </c>
      <c r="F157" s="997" t="str">
        <f t="shared" si="4"/>
        <v>CAF</v>
      </c>
      <c r="G157" s="1000" t="str" cm="1">
        <f t="array" ref="G157">IF($A157="","",_xlfn.LET(_xlpm.s,INDEX('resident aged receivable'!$E:$E,$A157),_xlpm.onRR,COUNTIF($P$3:$P$24,C157)&gt;0,IF(ISNUMBER(SEARCH("Eviction",_xlpm.s)),"Eviction",IF(_xlpm.onRR,"Current - On Rent Roll",IF(COUNTIF($N$3:$N$24,C157)&gt;0,"Former",IF(ISNUMBER(SEARCH("Skip",_xlpm.s)),"Skip",IF(ISNUMBER(SEARCH("Past",_xlpm.s))+ISNUMBER(SEARCH("Collections",_xlpm.s)),"Former",_xlpm.s)))))))</f>
        <v>Current</v>
      </c>
      <c r="H157" s="1010" cm="1">
        <f t="array" ref="H157">IF($A157="","",INDEX('resident aged receivable'!$I:$I,$A157))</f>
        <v>1369.95</v>
      </c>
      <c r="I157" s="1010" cm="1">
        <f t="array" ref="I157">IF($A157="","",INDEX('resident aged receivable'!$J:$J,$A157))</f>
        <v>1369.95</v>
      </c>
      <c r="J157" s="1010" cm="1">
        <f t="array" ref="J157">IF($A157="","",INDEX('resident aged receivable'!$K:$K,$A157))</f>
        <v>0</v>
      </c>
      <c r="K157" s="1020" t="str" cm="1">
        <f t="array" ref="K157">IFERROR(IF(B157="","",IF(SUMPRODUCT((LeaseLock!$D$2:$D$500=B157)*ISNUMBER(SEARCH(LEFT(C157,FIND(",",C157&amp;",")-1),LeaseLock!$C$2:$C$500)))=0,"",IF(LOOKUP(2,1/((LeaseLock!$D$2:$D$500=B157)*ISNUMBER(SEARCH(LEFT(C157,FIND(",",C157&amp;",")-1),LeaseLock!$C$2:$C$500))),LeaseLock!$F$2:$F$500)="Claim Denied","Claim Denied ("&amp;LOOKUP(2,1/((LeaseLock!$D$2:$D$500=B157)*ISNUMBER(SEARCH(LEFT(C157,FIND(",",C157&amp;",")-1),LeaseLock!$C$2:$C$500))),LeaseLock!$G$2:$G$500)&amp;")",IF(LOOKUP(2,1/((LeaseLock!$D$2:$D$500=B157)*ISNUMBER(SEARCH(LEFT(C157,FIND(",",C157&amp;",")-1),LeaseLock!$C$2:$C$500))),LeaseLock!$F$2:$F$500)="Open","Open - "&amp;LOOKUP(2,1/((LeaseLock!$D$2:$D$500=B157)*ISNUMBER(SEARCH(LEFT(C157,FIND(",",C157&amp;",")-1),LeaseLock!$C$2:$C$500))),LeaseLock!$G$2:$G$500),IF(LOOKUP(2,1/((LeaseLock!$D$2:$D$500=B157)*ISNUMBER(SEARCH(LEFT(C157,FIND(",",C157&amp;",")-1),LeaseLock!$C$2:$C$500))),LeaseLock!$M$2:$M$500)&gt;0,LOOKUP(2,1/((LeaseLock!$D$2:$D$500=B157)*ISNUMBER(SEARCH(LEFT(C157,FIND(",",C157&amp;",")-1),LeaseLock!$C$2:$C$500))),LeaseLock!$F$2:$F$500)&amp;" - $"&amp;TEXT(LOOKUP(2,1/((LeaseLock!$D$2:$D$500=B157)*ISNUMBER(SEARCH(LEFT(C157,FIND(",",C157&amp;",")-1),LeaseLock!$C$2:$C$500))),LeaseLock!$M$2:$M$500),"#,##0.00")&amp;" paid",LOOKUP(2,1/((LeaseLock!$D$2:$D$500=B157)*ISNUMBER(SEARCH(LEFT(C157,FIND(",",C157&amp;",")-1),LeaseLock!$C$2:$C$500))),LeaseLock!$F$2:$F$500)&amp;" - no payment"))))),"")</f>
        <v/>
      </c>
      <c r="L157" s="1063" t="s">
        <v>1165</v>
      </c>
      <c r="M157" s="992"/>
      <c r="N157" s="992"/>
      <c r="Q157" s="973"/>
      <c r="R157" s="973"/>
      <c r="S157" s="973"/>
      <c r="T157" s="973"/>
      <c r="U157" s="973"/>
      <c r="V157" s="973"/>
      <c r="W157" s="973"/>
      <c r="X157" s="973"/>
      <c r="Y157" s="973"/>
      <c r="Z157" s="973"/>
    </row>
    <row r="158" spans="1:26" ht="12" customHeight="1">
      <c r="A158" s="996" cm="1">
        <f t="array" ref="A158">IFERROR(_xlfn.LET(_xlpm.n,ROW()-138,_xlpm.adj,IF(((((LEFT('resident aged receivable'!$E$2:$E$460,7)="Current")+(LEFT('resident aged receivable'!$E$2:$E$460,6)="Notice"))&gt;0)*(((ISNUMBER(SEARCH("Eviction",'resident aged receivable'!$E$2:$E$460))=FALSE)+(ISNUMBER(SEARCH("(On Property)",'resident aged receivable'!$E$2:$E$460))&gt;0))&gt;0)*(ISNUMBER(SEARCH("Skip",'resident aged receivable'!$E$2:$E$460))=FALSE)*(COUNTIF($N$3:$N$24,'resident aged receivable'!$D$2:$D$460)=0)*(COUNTIF($P$3:$P$24,'resident aged receivable'!$D$2:$D$460)=0)*('resident aged receivable'!$I$2:$I$460&gt;=$H$3)+(COUNTIF($P$3:$P$24,'resident aged receivable'!$D$2:$D$460)&gt;0)*(COUNTIF($N$3:$N$24,'resident aged receivable'!$D$2:$D$460)=0)*('resident aged receivable'!$I$2:$I$460&gt;0))&gt;0,'resident aged receivable'!$I$2:$I$460-ROW('resident aged receivable'!$I$2:$I$460)/1000000),_xlpm.tgt,LARGE(_xlpm.adj,_xlpm.n),MATCH(_xlpm.tgt,_xlpm.adj,0)+1),"")</f>
        <v>69</v>
      </c>
      <c r="B158" s="997" t="str" cm="1">
        <f t="array" ref="B158">IF($A158="","",INDEX('resident aged receivable'!$B:$B,$A158))</f>
        <v>S29-110</v>
      </c>
      <c r="C158" s="997" t="str" cm="1">
        <f t="array" ref="C158">IF($A158="","",INDEX('resident aged receivable'!$D:$D,$A158))</f>
        <v>Mendoza, Rene</v>
      </c>
      <c r="D158" s="998" cm="1">
        <f t="array" ref="D158">IF($A158="","",INDEX('resident aged receivable'!$F:$F,$A158))</f>
        <v>45495</v>
      </c>
      <c r="E158" s="998" t="str" cm="1">
        <f t="array" ref="E158">IF($A158="","",_xlfn.LET(_xlpm.leaseEnd,INDEX('resident aged receivable'!$H:$H,$A158),_xlpm.s,INDEX('resident aged receivable'!$E:$E,$A158),IF(ISNUMBER(SEARCH("Current",_xlpm.s))+ISNUMBER(SEARCH("Notice",_xlpm.s)),"",IF(ISNUMBER(_xlpm.leaseEnd),_xlpm.leaseEnd,""))))</f>
        <v/>
      </c>
      <c r="F158" s="997" t="str">
        <f t="shared" si="4"/>
        <v>IPS</v>
      </c>
      <c r="G158" s="1000" t="str" cm="1">
        <f t="array" ref="G158">IF($A158="","",_xlfn.LET(_xlpm.s,INDEX('resident aged receivable'!$E:$E,$A158),_xlpm.onRR,COUNTIF($P$3:$P$24,C158)&gt;0,IF(ISNUMBER(SEARCH("Eviction",_xlpm.s)),"Eviction",IF(_xlpm.onRR,"Current - On Rent Roll",IF(COUNTIF($N$3:$N$24,C158)&gt;0,"Former",IF(ISNUMBER(SEARCH("Skip",_xlpm.s)),"Skip",IF(ISNUMBER(SEARCH("Past",_xlpm.s))+ISNUMBER(SEARCH("Collections",_xlpm.s)),"Former",_xlpm.s)))))))</f>
        <v>Notice</v>
      </c>
      <c r="H158" s="1010" cm="1">
        <f t="array" ref="H158">IF($A158="","",INDEX('resident aged receivable'!$I:$I,$A158))</f>
        <v>1360.27</v>
      </c>
      <c r="I158" s="1010" cm="1">
        <f t="array" ref="I158">IF($A158="","",INDEX('resident aged receivable'!$J:$J,$A158))</f>
        <v>1360.27</v>
      </c>
      <c r="J158" s="1010" cm="1">
        <f t="array" ref="J158">IF($A158="","",INDEX('resident aged receivable'!$K:$K,$A158))</f>
        <v>0</v>
      </c>
      <c r="K158" s="1020" t="str" cm="1">
        <f t="array" ref="K158">IFERROR(IF(B158="","",IF(SUMPRODUCT((LeaseLock!$D$2:$D$500=B158)*ISNUMBER(SEARCH(LEFT(C158,FIND(",",C158&amp;",")-1),LeaseLock!$C$2:$C$500)))=0,"",IF(LOOKUP(2,1/((LeaseLock!$D$2:$D$500=B158)*ISNUMBER(SEARCH(LEFT(C158,FIND(",",C158&amp;",")-1),LeaseLock!$C$2:$C$500))),LeaseLock!$F$2:$F$500)="Claim Denied","Claim Denied ("&amp;LOOKUP(2,1/((LeaseLock!$D$2:$D$500=B158)*ISNUMBER(SEARCH(LEFT(C158,FIND(",",C158&amp;",")-1),LeaseLock!$C$2:$C$500))),LeaseLock!$G$2:$G$500)&amp;")",IF(LOOKUP(2,1/((LeaseLock!$D$2:$D$500=B158)*ISNUMBER(SEARCH(LEFT(C158,FIND(",",C158&amp;",")-1),LeaseLock!$C$2:$C$500))),LeaseLock!$F$2:$F$500)="Open","Open - "&amp;LOOKUP(2,1/((LeaseLock!$D$2:$D$500=B158)*ISNUMBER(SEARCH(LEFT(C158,FIND(",",C158&amp;",")-1),LeaseLock!$C$2:$C$500))),LeaseLock!$G$2:$G$500),IF(LOOKUP(2,1/((LeaseLock!$D$2:$D$500=B158)*ISNUMBER(SEARCH(LEFT(C158,FIND(",",C158&amp;",")-1),LeaseLock!$C$2:$C$500))),LeaseLock!$M$2:$M$500)&gt;0,LOOKUP(2,1/((LeaseLock!$D$2:$D$500=B158)*ISNUMBER(SEARCH(LEFT(C158,FIND(",",C158&amp;",")-1),LeaseLock!$C$2:$C$500))),LeaseLock!$F$2:$F$500)&amp;" - $"&amp;TEXT(LOOKUP(2,1/((LeaseLock!$D$2:$D$500=B158)*ISNUMBER(SEARCH(LEFT(C158,FIND(",",C158&amp;",")-1),LeaseLock!$C$2:$C$500))),LeaseLock!$M$2:$M$500),"#,##0.00")&amp;" paid",LOOKUP(2,1/((LeaseLock!$D$2:$D$500=B158)*ISNUMBER(SEARCH(LEFT(C158,FIND(",",C158&amp;",")-1),LeaseLock!$C$2:$C$500))),LeaseLock!$F$2:$F$500)&amp;" - no payment"))))),"")</f>
        <v/>
      </c>
      <c r="L158" s="1063" t="s">
        <v>1165</v>
      </c>
      <c r="M158" s="992"/>
      <c r="N158" s="992"/>
      <c r="Q158" s="973"/>
      <c r="R158" s="973"/>
      <c r="S158" s="973"/>
      <c r="T158" s="973"/>
      <c r="U158" s="973"/>
      <c r="V158" s="973"/>
      <c r="W158" s="973"/>
      <c r="X158" s="973"/>
      <c r="Y158" s="973"/>
      <c r="Z158" s="973"/>
    </row>
    <row r="159" spans="1:26" ht="12" customHeight="1">
      <c r="A159" s="996" cm="1">
        <f t="array" ref="A159">IFERROR(_xlfn.LET(_xlpm.n,ROW()-138,_xlpm.adj,IF(((((LEFT('resident aged receivable'!$E$2:$E$460,7)="Current")+(LEFT('resident aged receivable'!$E$2:$E$460,6)="Notice"))&gt;0)*(((ISNUMBER(SEARCH("Eviction",'resident aged receivable'!$E$2:$E$460))=FALSE)+(ISNUMBER(SEARCH("(On Property)",'resident aged receivable'!$E$2:$E$460))&gt;0))&gt;0)*(ISNUMBER(SEARCH("Skip",'resident aged receivable'!$E$2:$E$460))=FALSE)*(COUNTIF($N$3:$N$24,'resident aged receivable'!$D$2:$D$460)=0)*(COUNTIF($P$3:$P$24,'resident aged receivable'!$D$2:$D$460)=0)*('resident aged receivable'!$I$2:$I$460&gt;=$H$3)+(COUNTIF($P$3:$P$24,'resident aged receivable'!$D$2:$D$460)&gt;0)*(COUNTIF($N$3:$N$24,'resident aged receivable'!$D$2:$D$460)=0)*('resident aged receivable'!$I$2:$I$460&gt;0))&gt;0,'resident aged receivable'!$I$2:$I$460-ROW('resident aged receivable'!$I$2:$I$460)/1000000),_xlpm.tgt,LARGE(_xlpm.adj,_xlpm.n),MATCH(_xlpm.tgt,_xlpm.adj,0)+1),"")</f>
        <v>168</v>
      </c>
      <c r="B159" s="997" t="str" cm="1">
        <f t="array" ref="B159">IF($A159="","",INDEX('resident aged receivable'!$B:$B,$A159))</f>
        <v>W21-2-1061</v>
      </c>
      <c r="C159" s="997" t="str" cm="1">
        <f t="array" ref="C159">IF($A159="","",INDEX('resident aged receivable'!$D:$D,$A159))</f>
        <v>Brown, Trenton</v>
      </c>
      <c r="D159" s="998" cm="1">
        <f t="array" ref="D159">IF($A159="","",INDEX('resident aged receivable'!$F:$F,$A159))</f>
        <v>45710</v>
      </c>
      <c r="E159" s="998" t="str" cm="1">
        <f t="array" ref="E159">IF($A159="","",_xlfn.LET(_xlpm.leaseEnd,INDEX('resident aged receivable'!$H:$H,$A159),_xlpm.s,INDEX('resident aged receivable'!$E:$E,$A159),IF(ISNUMBER(SEARCH("Current",_xlpm.s))+ISNUMBER(SEARCH("Notice",_xlpm.s)),"",IF(ISNUMBER(_xlpm.leaseEnd),_xlpm.leaseEnd,""))))</f>
        <v/>
      </c>
      <c r="F159" s="997" t="str">
        <f t="shared" si="4"/>
        <v>IPS</v>
      </c>
      <c r="G159" s="1000" t="str" cm="1">
        <f t="array" ref="G159">IF($A159="","",_xlfn.LET(_xlpm.s,INDEX('resident aged receivable'!$E:$E,$A159),_xlpm.onRR,COUNTIF($P$3:$P$24,C159)&gt;0,IF(ISNUMBER(SEARCH("Eviction",_xlpm.s)),"Eviction",IF(_xlpm.onRR,"Current - On Rent Roll",IF(COUNTIF($N$3:$N$24,C159)&gt;0,"Former",IF(ISNUMBER(SEARCH("Skip",_xlpm.s)),"Skip",IF(ISNUMBER(SEARCH("Past",_xlpm.s))+ISNUMBER(SEARCH("Collections",_xlpm.s)),"Former",_xlpm.s)))))))</f>
        <v>Current</v>
      </c>
      <c r="H159" s="1010" cm="1">
        <f t="array" ref="H159">IF($A159="","",INDEX('resident aged receivable'!$I:$I,$A159))</f>
        <v>1346.14</v>
      </c>
      <c r="I159" s="1010" cm="1">
        <f t="array" ref="I159">IF($A159="","",INDEX('resident aged receivable'!$J:$J,$A159))</f>
        <v>1346.14</v>
      </c>
      <c r="J159" s="1010" cm="1">
        <f t="array" ref="J159">IF($A159="","",INDEX('resident aged receivable'!$K:$K,$A159))</f>
        <v>0</v>
      </c>
      <c r="K159" s="1020" t="str" cm="1">
        <f t="array" ref="K159">IFERROR(IF(B159="","",IF(SUMPRODUCT((LeaseLock!$D$2:$D$500=B159)*ISNUMBER(SEARCH(LEFT(C159,FIND(",",C159&amp;",")-1),LeaseLock!$C$2:$C$500)))=0,"",IF(LOOKUP(2,1/((LeaseLock!$D$2:$D$500=B159)*ISNUMBER(SEARCH(LEFT(C159,FIND(",",C159&amp;",")-1),LeaseLock!$C$2:$C$500))),LeaseLock!$F$2:$F$500)="Claim Denied","Claim Denied ("&amp;LOOKUP(2,1/((LeaseLock!$D$2:$D$500=B159)*ISNUMBER(SEARCH(LEFT(C159,FIND(",",C159&amp;",")-1),LeaseLock!$C$2:$C$500))),LeaseLock!$G$2:$G$500)&amp;")",IF(LOOKUP(2,1/((LeaseLock!$D$2:$D$500=B159)*ISNUMBER(SEARCH(LEFT(C159,FIND(",",C159&amp;",")-1),LeaseLock!$C$2:$C$500))),LeaseLock!$F$2:$F$500)="Open","Open - "&amp;LOOKUP(2,1/((LeaseLock!$D$2:$D$500=B159)*ISNUMBER(SEARCH(LEFT(C159,FIND(",",C159&amp;",")-1),LeaseLock!$C$2:$C$500))),LeaseLock!$G$2:$G$500),IF(LOOKUP(2,1/((LeaseLock!$D$2:$D$500=B159)*ISNUMBER(SEARCH(LEFT(C159,FIND(",",C159&amp;",")-1),LeaseLock!$C$2:$C$500))),LeaseLock!$M$2:$M$500)&gt;0,LOOKUP(2,1/((LeaseLock!$D$2:$D$500=B159)*ISNUMBER(SEARCH(LEFT(C159,FIND(",",C159&amp;",")-1),LeaseLock!$C$2:$C$500))),LeaseLock!$F$2:$F$500)&amp;" - $"&amp;TEXT(LOOKUP(2,1/((LeaseLock!$D$2:$D$500=B159)*ISNUMBER(SEARCH(LEFT(C159,FIND(",",C159&amp;",")-1),LeaseLock!$C$2:$C$500))),LeaseLock!$M$2:$M$500),"#,##0.00")&amp;" paid",LOOKUP(2,1/((LeaseLock!$D$2:$D$500=B159)*ISNUMBER(SEARCH(LEFT(C159,FIND(",",C159&amp;",")-1),LeaseLock!$C$2:$C$500))),LeaseLock!$F$2:$F$500)&amp;" - no payment"))))),"")</f>
        <v/>
      </c>
      <c r="L159" s="1063" t="s">
        <v>1165</v>
      </c>
      <c r="M159" s="992"/>
      <c r="N159" s="992"/>
      <c r="Q159" s="973"/>
      <c r="R159" s="973"/>
      <c r="S159" s="973"/>
      <c r="T159" s="973"/>
      <c r="U159" s="973"/>
      <c r="V159" s="973"/>
      <c r="W159" s="973"/>
      <c r="X159" s="973"/>
      <c r="Y159" s="973"/>
      <c r="Z159" s="973"/>
    </row>
    <row r="160" spans="1:26" ht="12" customHeight="1">
      <c r="A160" s="996" cm="1">
        <f t="array" ref="A160">IFERROR(_xlfn.LET(_xlpm.n,ROW()-138,_xlpm.adj,IF(((((LEFT('resident aged receivable'!$E$2:$E$460,7)="Current")+(LEFT('resident aged receivable'!$E$2:$E$460,6)="Notice"))&gt;0)*(((ISNUMBER(SEARCH("Eviction",'resident aged receivable'!$E$2:$E$460))=FALSE)+(ISNUMBER(SEARCH("(On Property)",'resident aged receivable'!$E$2:$E$460))&gt;0))&gt;0)*(ISNUMBER(SEARCH("Skip",'resident aged receivable'!$E$2:$E$460))=FALSE)*(COUNTIF($N$3:$N$24,'resident aged receivable'!$D$2:$D$460)=0)*(COUNTIF($P$3:$P$24,'resident aged receivable'!$D$2:$D$460)=0)*('resident aged receivable'!$I$2:$I$460&gt;=$H$3)+(COUNTIF($P$3:$P$24,'resident aged receivable'!$D$2:$D$460)&gt;0)*(COUNTIF($N$3:$N$24,'resident aged receivable'!$D$2:$D$460)=0)*('resident aged receivable'!$I$2:$I$460&gt;0))&gt;0,'resident aged receivable'!$I$2:$I$460-ROW('resident aged receivable'!$I$2:$I$460)/1000000),_xlpm.tgt,LARGE(_xlpm.adj,_xlpm.n),MATCH(_xlpm.tgt,_xlpm.adj,0)+1),"")</f>
        <v>167</v>
      </c>
      <c r="B160" s="997" t="str" cm="1">
        <f t="array" ref="B160">IF($A160="","",INDEX('resident aged receivable'!$B:$B,$A160))</f>
        <v>W21-2-1059</v>
      </c>
      <c r="C160" s="997" t="str" cm="1">
        <f t="array" ref="C160">IF($A160="","",INDEX('resident aged receivable'!$D:$D,$A160))</f>
        <v>Daniels, Thalia</v>
      </c>
      <c r="D160" s="998" cm="1">
        <f t="array" ref="D160">IF($A160="","",INDEX('resident aged receivable'!$F:$F,$A160))</f>
        <v>45856</v>
      </c>
      <c r="E160" s="998" t="str" cm="1">
        <f t="array" ref="E160">IF($A160="","",_xlfn.LET(_xlpm.leaseEnd,INDEX('resident aged receivable'!$H:$H,$A160),_xlpm.s,INDEX('resident aged receivable'!$E:$E,$A160),IF(ISNUMBER(SEARCH("Current",_xlpm.s))+ISNUMBER(SEARCH("Notice",_xlpm.s)),"",IF(ISNUMBER(_xlpm.leaseEnd),_xlpm.leaseEnd,""))))</f>
        <v/>
      </c>
      <c r="F160" s="997" t="str">
        <f t="shared" si="4"/>
        <v>IPS</v>
      </c>
      <c r="G160" s="1000" t="str" cm="1">
        <f t="array" ref="G160">IF($A160="","",_xlfn.LET(_xlpm.s,INDEX('resident aged receivable'!$E:$E,$A160),_xlpm.onRR,COUNTIF($P$3:$P$24,C160)&gt;0,IF(ISNUMBER(SEARCH("Eviction",_xlpm.s)),"Eviction",IF(_xlpm.onRR,"Current - On Rent Roll",IF(COUNTIF($N$3:$N$24,C160)&gt;0,"Former",IF(ISNUMBER(SEARCH("Skip",_xlpm.s)),"Skip",IF(ISNUMBER(SEARCH("Past",_xlpm.s))+ISNUMBER(SEARCH("Collections",_xlpm.s)),"Former",_xlpm.s)))))))</f>
        <v>Current</v>
      </c>
      <c r="H160" s="1010" cm="1">
        <f t="array" ref="H160">IF($A160="","",INDEX('resident aged receivable'!$I:$I,$A160))</f>
        <v>1343.78</v>
      </c>
      <c r="I160" s="1010" cm="1">
        <f t="array" ref="I160">IF($A160="","",INDEX('resident aged receivable'!$J:$J,$A160))</f>
        <v>1178.19</v>
      </c>
      <c r="J160" s="1010" cm="1">
        <f t="array" ref="J160">IF($A160="","",INDEX('resident aged receivable'!$K:$K,$A160))</f>
        <v>165.59</v>
      </c>
      <c r="K160" s="1020" t="str" cm="1">
        <f t="array" ref="K160">IFERROR(IF(B160="","",IF(SUMPRODUCT((LeaseLock!$D$2:$D$500=B160)*ISNUMBER(SEARCH(LEFT(C160,FIND(",",C160&amp;",")-1),LeaseLock!$C$2:$C$500)))=0,"",IF(LOOKUP(2,1/((LeaseLock!$D$2:$D$500=B160)*ISNUMBER(SEARCH(LEFT(C160,FIND(",",C160&amp;",")-1),LeaseLock!$C$2:$C$500))),LeaseLock!$F$2:$F$500)="Claim Denied","Claim Denied ("&amp;LOOKUP(2,1/((LeaseLock!$D$2:$D$500=B160)*ISNUMBER(SEARCH(LEFT(C160,FIND(",",C160&amp;",")-1),LeaseLock!$C$2:$C$500))),LeaseLock!$G$2:$G$500)&amp;")",IF(LOOKUP(2,1/((LeaseLock!$D$2:$D$500=B160)*ISNUMBER(SEARCH(LEFT(C160,FIND(",",C160&amp;",")-1),LeaseLock!$C$2:$C$500))),LeaseLock!$F$2:$F$500)="Open","Open - "&amp;LOOKUP(2,1/((LeaseLock!$D$2:$D$500=B160)*ISNUMBER(SEARCH(LEFT(C160,FIND(",",C160&amp;",")-1),LeaseLock!$C$2:$C$500))),LeaseLock!$G$2:$G$500),IF(LOOKUP(2,1/((LeaseLock!$D$2:$D$500=B160)*ISNUMBER(SEARCH(LEFT(C160,FIND(",",C160&amp;",")-1),LeaseLock!$C$2:$C$500))),LeaseLock!$M$2:$M$500)&gt;0,LOOKUP(2,1/((LeaseLock!$D$2:$D$500=B160)*ISNUMBER(SEARCH(LEFT(C160,FIND(",",C160&amp;",")-1),LeaseLock!$C$2:$C$500))),LeaseLock!$F$2:$F$500)&amp;" - $"&amp;TEXT(LOOKUP(2,1/((LeaseLock!$D$2:$D$500=B160)*ISNUMBER(SEARCH(LEFT(C160,FIND(",",C160&amp;",")-1),LeaseLock!$C$2:$C$500))),LeaseLock!$M$2:$M$500),"#,##0.00")&amp;" paid",LOOKUP(2,1/((LeaseLock!$D$2:$D$500=B160)*ISNUMBER(SEARCH(LEFT(C160,FIND(",",C160&amp;",")-1),LeaseLock!$C$2:$C$500))),LeaseLock!$F$2:$F$500)&amp;" - no payment"))))),"")</f>
        <v/>
      </c>
      <c r="L160" s="1063" t="s">
        <v>1165</v>
      </c>
      <c r="M160" s="992"/>
      <c r="N160" s="992"/>
      <c r="Q160" s="973"/>
      <c r="R160" s="973"/>
      <c r="S160" s="973"/>
      <c r="T160" s="973"/>
      <c r="U160" s="973"/>
      <c r="V160" s="973"/>
      <c r="W160" s="973"/>
      <c r="X160" s="973"/>
      <c r="Y160" s="973"/>
      <c r="Z160" s="973"/>
    </row>
    <row r="161" spans="1:26" ht="12" customHeight="1">
      <c r="A161" s="996" cm="1">
        <f t="array" ref="A161">IFERROR(_xlfn.LET(_xlpm.n,ROW()-138,_xlpm.adj,IF(((((LEFT('resident aged receivable'!$E$2:$E$460,7)="Current")+(LEFT('resident aged receivable'!$E$2:$E$460,6)="Notice"))&gt;0)*(((ISNUMBER(SEARCH("Eviction",'resident aged receivable'!$E$2:$E$460))=FALSE)+(ISNUMBER(SEARCH("(On Property)",'resident aged receivable'!$E$2:$E$460))&gt;0))&gt;0)*(ISNUMBER(SEARCH("Skip",'resident aged receivable'!$E$2:$E$460))=FALSE)*(COUNTIF($N$3:$N$24,'resident aged receivable'!$D$2:$D$460)=0)*(COUNTIF($P$3:$P$24,'resident aged receivable'!$D$2:$D$460)=0)*('resident aged receivable'!$I$2:$I$460&gt;=$H$3)+(COUNTIF($P$3:$P$24,'resident aged receivable'!$D$2:$D$460)&gt;0)*(COUNTIF($N$3:$N$24,'resident aged receivable'!$D$2:$D$460)=0)*('resident aged receivable'!$I$2:$I$460&gt;0))&gt;0,'resident aged receivable'!$I$2:$I$460-ROW('resident aged receivable'!$I$2:$I$460)/1000000),_xlpm.tgt,LARGE(_xlpm.adj,_xlpm.n),MATCH(_xlpm.tgt,_xlpm.adj,0)+1),"")</f>
        <v>114</v>
      </c>
      <c r="B161" s="997" t="str" cm="1">
        <f t="array" ref="B161">IF($A161="","",INDEX('resident aged receivable'!$B:$B,$A161))</f>
        <v>W07-1-0716</v>
      </c>
      <c r="C161" s="997" t="str" cm="1">
        <f t="array" ref="C161">IF($A161="","",INDEX('resident aged receivable'!$D:$D,$A161))</f>
        <v>Delgado, Frank</v>
      </c>
      <c r="D161" s="998" cm="1">
        <f t="array" ref="D161">IF($A161="","",INDEX('resident aged receivable'!$F:$F,$A161))</f>
        <v>45535</v>
      </c>
      <c r="E161" s="998" t="str" cm="1">
        <f t="array" ref="E161">IF($A161="","",_xlfn.LET(_xlpm.leaseEnd,INDEX('resident aged receivable'!$H:$H,$A161),_xlpm.s,INDEX('resident aged receivable'!$E:$E,$A161),IF(ISNUMBER(SEARCH("Current",_xlpm.s))+ISNUMBER(SEARCH("Notice",_xlpm.s)),"",IF(ISNUMBER(_xlpm.leaseEnd),_xlpm.leaseEnd,""))))</f>
        <v/>
      </c>
      <c r="F161" s="997" t="str">
        <f t="shared" si="4"/>
        <v>IPS</v>
      </c>
      <c r="G161" s="1000" t="str" cm="1">
        <f t="array" ref="G161">IF($A161="","",_xlfn.LET(_xlpm.s,INDEX('resident aged receivable'!$E:$E,$A161),_xlpm.onRR,COUNTIF($P$3:$P$24,C161)&gt;0,IF(ISNUMBER(SEARCH("Eviction",_xlpm.s)),"Eviction",IF(_xlpm.onRR,"Current - On Rent Roll",IF(COUNTIF($N$3:$N$24,C161)&gt;0,"Former",IF(ISNUMBER(SEARCH("Skip",_xlpm.s)),"Skip",IF(ISNUMBER(SEARCH("Past",_xlpm.s))+ISNUMBER(SEARCH("Collections",_xlpm.s)),"Former",_xlpm.s)))))))</f>
        <v>Current</v>
      </c>
      <c r="H161" s="1010" cm="1">
        <f t="array" ref="H161">IF($A161="","",INDEX('resident aged receivable'!$I:$I,$A161))</f>
        <v>1336.4</v>
      </c>
      <c r="I161" s="1010" cm="1">
        <f t="array" ref="I161">IF($A161="","",INDEX('resident aged receivable'!$J:$J,$A161))</f>
        <v>1336.4</v>
      </c>
      <c r="J161" s="1010" cm="1">
        <f t="array" ref="J161">IF($A161="","",INDEX('resident aged receivable'!$K:$K,$A161))</f>
        <v>0</v>
      </c>
      <c r="K161" s="1020" t="str" cm="1">
        <f t="array" ref="K161">IFERROR(IF(B161="","",IF(SUMPRODUCT((LeaseLock!$D$2:$D$500=B161)*ISNUMBER(SEARCH(LEFT(C161,FIND(",",C161&amp;",")-1),LeaseLock!$C$2:$C$500)))=0,"",IF(LOOKUP(2,1/((LeaseLock!$D$2:$D$500=B161)*ISNUMBER(SEARCH(LEFT(C161,FIND(",",C161&amp;",")-1),LeaseLock!$C$2:$C$500))),LeaseLock!$F$2:$F$500)="Claim Denied","Claim Denied ("&amp;LOOKUP(2,1/((LeaseLock!$D$2:$D$500=B161)*ISNUMBER(SEARCH(LEFT(C161,FIND(",",C161&amp;",")-1),LeaseLock!$C$2:$C$500))),LeaseLock!$G$2:$G$500)&amp;")",IF(LOOKUP(2,1/((LeaseLock!$D$2:$D$500=B161)*ISNUMBER(SEARCH(LEFT(C161,FIND(",",C161&amp;",")-1),LeaseLock!$C$2:$C$500))),LeaseLock!$F$2:$F$500)="Open","Open - "&amp;LOOKUP(2,1/((LeaseLock!$D$2:$D$500=B161)*ISNUMBER(SEARCH(LEFT(C161,FIND(",",C161&amp;",")-1),LeaseLock!$C$2:$C$500))),LeaseLock!$G$2:$G$500),IF(LOOKUP(2,1/((LeaseLock!$D$2:$D$500=B161)*ISNUMBER(SEARCH(LEFT(C161,FIND(",",C161&amp;",")-1),LeaseLock!$C$2:$C$500))),LeaseLock!$M$2:$M$500)&gt;0,LOOKUP(2,1/((LeaseLock!$D$2:$D$500=B161)*ISNUMBER(SEARCH(LEFT(C161,FIND(",",C161&amp;",")-1),LeaseLock!$C$2:$C$500))),LeaseLock!$F$2:$F$500)&amp;" - $"&amp;TEXT(LOOKUP(2,1/((LeaseLock!$D$2:$D$500=B161)*ISNUMBER(SEARCH(LEFT(C161,FIND(",",C161&amp;",")-1),LeaseLock!$C$2:$C$500))),LeaseLock!$M$2:$M$500),"#,##0.00")&amp;" paid",LOOKUP(2,1/((LeaseLock!$D$2:$D$500=B161)*ISNUMBER(SEARCH(LEFT(C161,FIND(",",C161&amp;",")-1),LeaseLock!$C$2:$C$500))),LeaseLock!$F$2:$F$500)&amp;" - no payment"))))),"")</f>
        <v/>
      </c>
      <c r="L161" s="1063" t="s">
        <v>1165</v>
      </c>
      <c r="M161" s="992"/>
      <c r="N161" s="992"/>
      <c r="Q161" s="973"/>
      <c r="R161" s="973"/>
      <c r="S161" s="973"/>
      <c r="T161" s="973"/>
      <c r="U161" s="973"/>
      <c r="V161" s="973"/>
      <c r="W161" s="973"/>
      <c r="X161" s="973"/>
      <c r="Y161" s="973"/>
      <c r="Z161" s="973"/>
    </row>
    <row r="162" spans="1:26" ht="12" customHeight="1">
      <c r="A162" s="996" cm="1">
        <f t="array" ref="A162">IFERROR(_xlfn.LET(_xlpm.n,ROW()-138,_xlpm.adj,IF(((((LEFT('resident aged receivable'!$E$2:$E$460,7)="Current")+(LEFT('resident aged receivable'!$E$2:$E$460,6)="Notice"))&gt;0)*(((ISNUMBER(SEARCH("Eviction",'resident aged receivable'!$E$2:$E$460))=FALSE)+(ISNUMBER(SEARCH("(On Property)",'resident aged receivable'!$E$2:$E$460))&gt;0))&gt;0)*(ISNUMBER(SEARCH("Skip",'resident aged receivable'!$E$2:$E$460))=FALSE)*(COUNTIF($N$3:$N$24,'resident aged receivable'!$D$2:$D$460)=0)*(COUNTIF($P$3:$P$24,'resident aged receivable'!$D$2:$D$460)=0)*('resident aged receivable'!$I$2:$I$460&gt;=$H$3)+(COUNTIF($P$3:$P$24,'resident aged receivable'!$D$2:$D$460)&gt;0)*(COUNTIF($N$3:$N$24,'resident aged receivable'!$D$2:$D$460)=0)*('resident aged receivable'!$I$2:$I$460&gt;0))&gt;0,'resident aged receivable'!$I$2:$I$460-ROW('resident aged receivable'!$I$2:$I$460)/1000000),_xlpm.tgt,LARGE(_xlpm.adj,_xlpm.n),MATCH(_xlpm.tgt,_xlpm.adj,0)+1),"")</f>
        <v>60</v>
      </c>
      <c r="B162" s="997" t="str" cm="1">
        <f t="array" ref="B162">IF($A162="","",INDEX('resident aged receivable'!$B:$B,$A162))</f>
        <v>S27-417</v>
      </c>
      <c r="C162" s="997" t="str" cm="1">
        <f t="array" ref="C162">IF($A162="","",INDEX('resident aged receivable'!$D:$D,$A162))</f>
        <v>Osuji, Obinna</v>
      </c>
      <c r="D162" s="998" cm="1">
        <f t="array" ref="D162">IF($A162="","",INDEX('resident aged receivable'!$F:$F,$A162))</f>
        <v>43344</v>
      </c>
      <c r="E162" s="998" t="str" cm="1">
        <f t="array" ref="E162">IF($A162="","",_xlfn.LET(_xlpm.leaseEnd,INDEX('resident aged receivable'!$H:$H,$A162),_xlpm.s,INDEX('resident aged receivable'!$E:$E,$A162),IF(ISNUMBER(SEARCH("Current",_xlpm.s))+ISNUMBER(SEARCH("Notice",_xlpm.s)),"",IF(ISNUMBER(_xlpm.leaseEnd),_xlpm.leaseEnd,""))))</f>
        <v/>
      </c>
      <c r="F162" s="997" t="str">
        <f t="shared" si="4"/>
        <v>IPS</v>
      </c>
      <c r="G162" s="1000" t="str" cm="1">
        <f t="array" ref="G162">IF($A162="","",_xlfn.LET(_xlpm.s,INDEX('resident aged receivable'!$E:$E,$A162),_xlpm.onRR,COUNTIF($P$3:$P$24,C162)&gt;0,IF(ISNUMBER(SEARCH("Eviction",_xlpm.s)),"Eviction",IF(_xlpm.onRR,"Current - On Rent Roll",IF(COUNTIF($N$3:$N$24,C162)&gt;0,"Former",IF(ISNUMBER(SEARCH("Skip",_xlpm.s)),"Skip",IF(ISNUMBER(SEARCH("Past",_xlpm.s))+ISNUMBER(SEARCH("Collections",_xlpm.s)),"Former",_xlpm.s)))))))</f>
        <v>Current</v>
      </c>
      <c r="H162" s="1010" cm="1">
        <f t="array" ref="H162">IF($A162="","",INDEX('resident aged receivable'!$I:$I,$A162))</f>
        <v>1308.73</v>
      </c>
      <c r="I162" s="1010" cm="1">
        <f t="array" ref="I162">IF($A162="","",INDEX('resident aged receivable'!$J:$J,$A162))</f>
        <v>1308.73</v>
      </c>
      <c r="J162" s="1010" cm="1">
        <f t="array" ref="J162">IF($A162="","",INDEX('resident aged receivable'!$K:$K,$A162))</f>
        <v>0</v>
      </c>
      <c r="K162" s="1020" t="str" cm="1">
        <f t="array" ref="K162">IFERROR(IF(B162="","",IF(SUMPRODUCT((LeaseLock!$D$2:$D$500=B162)*ISNUMBER(SEARCH(LEFT(C162,FIND(",",C162&amp;",")-1),LeaseLock!$C$2:$C$500)))=0,"",IF(LOOKUP(2,1/((LeaseLock!$D$2:$D$500=B162)*ISNUMBER(SEARCH(LEFT(C162,FIND(",",C162&amp;",")-1),LeaseLock!$C$2:$C$500))),LeaseLock!$F$2:$F$500)="Claim Denied","Claim Denied ("&amp;LOOKUP(2,1/((LeaseLock!$D$2:$D$500=B162)*ISNUMBER(SEARCH(LEFT(C162,FIND(",",C162&amp;",")-1),LeaseLock!$C$2:$C$500))),LeaseLock!$G$2:$G$500)&amp;")",IF(LOOKUP(2,1/((LeaseLock!$D$2:$D$500=B162)*ISNUMBER(SEARCH(LEFT(C162,FIND(",",C162&amp;",")-1),LeaseLock!$C$2:$C$500))),LeaseLock!$F$2:$F$500)="Open","Open - "&amp;LOOKUP(2,1/((LeaseLock!$D$2:$D$500=B162)*ISNUMBER(SEARCH(LEFT(C162,FIND(",",C162&amp;",")-1),LeaseLock!$C$2:$C$500))),LeaseLock!$G$2:$G$500),IF(LOOKUP(2,1/((LeaseLock!$D$2:$D$500=B162)*ISNUMBER(SEARCH(LEFT(C162,FIND(",",C162&amp;",")-1),LeaseLock!$C$2:$C$500))),LeaseLock!$M$2:$M$500)&gt;0,LOOKUP(2,1/((LeaseLock!$D$2:$D$500=B162)*ISNUMBER(SEARCH(LEFT(C162,FIND(",",C162&amp;",")-1),LeaseLock!$C$2:$C$500))),LeaseLock!$F$2:$F$500)&amp;" - $"&amp;TEXT(LOOKUP(2,1/((LeaseLock!$D$2:$D$500=B162)*ISNUMBER(SEARCH(LEFT(C162,FIND(",",C162&amp;",")-1),LeaseLock!$C$2:$C$500))),LeaseLock!$M$2:$M$500),"#,##0.00")&amp;" paid",LOOKUP(2,1/((LeaseLock!$D$2:$D$500=B162)*ISNUMBER(SEARCH(LEFT(C162,FIND(",",C162&amp;",")-1),LeaseLock!$C$2:$C$500))),LeaseLock!$F$2:$F$500)&amp;" - no payment"))))),"")</f>
        <v/>
      </c>
      <c r="L162" s="1063" t="s">
        <v>1165</v>
      </c>
      <c r="M162" s="992"/>
      <c r="N162" s="992"/>
      <c r="Q162" s="973"/>
      <c r="R162" s="973"/>
      <c r="S162" s="973"/>
      <c r="T162" s="973"/>
      <c r="U162" s="973"/>
      <c r="V162" s="973"/>
      <c r="W162" s="973"/>
      <c r="X162" s="973"/>
      <c r="Y162" s="973"/>
      <c r="Z162" s="973"/>
    </row>
    <row r="163" spans="1:26" ht="12" customHeight="1">
      <c r="A163" s="996" cm="1">
        <f t="array" ref="A163">IFERROR(_xlfn.LET(_xlpm.n,ROW()-138,_xlpm.adj,IF(((((LEFT('resident aged receivable'!$E$2:$E$460,7)="Current")+(LEFT('resident aged receivable'!$E$2:$E$460,6)="Notice"))&gt;0)*(((ISNUMBER(SEARCH("Eviction",'resident aged receivable'!$E$2:$E$460))=FALSE)+(ISNUMBER(SEARCH("(On Property)",'resident aged receivable'!$E$2:$E$460))&gt;0))&gt;0)*(ISNUMBER(SEARCH("Skip",'resident aged receivable'!$E$2:$E$460))=FALSE)*(COUNTIF($N$3:$N$24,'resident aged receivable'!$D$2:$D$460)=0)*(COUNTIF($P$3:$P$24,'resident aged receivable'!$D$2:$D$460)=0)*('resident aged receivable'!$I$2:$I$460&gt;=$H$3)+(COUNTIF($P$3:$P$24,'resident aged receivable'!$D$2:$D$460)&gt;0)*(COUNTIF($N$3:$N$24,'resident aged receivable'!$D$2:$D$460)=0)*('resident aged receivable'!$I$2:$I$460&gt;0))&gt;0,'resident aged receivable'!$I$2:$I$460-ROW('resident aged receivable'!$I$2:$I$460)/1000000),_xlpm.tgt,LARGE(_xlpm.adj,_xlpm.n),MATCH(_xlpm.tgt,_xlpm.adj,0)+1),"")</f>
        <v>70</v>
      </c>
      <c r="B163" s="997" t="str" cm="1">
        <f t="array" ref="B163">IF($A163="","",INDEX('resident aged receivable'!$B:$B,$A163))</f>
        <v>S29-115</v>
      </c>
      <c r="C163" s="997" t="str" cm="1">
        <f t="array" ref="C163">IF($A163="","",INDEX('resident aged receivable'!$D:$D,$A163))</f>
        <v>Lopez, Noelia</v>
      </c>
      <c r="D163" s="998" cm="1">
        <f t="array" ref="D163">IF($A163="","",INDEX('resident aged receivable'!$F:$F,$A163))</f>
        <v>45807</v>
      </c>
      <c r="E163" s="998" t="str" cm="1">
        <f t="array" ref="E163">IF($A163="","",_xlfn.LET(_xlpm.leaseEnd,INDEX('resident aged receivable'!$H:$H,$A163),_xlpm.s,INDEX('resident aged receivable'!$E:$E,$A163),IF(ISNUMBER(SEARCH("Current",_xlpm.s))+ISNUMBER(SEARCH("Notice",_xlpm.s)),"",IF(ISNUMBER(_xlpm.leaseEnd),_xlpm.leaseEnd,""))))</f>
        <v/>
      </c>
      <c r="F163" s="997" t="str">
        <f t="shared" si="4"/>
        <v>IPS</v>
      </c>
      <c r="G163" s="1000" t="str" cm="1">
        <f t="array" ref="G163">IF($A163="","",_xlfn.LET(_xlpm.s,INDEX('resident aged receivable'!$E:$E,$A163),_xlpm.onRR,COUNTIF($P$3:$P$24,C163)&gt;0,IF(ISNUMBER(SEARCH("Eviction",_xlpm.s)),"Eviction",IF(_xlpm.onRR,"Current - On Rent Roll",IF(COUNTIF($N$3:$N$24,C163)&gt;0,"Former",IF(ISNUMBER(SEARCH("Skip",_xlpm.s)),"Skip",IF(ISNUMBER(SEARCH("Past",_xlpm.s))+ISNUMBER(SEARCH("Collections",_xlpm.s)),"Former",_xlpm.s)))))))</f>
        <v>Current</v>
      </c>
      <c r="H163" s="1010" cm="1">
        <f t="array" ref="H163">IF($A163="","",INDEX('resident aged receivable'!$I:$I,$A163))</f>
        <v>1304.73</v>
      </c>
      <c r="I163" s="1010" cm="1">
        <f t="array" ref="I163">IF($A163="","",INDEX('resident aged receivable'!$J:$J,$A163))</f>
        <v>1304.73</v>
      </c>
      <c r="J163" s="1010" cm="1">
        <f t="array" ref="J163">IF($A163="","",INDEX('resident aged receivable'!$K:$K,$A163))</f>
        <v>0</v>
      </c>
      <c r="K163" s="1020" t="str" cm="1">
        <f t="array" ref="K163">IFERROR(IF(B163="","",IF(SUMPRODUCT((LeaseLock!$D$2:$D$500=B163)*ISNUMBER(SEARCH(LEFT(C163,FIND(",",C163&amp;",")-1),LeaseLock!$C$2:$C$500)))=0,"",IF(LOOKUP(2,1/((LeaseLock!$D$2:$D$500=B163)*ISNUMBER(SEARCH(LEFT(C163,FIND(",",C163&amp;",")-1),LeaseLock!$C$2:$C$500))),LeaseLock!$F$2:$F$500)="Claim Denied","Claim Denied ("&amp;LOOKUP(2,1/((LeaseLock!$D$2:$D$500=B163)*ISNUMBER(SEARCH(LEFT(C163,FIND(",",C163&amp;",")-1),LeaseLock!$C$2:$C$500))),LeaseLock!$G$2:$G$500)&amp;")",IF(LOOKUP(2,1/((LeaseLock!$D$2:$D$500=B163)*ISNUMBER(SEARCH(LEFT(C163,FIND(",",C163&amp;",")-1),LeaseLock!$C$2:$C$500))),LeaseLock!$F$2:$F$500)="Open","Open - "&amp;LOOKUP(2,1/((LeaseLock!$D$2:$D$500=B163)*ISNUMBER(SEARCH(LEFT(C163,FIND(",",C163&amp;",")-1),LeaseLock!$C$2:$C$500))),LeaseLock!$G$2:$G$500),IF(LOOKUP(2,1/((LeaseLock!$D$2:$D$500=B163)*ISNUMBER(SEARCH(LEFT(C163,FIND(",",C163&amp;",")-1),LeaseLock!$C$2:$C$500))),LeaseLock!$M$2:$M$500)&gt;0,LOOKUP(2,1/((LeaseLock!$D$2:$D$500=B163)*ISNUMBER(SEARCH(LEFT(C163,FIND(",",C163&amp;",")-1),LeaseLock!$C$2:$C$500))),LeaseLock!$F$2:$F$500)&amp;" - $"&amp;TEXT(LOOKUP(2,1/((LeaseLock!$D$2:$D$500=B163)*ISNUMBER(SEARCH(LEFT(C163,FIND(",",C163&amp;",")-1),LeaseLock!$C$2:$C$500))),LeaseLock!$M$2:$M$500),"#,##0.00")&amp;" paid",LOOKUP(2,1/((LeaseLock!$D$2:$D$500=B163)*ISNUMBER(SEARCH(LEFT(C163,FIND(",",C163&amp;",")-1),LeaseLock!$C$2:$C$500))),LeaseLock!$F$2:$F$500)&amp;" - no payment"))))),"")</f>
        <v/>
      </c>
      <c r="L163" s="1063" t="s">
        <v>1165</v>
      </c>
      <c r="M163" s="992"/>
      <c r="N163" s="992"/>
      <c r="Q163" s="973"/>
      <c r="R163" s="973"/>
      <c r="S163" s="973"/>
      <c r="T163" s="973"/>
      <c r="U163" s="973"/>
      <c r="V163" s="973"/>
      <c r="W163" s="973"/>
      <c r="X163" s="973"/>
      <c r="Y163" s="973"/>
      <c r="Z163" s="973"/>
    </row>
    <row r="164" spans="1:26" ht="12" customHeight="1">
      <c r="A164" s="996" cm="1">
        <f t="array" ref="A164">IFERROR(_xlfn.LET(_xlpm.n,ROW()-138,_xlpm.adj,IF(((((LEFT('resident aged receivable'!$E$2:$E$460,7)="Current")+(LEFT('resident aged receivable'!$E$2:$E$460,6)="Notice"))&gt;0)*(((ISNUMBER(SEARCH("Eviction",'resident aged receivable'!$E$2:$E$460))=FALSE)+(ISNUMBER(SEARCH("(On Property)",'resident aged receivable'!$E$2:$E$460))&gt;0))&gt;0)*(ISNUMBER(SEARCH("Skip",'resident aged receivable'!$E$2:$E$460))=FALSE)*(COUNTIF($N$3:$N$24,'resident aged receivable'!$D$2:$D$460)=0)*(COUNTIF($P$3:$P$24,'resident aged receivable'!$D$2:$D$460)=0)*('resident aged receivable'!$I$2:$I$460&gt;=$H$3)+(COUNTIF($P$3:$P$24,'resident aged receivable'!$D$2:$D$460)&gt;0)*(COUNTIF($N$3:$N$24,'resident aged receivable'!$D$2:$D$460)=0)*('resident aged receivable'!$I$2:$I$460&gt;0))&gt;0,'resident aged receivable'!$I$2:$I$460-ROW('resident aged receivable'!$I$2:$I$460)/1000000),_xlpm.tgt,LARGE(_xlpm.adj,_xlpm.n),MATCH(_xlpm.tgt,_xlpm.adj,0)+1),"")</f>
        <v>45</v>
      </c>
      <c r="B164" s="997" t="str" cm="1">
        <f t="array" ref="B164">IF($A164="","",INDEX('resident aged receivable'!$B:$B,$A164))</f>
        <v>N20-2088</v>
      </c>
      <c r="C164" s="997" t="str" cm="1">
        <f t="array" ref="C164">IF($A164="","",INDEX('resident aged receivable'!$D:$D,$A164))</f>
        <v>Abiodun, Solomon</v>
      </c>
      <c r="D164" s="998" cm="1">
        <f t="array" ref="D164">IF($A164="","",INDEX('resident aged receivable'!$F:$F,$A164))</f>
        <v>45563</v>
      </c>
      <c r="E164" s="998" t="str" cm="1">
        <f t="array" ref="E164">IF($A164="","",_xlfn.LET(_xlpm.leaseEnd,INDEX('resident aged receivable'!$H:$H,$A164),_xlpm.s,INDEX('resident aged receivable'!$E:$E,$A164),IF(ISNUMBER(SEARCH("Current",_xlpm.s))+ISNUMBER(SEARCH("Notice",_xlpm.s)),"",IF(ISNUMBER(_xlpm.leaseEnd),_xlpm.leaseEnd,""))))</f>
        <v/>
      </c>
      <c r="F164" s="997" t="str">
        <f t="shared" si="4"/>
        <v>IPS</v>
      </c>
      <c r="G164" s="1000" t="str" cm="1">
        <f t="array" ref="G164">IF($A164="","",_xlfn.LET(_xlpm.s,INDEX('resident aged receivable'!$E:$E,$A164),_xlpm.onRR,COUNTIF($P$3:$P$24,C164)&gt;0,IF(ISNUMBER(SEARCH("Eviction",_xlpm.s)),"Eviction",IF(_xlpm.onRR,"Current - On Rent Roll",IF(COUNTIF($N$3:$N$24,C164)&gt;0,"Former",IF(ISNUMBER(SEARCH("Skip",_xlpm.s)),"Skip",IF(ISNUMBER(SEARCH("Past",_xlpm.s))+ISNUMBER(SEARCH("Collections",_xlpm.s)),"Former",_xlpm.s)))))))</f>
        <v>Current</v>
      </c>
      <c r="H164" s="1010" cm="1">
        <f t="array" ref="H164">IF($A164="","",INDEX('resident aged receivable'!$I:$I,$A164))</f>
        <v>1272.8699999999999</v>
      </c>
      <c r="I164" s="1010" cm="1">
        <f t="array" ref="I164">IF($A164="","",INDEX('resident aged receivable'!$J:$J,$A164))</f>
        <v>1272.8699999999999</v>
      </c>
      <c r="J164" s="1010" cm="1">
        <f t="array" ref="J164">IF($A164="","",INDEX('resident aged receivable'!$K:$K,$A164))</f>
        <v>0</v>
      </c>
      <c r="K164" s="1020" t="str" cm="1">
        <f t="array" ref="K164">IFERROR(IF(B164="","",IF(SUMPRODUCT((LeaseLock!$D$2:$D$500=B164)*ISNUMBER(SEARCH(LEFT(C164,FIND(",",C164&amp;",")-1),LeaseLock!$C$2:$C$500)))=0,"",IF(LOOKUP(2,1/((LeaseLock!$D$2:$D$500=B164)*ISNUMBER(SEARCH(LEFT(C164,FIND(",",C164&amp;",")-1),LeaseLock!$C$2:$C$500))),LeaseLock!$F$2:$F$500)="Claim Denied","Claim Denied ("&amp;LOOKUP(2,1/((LeaseLock!$D$2:$D$500=B164)*ISNUMBER(SEARCH(LEFT(C164,FIND(",",C164&amp;",")-1),LeaseLock!$C$2:$C$500))),LeaseLock!$G$2:$G$500)&amp;")",IF(LOOKUP(2,1/((LeaseLock!$D$2:$D$500=B164)*ISNUMBER(SEARCH(LEFT(C164,FIND(",",C164&amp;",")-1),LeaseLock!$C$2:$C$500))),LeaseLock!$F$2:$F$500)="Open","Open - "&amp;LOOKUP(2,1/((LeaseLock!$D$2:$D$500=B164)*ISNUMBER(SEARCH(LEFT(C164,FIND(",",C164&amp;",")-1),LeaseLock!$C$2:$C$500))),LeaseLock!$G$2:$G$500),IF(LOOKUP(2,1/((LeaseLock!$D$2:$D$500=B164)*ISNUMBER(SEARCH(LEFT(C164,FIND(",",C164&amp;",")-1),LeaseLock!$C$2:$C$500))),LeaseLock!$M$2:$M$500)&gt;0,LOOKUP(2,1/((LeaseLock!$D$2:$D$500=B164)*ISNUMBER(SEARCH(LEFT(C164,FIND(",",C164&amp;",")-1),LeaseLock!$C$2:$C$500))),LeaseLock!$F$2:$F$500)&amp;" - $"&amp;TEXT(LOOKUP(2,1/((LeaseLock!$D$2:$D$500=B164)*ISNUMBER(SEARCH(LEFT(C164,FIND(",",C164&amp;",")-1),LeaseLock!$C$2:$C$500))),LeaseLock!$M$2:$M$500),"#,##0.00")&amp;" paid",LOOKUP(2,1/((LeaseLock!$D$2:$D$500=B164)*ISNUMBER(SEARCH(LEFT(C164,FIND(",",C164&amp;",")-1),LeaseLock!$C$2:$C$500))),LeaseLock!$F$2:$F$500)&amp;" - no payment"))))),"")</f>
        <v/>
      </c>
      <c r="L164" s="1063"/>
      <c r="M164" s="992"/>
      <c r="N164" s="992"/>
      <c r="Q164" s="973"/>
      <c r="R164" s="973"/>
      <c r="S164" s="973"/>
      <c r="T164" s="973"/>
      <c r="U164" s="973"/>
      <c r="V164" s="973"/>
      <c r="W164" s="973"/>
      <c r="X164" s="973"/>
      <c r="Y164" s="973"/>
      <c r="Z164" s="973"/>
    </row>
    <row r="165" spans="1:26" ht="12" customHeight="1">
      <c r="A165" s="996" cm="1">
        <f t="array" ref="A165">IFERROR(_xlfn.LET(_xlpm.n,ROW()-138,_xlpm.adj,IF(((((LEFT('resident aged receivable'!$E$2:$E$460,7)="Current")+(LEFT('resident aged receivable'!$E$2:$E$460,6)="Notice"))&gt;0)*(((ISNUMBER(SEARCH("Eviction",'resident aged receivable'!$E$2:$E$460))=FALSE)+(ISNUMBER(SEARCH("(On Property)",'resident aged receivable'!$E$2:$E$460))&gt;0))&gt;0)*(ISNUMBER(SEARCH("Skip",'resident aged receivable'!$E$2:$E$460))=FALSE)*(COUNTIF($N$3:$N$24,'resident aged receivable'!$D$2:$D$460)=0)*(COUNTIF($P$3:$P$24,'resident aged receivable'!$D$2:$D$460)=0)*('resident aged receivable'!$I$2:$I$460&gt;=$H$3)+(COUNTIF($P$3:$P$24,'resident aged receivable'!$D$2:$D$460)&gt;0)*(COUNTIF($N$3:$N$24,'resident aged receivable'!$D$2:$D$460)=0)*('resident aged receivable'!$I$2:$I$460&gt;0))&gt;0,'resident aged receivable'!$I$2:$I$460-ROW('resident aged receivable'!$I$2:$I$460)/1000000),_xlpm.tgt,LARGE(_xlpm.adj,_xlpm.n),MATCH(_xlpm.tgt,_xlpm.adj,0)+1),"")</f>
        <v>76</v>
      </c>
      <c r="B165" s="997" t="str" cm="1">
        <f t="array" ref="B165">IF($A165="","",INDEX('resident aged receivable'!$B:$B,$A165))</f>
        <v>S33-137</v>
      </c>
      <c r="C165" s="997" t="str" cm="1">
        <f t="array" ref="C165">IF($A165="","",INDEX('resident aged receivable'!$D:$D,$A165))</f>
        <v>Bodley, Keisha</v>
      </c>
      <c r="D165" s="998" cm="1">
        <f t="array" ref="D165">IF($A165="","",INDEX('resident aged receivable'!$F:$F,$A165))</f>
        <v>43791</v>
      </c>
      <c r="E165" s="998" t="str" cm="1">
        <f t="array" ref="E165">IF($A165="","",_xlfn.LET(_xlpm.leaseEnd,INDEX('resident aged receivable'!$H:$H,$A165),_xlpm.s,INDEX('resident aged receivable'!$E:$E,$A165),IF(ISNUMBER(SEARCH("Current",_xlpm.s))+ISNUMBER(SEARCH("Notice",_xlpm.s)),"",IF(ISNUMBER(_xlpm.leaseEnd),_xlpm.leaseEnd,""))))</f>
        <v/>
      </c>
      <c r="F165" s="997" t="str">
        <f t="shared" si="4"/>
        <v>IPS</v>
      </c>
      <c r="G165" s="1000" t="str" cm="1">
        <f t="array" ref="G165">IF($A165="","",_xlfn.LET(_xlpm.s,INDEX('resident aged receivable'!$E:$E,$A165),_xlpm.onRR,COUNTIF($P$3:$P$24,C165)&gt;0,IF(ISNUMBER(SEARCH("Eviction",_xlpm.s)),"Eviction",IF(_xlpm.onRR,"Current - On Rent Roll",IF(COUNTIF($N$3:$N$24,C165)&gt;0,"Former",IF(ISNUMBER(SEARCH("Skip",_xlpm.s)),"Skip",IF(ISNUMBER(SEARCH("Past",_xlpm.s))+ISNUMBER(SEARCH("Collections",_xlpm.s)),"Former",_xlpm.s)))))))</f>
        <v>Notice</v>
      </c>
      <c r="H165" s="1010" cm="1">
        <f t="array" ref="H165">IF($A165="","",INDEX('resident aged receivable'!$I:$I,$A165))</f>
        <v>1240.78</v>
      </c>
      <c r="I165" s="1010" cm="1">
        <f t="array" ref="I165">IF($A165="","",INDEX('resident aged receivable'!$J:$J,$A165))</f>
        <v>1240.78</v>
      </c>
      <c r="J165" s="1010" cm="1">
        <f t="array" ref="J165">IF($A165="","",INDEX('resident aged receivable'!$K:$K,$A165))</f>
        <v>0</v>
      </c>
      <c r="K165" s="1020" t="str" cm="1">
        <f t="array" ref="K165">IFERROR(IF(B165="","",IF(SUMPRODUCT((LeaseLock!$D$2:$D$500=B165)*ISNUMBER(SEARCH(LEFT(C165,FIND(",",C165&amp;",")-1),LeaseLock!$C$2:$C$500)))=0,"",IF(LOOKUP(2,1/((LeaseLock!$D$2:$D$500=B165)*ISNUMBER(SEARCH(LEFT(C165,FIND(",",C165&amp;",")-1),LeaseLock!$C$2:$C$500))),LeaseLock!$F$2:$F$500)="Claim Denied","Claim Denied ("&amp;LOOKUP(2,1/((LeaseLock!$D$2:$D$500=B165)*ISNUMBER(SEARCH(LEFT(C165,FIND(",",C165&amp;",")-1),LeaseLock!$C$2:$C$500))),LeaseLock!$G$2:$G$500)&amp;")",IF(LOOKUP(2,1/((LeaseLock!$D$2:$D$500=B165)*ISNUMBER(SEARCH(LEFT(C165,FIND(",",C165&amp;",")-1),LeaseLock!$C$2:$C$500))),LeaseLock!$F$2:$F$500)="Open","Open - "&amp;LOOKUP(2,1/((LeaseLock!$D$2:$D$500=B165)*ISNUMBER(SEARCH(LEFT(C165,FIND(",",C165&amp;",")-1),LeaseLock!$C$2:$C$500))),LeaseLock!$G$2:$G$500),IF(LOOKUP(2,1/((LeaseLock!$D$2:$D$500=B165)*ISNUMBER(SEARCH(LEFT(C165,FIND(",",C165&amp;",")-1),LeaseLock!$C$2:$C$500))),LeaseLock!$M$2:$M$500)&gt;0,LOOKUP(2,1/((LeaseLock!$D$2:$D$500=B165)*ISNUMBER(SEARCH(LEFT(C165,FIND(",",C165&amp;",")-1),LeaseLock!$C$2:$C$500))),LeaseLock!$F$2:$F$500)&amp;" - $"&amp;TEXT(LOOKUP(2,1/((LeaseLock!$D$2:$D$500=B165)*ISNUMBER(SEARCH(LEFT(C165,FIND(",",C165&amp;",")-1),LeaseLock!$C$2:$C$500))),LeaseLock!$M$2:$M$500),"#,##0.00")&amp;" paid",LOOKUP(2,1/((LeaseLock!$D$2:$D$500=B165)*ISNUMBER(SEARCH(LEFT(C165,FIND(",",C165&amp;",")-1),LeaseLock!$C$2:$C$500))),LeaseLock!$F$2:$F$500)&amp;" - no payment"))))),"")</f>
        <v/>
      </c>
      <c r="L165" s="1063"/>
      <c r="M165" s="992"/>
      <c r="N165" s="992"/>
      <c r="Q165" s="973"/>
      <c r="R165" s="973"/>
      <c r="S165" s="973"/>
      <c r="T165" s="973"/>
      <c r="U165" s="973"/>
      <c r="V165" s="973"/>
      <c r="W165" s="973"/>
      <c r="X165" s="973"/>
      <c r="Y165" s="973"/>
      <c r="Z165" s="973"/>
    </row>
    <row r="166" spans="1:26" ht="12" hidden="1" customHeight="1">
      <c r="A166" s="996" cm="1">
        <f t="array" ref="A166">IFERROR(_xlfn.LET(_xlpm.n,ROW()-138,_xlpm.adj,IF(((((LEFT('resident aged receivable'!$E$2:$E$460,7)="Current")+(LEFT('resident aged receivable'!$E$2:$E$460,6)="Notice"))&gt;0)*(((ISNUMBER(SEARCH("Eviction",'resident aged receivable'!$E$2:$E$460))=FALSE)+(ISNUMBER(SEARCH("(On Property)",'resident aged receivable'!$E$2:$E$460))&gt;0))&gt;0)*(ISNUMBER(SEARCH("Skip",'resident aged receivable'!$E$2:$E$460))=FALSE)*(COUNTIF($N$3:$N$24,'resident aged receivable'!$D$2:$D$460)=0)*(COUNTIF($P$3:$P$24,'resident aged receivable'!$D$2:$D$460)=0)*('resident aged receivable'!$I$2:$I$460&gt;=$H$3)+(COUNTIF($P$3:$P$24,'resident aged receivable'!$D$2:$D$460)&gt;0)*(COUNTIF($N$3:$N$24,'resident aged receivable'!$D$2:$D$460)=0)*('resident aged receivable'!$I$2:$I$460&gt;0))&gt;0,'resident aged receivable'!$I$2:$I$460-ROW('resident aged receivable'!$I$2:$I$460)/1000000),_xlpm.tgt,LARGE(_xlpm.adj,_xlpm.n),MATCH(_xlpm.tgt,_xlpm.adj,0)+1),"")</f>
        <v>23</v>
      </c>
      <c r="B166" s="997" t="str" cm="1">
        <f t="array" ref="B166">IF($A166="","",INDEX('resident aged receivable'!$B:$B,$A166))</f>
        <v>N12-2048</v>
      </c>
      <c r="C166" s="997" t="str" cm="1">
        <f t="array" ref="C166">IF($A166="","",INDEX('resident aged receivable'!$D:$D,$A166))</f>
        <v>Chinchilla, Claudia</v>
      </c>
      <c r="D166" s="998" cm="1">
        <f t="array" ref="D166">IF($A166="","",INDEX('resident aged receivable'!$F:$F,$A166))</f>
        <v>46095</v>
      </c>
      <c r="E166" s="998" t="str" cm="1">
        <f t="array" ref="E166">IF($A166="","",_xlfn.LET(_xlpm.leaseEnd,INDEX('resident aged receivable'!$H:$H,$A166),_xlpm.s,INDEX('resident aged receivable'!$E:$E,$A166),IF(ISNUMBER(SEARCH("Current",_xlpm.s))+ISNUMBER(SEARCH("Notice",_xlpm.s)),"",IF(ISNUMBER(_xlpm.leaseEnd),_xlpm.leaseEnd,""))))</f>
        <v/>
      </c>
      <c r="F166" s="997" t="str">
        <f t="shared" si="4"/>
        <v>CAF</v>
      </c>
      <c r="G166" s="1000" t="str" cm="1">
        <f t="array" ref="G166">IF($A166="","",_xlfn.LET(_xlpm.s,INDEX('resident aged receivable'!$E:$E,$A166),_xlpm.onRR,COUNTIF($P$3:$P$24,C166)&gt;0,IF(ISNUMBER(SEARCH("Eviction",_xlpm.s)),"Eviction",IF(_xlpm.onRR,"Current - On Rent Roll",IF(COUNTIF($N$3:$N$24,C166)&gt;0,"Former",IF(ISNUMBER(SEARCH("Skip",_xlpm.s)),"Skip",IF(ISNUMBER(SEARCH("Past",_xlpm.s))+ISNUMBER(SEARCH("Collections",_xlpm.s)),"Former",_xlpm.s)))))))</f>
        <v>Current</v>
      </c>
      <c r="H166" s="1010" cm="1">
        <f t="array" ref="H166">IF($A166="","",INDEX('resident aged receivable'!$I:$I,$A166))</f>
        <v>1204.76</v>
      </c>
      <c r="I166" s="1010" cm="1">
        <f t="array" ref="I166">IF($A166="","",INDEX('resident aged receivable'!$J:$J,$A166))</f>
        <v>1204.76</v>
      </c>
      <c r="J166" s="1010" cm="1">
        <f t="array" ref="J166">IF($A166="","",INDEX('resident aged receivable'!$K:$K,$A166))</f>
        <v>0</v>
      </c>
      <c r="K166" s="1020" t="str" cm="1">
        <f t="array" ref="K166">IFERROR(IF(B166="","",IF(SUMPRODUCT((LeaseLock!$D$2:$D$500=B166)*ISNUMBER(SEARCH(LEFT(C166,FIND(",",C166&amp;",")-1),LeaseLock!$C$2:$C$500)))=0,"",IF(LOOKUP(2,1/((LeaseLock!$D$2:$D$500=B166)*ISNUMBER(SEARCH(LEFT(C166,FIND(",",C166&amp;",")-1),LeaseLock!$C$2:$C$500))),LeaseLock!$F$2:$F$500)="Claim Denied","Claim Denied ("&amp;LOOKUP(2,1/((LeaseLock!$D$2:$D$500=B166)*ISNUMBER(SEARCH(LEFT(C166,FIND(",",C166&amp;",")-1),LeaseLock!$C$2:$C$500))),LeaseLock!$G$2:$G$500)&amp;")",IF(LOOKUP(2,1/((LeaseLock!$D$2:$D$500=B166)*ISNUMBER(SEARCH(LEFT(C166,FIND(",",C166&amp;",")-1),LeaseLock!$C$2:$C$500))),LeaseLock!$F$2:$F$500)="Open","Open - "&amp;LOOKUP(2,1/((LeaseLock!$D$2:$D$500=B166)*ISNUMBER(SEARCH(LEFT(C166,FIND(",",C166&amp;",")-1),LeaseLock!$C$2:$C$500))),LeaseLock!$G$2:$G$500),IF(LOOKUP(2,1/((LeaseLock!$D$2:$D$500=B166)*ISNUMBER(SEARCH(LEFT(C166,FIND(",",C166&amp;",")-1),LeaseLock!$C$2:$C$500))),LeaseLock!$M$2:$M$500)&gt;0,LOOKUP(2,1/((LeaseLock!$D$2:$D$500=B166)*ISNUMBER(SEARCH(LEFT(C166,FIND(",",C166&amp;",")-1),LeaseLock!$C$2:$C$500))),LeaseLock!$F$2:$F$500)&amp;" - $"&amp;TEXT(LOOKUP(2,1/((LeaseLock!$D$2:$D$500=B166)*ISNUMBER(SEARCH(LEFT(C166,FIND(",",C166&amp;",")-1),LeaseLock!$C$2:$C$500))),LeaseLock!$M$2:$M$500),"#,##0.00")&amp;" paid",LOOKUP(2,1/((LeaseLock!$D$2:$D$500=B166)*ISNUMBER(SEARCH(LEFT(C166,FIND(",",C166&amp;",")-1),LeaseLock!$C$2:$C$500))),LeaseLock!$F$2:$F$500)&amp;" - no payment"))))),"")</f>
        <v/>
      </c>
      <c r="L166" s="1211"/>
      <c r="M166" s="992"/>
      <c r="N166" s="992"/>
      <c r="Q166" s="973"/>
      <c r="R166" s="973"/>
      <c r="S166" s="973"/>
      <c r="T166" s="973"/>
      <c r="U166" s="973"/>
      <c r="V166" s="973"/>
      <c r="W166" s="973"/>
      <c r="X166" s="973"/>
      <c r="Y166" s="973"/>
      <c r="Z166" s="973"/>
    </row>
    <row r="167" spans="1:26" ht="12" hidden="1" customHeight="1">
      <c r="A167" s="996" cm="1">
        <f t="array" ref="A167">IFERROR(_xlfn.LET(_xlpm.n,ROW()-138,_xlpm.adj,IF(((((LEFT('resident aged receivable'!$E$2:$E$460,7)="Current")+(LEFT('resident aged receivable'!$E$2:$E$460,6)="Notice"))&gt;0)*(((ISNUMBER(SEARCH("Eviction",'resident aged receivable'!$E$2:$E$460))=FALSE)+(ISNUMBER(SEARCH("(On Property)",'resident aged receivable'!$E$2:$E$460))&gt;0))&gt;0)*(ISNUMBER(SEARCH("Skip",'resident aged receivable'!$E$2:$E$460))=FALSE)*(COUNTIF($N$3:$N$24,'resident aged receivable'!$D$2:$D$460)=0)*(COUNTIF($P$3:$P$24,'resident aged receivable'!$D$2:$D$460)=0)*('resident aged receivable'!$I$2:$I$460&gt;=$H$3)+(COUNTIF($P$3:$P$24,'resident aged receivable'!$D$2:$D$460)&gt;0)*(COUNTIF($N$3:$N$24,'resident aged receivable'!$D$2:$D$460)=0)*('resident aged receivable'!$I$2:$I$460&gt;0))&gt;0,'resident aged receivable'!$I$2:$I$460-ROW('resident aged receivable'!$I$2:$I$460)/1000000),_xlpm.tgt,LARGE(_xlpm.adj,_xlpm.n),MATCH(_xlpm.tgt,_xlpm.adj,0)+1),"")</f>
        <v>3</v>
      </c>
      <c r="B167" s="997" t="str" cm="1">
        <f t="array" ref="B167">IF($A167="","",INDEX('resident aged receivable'!$B:$B,$A167))</f>
        <v>N01-1003</v>
      </c>
      <c r="C167" s="997" t="str" cm="1">
        <f t="array" ref="C167">IF($A167="","",INDEX('resident aged receivable'!$D:$D,$A167))</f>
        <v>Ramirez, Irene</v>
      </c>
      <c r="D167" s="998" cm="1">
        <f t="array" ref="D167">IF($A167="","",INDEX('resident aged receivable'!$F:$F,$A167))</f>
        <v>46097</v>
      </c>
      <c r="E167" s="998" t="str" cm="1">
        <f t="array" ref="E167">IF($A167="","",_xlfn.LET(_xlpm.leaseEnd,INDEX('resident aged receivable'!$H:$H,$A167),_xlpm.s,INDEX('resident aged receivable'!$E:$E,$A167),IF(ISNUMBER(SEARCH("Current",_xlpm.s))+ISNUMBER(SEARCH("Notice",_xlpm.s)),"",IF(ISNUMBER(_xlpm.leaseEnd),_xlpm.leaseEnd,""))))</f>
        <v/>
      </c>
      <c r="F167" s="997" t="str">
        <f t="shared" si="4"/>
        <v>CAF</v>
      </c>
      <c r="G167" s="1000" t="str" cm="1">
        <f t="array" ref="G167">IF($A167="","",_xlfn.LET(_xlpm.s,INDEX('resident aged receivable'!$E:$E,$A167),_xlpm.onRR,COUNTIF($P$3:$P$24,C167)&gt;0,IF(ISNUMBER(SEARCH("Eviction",_xlpm.s)),"Eviction",IF(_xlpm.onRR,"Current - On Rent Roll",IF(COUNTIF($N$3:$N$24,C167)&gt;0,"Former",IF(ISNUMBER(SEARCH("Skip",_xlpm.s)),"Skip",IF(ISNUMBER(SEARCH("Past",_xlpm.s))+ISNUMBER(SEARCH("Collections",_xlpm.s)),"Former",_xlpm.s)))))))</f>
        <v>Current</v>
      </c>
      <c r="H167" s="1010" cm="1">
        <f t="array" ref="H167">IF($A167="","",INDEX('resident aged receivable'!$I:$I,$A167))</f>
        <v>1106.75</v>
      </c>
      <c r="I167" s="1010" cm="1">
        <f t="array" ref="I167">IF($A167="","",INDEX('resident aged receivable'!$J:$J,$A167))</f>
        <v>1106.75</v>
      </c>
      <c r="J167" s="1010" cm="1">
        <f t="array" ref="J167">IF($A167="","",INDEX('resident aged receivable'!$K:$K,$A167))</f>
        <v>0</v>
      </c>
      <c r="K167" s="1020" t="str" cm="1">
        <f t="array" ref="K167">IFERROR(IF(B167="","",IF(SUMPRODUCT((LeaseLock!$D$2:$D$500=B167)*ISNUMBER(SEARCH(LEFT(C167,FIND(",",C167&amp;",")-1),LeaseLock!$C$2:$C$500)))=0,"",IF(LOOKUP(2,1/((LeaseLock!$D$2:$D$500=B167)*ISNUMBER(SEARCH(LEFT(C167,FIND(",",C167&amp;",")-1),LeaseLock!$C$2:$C$500))),LeaseLock!$F$2:$F$500)="Claim Denied","Claim Denied ("&amp;LOOKUP(2,1/((LeaseLock!$D$2:$D$500=B167)*ISNUMBER(SEARCH(LEFT(C167,FIND(",",C167&amp;",")-1),LeaseLock!$C$2:$C$500))),LeaseLock!$G$2:$G$500)&amp;")",IF(LOOKUP(2,1/((LeaseLock!$D$2:$D$500=B167)*ISNUMBER(SEARCH(LEFT(C167,FIND(",",C167&amp;",")-1),LeaseLock!$C$2:$C$500))),LeaseLock!$F$2:$F$500)="Open","Open - "&amp;LOOKUP(2,1/((LeaseLock!$D$2:$D$500=B167)*ISNUMBER(SEARCH(LEFT(C167,FIND(",",C167&amp;",")-1),LeaseLock!$C$2:$C$500))),LeaseLock!$G$2:$G$500),IF(LOOKUP(2,1/((LeaseLock!$D$2:$D$500=B167)*ISNUMBER(SEARCH(LEFT(C167,FIND(",",C167&amp;",")-1),LeaseLock!$C$2:$C$500))),LeaseLock!$M$2:$M$500)&gt;0,LOOKUP(2,1/((LeaseLock!$D$2:$D$500=B167)*ISNUMBER(SEARCH(LEFT(C167,FIND(",",C167&amp;",")-1),LeaseLock!$C$2:$C$500))),LeaseLock!$F$2:$F$500)&amp;" - $"&amp;TEXT(LOOKUP(2,1/((LeaseLock!$D$2:$D$500=B167)*ISNUMBER(SEARCH(LEFT(C167,FIND(",",C167&amp;",")-1),LeaseLock!$C$2:$C$500))),LeaseLock!$M$2:$M$500),"#,##0.00")&amp;" paid",LOOKUP(2,1/((LeaseLock!$D$2:$D$500=B167)*ISNUMBER(SEARCH(LEFT(C167,FIND(",",C167&amp;",")-1),LeaseLock!$C$2:$C$500))),LeaseLock!$F$2:$F$500)&amp;" - no payment"))))),"")</f>
        <v/>
      </c>
      <c r="L167" s="1211"/>
      <c r="M167" s="992"/>
      <c r="N167" s="992"/>
      <c r="Q167" s="973"/>
      <c r="R167" s="973"/>
      <c r="S167" s="973"/>
      <c r="T167" s="973"/>
      <c r="U167" s="973"/>
      <c r="V167" s="973"/>
      <c r="W167" s="973"/>
      <c r="X167" s="973"/>
      <c r="Y167" s="973"/>
      <c r="Z167" s="973"/>
    </row>
    <row r="168" spans="1:26" ht="12" hidden="1" customHeight="1">
      <c r="A168" s="996" cm="1">
        <f t="array" ref="A168">IFERROR(_xlfn.LET(_xlpm.n,ROW()-138,_xlpm.adj,IF(((((LEFT('resident aged receivable'!$E$2:$E$460,7)="Current")+(LEFT('resident aged receivable'!$E$2:$E$460,6)="Notice"))&gt;0)*(((ISNUMBER(SEARCH("Eviction",'resident aged receivable'!$E$2:$E$460))=FALSE)+(ISNUMBER(SEARCH("(On Property)",'resident aged receivable'!$E$2:$E$460))&gt;0))&gt;0)*(ISNUMBER(SEARCH("Skip",'resident aged receivable'!$E$2:$E$460))=FALSE)*(COUNTIF($N$3:$N$24,'resident aged receivable'!$D$2:$D$460)=0)*(COUNTIF($P$3:$P$24,'resident aged receivable'!$D$2:$D$460)=0)*('resident aged receivable'!$I$2:$I$460&gt;=$H$3)+(COUNTIF($P$3:$P$24,'resident aged receivable'!$D$2:$D$460)&gt;0)*(COUNTIF($N$3:$N$24,'resident aged receivable'!$D$2:$D$460)=0)*('resident aged receivable'!$I$2:$I$460&gt;0))&gt;0,'resident aged receivable'!$I$2:$I$460-ROW('resident aged receivable'!$I$2:$I$460)/1000000),_xlpm.tgt,LARGE(_xlpm.adj,_xlpm.n),MATCH(_xlpm.tgt,_xlpm.adj,0)+1),"")</f>
        <v>20</v>
      </c>
      <c r="B168" s="997" t="str" cm="1">
        <f t="array" ref="B168">IF($A168="","",INDEX('resident aged receivable'!$B:$B,$A168))</f>
        <v>N10-3041</v>
      </c>
      <c r="C168" s="997" t="str" cm="1">
        <f t="array" ref="C168">IF($A168="","",INDEX('resident aged receivable'!$D:$D,$A168))</f>
        <v>Minda, David</v>
      </c>
      <c r="D168" s="998" cm="1">
        <f t="array" ref="D168">IF($A168="","",INDEX('resident aged receivable'!$F:$F,$A168))</f>
        <v>46182</v>
      </c>
      <c r="E168" s="998" t="str" cm="1">
        <f t="array" ref="E168">IF($A168="","",_xlfn.LET(_xlpm.leaseEnd,INDEX('resident aged receivable'!$H:$H,$A168),_xlpm.s,INDEX('resident aged receivable'!$E:$E,$A168),IF(ISNUMBER(SEARCH("Current",_xlpm.s))+ISNUMBER(SEARCH("Notice",_xlpm.s)),"",IF(ISNUMBER(_xlpm.leaseEnd),_xlpm.leaseEnd,""))))</f>
        <v/>
      </c>
      <c r="F168" s="997" t="str">
        <f t="shared" si="4"/>
        <v>CAF</v>
      </c>
      <c r="G168" s="1000" t="str" cm="1">
        <f t="array" ref="G168">IF($A168="","",_xlfn.LET(_xlpm.s,INDEX('resident aged receivable'!$E:$E,$A168),_xlpm.onRR,COUNTIF($P$3:$P$24,C168)&gt;0,IF(ISNUMBER(SEARCH("Eviction",_xlpm.s)),"Eviction",IF(_xlpm.onRR,"Current - On Rent Roll",IF(COUNTIF($N$3:$N$24,C168)&gt;0,"Former",IF(ISNUMBER(SEARCH("Skip",_xlpm.s)),"Skip",IF(ISNUMBER(SEARCH("Past",_xlpm.s))+ISNUMBER(SEARCH("Collections",_xlpm.s)),"Former",_xlpm.s)))))))</f>
        <v>Current</v>
      </c>
      <c r="H168" s="1010" cm="1">
        <f t="array" ref="H168">IF($A168="","",INDEX('resident aged receivable'!$I:$I,$A168))</f>
        <v>1105.8</v>
      </c>
      <c r="I168" s="1010" cm="1">
        <f t="array" ref="I168">IF($A168="","",INDEX('resident aged receivable'!$J:$J,$A168))</f>
        <v>1105.8</v>
      </c>
      <c r="J168" s="1010" cm="1">
        <f t="array" ref="J168">IF($A168="","",INDEX('resident aged receivable'!$K:$K,$A168))</f>
        <v>0</v>
      </c>
      <c r="K168" s="1020" t="str" cm="1">
        <f t="array" ref="K168">IFERROR(IF(B168="","",IF(SUMPRODUCT((LeaseLock!$D$2:$D$500=B168)*ISNUMBER(SEARCH(LEFT(C168,FIND(",",C168&amp;",")-1),LeaseLock!$C$2:$C$500)))=0,"",IF(LOOKUP(2,1/((LeaseLock!$D$2:$D$500=B168)*ISNUMBER(SEARCH(LEFT(C168,FIND(",",C168&amp;",")-1),LeaseLock!$C$2:$C$500))),LeaseLock!$F$2:$F$500)="Claim Denied","Claim Denied ("&amp;LOOKUP(2,1/((LeaseLock!$D$2:$D$500=B168)*ISNUMBER(SEARCH(LEFT(C168,FIND(",",C168&amp;",")-1),LeaseLock!$C$2:$C$500))),LeaseLock!$G$2:$G$500)&amp;")",IF(LOOKUP(2,1/((LeaseLock!$D$2:$D$500=B168)*ISNUMBER(SEARCH(LEFT(C168,FIND(",",C168&amp;",")-1),LeaseLock!$C$2:$C$500))),LeaseLock!$F$2:$F$500)="Open","Open - "&amp;LOOKUP(2,1/((LeaseLock!$D$2:$D$500=B168)*ISNUMBER(SEARCH(LEFT(C168,FIND(",",C168&amp;",")-1),LeaseLock!$C$2:$C$500))),LeaseLock!$G$2:$G$500),IF(LOOKUP(2,1/((LeaseLock!$D$2:$D$500=B168)*ISNUMBER(SEARCH(LEFT(C168,FIND(",",C168&amp;",")-1),LeaseLock!$C$2:$C$500))),LeaseLock!$M$2:$M$500)&gt;0,LOOKUP(2,1/((LeaseLock!$D$2:$D$500=B168)*ISNUMBER(SEARCH(LEFT(C168,FIND(",",C168&amp;",")-1),LeaseLock!$C$2:$C$500))),LeaseLock!$F$2:$F$500)&amp;" - $"&amp;TEXT(LOOKUP(2,1/((LeaseLock!$D$2:$D$500=B168)*ISNUMBER(SEARCH(LEFT(C168,FIND(",",C168&amp;",")-1),LeaseLock!$C$2:$C$500))),LeaseLock!$M$2:$M$500),"#,##0.00")&amp;" paid",LOOKUP(2,1/((LeaseLock!$D$2:$D$500=B168)*ISNUMBER(SEARCH(LEFT(C168,FIND(",",C168&amp;",")-1),LeaseLock!$C$2:$C$500))),LeaseLock!$F$2:$F$500)&amp;" - no payment"))))),"")</f>
        <v/>
      </c>
      <c r="L168" s="1211"/>
      <c r="M168" s="992"/>
      <c r="N168" s="992"/>
      <c r="Q168" s="973"/>
      <c r="R168" s="973"/>
      <c r="S168" s="973"/>
      <c r="T168" s="973"/>
      <c r="U168" s="973"/>
      <c r="V168" s="973"/>
      <c r="W168" s="973"/>
      <c r="X168" s="973"/>
      <c r="Y168" s="973"/>
      <c r="Z168" s="973"/>
    </row>
    <row r="169" spans="1:26" ht="12" hidden="1" customHeight="1">
      <c r="A169" s="996" cm="1">
        <f t="array" ref="A169">IFERROR(_xlfn.LET(_xlpm.n,ROW()-138,_xlpm.adj,IF(((((LEFT('resident aged receivable'!$E$2:$E$460,7)="Current")+(LEFT('resident aged receivable'!$E$2:$E$460,6)="Notice"))&gt;0)*(((ISNUMBER(SEARCH("Eviction",'resident aged receivable'!$E$2:$E$460))=FALSE)+(ISNUMBER(SEARCH("(On Property)",'resident aged receivable'!$E$2:$E$460))&gt;0))&gt;0)*(ISNUMBER(SEARCH("Skip",'resident aged receivable'!$E$2:$E$460))=FALSE)*(COUNTIF($N$3:$N$24,'resident aged receivable'!$D$2:$D$460)=0)*(COUNTIF($P$3:$P$24,'resident aged receivable'!$D$2:$D$460)=0)*('resident aged receivable'!$I$2:$I$460&gt;=$H$3)+(COUNTIF($P$3:$P$24,'resident aged receivable'!$D$2:$D$460)&gt;0)*(COUNTIF($N$3:$N$24,'resident aged receivable'!$D$2:$D$460)=0)*('resident aged receivable'!$I$2:$I$460&gt;0))&gt;0,'resident aged receivable'!$I$2:$I$460-ROW('resident aged receivable'!$I$2:$I$460)/1000000),_xlpm.tgt,LARGE(_xlpm.adj,_xlpm.n),MATCH(_xlpm.tgt,_xlpm.adj,0)+1),"")</f>
        <v>75</v>
      </c>
      <c r="B169" s="997" t="str" cm="1">
        <f t="array" ref="B169">IF($A169="","",INDEX('resident aged receivable'!$B:$B,$A169))</f>
        <v>S32-431</v>
      </c>
      <c r="C169" s="997" t="str" cm="1">
        <f t="array" ref="C169">IF($A169="","",INDEX('resident aged receivable'!$D:$D,$A169))</f>
        <v>Barr, Ebony</v>
      </c>
      <c r="D169" s="998" cm="1">
        <f t="array" ref="D169">IF($A169="","",INDEX('resident aged receivable'!$F:$F,$A169))</f>
        <v>46092</v>
      </c>
      <c r="E169" s="998" t="str" cm="1">
        <f t="array" ref="E169">IF($A169="","",_xlfn.LET(_xlpm.leaseEnd,INDEX('resident aged receivable'!$H:$H,$A169),_xlpm.s,INDEX('resident aged receivable'!$E:$E,$A169),IF(ISNUMBER(SEARCH("Current",_xlpm.s))+ISNUMBER(SEARCH("Notice",_xlpm.s)),"",IF(ISNUMBER(_xlpm.leaseEnd),_xlpm.leaseEnd,""))))</f>
        <v/>
      </c>
      <c r="F169" s="997" t="str">
        <f t="shared" si="4"/>
        <v>CAF</v>
      </c>
      <c r="G169" s="1000" t="str" cm="1">
        <f t="array" ref="G169">IF($A169="","",_xlfn.LET(_xlpm.s,INDEX('resident aged receivable'!$E:$E,$A169),_xlpm.onRR,COUNTIF($P$3:$P$24,C169)&gt;0,IF(ISNUMBER(SEARCH("Eviction",_xlpm.s)),"Eviction",IF(_xlpm.onRR,"Current - On Rent Roll",IF(COUNTIF($N$3:$N$24,C169)&gt;0,"Former",IF(ISNUMBER(SEARCH("Skip",_xlpm.s)),"Skip",IF(ISNUMBER(SEARCH("Past",_xlpm.s))+ISNUMBER(SEARCH("Collections",_xlpm.s)),"Former",_xlpm.s)))))))</f>
        <v>Current - On Rent Roll</v>
      </c>
      <c r="H169" s="1010" cm="1">
        <f t="array" ref="H169">IF($A169="","",INDEX('resident aged receivable'!$I:$I,$A169))</f>
        <v>1038.83</v>
      </c>
      <c r="I169" s="1010" cm="1">
        <f t="array" ref="I169">IF($A169="","",INDEX('resident aged receivable'!$J:$J,$A169))</f>
        <v>1038.83</v>
      </c>
      <c r="J169" s="1010" cm="1">
        <f t="array" ref="J169">IF($A169="","",INDEX('resident aged receivable'!$K:$K,$A169))</f>
        <v>0</v>
      </c>
      <c r="K169" s="1020" t="str" cm="1">
        <f t="array" ref="K169">IFERROR(IF(B169="","",IF(SUMPRODUCT((LeaseLock!$D$2:$D$500=B169)*ISNUMBER(SEARCH(LEFT(C169,FIND(",",C169&amp;",")-1),LeaseLock!$C$2:$C$500)))=0,"",IF(LOOKUP(2,1/((LeaseLock!$D$2:$D$500=B169)*ISNUMBER(SEARCH(LEFT(C169,FIND(",",C169&amp;",")-1),LeaseLock!$C$2:$C$500))),LeaseLock!$F$2:$F$500)="Claim Denied","Claim Denied ("&amp;LOOKUP(2,1/((LeaseLock!$D$2:$D$500=B169)*ISNUMBER(SEARCH(LEFT(C169,FIND(",",C169&amp;",")-1),LeaseLock!$C$2:$C$500))),LeaseLock!$G$2:$G$500)&amp;")",IF(LOOKUP(2,1/((LeaseLock!$D$2:$D$500=B169)*ISNUMBER(SEARCH(LEFT(C169,FIND(",",C169&amp;",")-1),LeaseLock!$C$2:$C$500))),LeaseLock!$F$2:$F$500)="Open","Open - "&amp;LOOKUP(2,1/((LeaseLock!$D$2:$D$500=B169)*ISNUMBER(SEARCH(LEFT(C169,FIND(",",C169&amp;",")-1),LeaseLock!$C$2:$C$500))),LeaseLock!$G$2:$G$500),IF(LOOKUP(2,1/((LeaseLock!$D$2:$D$500=B169)*ISNUMBER(SEARCH(LEFT(C169,FIND(",",C169&amp;",")-1),LeaseLock!$C$2:$C$500))),LeaseLock!$M$2:$M$500)&gt;0,LOOKUP(2,1/((LeaseLock!$D$2:$D$500=B169)*ISNUMBER(SEARCH(LEFT(C169,FIND(",",C169&amp;",")-1),LeaseLock!$C$2:$C$500))),LeaseLock!$F$2:$F$500)&amp;" - $"&amp;TEXT(LOOKUP(2,1/((LeaseLock!$D$2:$D$500=B169)*ISNUMBER(SEARCH(LEFT(C169,FIND(",",C169&amp;",")-1),LeaseLock!$C$2:$C$500))),LeaseLock!$M$2:$M$500),"#,##0.00")&amp;" paid",LOOKUP(2,1/((LeaseLock!$D$2:$D$500=B169)*ISNUMBER(SEARCH(LEFT(C169,FIND(",",C169&amp;",")-1),LeaseLock!$C$2:$C$500))),LeaseLock!$F$2:$F$500)&amp;" - no payment"))))),"")</f>
        <v/>
      </c>
      <c r="L169" s="1211"/>
      <c r="M169" s="992"/>
      <c r="N169" s="992"/>
      <c r="Q169" s="973"/>
      <c r="R169" s="973"/>
      <c r="S169" s="973"/>
      <c r="T169" s="973"/>
      <c r="U169" s="973"/>
      <c r="V169" s="973"/>
      <c r="W169" s="973"/>
      <c r="X169" s="973"/>
      <c r="Y169" s="973"/>
      <c r="Z169" s="973"/>
    </row>
    <row r="170" spans="1:26" ht="12" hidden="1" customHeight="1">
      <c r="A170" s="996" cm="1">
        <f t="array" ref="A170">IFERROR(_xlfn.LET(_xlpm.n,ROW()-138,_xlpm.adj,IF(((((LEFT('resident aged receivable'!$E$2:$E$460,7)="Current")+(LEFT('resident aged receivable'!$E$2:$E$460,6)="Notice"))&gt;0)*(((ISNUMBER(SEARCH("Eviction",'resident aged receivable'!$E$2:$E$460))=FALSE)+(ISNUMBER(SEARCH("(On Property)",'resident aged receivable'!$E$2:$E$460))&gt;0))&gt;0)*(ISNUMBER(SEARCH("Skip",'resident aged receivable'!$E$2:$E$460))=FALSE)*(COUNTIF($N$3:$N$24,'resident aged receivable'!$D$2:$D$460)=0)*(COUNTIF($P$3:$P$24,'resident aged receivable'!$D$2:$D$460)=0)*('resident aged receivable'!$I$2:$I$460&gt;=$H$3)+(COUNTIF($P$3:$P$24,'resident aged receivable'!$D$2:$D$460)&gt;0)*(COUNTIF($N$3:$N$24,'resident aged receivable'!$D$2:$D$460)=0)*('resident aged receivable'!$I$2:$I$460&gt;0))&gt;0,'resident aged receivable'!$I$2:$I$460-ROW('resident aged receivable'!$I$2:$I$460)/1000000),_xlpm.tgt,LARGE(_xlpm.adj,_xlpm.n),MATCH(_xlpm.tgt,_xlpm.adj,0)+1),"")</f>
        <v>19</v>
      </c>
      <c r="B170" s="997" t="str" cm="1">
        <f t="array" ref="B170">IF($A170="","",INDEX('resident aged receivable'!$B:$B,$A170))</f>
        <v>N10-2041</v>
      </c>
      <c r="C170" s="997" t="str" cm="1">
        <f t="array" ref="C170">IF($A170="","",INDEX('resident aged receivable'!$D:$D,$A170))</f>
        <v>Adway, Mikayla</v>
      </c>
      <c r="D170" s="998" cm="1">
        <f t="array" ref="D170">IF($A170="","",INDEX('resident aged receivable'!$F:$F,$A170))</f>
        <v>45622</v>
      </c>
      <c r="E170" s="998" t="str" cm="1">
        <f t="array" ref="E170">IF($A170="","",_xlfn.LET(_xlpm.leaseEnd,INDEX('resident aged receivable'!$H:$H,$A170),_xlpm.s,INDEX('resident aged receivable'!$E:$E,$A170),IF(ISNUMBER(SEARCH("Current",_xlpm.s))+ISNUMBER(SEARCH("Notice",_xlpm.s)),"",IF(ISNUMBER(_xlpm.leaseEnd),_xlpm.leaseEnd,""))))</f>
        <v/>
      </c>
      <c r="F170" s="997" t="str">
        <f t="shared" si="4"/>
        <v>IPS</v>
      </c>
      <c r="G170" s="1000" t="str" cm="1">
        <f t="array" ref="G170">IF($A170="","",_xlfn.LET(_xlpm.s,INDEX('resident aged receivable'!$E:$E,$A170),_xlpm.onRR,COUNTIF($P$3:$P$24,C170)&gt;0,IF(ISNUMBER(SEARCH("Eviction",_xlpm.s)),"Eviction",IF(_xlpm.onRR,"Current - On Rent Roll",IF(COUNTIF($N$3:$N$24,C170)&gt;0,"Former",IF(ISNUMBER(SEARCH("Skip",_xlpm.s)),"Skip",IF(ISNUMBER(SEARCH("Past",_xlpm.s))+ISNUMBER(SEARCH("Collections",_xlpm.s)),"Former",_xlpm.s)))))))</f>
        <v>Current</v>
      </c>
      <c r="H170" s="1010" cm="1">
        <f t="array" ref="H170">IF($A170="","",INDEX('resident aged receivable'!$I:$I,$A170))</f>
        <v>1036.68</v>
      </c>
      <c r="I170" s="1010" cm="1">
        <f t="array" ref="I170">IF($A170="","",INDEX('resident aged receivable'!$J:$J,$A170))</f>
        <v>1036.68</v>
      </c>
      <c r="J170" s="1010" cm="1">
        <f t="array" ref="J170">IF($A170="","",INDEX('resident aged receivable'!$K:$K,$A170))</f>
        <v>0</v>
      </c>
      <c r="K170" s="1020" t="str" cm="1">
        <f t="array" ref="K170">IFERROR(IF(B170="","",IF(SUMPRODUCT((LeaseLock!$D$2:$D$500=B170)*ISNUMBER(SEARCH(LEFT(C170,FIND(",",C170&amp;",")-1),LeaseLock!$C$2:$C$500)))=0,"",IF(LOOKUP(2,1/((LeaseLock!$D$2:$D$500=B170)*ISNUMBER(SEARCH(LEFT(C170,FIND(",",C170&amp;",")-1),LeaseLock!$C$2:$C$500))),LeaseLock!$F$2:$F$500)="Claim Denied","Claim Denied ("&amp;LOOKUP(2,1/((LeaseLock!$D$2:$D$500=B170)*ISNUMBER(SEARCH(LEFT(C170,FIND(",",C170&amp;",")-1),LeaseLock!$C$2:$C$500))),LeaseLock!$G$2:$G$500)&amp;")",IF(LOOKUP(2,1/((LeaseLock!$D$2:$D$500=B170)*ISNUMBER(SEARCH(LEFT(C170,FIND(",",C170&amp;",")-1),LeaseLock!$C$2:$C$500))),LeaseLock!$F$2:$F$500)="Open","Open - "&amp;LOOKUP(2,1/((LeaseLock!$D$2:$D$500=B170)*ISNUMBER(SEARCH(LEFT(C170,FIND(",",C170&amp;",")-1),LeaseLock!$C$2:$C$500))),LeaseLock!$G$2:$G$500),IF(LOOKUP(2,1/((LeaseLock!$D$2:$D$500=B170)*ISNUMBER(SEARCH(LEFT(C170,FIND(",",C170&amp;",")-1),LeaseLock!$C$2:$C$500))),LeaseLock!$M$2:$M$500)&gt;0,LOOKUP(2,1/((LeaseLock!$D$2:$D$500=B170)*ISNUMBER(SEARCH(LEFT(C170,FIND(",",C170&amp;",")-1),LeaseLock!$C$2:$C$500))),LeaseLock!$F$2:$F$500)&amp;" - $"&amp;TEXT(LOOKUP(2,1/((LeaseLock!$D$2:$D$500=B170)*ISNUMBER(SEARCH(LEFT(C170,FIND(",",C170&amp;",")-1),LeaseLock!$C$2:$C$500))),LeaseLock!$M$2:$M$500),"#,##0.00")&amp;" paid",LOOKUP(2,1/((LeaseLock!$D$2:$D$500=B170)*ISNUMBER(SEARCH(LEFT(C170,FIND(",",C170&amp;",")-1),LeaseLock!$C$2:$C$500))),LeaseLock!$F$2:$F$500)&amp;" - no payment"))))),"")</f>
        <v/>
      </c>
      <c r="L170" s="1211"/>
      <c r="M170" s="992"/>
      <c r="N170" s="992"/>
      <c r="Q170" s="973"/>
      <c r="R170" s="973"/>
      <c r="S170" s="973"/>
      <c r="T170" s="973"/>
      <c r="U170" s="973"/>
      <c r="V170" s="973"/>
      <c r="W170" s="973"/>
      <c r="X170" s="973"/>
      <c r="Y170" s="973"/>
      <c r="Z170" s="973"/>
    </row>
    <row r="171" spans="1:26" ht="12" hidden="1" customHeight="1">
      <c r="A171" s="996" cm="1">
        <f t="array" ref="A171">IFERROR(_xlfn.LET(_xlpm.n,ROW()-138,_xlpm.adj,IF(((((LEFT('resident aged receivable'!$E$2:$E$460,7)="Current")+(LEFT('resident aged receivable'!$E$2:$E$460,6)="Notice"))&gt;0)*(((ISNUMBER(SEARCH("Eviction",'resident aged receivable'!$E$2:$E$460))=FALSE)+(ISNUMBER(SEARCH("(On Property)",'resident aged receivable'!$E$2:$E$460))&gt;0))&gt;0)*(ISNUMBER(SEARCH("Skip",'resident aged receivable'!$E$2:$E$460))=FALSE)*(COUNTIF($N$3:$N$24,'resident aged receivable'!$D$2:$D$460)=0)*(COUNTIF($P$3:$P$24,'resident aged receivable'!$D$2:$D$460)=0)*('resident aged receivable'!$I$2:$I$460&gt;=$H$3)+(COUNTIF($P$3:$P$24,'resident aged receivable'!$D$2:$D$460)&gt;0)*(COUNTIF($N$3:$N$24,'resident aged receivable'!$D$2:$D$460)=0)*('resident aged receivable'!$I$2:$I$460&gt;0))&gt;0,'resident aged receivable'!$I$2:$I$460-ROW('resident aged receivable'!$I$2:$I$460)/1000000),_xlpm.tgt,LARGE(_xlpm.adj,_xlpm.n),MATCH(_xlpm.tgt,_xlpm.adj,0)+1),"")</f>
        <v>96</v>
      </c>
      <c r="B171" s="997" t="str" cm="1">
        <f t="array" ref="B171">IF($A171="","",INDEX('resident aged receivable'!$B:$B,$A171))</f>
        <v>W03-1-0306</v>
      </c>
      <c r="C171" s="997" t="str" cm="1">
        <f t="array" ref="C171">IF($A171="","",INDEX('resident aged receivable'!$D:$D,$A171))</f>
        <v>Akinsitan, Akinwale</v>
      </c>
      <c r="D171" s="998" cm="1">
        <f t="array" ref="D171">IF($A171="","",INDEX('resident aged receivable'!$F:$F,$A171))</f>
        <v>45632</v>
      </c>
      <c r="E171" s="998" t="str" cm="1">
        <f t="array" ref="E171">IF($A171="","",_xlfn.LET(_xlpm.leaseEnd,INDEX('resident aged receivable'!$H:$H,$A171),_xlpm.s,INDEX('resident aged receivable'!$E:$E,$A171),IF(ISNUMBER(SEARCH("Current",_xlpm.s))+ISNUMBER(SEARCH("Notice",_xlpm.s)),"",IF(ISNUMBER(_xlpm.leaseEnd),_xlpm.leaseEnd,""))))</f>
        <v/>
      </c>
      <c r="F171" s="997" t="str">
        <f t="shared" si="4"/>
        <v>IPS</v>
      </c>
      <c r="G171" s="1000" t="str" cm="1">
        <f t="array" ref="G171">IF($A171="","",_xlfn.LET(_xlpm.s,INDEX('resident aged receivable'!$E:$E,$A171),_xlpm.onRR,COUNTIF($P$3:$P$24,C171)&gt;0,IF(ISNUMBER(SEARCH("Eviction",_xlpm.s)),"Eviction",IF(_xlpm.onRR,"Current - On Rent Roll",IF(COUNTIF($N$3:$N$24,C171)&gt;0,"Former",IF(ISNUMBER(SEARCH("Skip",_xlpm.s)),"Skip",IF(ISNUMBER(SEARCH("Past",_xlpm.s))+ISNUMBER(SEARCH("Collections",_xlpm.s)),"Former",_xlpm.s)))))))</f>
        <v>Current</v>
      </c>
      <c r="H171" s="1010" cm="1">
        <f t="array" ref="H171">IF($A171="","",INDEX('resident aged receivable'!$I:$I,$A171))</f>
        <v>1024.22</v>
      </c>
      <c r="I171" s="1010" cm="1">
        <f t="array" ref="I171">IF($A171="","",INDEX('resident aged receivable'!$J:$J,$A171))</f>
        <v>1024.22</v>
      </c>
      <c r="J171" s="1010" cm="1">
        <f t="array" ref="J171">IF($A171="","",INDEX('resident aged receivable'!$K:$K,$A171))</f>
        <v>0</v>
      </c>
      <c r="K171" s="1020" t="str" cm="1">
        <f t="array" ref="K171">IFERROR(IF(B171="","",IF(SUMPRODUCT((LeaseLock!$D$2:$D$500=B171)*ISNUMBER(SEARCH(LEFT(C171,FIND(",",C171&amp;",")-1),LeaseLock!$C$2:$C$500)))=0,"",IF(LOOKUP(2,1/((LeaseLock!$D$2:$D$500=B171)*ISNUMBER(SEARCH(LEFT(C171,FIND(",",C171&amp;",")-1),LeaseLock!$C$2:$C$500))),LeaseLock!$F$2:$F$500)="Claim Denied","Claim Denied ("&amp;LOOKUP(2,1/((LeaseLock!$D$2:$D$500=B171)*ISNUMBER(SEARCH(LEFT(C171,FIND(",",C171&amp;",")-1),LeaseLock!$C$2:$C$500))),LeaseLock!$G$2:$G$500)&amp;")",IF(LOOKUP(2,1/((LeaseLock!$D$2:$D$500=B171)*ISNUMBER(SEARCH(LEFT(C171,FIND(",",C171&amp;",")-1),LeaseLock!$C$2:$C$500))),LeaseLock!$F$2:$F$500)="Open","Open - "&amp;LOOKUP(2,1/((LeaseLock!$D$2:$D$500=B171)*ISNUMBER(SEARCH(LEFT(C171,FIND(",",C171&amp;",")-1),LeaseLock!$C$2:$C$500))),LeaseLock!$G$2:$G$500),IF(LOOKUP(2,1/((LeaseLock!$D$2:$D$500=B171)*ISNUMBER(SEARCH(LEFT(C171,FIND(",",C171&amp;",")-1),LeaseLock!$C$2:$C$500))),LeaseLock!$M$2:$M$500)&gt;0,LOOKUP(2,1/((LeaseLock!$D$2:$D$500=B171)*ISNUMBER(SEARCH(LEFT(C171,FIND(",",C171&amp;",")-1),LeaseLock!$C$2:$C$500))),LeaseLock!$F$2:$F$500)&amp;" - $"&amp;TEXT(LOOKUP(2,1/((LeaseLock!$D$2:$D$500=B171)*ISNUMBER(SEARCH(LEFT(C171,FIND(",",C171&amp;",")-1),LeaseLock!$C$2:$C$500))),LeaseLock!$M$2:$M$500),"#,##0.00")&amp;" paid",LOOKUP(2,1/((LeaseLock!$D$2:$D$500=B171)*ISNUMBER(SEARCH(LEFT(C171,FIND(",",C171&amp;",")-1),LeaseLock!$C$2:$C$500))),LeaseLock!$F$2:$F$500)&amp;" - no payment"))))),"")</f>
        <v/>
      </c>
      <c r="L171" s="1211"/>
      <c r="M171" s="992"/>
      <c r="N171" s="992"/>
      <c r="Q171" s="973"/>
      <c r="R171" s="973"/>
      <c r="S171" s="973"/>
      <c r="T171" s="973"/>
      <c r="U171" s="973"/>
      <c r="V171" s="973"/>
      <c r="W171" s="973"/>
      <c r="X171" s="973"/>
      <c r="Y171" s="973"/>
      <c r="Z171" s="973"/>
    </row>
    <row r="172" spans="1:26" ht="12" hidden="1" customHeight="1">
      <c r="A172" s="996" cm="1">
        <f t="array" ref="A172">IFERROR(_xlfn.LET(_xlpm.n,ROW()-138,_xlpm.adj,IF(((((LEFT('resident aged receivable'!$E$2:$E$460,7)="Current")+(LEFT('resident aged receivable'!$E$2:$E$460,6)="Notice"))&gt;0)*(((ISNUMBER(SEARCH("Eviction",'resident aged receivable'!$E$2:$E$460))=FALSE)+(ISNUMBER(SEARCH("(On Property)",'resident aged receivable'!$E$2:$E$460))&gt;0))&gt;0)*(ISNUMBER(SEARCH("Skip",'resident aged receivable'!$E$2:$E$460))=FALSE)*(COUNTIF($N$3:$N$24,'resident aged receivable'!$D$2:$D$460)=0)*(COUNTIF($P$3:$P$24,'resident aged receivable'!$D$2:$D$460)=0)*('resident aged receivable'!$I$2:$I$460&gt;=$H$3)+(COUNTIF($P$3:$P$24,'resident aged receivable'!$D$2:$D$460)&gt;0)*(COUNTIF($N$3:$N$24,'resident aged receivable'!$D$2:$D$460)=0)*('resident aged receivable'!$I$2:$I$460&gt;0))&gt;0,'resident aged receivable'!$I$2:$I$460-ROW('resident aged receivable'!$I$2:$I$460)/1000000),_xlpm.tgt,LARGE(_xlpm.adj,_xlpm.n),MATCH(_xlpm.tgt,_xlpm.adj,0)+1),"")</f>
        <v>171</v>
      </c>
      <c r="B172" s="997" t="str" cm="1">
        <f t="array" ref="B172">IF($A172="","",INDEX('resident aged receivable'!$B:$B,$A172))</f>
        <v>W22-2-2050</v>
      </c>
      <c r="C172" s="997" t="str" cm="1">
        <f t="array" ref="C172">IF($A172="","",INDEX('resident aged receivable'!$D:$D,$A172))</f>
        <v>Davis, Trevor</v>
      </c>
      <c r="D172" s="998" cm="1">
        <f t="array" ref="D172">IF($A172="","",INDEX('resident aged receivable'!$F:$F,$A172))</f>
        <v>46161</v>
      </c>
      <c r="E172" s="998" t="str" cm="1">
        <f t="array" ref="E172">IF($A172="","",_xlfn.LET(_xlpm.leaseEnd,INDEX('resident aged receivable'!$H:$H,$A172),_xlpm.s,INDEX('resident aged receivable'!$E:$E,$A172),IF(ISNUMBER(SEARCH("Current",_xlpm.s))+ISNUMBER(SEARCH("Notice",_xlpm.s)),"",IF(ISNUMBER(_xlpm.leaseEnd),_xlpm.leaseEnd,""))))</f>
        <v/>
      </c>
      <c r="F172" s="997" t="str">
        <f t="shared" si="4"/>
        <v>CAF</v>
      </c>
      <c r="G172" s="1000" t="str" cm="1">
        <f t="array" ref="G172">IF($A172="","",_xlfn.LET(_xlpm.s,INDEX('resident aged receivable'!$E:$E,$A172),_xlpm.onRR,COUNTIF($P$3:$P$24,C172)&gt;0,IF(ISNUMBER(SEARCH("Eviction",_xlpm.s)),"Eviction",IF(_xlpm.onRR,"Current - On Rent Roll",IF(COUNTIF($N$3:$N$24,C172)&gt;0,"Former",IF(ISNUMBER(SEARCH("Skip",_xlpm.s)),"Skip",IF(ISNUMBER(SEARCH("Past",_xlpm.s))+ISNUMBER(SEARCH("Collections",_xlpm.s)),"Former",_xlpm.s)))))))</f>
        <v>Current</v>
      </c>
      <c r="H172" s="1010" cm="1">
        <f t="array" ref="H172">IF($A172="","",INDEX('resident aged receivable'!$I:$I,$A172))</f>
        <v>1016.01</v>
      </c>
      <c r="I172" s="1010" cm="1">
        <f t="array" ref="I172">IF($A172="","",INDEX('resident aged receivable'!$J:$J,$A172))</f>
        <v>1016.01</v>
      </c>
      <c r="J172" s="1010" cm="1">
        <f t="array" ref="J172">IF($A172="","",INDEX('resident aged receivable'!$K:$K,$A172))</f>
        <v>0</v>
      </c>
      <c r="K172" s="1020" t="str" cm="1">
        <f t="array" ref="K172">IFERROR(IF(B172="","",IF(SUMPRODUCT((LeaseLock!$D$2:$D$500=B172)*ISNUMBER(SEARCH(LEFT(C172,FIND(",",C172&amp;",")-1),LeaseLock!$C$2:$C$500)))=0,"",IF(LOOKUP(2,1/((LeaseLock!$D$2:$D$500=B172)*ISNUMBER(SEARCH(LEFT(C172,FIND(",",C172&amp;",")-1),LeaseLock!$C$2:$C$500))),LeaseLock!$F$2:$F$500)="Claim Denied","Claim Denied ("&amp;LOOKUP(2,1/((LeaseLock!$D$2:$D$500=B172)*ISNUMBER(SEARCH(LEFT(C172,FIND(",",C172&amp;",")-1),LeaseLock!$C$2:$C$500))),LeaseLock!$G$2:$G$500)&amp;")",IF(LOOKUP(2,1/((LeaseLock!$D$2:$D$500=B172)*ISNUMBER(SEARCH(LEFT(C172,FIND(",",C172&amp;",")-1),LeaseLock!$C$2:$C$500))),LeaseLock!$F$2:$F$500)="Open","Open - "&amp;LOOKUP(2,1/((LeaseLock!$D$2:$D$500=B172)*ISNUMBER(SEARCH(LEFT(C172,FIND(",",C172&amp;",")-1),LeaseLock!$C$2:$C$500))),LeaseLock!$G$2:$G$500),IF(LOOKUP(2,1/((LeaseLock!$D$2:$D$500=B172)*ISNUMBER(SEARCH(LEFT(C172,FIND(",",C172&amp;",")-1),LeaseLock!$C$2:$C$500))),LeaseLock!$M$2:$M$500)&gt;0,LOOKUP(2,1/((LeaseLock!$D$2:$D$500=B172)*ISNUMBER(SEARCH(LEFT(C172,FIND(",",C172&amp;",")-1),LeaseLock!$C$2:$C$500))),LeaseLock!$F$2:$F$500)&amp;" - $"&amp;TEXT(LOOKUP(2,1/((LeaseLock!$D$2:$D$500=B172)*ISNUMBER(SEARCH(LEFT(C172,FIND(",",C172&amp;",")-1),LeaseLock!$C$2:$C$500))),LeaseLock!$M$2:$M$500),"#,##0.00")&amp;" paid",LOOKUP(2,1/((LeaseLock!$D$2:$D$500=B172)*ISNUMBER(SEARCH(LEFT(C172,FIND(",",C172&amp;",")-1),LeaseLock!$C$2:$C$500))),LeaseLock!$F$2:$F$500)&amp;" - no payment"))))),"")</f>
        <v/>
      </c>
      <c r="L172" s="1211"/>
      <c r="M172" s="992"/>
      <c r="N172" s="992"/>
      <c r="Q172" s="973"/>
      <c r="R172" s="973"/>
      <c r="S172" s="973"/>
      <c r="T172" s="973"/>
      <c r="U172" s="973"/>
      <c r="V172" s="973"/>
      <c r="W172" s="973"/>
      <c r="X172" s="973"/>
      <c r="Y172" s="973"/>
      <c r="Z172" s="973"/>
    </row>
    <row r="173" spans="1:26" ht="12" hidden="1" customHeight="1">
      <c r="A173" s="996" cm="1">
        <f t="array" ref="A173">IFERROR(_xlfn.LET(_xlpm.n,ROW()-138,_xlpm.adj,IF(((((LEFT('resident aged receivable'!$E$2:$E$460,7)="Current")+(LEFT('resident aged receivable'!$E$2:$E$460,6)="Notice"))&gt;0)*(((ISNUMBER(SEARCH("Eviction",'resident aged receivable'!$E$2:$E$460))=FALSE)+(ISNUMBER(SEARCH("(On Property)",'resident aged receivable'!$E$2:$E$460))&gt;0))&gt;0)*(ISNUMBER(SEARCH("Skip",'resident aged receivable'!$E$2:$E$460))=FALSE)*(COUNTIF($N$3:$N$24,'resident aged receivable'!$D$2:$D$460)=0)*(COUNTIF($P$3:$P$24,'resident aged receivable'!$D$2:$D$460)=0)*('resident aged receivable'!$I$2:$I$460&gt;=$H$3)+(COUNTIF($P$3:$P$24,'resident aged receivable'!$D$2:$D$460)&gt;0)*(COUNTIF($N$3:$N$24,'resident aged receivable'!$D$2:$D$460)=0)*('resident aged receivable'!$I$2:$I$460&gt;0))&gt;0,'resident aged receivable'!$I$2:$I$460-ROW('resident aged receivable'!$I$2:$I$460)/1000000),_xlpm.tgt,LARGE(_xlpm.adj,_xlpm.n),MATCH(_xlpm.tgt,_xlpm.adj,0)+1),"")</f>
        <v>9</v>
      </c>
      <c r="B173" s="997" t="str" cm="1">
        <f t="array" ref="B173">IF($A173="","",INDEX('resident aged receivable'!$B:$B,$A173))</f>
        <v>N03-2014</v>
      </c>
      <c r="C173" s="997" t="str" cm="1">
        <f t="array" ref="C173">IF($A173="","",INDEX('resident aged receivable'!$D:$D,$A173))</f>
        <v>Ray, Jennya</v>
      </c>
      <c r="D173" s="998" cm="1">
        <f t="array" ref="D173">IF($A173="","",INDEX('resident aged receivable'!$F:$F,$A173))</f>
        <v>46171</v>
      </c>
      <c r="E173" s="998" t="str" cm="1">
        <f t="array" ref="E173">IF($A173="","",_xlfn.LET(_xlpm.leaseEnd,INDEX('resident aged receivable'!$H:$H,$A173),_xlpm.s,INDEX('resident aged receivable'!$E:$E,$A173),IF(ISNUMBER(SEARCH("Current",_xlpm.s))+ISNUMBER(SEARCH("Notice",_xlpm.s)),"",IF(ISNUMBER(_xlpm.leaseEnd),_xlpm.leaseEnd,""))))</f>
        <v/>
      </c>
      <c r="F173" s="997" t="str">
        <f t="shared" si="4"/>
        <v>CAF</v>
      </c>
      <c r="G173" s="1000" t="str" cm="1">
        <f t="array" ref="G173">IF($A173="","",_xlfn.LET(_xlpm.s,INDEX('resident aged receivable'!$E:$E,$A173),_xlpm.onRR,COUNTIF($P$3:$P$24,C173)&gt;0,IF(ISNUMBER(SEARCH("Eviction",_xlpm.s)),"Eviction",IF(_xlpm.onRR,"Current - On Rent Roll",IF(COUNTIF($N$3:$N$24,C173)&gt;0,"Former",IF(ISNUMBER(SEARCH("Skip",_xlpm.s)),"Skip",IF(ISNUMBER(SEARCH("Past",_xlpm.s))+ISNUMBER(SEARCH("Collections",_xlpm.s)),"Former",_xlpm.s)))))))</f>
        <v>Current</v>
      </c>
      <c r="H173" s="1010" cm="1">
        <f t="array" ref="H173">IF($A173="","",INDEX('resident aged receivable'!$I:$I,$A173))</f>
        <v>989.95</v>
      </c>
      <c r="I173" s="1010" cm="1">
        <f t="array" ref="I173">IF($A173="","",INDEX('resident aged receivable'!$J:$J,$A173))</f>
        <v>989.95</v>
      </c>
      <c r="J173" s="1010" cm="1">
        <f t="array" ref="J173">IF($A173="","",INDEX('resident aged receivable'!$K:$K,$A173))</f>
        <v>0</v>
      </c>
      <c r="K173" s="1020" t="str" cm="1">
        <f t="array" ref="K173">IFERROR(IF(B173="","",IF(SUMPRODUCT((LeaseLock!$D$2:$D$500=B173)*ISNUMBER(SEARCH(LEFT(C173,FIND(",",C173&amp;",")-1),LeaseLock!$C$2:$C$500)))=0,"",IF(LOOKUP(2,1/((LeaseLock!$D$2:$D$500=B173)*ISNUMBER(SEARCH(LEFT(C173,FIND(",",C173&amp;",")-1),LeaseLock!$C$2:$C$500))),LeaseLock!$F$2:$F$500)="Claim Denied","Claim Denied ("&amp;LOOKUP(2,1/((LeaseLock!$D$2:$D$500=B173)*ISNUMBER(SEARCH(LEFT(C173,FIND(",",C173&amp;",")-1),LeaseLock!$C$2:$C$500))),LeaseLock!$G$2:$G$500)&amp;")",IF(LOOKUP(2,1/((LeaseLock!$D$2:$D$500=B173)*ISNUMBER(SEARCH(LEFT(C173,FIND(",",C173&amp;",")-1),LeaseLock!$C$2:$C$500))),LeaseLock!$F$2:$F$500)="Open","Open - "&amp;LOOKUP(2,1/((LeaseLock!$D$2:$D$500=B173)*ISNUMBER(SEARCH(LEFT(C173,FIND(",",C173&amp;",")-1),LeaseLock!$C$2:$C$500))),LeaseLock!$G$2:$G$500),IF(LOOKUP(2,1/((LeaseLock!$D$2:$D$500=B173)*ISNUMBER(SEARCH(LEFT(C173,FIND(",",C173&amp;",")-1),LeaseLock!$C$2:$C$500))),LeaseLock!$M$2:$M$500)&gt;0,LOOKUP(2,1/((LeaseLock!$D$2:$D$500=B173)*ISNUMBER(SEARCH(LEFT(C173,FIND(",",C173&amp;",")-1),LeaseLock!$C$2:$C$500))),LeaseLock!$F$2:$F$500)&amp;" - $"&amp;TEXT(LOOKUP(2,1/((LeaseLock!$D$2:$D$500=B173)*ISNUMBER(SEARCH(LEFT(C173,FIND(",",C173&amp;",")-1),LeaseLock!$C$2:$C$500))),LeaseLock!$M$2:$M$500),"#,##0.00")&amp;" paid",LOOKUP(2,1/((LeaseLock!$D$2:$D$500=B173)*ISNUMBER(SEARCH(LEFT(C173,FIND(",",C173&amp;",")-1),LeaseLock!$C$2:$C$500))),LeaseLock!$F$2:$F$500)&amp;" - no payment"))))),"")</f>
        <v/>
      </c>
      <c r="L173" s="1211"/>
      <c r="M173" s="992"/>
      <c r="N173" s="992"/>
      <c r="Q173" s="973"/>
      <c r="R173" s="973"/>
      <c r="S173" s="973"/>
      <c r="T173" s="973"/>
      <c r="U173" s="973"/>
      <c r="V173" s="973"/>
      <c r="W173" s="973"/>
      <c r="X173" s="973"/>
      <c r="Y173" s="973"/>
      <c r="Z173" s="973"/>
    </row>
    <row r="174" spans="1:26" ht="12" hidden="1" customHeight="1">
      <c r="A174" s="996" cm="1">
        <f t="array" ref="A174">IFERROR(_xlfn.LET(_xlpm.n,ROW()-138,_xlpm.adj,IF(((((LEFT('resident aged receivable'!$E$2:$E$460,7)="Current")+(LEFT('resident aged receivable'!$E$2:$E$460,6)="Notice"))&gt;0)*(((ISNUMBER(SEARCH("Eviction",'resident aged receivable'!$E$2:$E$460))=FALSE)+(ISNUMBER(SEARCH("(On Property)",'resident aged receivable'!$E$2:$E$460))&gt;0))&gt;0)*(ISNUMBER(SEARCH("Skip",'resident aged receivable'!$E$2:$E$460))=FALSE)*(COUNTIF($N$3:$N$24,'resident aged receivable'!$D$2:$D$460)=0)*(COUNTIF($P$3:$P$24,'resident aged receivable'!$D$2:$D$460)=0)*('resident aged receivable'!$I$2:$I$460&gt;=$H$3)+(COUNTIF($P$3:$P$24,'resident aged receivable'!$D$2:$D$460)&gt;0)*(COUNTIF($N$3:$N$24,'resident aged receivable'!$D$2:$D$460)=0)*('resident aged receivable'!$I$2:$I$460&gt;0))&gt;0,'resident aged receivable'!$I$2:$I$460-ROW('resident aged receivable'!$I$2:$I$460)/1000000),_xlpm.tgt,LARGE(_xlpm.adj,_xlpm.n),MATCH(_xlpm.tgt,_xlpm.adj,0)+1),"")</f>
        <v>182</v>
      </c>
      <c r="B174" s="997" t="str" cm="1">
        <f t="array" ref="B174">IF($A174="","",INDEX('resident aged receivable'!$B:$B,$A174))</f>
        <v>W27-2-2007</v>
      </c>
      <c r="C174" s="997" t="str" cm="1">
        <f t="array" ref="C174">IF($A174="","",INDEX('resident aged receivable'!$D:$D,$A174))</f>
        <v>Ogunlusi, Adekanmi</v>
      </c>
      <c r="D174" s="998" cm="1">
        <f t="array" ref="D174">IF($A174="","",INDEX('resident aged receivable'!$F:$F,$A174))</f>
        <v>45252</v>
      </c>
      <c r="E174" s="998" t="str" cm="1">
        <f t="array" ref="E174">IF($A174="","",_xlfn.LET(_xlpm.leaseEnd,INDEX('resident aged receivable'!$H:$H,$A174),_xlpm.s,INDEX('resident aged receivable'!$E:$E,$A174),IF(ISNUMBER(SEARCH("Current",_xlpm.s))+ISNUMBER(SEARCH("Notice",_xlpm.s)),"",IF(ISNUMBER(_xlpm.leaseEnd),_xlpm.leaseEnd,""))))</f>
        <v/>
      </c>
      <c r="F174" s="997" t="str">
        <f t="shared" si="4"/>
        <v>IPS</v>
      </c>
      <c r="G174" s="1000" t="str" cm="1">
        <f t="array" ref="G174">IF($A174="","",_xlfn.LET(_xlpm.s,INDEX('resident aged receivable'!$E:$E,$A174),_xlpm.onRR,COUNTIF($P$3:$P$24,C174)&gt;0,IF(ISNUMBER(SEARCH("Eviction",_xlpm.s)),"Eviction",IF(_xlpm.onRR,"Current - On Rent Roll",IF(COUNTIF($N$3:$N$24,C174)&gt;0,"Former",IF(ISNUMBER(SEARCH("Skip",_xlpm.s)),"Skip",IF(ISNUMBER(SEARCH("Past",_xlpm.s))+ISNUMBER(SEARCH("Collections",_xlpm.s)),"Former",_xlpm.s)))))))</f>
        <v>Current</v>
      </c>
      <c r="H174" s="1010" cm="1">
        <f t="array" ref="H174">IF($A174="","",INDEX('resident aged receivable'!$I:$I,$A174))</f>
        <v>956.52</v>
      </c>
      <c r="I174" s="1010" cm="1">
        <f t="array" ref="I174">IF($A174="","",INDEX('resident aged receivable'!$J:$J,$A174))</f>
        <v>956.52</v>
      </c>
      <c r="J174" s="1010" cm="1">
        <f t="array" ref="J174">IF($A174="","",INDEX('resident aged receivable'!$K:$K,$A174))</f>
        <v>0</v>
      </c>
      <c r="K174" s="1020" t="str" cm="1">
        <f t="array" ref="K174">IFERROR(IF(B174="","",IF(SUMPRODUCT((LeaseLock!$D$2:$D$500=B174)*ISNUMBER(SEARCH(LEFT(C174,FIND(",",C174&amp;",")-1),LeaseLock!$C$2:$C$500)))=0,"",IF(LOOKUP(2,1/((LeaseLock!$D$2:$D$500=B174)*ISNUMBER(SEARCH(LEFT(C174,FIND(",",C174&amp;",")-1),LeaseLock!$C$2:$C$500))),LeaseLock!$F$2:$F$500)="Claim Denied","Claim Denied ("&amp;LOOKUP(2,1/((LeaseLock!$D$2:$D$500=B174)*ISNUMBER(SEARCH(LEFT(C174,FIND(",",C174&amp;",")-1),LeaseLock!$C$2:$C$500))),LeaseLock!$G$2:$G$500)&amp;")",IF(LOOKUP(2,1/((LeaseLock!$D$2:$D$500=B174)*ISNUMBER(SEARCH(LEFT(C174,FIND(",",C174&amp;",")-1),LeaseLock!$C$2:$C$500))),LeaseLock!$F$2:$F$500)="Open","Open - "&amp;LOOKUP(2,1/((LeaseLock!$D$2:$D$500=B174)*ISNUMBER(SEARCH(LEFT(C174,FIND(",",C174&amp;",")-1),LeaseLock!$C$2:$C$500))),LeaseLock!$G$2:$G$500),IF(LOOKUP(2,1/((LeaseLock!$D$2:$D$500=B174)*ISNUMBER(SEARCH(LEFT(C174,FIND(",",C174&amp;",")-1),LeaseLock!$C$2:$C$500))),LeaseLock!$M$2:$M$500)&gt;0,LOOKUP(2,1/((LeaseLock!$D$2:$D$500=B174)*ISNUMBER(SEARCH(LEFT(C174,FIND(",",C174&amp;",")-1),LeaseLock!$C$2:$C$500))),LeaseLock!$F$2:$F$500)&amp;" - $"&amp;TEXT(LOOKUP(2,1/((LeaseLock!$D$2:$D$500=B174)*ISNUMBER(SEARCH(LEFT(C174,FIND(",",C174&amp;",")-1),LeaseLock!$C$2:$C$500))),LeaseLock!$M$2:$M$500),"#,##0.00")&amp;" paid",LOOKUP(2,1/((LeaseLock!$D$2:$D$500=B174)*ISNUMBER(SEARCH(LEFT(C174,FIND(",",C174&amp;",")-1),LeaseLock!$C$2:$C$500))),LeaseLock!$F$2:$F$500)&amp;" - no payment"))))),"")</f>
        <v/>
      </c>
      <c r="L174" s="1211"/>
      <c r="M174" s="992"/>
      <c r="N174" s="992"/>
      <c r="Q174" s="973"/>
      <c r="R174" s="973"/>
      <c r="S174" s="973"/>
      <c r="T174" s="973"/>
      <c r="U174" s="973"/>
      <c r="V174" s="973"/>
      <c r="W174" s="973"/>
      <c r="X174" s="973"/>
      <c r="Y174" s="973"/>
      <c r="Z174" s="973"/>
    </row>
    <row r="175" spans="1:26" ht="12" hidden="1" customHeight="1">
      <c r="A175" s="996" cm="1">
        <f t="array" ref="A175">IFERROR(_xlfn.LET(_xlpm.n,ROW()-138,_xlpm.adj,IF(((((LEFT('resident aged receivable'!$E$2:$E$460,7)="Current")+(LEFT('resident aged receivable'!$E$2:$E$460,6)="Notice"))&gt;0)*(((ISNUMBER(SEARCH("Eviction",'resident aged receivable'!$E$2:$E$460))=FALSE)+(ISNUMBER(SEARCH("(On Property)",'resident aged receivable'!$E$2:$E$460))&gt;0))&gt;0)*(ISNUMBER(SEARCH("Skip",'resident aged receivable'!$E$2:$E$460))=FALSE)*(COUNTIF($N$3:$N$24,'resident aged receivable'!$D$2:$D$460)=0)*(COUNTIF($P$3:$P$24,'resident aged receivable'!$D$2:$D$460)=0)*('resident aged receivable'!$I$2:$I$460&gt;=$H$3)+(COUNTIF($P$3:$P$24,'resident aged receivable'!$D$2:$D$460)&gt;0)*(COUNTIF($N$3:$N$24,'resident aged receivable'!$D$2:$D$460)=0)*('resident aged receivable'!$I$2:$I$460&gt;0))&gt;0,'resident aged receivable'!$I$2:$I$460-ROW('resident aged receivable'!$I$2:$I$460)/1000000),_xlpm.tgt,LARGE(_xlpm.adj,_xlpm.n),MATCH(_xlpm.tgt,_xlpm.adj,0)+1),"")</f>
        <v>157</v>
      </c>
      <c r="B175" s="997" t="str" cm="1">
        <f t="array" ref="B175">IF($A175="","",INDEX('resident aged receivable'!$B:$B,$A175))</f>
        <v>W17-2-2079</v>
      </c>
      <c r="C175" s="997" t="str" cm="1">
        <f t="array" ref="C175">IF($A175="","",INDEX('resident aged receivable'!$D:$D,$A175))</f>
        <v>Richard, Englene</v>
      </c>
      <c r="D175" s="998" cm="1">
        <f t="array" ref="D175">IF($A175="","",INDEX('resident aged receivable'!$F:$F,$A175))</f>
        <v>46135</v>
      </c>
      <c r="E175" s="998" t="str" cm="1">
        <f t="array" ref="E175">IF($A175="","",_xlfn.LET(_xlpm.leaseEnd,INDEX('resident aged receivable'!$H:$H,$A175),_xlpm.s,INDEX('resident aged receivable'!$E:$E,$A175),IF(ISNUMBER(SEARCH("Current",_xlpm.s))+ISNUMBER(SEARCH("Notice",_xlpm.s)),"",IF(ISNUMBER(_xlpm.leaseEnd),_xlpm.leaseEnd,""))))</f>
        <v/>
      </c>
      <c r="F175" s="997" t="str">
        <f t="shared" si="4"/>
        <v>CAF</v>
      </c>
      <c r="G175" s="1000" t="str" cm="1">
        <f t="array" ref="G175">IF($A175="","",_xlfn.LET(_xlpm.s,INDEX('resident aged receivable'!$E:$E,$A175),_xlpm.onRR,COUNTIF($P$3:$P$24,C175)&gt;0,IF(ISNUMBER(SEARCH("Eviction",_xlpm.s)),"Eviction",IF(_xlpm.onRR,"Current - On Rent Roll",IF(COUNTIF($N$3:$N$24,C175)&gt;0,"Former",IF(ISNUMBER(SEARCH("Skip",_xlpm.s)),"Skip",IF(ISNUMBER(SEARCH("Past",_xlpm.s))+ISNUMBER(SEARCH("Collections",_xlpm.s)),"Former",_xlpm.s)))))))</f>
        <v>Current</v>
      </c>
      <c r="H175" s="1010" cm="1">
        <f t="array" ref="H175">IF($A175="","",INDEX('resident aged receivable'!$I:$I,$A175))</f>
        <v>950.05</v>
      </c>
      <c r="I175" s="1010" cm="1">
        <f t="array" ref="I175">IF($A175="","",INDEX('resident aged receivable'!$J:$J,$A175))</f>
        <v>950.05</v>
      </c>
      <c r="J175" s="1010" cm="1">
        <f t="array" ref="J175">IF($A175="","",INDEX('resident aged receivable'!$K:$K,$A175))</f>
        <v>0</v>
      </c>
      <c r="K175" s="1020" t="str" cm="1">
        <f t="array" ref="K175">IFERROR(IF(B175="","",IF(SUMPRODUCT((LeaseLock!$D$2:$D$500=B175)*ISNUMBER(SEARCH(LEFT(C175,FIND(",",C175&amp;",")-1),LeaseLock!$C$2:$C$500)))=0,"",IF(LOOKUP(2,1/((LeaseLock!$D$2:$D$500=B175)*ISNUMBER(SEARCH(LEFT(C175,FIND(",",C175&amp;",")-1),LeaseLock!$C$2:$C$500))),LeaseLock!$F$2:$F$500)="Claim Denied","Claim Denied ("&amp;LOOKUP(2,1/((LeaseLock!$D$2:$D$500=B175)*ISNUMBER(SEARCH(LEFT(C175,FIND(",",C175&amp;",")-1),LeaseLock!$C$2:$C$500))),LeaseLock!$G$2:$G$500)&amp;")",IF(LOOKUP(2,1/((LeaseLock!$D$2:$D$500=B175)*ISNUMBER(SEARCH(LEFT(C175,FIND(",",C175&amp;",")-1),LeaseLock!$C$2:$C$500))),LeaseLock!$F$2:$F$500)="Open","Open - "&amp;LOOKUP(2,1/((LeaseLock!$D$2:$D$500=B175)*ISNUMBER(SEARCH(LEFT(C175,FIND(",",C175&amp;",")-1),LeaseLock!$C$2:$C$500))),LeaseLock!$G$2:$G$500),IF(LOOKUP(2,1/((LeaseLock!$D$2:$D$500=B175)*ISNUMBER(SEARCH(LEFT(C175,FIND(",",C175&amp;",")-1),LeaseLock!$C$2:$C$500))),LeaseLock!$M$2:$M$500)&gt;0,LOOKUP(2,1/((LeaseLock!$D$2:$D$500=B175)*ISNUMBER(SEARCH(LEFT(C175,FIND(",",C175&amp;",")-1),LeaseLock!$C$2:$C$500))),LeaseLock!$F$2:$F$500)&amp;" - $"&amp;TEXT(LOOKUP(2,1/((LeaseLock!$D$2:$D$500=B175)*ISNUMBER(SEARCH(LEFT(C175,FIND(",",C175&amp;",")-1),LeaseLock!$C$2:$C$500))),LeaseLock!$M$2:$M$500),"#,##0.00")&amp;" paid",LOOKUP(2,1/((LeaseLock!$D$2:$D$500=B175)*ISNUMBER(SEARCH(LEFT(C175,FIND(",",C175&amp;",")-1),LeaseLock!$C$2:$C$500))),LeaseLock!$F$2:$F$500)&amp;" - no payment"))))),"")</f>
        <v/>
      </c>
      <c r="L175" s="1211"/>
      <c r="M175" s="992"/>
      <c r="N175" s="992"/>
      <c r="Q175" s="973"/>
      <c r="R175" s="973"/>
      <c r="S175" s="973"/>
      <c r="T175" s="973"/>
      <c r="U175" s="973"/>
      <c r="V175" s="973"/>
      <c r="W175" s="973"/>
      <c r="X175" s="973"/>
      <c r="Y175" s="973"/>
      <c r="Z175" s="973"/>
    </row>
    <row r="176" spans="1:26" ht="12" hidden="1" customHeight="1">
      <c r="A176" s="996" cm="1">
        <f t="array" ref="A176">IFERROR(_xlfn.LET(_xlpm.n,ROW()-138,_xlpm.adj,IF(((((LEFT('resident aged receivable'!$E$2:$E$460,7)="Current")+(LEFT('resident aged receivable'!$E$2:$E$460,6)="Notice"))&gt;0)*(((ISNUMBER(SEARCH("Eviction",'resident aged receivable'!$E$2:$E$460))=FALSE)+(ISNUMBER(SEARCH("(On Property)",'resident aged receivable'!$E$2:$E$460))&gt;0))&gt;0)*(ISNUMBER(SEARCH("Skip",'resident aged receivable'!$E$2:$E$460))=FALSE)*(COUNTIF($N$3:$N$24,'resident aged receivable'!$D$2:$D$460)=0)*(COUNTIF($P$3:$P$24,'resident aged receivable'!$D$2:$D$460)=0)*('resident aged receivable'!$I$2:$I$460&gt;=$H$3)+(COUNTIF($P$3:$P$24,'resident aged receivable'!$D$2:$D$460)&gt;0)*(COUNTIF($N$3:$N$24,'resident aged receivable'!$D$2:$D$460)=0)*('resident aged receivable'!$I$2:$I$460&gt;0))&gt;0,'resident aged receivable'!$I$2:$I$460-ROW('resident aged receivable'!$I$2:$I$460)/1000000),_xlpm.tgt,LARGE(_xlpm.adj,_xlpm.n),MATCH(_xlpm.tgt,_xlpm.adj,0)+1),"")</f>
        <v>143</v>
      </c>
      <c r="B176" s="997" t="str" cm="1">
        <f t="array" ref="B176">IF($A176="","",INDEX('resident aged receivable'!$B:$B,$A176))</f>
        <v>W15-2-1087</v>
      </c>
      <c r="C176" s="997" t="str" cm="1">
        <f t="array" ref="C176">IF($A176="","",INDEX('resident aged receivable'!$D:$D,$A176))</f>
        <v>Goodman, Diamond</v>
      </c>
      <c r="D176" s="998" cm="1">
        <f t="array" ref="D176">IF($A176="","",INDEX('resident aged receivable'!$F:$F,$A176))</f>
        <v>45523</v>
      </c>
      <c r="E176" s="998" t="str" cm="1">
        <f t="array" ref="E176">IF($A176="","",_xlfn.LET(_xlpm.leaseEnd,INDEX('resident aged receivable'!$H:$H,$A176),_xlpm.s,INDEX('resident aged receivable'!$E:$E,$A176),IF(ISNUMBER(SEARCH("Current",_xlpm.s))+ISNUMBER(SEARCH("Notice",_xlpm.s)),"",IF(ISNUMBER(_xlpm.leaseEnd),_xlpm.leaseEnd,""))))</f>
        <v/>
      </c>
      <c r="F176" s="997" t="str">
        <f t="shared" si="4"/>
        <v>IPS</v>
      </c>
      <c r="G176" s="1000" t="str" cm="1">
        <f t="array" ref="G176">IF($A176="","",_xlfn.LET(_xlpm.s,INDEX('resident aged receivable'!$E:$E,$A176),_xlpm.onRR,COUNTIF($P$3:$P$24,C176)&gt;0,IF(ISNUMBER(SEARCH("Eviction",_xlpm.s)),"Eviction",IF(_xlpm.onRR,"Current - On Rent Roll",IF(COUNTIF($N$3:$N$24,C176)&gt;0,"Former",IF(ISNUMBER(SEARCH("Skip",_xlpm.s)),"Skip",IF(ISNUMBER(SEARCH("Past",_xlpm.s))+ISNUMBER(SEARCH("Collections",_xlpm.s)),"Former",_xlpm.s)))))))</f>
        <v>Notice</v>
      </c>
      <c r="H176" s="1010" cm="1">
        <f t="array" ref="H176">IF($A176="","",INDEX('resident aged receivable'!$I:$I,$A176))</f>
        <v>921.92</v>
      </c>
      <c r="I176" s="1010" cm="1">
        <f t="array" ref="I176">IF($A176="","",INDEX('resident aged receivable'!$J:$J,$A176))</f>
        <v>921.92</v>
      </c>
      <c r="J176" s="1010" cm="1">
        <f t="array" ref="J176">IF($A176="","",INDEX('resident aged receivable'!$K:$K,$A176))</f>
        <v>0</v>
      </c>
      <c r="K176" s="1020" t="str" cm="1">
        <f t="array" ref="K176">IFERROR(IF(B176="","",IF(SUMPRODUCT((LeaseLock!$D$2:$D$500=B176)*ISNUMBER(SEARCH(LEFT(C176,FIND(",",C176&amp;",")-1),LeaseLock!$C$2:$C$500)))=0,"",IF(LOOKUP(2,1/((LeaseLock!$D$2:$D$500=B176)*ISNUMBER(SEARCH(LEFT(C176,FIND(",",C176&amp;",")-1),LeaseLock!$C$2:$C$500))),LeaseLock!$F$2:$F$500)="Claim Denied","Claim Denied ("&amp;LOOKUP(2,1/((LeaseLock!$D$2:$D$500=B176)*ISNUMBER(SEARCH(LEFT(C176,FIND(",",C176&amp;",")-1),LeaseLock!$C$2:$C$500))),LeaseLock!$G$2:$G$500)&amp;")",IF(LOOKUP(2,1/((LeaseLock!$D$2:$D$500=B176)*ISNUMBER(SEARCH(LEFT(C176,FIND(",",C176&amp;",")-1),LeaseLock!$C$2:$C$500))),LeaseLock!$F$2:$F$500)="Open","Open - "&amp;LOOKUP(2,1/((LeaseLock!$D$2:$D$500=B176)*ISNUMBER(SEARCH(LEFT(C176,FIND(",",C176&amp;",")-1),LeaseLock!$C$2:$C$500))),LeaseLock!$G$2:$G$500),IF(LOOKUP(2,1/((LeaseLock!$D$2:$D$500=B176)*ISNUMBER(SEARCH(LEFT(C176,FIND(",",C176&amp;",")-1),LeaseLock!$C$2:$C$500))),LeaseLock!$M$2:$M$500)&gt;0,LOOKUP(2,1/((LeaseLock!$D$2:$D$500=B176)*ISNUMBER(SEARCH(LEFT(C176,FIND(",",C176&amp;",")-1),LeaseLock!$C$2:$C$500))),LeaseLock!$F$2:$F$500)&amp;" - $"&amp;TEXT(LOOKUP(2,1/((LeaseLock!$D$2:$D$500=B176)*ISNUMBER(SEARCH(LEFT(C176,FIND(",",C176&amp;",")-1),LeaseLock!$C$2:$C$500))),LeaseLock!$M$2:$M$500),"#,##0.00")&amp;" paid",LOOKUP(2,1/((LeaseLock!$D$2:$D$500=B176)*ISNUMBER(SEARCH(LEFT(C176,FIND(",",C176&amp;",")-1),LeaseLock!$C$2:$C$500))),LeaseLock!$F$2:$F$500)&amp;" - no payment"))))),"")</f>
        <v/>
      </c>
      <c r="L176" s="1211"/>
      <c r="M176" s="992"/>
      <c r="N176" s="992"/>
      <c r="Q176" s="973"/>
      <c r="R176" s="973"/>
      <c r="S176" s="973"/>
      <c r="T176" s="973"/>
      <c r="U176" s="973"/>
      <c r="V176" s="973"/>
      <c r="W176" s="973"/>
      <c r="X176" s="973"/>
      <c r="Y176" s="973"/>
      <c r="Z176" s="973"/>
    </row>
    <row r="177" spans="1:26" ht="12" hidden="1" customHeight="1">
      <c r="A177" s="996" cm="1">
        <f t="array" ref="A177">IFERROR(_xlfn.LET(_xlpm.n,ROW()-138,_xlpm.adj,IF(((((LEFT('resident aged receivable'!$E$2:$E$460,7)="Current")+(LEFT('resident aged receivable'!$E$2:$E$460,6)="Notice"))&gt;0)*(((ISNUMBER(SEARCH("Eviction",'resident aged receivable'!$E$2:$E$460))=FALSE)+(ISNUMBER(SEARCH("(On Property)",'resident aged receivable'!$E$2:$E$460))&gt;0))&gt;0)*(ISNUMBER(SEARCH("Skip",'resident aged receivable'!$E$2:$E$460))=FALSE)*(COUNTIF($N$3:$N$24,'resident aged receivable'!$D$2:$D$460)=0)*(COUNTIF($P$3:$P$24,'resident aged receivable'!$D$2:$D$460)=0)*('resident aged receivable'!$I$2:$I$460&gt;=$H$3)+(COUNTIF($P$3:$P$24,'resident aged receivable'!$D$2:$D$460)&gt;0)*(COUNTIF($N$3:$N$24,'resident aged receivable'!$D$2:$D$460)=0)*('resident aged receivable'!$I$2:$I$460&gt;0))&gt;0,'resident aged receivable'!$I$2:$I$460-ROW('resident aged receivable'!$I$2:$I$460)/1000000),_xlpm.tgt,LARGE(_xlpm.adj,_xlpm.n),MATCH(_xlpm.tgt,_xlpm.adj,0)+1),"")</f>
        <v>86</v>
      </c>
      <c r="B177" s="997" t="str" cm="1">
        <f t="array" ref="B177">IF($A177="","",INDEX('resident aged receivable'!$B:$B,$A177))</f>
        <v>S42-272</v>
      </c>
      <c r="C177" s="997" t="str" cm="1">
        <f t="array" ref="C177">IF($A177="","",INDEX('resident aged receivable'!$D:$D,$A177))</f>
        <v>Torres, Karina</v>
      </c>
      <c r="D177" s="998" cm="1">
        <f t="array" ref="D177">IF($A177="","",INDEX('resident aged receivable'!$F:$F,$A177))</f>
        <v>46025</v>
      </c>
      <c r="E177" s="998" t="str" cm="1">
        <f t="array" ref="E177">IF($A177="","",_xlfn.LET(_xlpm.leaseEnd,INDEX('resident aged receivable'!$H:$H,$A177),_xlpm.s,INDEX('resident aged receivable'!$E:$E,$A177),IF(ISNUMBER(SEARCH("Current",_xlpm.s))+ISNUMBER(SEARCH("Notice",_xlpm.s)),"",IF(ISNUMBER(_xlpm.leaseEnd),_xlpm.leaseEnd,""))))</f>
        <v/>
      </c>
      <c r="F177" s="997" t="str">
        <f t="shared" si="4"/>
        <v>CAF</v>
      </c>
      <c r="G177" s="1000" t="str" cm="1">
        <f t="array" ref="G177">IF($A177="","",_xlfn.LET(_xlpm.s,INDEX('resident aged receivable'!$E:$E,$A177),_xlpm.onRR,COUNTIF($P$3:$P$24,C177)&gt;0,IF(ISNUMBER(SEARCH("Eviction",_xlpm.s)),"Eviction",IF(_xlpm.onRR,"Current - On Rent Roll",IF(COUNTIF($N$3:$N$24,C177)&gt;0,"Former",IF(ISNUMBER(SEARCH("Skip",_xlpm.s)),"Skip",IF(ISNUMBER(SEARCH("Past",_xlpm.s))+ISNUMBER(SEARCH("Collections",_xlpm.s)),"Former",_xlpm.s)))))))</f>
        <v>Current</v>
      </c>
      <c r="H177" s="1010" cm="1">
        <f t="array" ref="H177">IF($A177="","",INDEX('resident aged receivable'!$I:$I,$A177))</f>
        <v>891.33</v>
      </c>
      <c r="I177" s="1010" cm="1">
        <f t="array" ref="I177">IF($A177="","",INDEX('resident aged receivable'!$J:$J,$A177))</f>
        <v>891.33</v>
      </c>
      <c r="J177" s="1010" cm="1">
        <f t="array" ref="J177">IF($A177="","",INDEX('resident aged receivable'!$K:$K,$A177))</f>
        <v>0</v>
      </c>
      <c r="K177" s="1020" t="str" cm="1">
        <f t="array" ref="K177">IFERROR(IF(B177="","",IF(SUMPRODUCT((LeaseLock!$D$2:$D$500=B177)*ISNUMBER(SEARCH(LEFT(C177,FIND(",",C177&amp;",")-1),LeaseLock!$C$2:$C$500)))=0,"",IF(LOOKUP(2,1/((LeaseLock!$D$2:$D$500=B177)*ISNUMBER(SEARCH(LEFT(C177,FIND(",",C177&amp;",")-1),LeaseLock!$C$2:$C$500))),LeaseLock!$F$2:$F$500)="Claim Denied","Claim Denied ("&amp;LOOKUP(2,1/((LeaseLock!$D$2:$D$500=B177)*ISNUMBER(SEARCH(LEFT(C177,FIND(",",C177&amp;",")-1),LeaseLock!$C$2:$C$500))),LeaseLock!$G$2:$G$500)&amp;")",IF(LOOKUP(2,1/((LeaseLock!$D$2:$D$500=B177)*ISNUMBER(SEARCH(LEFT(C177,FIND(",",C177&amp;",")-1),LeaseLock!$C$2:$C$500))),LeaseLock!$F$2:$F$500)="Open","Open - "&amp;LOOKUP(2,1/((LeaseLock!$D$2:$D$500=B177)*ISNUMBER(SEARCH(LEFT(C177,FIND(",",C177&amp;",")-1),LeaseLock!$C$2:$C$500))),LeaseLock!$G$2:$G$500),IF(LOOKUP(2,1/((LeaseLock!$D$2:$D$500=B177)*ISNUMBER(SEARCH(LEFT(C177,FIND(",",C177&amp;",")-1),LeaseLock!$C$2:$C$500))),LeaseLock!$M$2:$M$500)&gt;0,LOOKUP(2,1/((LeaseLock!$D$2:$D$500=B177)*ISNUMBER(SEARCH(LEFT(C177,FIND(",",C177&amp;",")-1),LeaseLock!$C$2:$C$500))),LeaseLock!$F$2:$F$500)&amp;" - $"&amp;TEXT(LOOKUP(2,1/((LeaseLock!$D$2:$D$500=B177)*ISNUMBER(SEARCH(LEFT(C177,FIND(",",C177&amp;",")-1),LeaseLock!$C$2:$C$500))),LeaseLock!$M$2:$M$500),"#,##0.00")&amp;" paid",LOOKUP(2,1/((LeaseLock!$D$2:$D$500=B177)*ISNUMBER(SEARCH(LEFT(C177,FIND(",",C177&amp;",")-1),LeaseLock!$C$2:$C$500))),LeaseLock!$F$2:$F$500)&amp;" - no payment"))))),"")</f>
        <v/>
      </c>
      <c r="L177" s="1211"/>
      <c r="M177" s="992"/>
      <c r="N177" s="992"/>
      <c r="Q177" s="973"/>
      <c r="R177" s="973"/>
      <c r="S177" s="973"/>
      <c r="T177" s="973"/>
      <c r="U177" s="973"/>
      <c r="V177" s="973"/>
      <c r="W177" s="973"/>
      <c r="X177" s="973"/>
      <c r="Y177" s="973"/>
      <c r="Z177" s="973"/>
    </row>
    <row r="178" spans="1:26" ht="12" hidden="1" customHeight="1">
      <c r="A178" s="996" cm="1">
        <f t="array" ref="A178">IFERROR(_xlfn.LET(_xlpm.n,ROW()-138,_xlpm.adj,IF(((((LEFT('resident aged receivable'!$E$2:$E$460,7)="Current")+(LEFT('resident aged receivable'!$E$2:$E$460,6)="Notice"))&gt;0)*(((ISNUMBER(SEARCH("Eviction",'resident aged receivable'!$E$2:$E$460))=FALSE)+(ISNUMBER(SEARCH("(On Property)",'resident aged receivable'!$E$2:$E$460))&gt;0))&gt;0)*(ISNUMBER(SEARCH("Skip",'resident aged receivable'!$E$2:$E$460))=FALSE)*(COUNTIF($N$3:$N$24,'resident aged receivable'!$D$2:$D$460)=0)*(COUNTIF($P$3:$P$24,'resident aged receivable'!$D$2:$D$460)=0)*('resident aged receivable'!$I$2:$I$460&gt;=$H$3)+(COUNTIF($P$3:$P$24,'resident aged receivable'!$D$2:$D$460)&gt;0)*(COUNTIF($N$3:$N$24,'resident aged receivable'!$D$2:$D$460)=0)*('resident aged receivable'!$I$2:$I$460&gt;0))&gt;0,'resident aged receivable'!$I$2:$I$460-ROW('resident aged receivable'!$I$2:$I$460)/1000000),_xlpm.tgt,LARGE(_xlpm.adj,_xlpm.n),MATCH(_xlpm.tgt,_xlpm.adj,0)+1),"")</f>
        <v>33</v>
      </c>
      <c r="B178" s="997" t="str" cm="1">
        <f t="array" ref="B178">IF($A178="","",INDEX('resident aged receivable'!$B:$B,$A178))</f>
        <v>N18-1086</v>
      </c>
      <c r="C178" s="997" t="str" cm="1">
        <f t="array" ref="C178">IF($A178="","",INDEX('resident aged receivable'!$D:$D,$A178))</f>
        <v>Castillo, Eric</v>
      </c>
      <c r="D178" s="998" cm="1">
        <f t="array" ref="D178">IF($A178="","",INDEX('resident aged receivable'!$F:$F,$A178))</f>
        <v>46087</v>
      </c>
      <c r="E178" s="998" t="str" cm="1">
        <f t="array" ref="E178">IF($A178="","",_xlfn.LET(_xlpm.leaseEnd,INDEX('resident aged receivable'!$H:$H,$A178),_xlpm.s,INDEX('resident aged receivable'!$E:$E,$A178),IF(ISNUMBER(SEARCH("Current",_xlpm.s))+ISNUMBER(SEARCH("Notice",_xlpm.s)),"",IF(ISNUMBER(_xlpm.leaseEnd),_xlpm.leaseEnd,""))))</f>
        <v/>
      </c>
      <c r="F178" s="997" t="str">
        <f t="shared" si="4"/>
        <v>CAF</v>
      </c>
      <c r="G178" s="1000" t="str" cm="1">
        <f t="array" ref="G178">IF($A178="","",_xlfn.LET(_xlpm.s,INDEX('resident aged receivable'!$E:$E,$A178),_xlpm.onRR,COUNTIF($P$3:$P$24,C178)&gt;0,IF(ISNUMBER(SEARCH("Eviction",_xlpm.s)),"Eviction",IF(_xlpm.onRR,"Current - On Rent Roll",IF(COUNTIF($N$3:$N$24,C178)&gt;0,"Former",IF(ISNUMBER(SEARCH("Skip",_xlpm.s)),"Skip",IF(ISNUMBER(SEARCH("Past",_xlpm.s))+ISNUMBER(SEARCH("Collections",_xlpm.s)),"Former",_xlpm.s)))))))</f>
        <v>Current</v>
      </c>
      <c r="H178" s="1010" cm="1">
        <f t="array" ref="H178">IF($A178="","",INDEX('resident aged receivable'!$I:$I,$A178))</f>
        <v>881.58</v>
      </c>
      <c r="I178" s="1010" cm="1">
        <f t="array" ref="I178">IF($A178="","",INDEX('resident aged receivable'!$J:$J,$A178))</f>
        <v>881.58</v>
      </c>
      <c r="J178" s="1010" cm="1">
        <f t="array" ref="J178">IF($A178="","",INDEX('resident aged receivable'!$K:$K,$A178))</f>
        <v>0</v>
      </c>
      <c r="K178" s="1020" t="str" cm="1">
        <f t="array" ref="K178">IFERROR(IF(B178="","",IF(SUMPRODUCT((LeaseLock!$D$2:$D$500=B178)*ISNUMBER(SEARCH(LEFT(C178,FIND(",",C178&amp;",")-1),LeaseLock!$C$2:$C$500)))=0,"",IF(LOOKUP(2,1/((LeaseLock!$D$2:$D$500=B178)*ISNUMBER(SEARCH(LEFT(C178,FIND(",",C178&amp;",")-1),LeaseLock!$C$2:$C$500))),LeaseLock!$F$2:$F$500)="Claim Denied","Claim Denied ("&amp;LOOKUP(2,1/((LeaseLock!$D$2:$D$500=B178)*ISNUMBER(SEARCH(LEFT(C178,FIND(",",C178&amp;",")-1),LeaseLock!$C$2:$C$500))),LeaseLock!$G$2:$G$500)&amp;")",IF(LOOKUP(2,1/((LeaseLock!$D$2:$D$500=B178)*ISNUMBER(SEARCH(LEFT(C178,FIND(",",C178&amp;",")-1),LeaseLock!$C$2:$C$500))),LeaseLock!$F$2:$F$500)="Open","Open - "&amp;LOOKUP(2,1/((LeaseLock!$D$2:$D$500=B178)*ISNUMBER(SEARCH(LEFT(C178,FIND(",",C178&amp;",")-1),LeaseLock!$C$2:$C$500))),LeaseLock!$G$2:$G$500),IF(LOOKUP(2,1/((LeaseLock!$D$2:$D$500=B178)*ISNUMBER(SEARCH(LEFT(C178,FIND(",",C178&amp;",")-1),LeaseLock!$C$2:$C$500))),LeaseLock!$M$2:$M$500)&gt;0,LOOKUP(2,1/((LeaseLock!$D$2:$D$500=B178)*ISNUMBER(SEARCH(LEFT(C178,FIND(",",C178&amp;",")-1),LeaseLock!$C$2:$C$500))),LeaseLock!$F$2:$F$500)&amp;" - $"&amp;TEXT(LOOKUP(2,1/((LeaseLock!$D$2:$D$500=B178)*ISNUMBER(SEARCH(LEFT(C178,FIND(",",C178&amp;",")-1),LeaseLock!$C$2:$C$500))),LeaseLock!$M$2:$M$500),"#,##0.00")&amp;" paid",LOOKUP(2,1/((LeaseLock!$D$2:$D$500=B178)*ISNUMBER(SEARCH(LEFT(C178,FIND(",",C178&amp;",")-1),LeaseLock!$C$2:$C$500))),LeaseLock!$F$2:$F$500)&amp;" - no payment"))))),"")</f>
        <v/>
      </c>
      <c r="L178" s="1211"/>
      <c r="M178" s="992"/>
      <c r="N178" s="992"/>
      <c r="Q178" s="973"/>
      <c r="R178" s="973"/>
      <c r="S178" s="973"/>
      <c r="T178" s="973"/>
      <c r="U178" s="973"/>
      <c r="V178" s="973"/>
      <c r="W178" s="973"/>
      <c r="X178" s="973"/>
      <c r="Y178" s="973"/>
      <c r="Z178" s="973"/>
    </row>
    <row r="179" spans="1:26" ht="12" hidden="1" customHeight="1">
      <c r="A179" s="996" cm="1">
        <f t="array" ref="A179">IFERROR(_xlfn.LET(_xlpm.n,ROW()-138,_xlpm.adj,IF(((((LEFT('resident aged receivable'!$E$2:$E$460,7)="Current")+(LEFT('resident aged receivable'!$E$2:$E$460,6)="Notice"))&gt;0)*(((ISNUMBER(SEARCH("Eviction",'resident aged receivable'!$E$2:$E$460))=FALSE)+(ISNUMBER(SEARCH("(On Property)",'resident aged receivable'!$E$2:$E$460))&gt;0))&gt;0)*(ISNUMBER(SEARCH("Skip",'resident aged receivable'!$E$2:$E$460))=FALSE)*(COUNTIF($N$3:$N$24,'resident aged receivable'!$D$2:$D$460)=0)*(COUNTIF($P$3:$P$24,'resident aged receivable'!$D$2:$D$460)=0)*('resident aged receivable'!$I$2:$I$460&gt;=$H$3)+(COUNTIF($P$3:$P$24,'resident aged receivable'!$D$2:$D$460)&gt;0)*(COUNTIF($N$3:$N$24,'resident aged receivable'!$D$2:$D$460)=0)*('resident aged receivable'!$I$2:$I$460&gt;0))&gt;0,'resident aged receivable'!$I$2:$I$460-ROW('resident aged receivable'!$I$2:$I$460)/1000000),_xlpm.tgt,LARGE(_xlpm.adj,_xlpm.n),MATCH(_xlpm.tgt,_xlpm.adj,0)+1),"")</f>
        <v>160</v>
      </c>
      <c r="B179" s="997" t="str" cm="1">
        <f t="array" ref="B179">IF($A179="","",INDEX('resident aged receivable'!$B:$B,$A179))</f>
        <v>W19-2-1066</v>
      </c>
      <c r="C179" s="997" t="str" cm="1">
        <f t="array" ref="C179">IF($A179="","",INDEX('resident aged receivable'!$D:$D,$A179))</f>
        <v>Tovar, Mary</v>
      </c>
      <c r="D179" s="998" cm="1">
        <f t="array" ref="D179">IF($A179="","",INDEX('resident aged receivable'!$F:$F,$A179))</f>
        <v>44470</v>
      </c>
      <c r="E179" s="998" t="str" cm="1">
        <f t="array" ref="E179">IF($A179="","",_xlfn.LET(_xlpm.leaseEnd,INDEX('resident aged receivable'!$H:$H,$A179),_xlpm.s,INDEX('resident aged receivable'!$E:$E,$A179),IF(ISNUMBER(SEARCH("Current",_xlpm.s))+ISNUMBER(SEARCH("Notice",_xlpm.s)),"",IF(ISNUMBER(_xlpm.leaseEnd),_xlpm.leaseEnd,""))))</f>
        <v/>
      </c>
      <c r="F179" s="997" t="str">
        <f t="shared" si="4"/>
        <v>IPS</v>
      </c>
      <c r="G179" s="1000" t="str" cm="1">
        <f t="array" ref="G179">IF($A179="","",_xlfn.LET(_xlpm.s,INDEX('resident aged receivable'!$E:$E,$A179),_xlpm.onRR,COUNTIF($P$3:$P$24,C179)&gt;0,IF(ISNUMBER(SEARCH("Eviction",_xlpm.s)),"Eviction",IF(_xlpm.onRR,"Current - On Rent Roll",IF(COUNTIF($N$3:$N$24,C179)&gt;0,"Former",IF(ISNUMBER(SEARCH("Skip",_xlpm.s)),"Skip",IF(ISNUMBER(SEARCH("Past",_xlpm.s))+ISNUMBER(SEARCH("Collections",_xlpm.s)),"Former",_xlpm.s)))))))</f>
        <v>Notice</v>
      </c>
      <c r="H179" s="1010" cm="1">
        <f t="array" ref="H179">IF($A179="","",INDEX('resident aged receivable'!$I:$I,$A179))</f>
        <v>870.73</v>
      </c>
      <c r="I179" s="1010" cm="1">
        <f t="array" ref="I179">IF($A179="","",INDEX('resident aged receivable'!$J:$J,$A179))</f>
        <v>870.73</v>
      </c>
      <c r="J179" s="1010" cm="1">
        <f t="array" ref="J179">IF($A179="","",INDEX('resident aged receivable'!$K:$K,$A179))</f>
        <v>0</v>
      </c>
      <c r="K179" s="1020" t="str" cm="1">
        <f t="array" ref="K179">IFERROR(IF(B179="","",IF(SUMPRODUCT((LeaseLock!$D$2:$D$500=B179)*ISNUMBER(SEARCH(LEFT(C179,FIND(",",C179&amp;",")-1),LeaseLock!$C$2:$C$500)))=0,"",IF(LOOKUP(2,1/((LeaseLock!$D$2:$D$500=B179)*ISNUMBER(SEARCH(LEFT(C179,FIND(",",C179&amp;",")-1),LeaseLock!$C$2:$C$500))),LeaseLock!$F$2:$F$500)="Claim Denied","Claim Denied ("&amp;LOOKUP(2,1/((LeaseLock!$D$2:$D$500=B179)*ISNUMBER(SEARCH(LEFT(C179,FIND(",",C179&amp;",")-1),LeaseLock!$C$2:$C$500))),LeaseLock!$G$2:$G$500)&amp;")",IF(LOOKUP(2,1/((LeaseLock!$D$2:$D$500=B179)*ISNUMBER(SEARCH(LEFT(C179,FIND(",",C179&amp;",")-1),LeaseLock!$C$2:$C$500))),LeaseLock!$F$2:$F$500)="Open","Open - "&amp;LOOKUP(2,1/((LeaseLock!$D$2:$D$500=B179)*ISNUMBER(SEARCH(LEFT(C179,FIND(",",C179&amp;",")-1),LeaseLock!$C$2:$C$500))),LeaseLock!$G$2:$G$500),IF(LOOKUP(2,1/((LeaseLock!$D$2:$D$500=B179)*ISNUMBER(SEARCH(LEFT(C179,FIND(",",C179&amp;",")-1),LeaseLock!$C$2:$C$500))),LeaseLock!$M$2:$M$500)&gt;0,LOOKUP(2,1/((LeaseLock!$D$2:$D$500=B179)*ISNUMBER(SEARCH(LEFT(C179,FIND(",",C179&amp;",")-1),LeaseLock!$C$2:$C$500))),LeaseLock!$F$2:$F$500)&amp;" - $"&amp;TEXT(LOOKUP(2,1/((LeaseLock!$D$2:$D$500=B179)*ISNUMBER(SEARCH(LEFT(C179,FIND(",",C179&amp;",")-1),LeaseLock!$C$2:$C$500))),LeaseLock!$M$2:$M$500),"#,##0.00")&amp;" paid",LOOKUP(2,1/((LeaseLock!$D$2:$D$500=B179)*ISNUMBER(SEARCH(LEFT(C179,FIND(",",C179&amp;",")-1),LeaseLock!$C$2:$C$500))),LeaseLock!$F$2:$F$500)&amp;" - no payment"))))),"")</f>
        <v/>
      </c>
      <c r="L179" s="1211"/>
      <c r="M179" s="992"/>
      <c r="N179" s="992"/>
      <c r="Q179" s="973"/>
      <c r="R179" s="973"/>
      <c r="S179" s="973"/>
      <c r="T179" s="973"/>
      <c r="U179" s="973"/>
      <c r="V179" s="973"/>
      <c r="W179" s="973"/>
      <c r="X179" s="973"/>
      <c r="Y179" s="973"/>
      <c r="Z179" s="973"/>
    </row>
    <row r="180" spans="1:26" ht="12" hidden="1" customHeight="1">
      <c r="A180" s="996" cm="1">
        <f t="array" ref="A180">IFERROR(_xlfn.LET(_xlpm.n,ROW()-138,_xlpm.adj,IF(((((LEFT('resident aged receivable'!$E$2:$E$460,7)="Current")+(LEFT('resident aged receivable'!$E$2:$E$460,6)="Notice"))&gt;0)*(((ISNUMBER(SEARCH("Eviction",'resident aged receivable'!$E$2:$E$460))=FALSE)+(ISNUMBER(SEARCH("(On Property)",'resident aged receivable'!$E$2:$E$460))&gt;0))&gt;0)*(ISNUMBER(SEARCH("Skip",'resident aged receivable'!$E$2:$E$460))=FALSE)*(COUNTIF($N$3:$N$24,'resident aged receivable'!$D$2:$D$460)=0)*(COUNTIF($P$3:$P$24,'resident aged receivable'!$D$2:$D$460)=0)*('resident aged receivable'!$I$2:$I$460&gt;=$H$3)+(COUNTIF($P$3:$P$24,'resident aged receivable'!$D$2:$D$460)&gt;0)*(COUNTIF($N$3:$N$24,'resident aged receivable'!$D$2:$D$460)=0)*('resident aged receivable'!$I$2:$I$460&gt;0))&gt;0,'resident aged receivable'!$I$2:$I$460-ROW('resident aged receivable'!$I$2:$I$460)/1000000),_xlpm.tgt,LARGE(_xlpm.adj,_xlpm.n),MATCH(_xlpm.tgt,_xlpm.adj,0)+1),"")</f>
        <v>99</v>
      </c>
      <c r="B180" s="997" t="str" cm="1">
        <f t="array" ref="B180">IF($A180="","",INDEX('resident aged receivable'!$B:$B,$A180))</f>
        <v>W03-1-0321</v>
      </c>
      <c r="C180" s="997" t="str" cm="1">
        <f t="array" ref="C180">IF($A180="","",INDEX('resident aged receivable'!$D:$D,$A180))</f>
        <v>Griffiths, Aloysius</v>
      </c>
      <c r="D180" s="998" cm="1">
        <f t="array" ref="D180">IF($A180="","",INDEX('resident aged receivable'!$F:$F,$A180))</f>
        <v>45731</v>
      </c>
      <c r="E180" s="998" t="str" cm="1">
        <f t="array" ref="E180">IF($A180="","",_xlfn.LET(_xlpm.leaseEnd,INDEX('resident aged receivable'!$H:$H,$A180),_xlpm.s,INDEX('resident aged receivable'!$E:$E,$A180),IF(ISNUMBER(SEARCH("Current",_xlpm.s))+ISNUMBER(SEARCH("Notice",_xlpm.s)),"",IF(ISNUMBER(_xlpm.leaseEnd),_xlpm.leaseEnd,""))))</f>
        <v/>
      </c>
      <c r="F180" s="997" t="str">
        <f t="shared" si="4"/>
        <v>IPS</v>
      </c>
      <c r="G180" s="1000" t="str" cm="1">
        <f t="array" ref="G180">IF($A180="","",_xlfn.LET(_xlpm.s,INDEX('resident aged receivable'!$E:$E,$A180),_xlpm.onRR,COUNTIF($P$3:$P$24,C180)&gt;0,IF(ISNUMBER(SEARCH("Eviction",_xlpm.s)),"Eviction",IF(_xlpm.onRR,"Current - On Rent Roll",IF(COUNTIF($N$3:$N$24,C180)&gt;0,"Former",IF(ISNUMBER(SEARCH("Skip",_xlpm.s)),"Skip",IF(ISNUMBER(SEARCH("Past",_xlpm.s))+ISNUMBER(SEARCH("Collections",_xlpm.s)),"Former",_xlpm.s)))))))</f>
        <v>Current</v>
      </c>
      <c r="H180" s="1010" cm="1">
        <f t="array" ref="H180">IF($A180="","",INDEX('resident aged receivable'!$I:$I,$A180))</f>
        <v>821.22</v>
      </c>
      <c r="I180" s="1010" cm="1">
        <f t="array" ref="I180">IF($A180="","",INDEX('resident aged receivable'!$J:$J,$A180))</f>
        <v>821.22</v>
      </c>
      <c r="J180" s="1010" cm="1">
        <f t="array" ref="J180">IF($A180="","",INDEX('resident aged receivable'!$K:$K,$A180))</f>
        <v>0</v>
      </c>
      <c r="K180" s="1020" t="str" cm="1">
        <f t="array" ref="K180">IFERROR(IF(B180="","",IF(SUMPRODUCT((LeaseLock!$D$2:$D$500=B180)*ISNUMBER(SEARCH(LEFT(C180,FIND(",",C180&amp;",")-1),LeaseLock!$C$2:$C$500)))=0,"",IF(LOOKUP(2,1/((LeaseLock!$D$2:$D$500=B180)*ISNUMBER(SEARCH(LEFT(C180,FIND(",",C180&amp;",")-1),LeaseLock!$C$2:$C$500))),LeaseLock!$F$2:$F$500)="Claim Denied","Claim Denied ("&amp;LOOKUP(2,1/((LeaseLock!$D$2:$D$500=B180)*ISNUMBER(SEARCH(LEFT(C180,FIND(",",C180&amp;",")-1),LeaseLock!$C$2:$C$500))),LeaseLock!$G$2:$G$500)&amp;")",IF(LOOKUP(2,1/((LeaseLock!$D$2:$D$500=B180)*ISNUMBER(SEARCH(LEFT(C180,FIND(",",C180&amp;",")-1),LeaseLock!$C$2:$C$500))),LeaseLock!$F$2:$F$500)="Open","Open - "&amp;LOOKUP(2,1/((LeaseLock!$D$2:$D$500=B180)*ISNUMBER(SEARCH(LEFT(C180,FIND(",",C180&amp;",")-1),LeaseLock!$C$2:$C$500))),LeaseLock!$G$2:$G$500),IF(LOOKUP(2,1/((LeaseLock!$D$2:$D$500=B180)*ISNUMBER(SEARCH(LEFT(C180,FIND(",",C180&amp;",")-1),LeaseLock!$C$2:$C$500))),LeaseLock!$M$2:$M$500)&gt;0,LOOKUP(2,1/((LeaseLock!$D$2:$D$500=B180)*ISNUMBER(SEARCH(LEFT(C180,FIND(",",C180&amp;",")-1),LeaseLock!$C$2:$C$500))),LeaseLock!$F$2:$F$500)&amp;" - $"&amp;TEXT(LOOKUP(2,1/((LeaseLock!$D$2:$D$500=B180)*ISNUMBER(SEARCH(LEFT(C180,FIND(",",C180&amp;",")-1),LeaseLock!$C$2:$C$500))),LeaseLock!$M$2:$M$500),"#,##0.00")&amp;" paid",LOOKUP(2,1/((LeaseLock!$D$2:$D$500=B180)*ISNUMBER(SEARCH(LEFT(C180,FIND(",",C180&amp;",")-1),LeaseLock!$C$2:$C$500))),LeaseLock!$F$2:$F$500)&amp;" - no payment"))))),"")</f>
        <v/>
      </c>
      <c r="L180" s="1211"/>
      <c r="M180" s="992"/>
      <c r="N180" s="992"/>
      <c r="Q180" s="973"/>
      <c r="R180" s="973"/>
      <c r="S180" s="973"/>
      <c r="T180" s="973"/>
      <c r="U180" s="973"/>
      <c r="V180" s="973"/>
      <c r="W180" s="973"/>
      <c r="X180" s="973"/>
      <c r="Y180" s="973"/>
      <c r="Z180" s="973"/>
    </row>
    <row r="181" spans="1:26" ht="12" hidden="1" customHeight="1">
      <c r="A181" s="996" cm="1">
        <f t="array" ref="A181">IFERROR(_xlfn.LET(_xlpm.n,ROW()-138,_xlpm.adj,IF(((((LEFT('resident aged receivable'!$E$2:$E$460,7)="Current")+(LEFT('resident aged receivable'!$E$2:$E$460,6)="Notice"))&gt;0)*(((ISNUMBER(SEARCH("Eviction",'resident aged receivable'!$E$2:$E$460))=FALSE)+(ISNUMBER(SEARCH("(On Property)",'resident aged receivable'!$E$2:$E$460))&gt;0))&gt;0)*(ISNUMBER(SEARCH("Skip",'resident aged receivable'!$E$2:$E$460))=FALSE)*(COUNTIF($N$3:$N$24,'resident aged receivable'!$D$2:$D$460)=0)*(COUNTIF($P$3:$P$24,'resident aged receivable'!$D$2:$D$460)=0)*('resident aged receivable'!$I$2:$I$460&gt;=$H$3)+(COUNTIF($P$3:$P$24,'resident aged receivable'!$D$2:$D$460)&gt;0)*(COUNTIF($N$3:$N$24,'resident aged receivable'!$D$2:$D$460)=0)*('resident aged receivable'!$I$2:$I$460&gt;0))&gt;0,'resident aged receivable'!$I$2:$I$460-ROW('resident aged receivable'!$I$2:$I$460)/1000000),_xlpm.tgt,LARGE(_xlpm.adj,_xlpm.n),MATCH(_xlpm.tgt,_xlpm.adj,0)+1),"")</f>
        <v>130</v>
      </c>
      <c r="B181" s="997" t="str" cm="1">
        <f t="array" ref="B181">IF($A181="","",INDEX('resident aged receivable'!$B:$B,$A181))</f>
        <v>W12-1-1201</v>
      </c>
      <c r="C181" s="997" t="str" cm="1">
        <f t="array" ref="C181">IF($A181="","",INDEX('resident aged receivable'!$D:$D,$A181))</f>
        <v>Yulissa, Karen</v>
      </c>
      <c r="D181" s="998" cm="1">
        <f t="array" ref="D181">IF($A181="","",INDEX('resident aged receivable'!$F:$F,$A181))</f>
        <v>45881</v>
      </c>
      <c r="E181" s="998" t="str" cm="1">
        <f t="array" ref="E181">IF($A181="","",_xlfn.LET(_xlpm.leaseEnd,INDEX('resident aged receivable'!$H:$H,$A181),_xlpm.s,INDEX('resident aged receivable'!$E:$E,$A181),IF(ISNUMBER(SEARCH("Current",_xlpm.s))+ISNUMBER(SEARCH("Notice",_xlpm.s)),"",IF(ISNUMBER(_xlpm.leaseEnd),_xlpm.leaseEnd,""))))</f>
        <v/>
      </c>
      <c r="F181" s="997" t="str">
        <f t="shared" si="4"/>
        <v>IPS</v>
      </c>
      <c r="G181" s="1000" t="str" cm="1">
        <f t="array" ref="G181">IF($A181="","",_xlfn.LET(_xlpm.s,INDEX('resident aged receivable'!$E:$E,$A181),_xlpm.onRR,COUNTIF($P$3:$P$24,C181)&gt;0,IF(ISNUMBER(SEARCH("Eviction",_xlpm.s)),"Eviction",IF(_xlpm.onRR,"Current - On Rent Roll",IF(COUNTIF($N$3:$N$24,C181)&gt;0,"Former",IF(ISNUMBER(SEARCH("Skip",_xlpm.s)),"Skip",IF(ISNUMBER(SEARCH("Past",_xlpm.s))+ISNUMBER(SEARCH("Collections",_xlpm.s)),"Former",_xlpm.s)))))))</f>
        <v>Notice</v>
      </c>
      <c r="H181" s="1010" cm="1">
        <f t="array" ref="H181">IF($A181="","",INDEX('resident aged receivable'!$I:$I,$A181))</f>
        <v>786.27</v>
      </c>
      <c r="I181" s="1010" cm="1">
        <f t="array" ref="I181">IF($A181="","",INDEX('resident aged receivable'!$J:$J,$A181))</f>
        <v>786.27</v>
      </c>
      <c r="J181" s="1010" cm="1">
        <f t="array" ref="J181">IF($A181="","",INDEX('resident aged receivable'!$K:$K,$A181))</f>
        <v>0</v>
      </c>
      <c r="K181" s="1020" t="str" cm="1">
        <f t="array" ref="K181">IFERROR(IF(B181="","",IF(SUMPRODUCT((LeaseLock!$D$2:$D$500=B181)*ISNUMBER(SEARCH(LEFT(C181,FIND(",",C181&amp;",")-1),LeaseLock!$C$2:$C$500)))=0,"",IF(LOOKUP(2,1/((LeaseLock!$D$2:$D$500=B181)*ISNUMBER(SEARCH(LEFT(C181,FIND(",",C181&amp;",")-1),LeaseLock!$C$2:$C$500))),LeaseLock!$F$2:$F$500)="Claim Denied","Claim Denied ("&amp;LOOKUP(2,1/((LeaseLock!$D$2:$D$500=B181)*ISNUMBER(SEARCH(LEFT(C181,FIND(",",C181&amp;",")-1),LeaseLock!$C$2:$C$500))),LeaseLock!$G$2:$G$500)&amp;")",IF(LOOKUP(2,1/((LeaseLock!$D$2:$D$500=B181)*ISNUMBER(SEARCH(LEFT(C181,FIND(",",C181&amp;",")-1),LeaseLock!$C$2:$C$500))),LeaseLock!$F$2:$F$500)="Open","Open - "&amp;LOOKUP(2,1/((LeaseLock!$D$2:$D$500=B181)*ISNUMBER(SEARCH(LEFT(C181,FIND(",",C181&amp;",")-1),LeaseLock!$C$2:$C$500))),LeaseLock!$G$2:$G$500),IF(LOOKUP(2,1/((LeaseLock!$D$2:$D$500=B181)*ISNUMBER(SEARCH(LEFT(C181,FIND(",",C181&amp;",")-1),LeaseLock!$C$2:$C$500))),LeaseLock!$M$2:$M$500)&gt;0,LOOKUP(2,1/((LeaseLock!$D$2:$D$500=B181)*ISNUMBER(SEARCH(LEFT(C181,FIND(",",C181&amp;",")-1),LeaseLock!$C$2:$C$500))),LeaseLock!$F$2:$F$500)&amp;" - $"&amp;TEXT(LOOKUP(2,1/((LeaseLock!$D$2:$D$500=B181)*ISNUMBER(SEARCH(LEFT(C181,FIND(",",C181&amp;",")-1),LeaseLock!$C$2:$C$500))),LeaseLock!$M$2:$M$500),"#,##0.00")&amp;" paid",LOOKUP(2,1/((LeaseLock!$D$2:$D$500=B181)*ISNUMBER(SEARCH(LEFT(C181,FIND(",",C181&amp;",")-1),LeaseLock!$C$2:$C$500))),LeaseLock!$F$2:$F$500)&amp;" - no payment"))))),"")</f>
        <v/>
      </c>
      <c r="L181" s="1211"/>
      <c r="M181" s="992"/>
      <c r="N181" s="992"/>
      <c r="Q181" s="973"/>
      <c r="R181" s="973"/>
      <c r="S181" s="973"/>
      <c r="T181" s="973"/>
      <c r="U181" s="973"/>
      <c r="V181" s="973"/>
      <c r="W181" s="973"/>
      <c r="X181" s="973"/>
      <c r="Y181" s="973"/>
      <c r="Z181" s="973"/>
    </row>
    <row r="182" spans="1:26" ht="12" customHeight="1">
      <c r="A182" s="996"/>
      <c r="B182" s="1006" t="str" cm="1">
        <f t="array" ref="B182">"TOTAL ("&amp;SUMPRODUCT(--(((((LEFT('resident aged receivable'!$E$2:$E$460,7)="Current")+(LEFT('resident aged receivable'!$E$2:$E$460,6)="Notice"))&gt;0)*(((ISNUMBER(SEARCH("Eviction",'resident aged receivable'!$E$2:$E$460))=FALSE)+(ISNUMBER(SEARCH("(On Property)",'resident aged receivable'!$E$2:$E$460))&gt;0))&gt;0)*(ISNUMBER(SEARCH("Skip",'resident aged receivable'!$E$2:$E$460))=FALSE)*(COUNTIF($N$3:$N$24,'resident aged receivable'!$D$2:$D$460)=0)*(COUNTIF($P$3:$P$24,'resident aged receivable'!$D$2:$D$460)=0)*('resident aged receivable'!$I$2:$I$460&gt;=$H$3)+(COUNTIF($P$3:$P$24,'resident aged receivable'!$D$2:$D$460)&gt;0)*(COUNTIF($N$3:$N$24,'resident aged receivable'!$D$2:$D$460)=0)*('resident aged receivable'!$I$2:$I$460&gt;0))&gt;0))&amp;" accounts)"</f>
        <v>TOTAL (59 accounts)</v>
      </c>
      <c r="C182" s="1007"/>
      <c r="D182" s="1007"/>
      <c r="E182" s="1007"/>
      <c r="F182" s="1007"/>
      <c r="G182" s="1007"/>
      <c r="H182" s="1011">
        <f>SUM(H139:H181)</f>
        <v>106328.52999999996</v>
      </c>
      <c r="I182" s="1011">
        <f>SUM(I139:I181)</f>
        <v>53834.320000000022</v>
      </c>
      <c r="J182" s="1011">
        <f>SUM(J139:J181)</f>
        <v>12196.650000000001</v>
      </c>
      <c r="K182" s="1022"/>
      <c r="L182" s="1007"/>
      <c r="M182" s="992"/>
      <c r="N182" s="992"/>
      <c r="Q182" s="973"/>
      <c r="R182" s="973"/>
      <c r="S182" s="973"/>
      <c r="T182" s="973"/>
      <c r="U182" s="973"/>
      <c r="V182" s="973"/>
      <c r="W182" s="973"/>
      <c r="X182" s="973"/>
      <c r="Y182" s="973"/>
      <c r="Z182" s="973"/>
    </row>
    <row r="183" spans="1:26">
      <c r="A183" s="992"/>
      <c r="B183" s="992"/>
      <c r="C183" s="992"/>
      <c r="D183" s="992"/>
      <c r="E183" s="992"/>
      <c r="F183" s="992"/>
      <c r="G183" s="992"/>
      <c r="H183" s="992"/>
      <c r="I183" s="992"/>
      <c r="J183" s="992"/>
      <c r="K183" s="992"/>
      <c r="L183" s="992"/>
      <c r="M183" s="992"/>
      <c r="N183" s="992"/>
      <c r="Q183" s="973"/>
      <c r="R183" s="973"/>
      <c r="S183" s="973"/>
      <c r="T183" s="973"/>
      <c r="U183" s="973"/>
      <c r="V183" s="973"/>
      <c r="W183" s="973"/>
      <c r="X183" s="973"/>
      <c r="Y183" s="973"/>
      <c r="Z183" s="973"/>
    </row>
    <row r="184" spans="1:26">
      <c r="A184" s="992"/>
      <c r="B184" s="1012" t="s">
        <v>980</v>
      </c>
      <c r="C184" s="992"/>
      <c r="D184" s="992"/>
      <c r="E184" s="992"/>
      <c r="F184" s="992"/>
      <c r="G184" s="992"/>
      <c r="H184" s="992"/>
      <c r="I184" s="992"/>
      <c r="J184" s="992"/>
      <c r="K184" s="992"/>
      <c r="L184" s="992"/>
      <c r="M184" s="992"/>
      <c r="N184" s="992"/>
      <c r="Q184" s="973"/>
      <c r="R184" s="973"/>
      <c r="S184" s="973"/>
      <c r="T184" s="973"/>
      <c r="U184" s="973"/>
      <c r="V184" s="973"/>
      <c r="W184" s="973"/>
      <c r="X184" s="973"/>
      <c r="Y184" s="973"/>
      <c r="Z184" s="973"/>
    </row>
    <row r="185" spans="1:26">
      <c r="A185" s="992"/>
      <c r="B185" s="1013" t="s">
        <v>1167</v>
      </c>
      <c r="C185" s="1014" t="s">
        <v>1168</v>
      </c>
      <c r="D185" s="992"/>
      <c r="E185" s="992"/>
      <c r="F185" s="992"/>
      <c r="G185" s="992"/>
      <c r="H185" s="992"/>
      <c r="I185" s="992"/>
      <c r="J185" s="992"/>
      <c r="K185" s="992"/>
      <c r="L185" s="992"/>
      <c r="M185" s="992"/>
      <c r="N185" s="992"/>
      <c r="Q185" s="973"/>
      <c r="R185" s="973"/>
      <c r="S185" s="973"/>
      <c r="T185" s="973"/>
      <c r="U185" s="973"/>
      <c r="V185" s="973"/>
      <c r="W185" s="973"/>
      <c r="X185" s="973"/>
      <c r="Y185" s="973"/>
      <c r="Z185" s="973"/>
    </row>
    <row r="186" spans="1:26">
      <c r="A186" s="992"/>
      <c r="B186" s="1015" t="s">
        <v>1169</v>
      </c>
      <c r="C186" s="1014" t="s">
        <v>1170</v>
      </c>
      <c r="D186" s="992"/>
      <c r="E186" s="992"/>
      <c r="F186" s="992"/>
      <c r="G186" s="992"/>
      <c r="H186" s="992"/>
      <c r="I186" s="992"/>
      <c r="J186" s="992"/>
      <c r="K186" s="992"/>
      <c r="L186" s="992"/>
      <c r="M186" s="992"/>
      <c r="N186" s="992"/>
      <c r="Q186" s="973"/>
      <c r="R186" s="973"/>
      <c r="S186" s="973"/>
      <c r="T186" s="973"/>
      <c r="U186" s="973"/>
      <c r="V186" s="973"/>
      <c r="W186" s="973"/>
      <c r="X186" s="973"/>
      <c r="Y186" s="973"/>
      <c r="Z186" s="973"/>
    </row>
    <row r="187" spans="1:26">
      <c r="A187" s="992"/>
      <c r="B187" s="1016" t="s">
        <v>1171</v>
      </c>
      <c r="C187" s="1014" t="s">
        <v>1172</v>
      </c>
      <c r="D187" s="992"/>
      <c r="E187" s="992"/>
      <c r="F187" s="992"/>
      <c r="G187" s="992"/>
      <c r="H187" s="992"/>
      <c r="I187" s="992"/>
      <c r="J187" s="992"/>
      <c r="K187" s="992"/>
      <c r="L187" s="992"/>
      <c r="M187" s="992"/>
      <c r="N187" s="992"/>
      <c r="Q187" s="973"/>
      <c r="R187" s="973"/>
      <c r="S187" s="973"/>
      <c r="T187" s="973"/>
      <c r="U187" s="973"/>
      <c r="V187" s="973"/>
      <c r="W187" s="973"/>
      <c r="X187" s="973"/>
      <c r="Y187" s="973"/>
      <c r="Z187" s="973"/>
    </row>
    <row r="188" spans="1:26">
      <c r="A188" s="992"/>
      <c r="B188" s="992"/>
      <c r="C188" s="992"/>
      <c r="D188" s="992"/>
      <c r="E188" s="992"/>
      <c r="F188" s="992"/>
      <c r="G188" s="992"/>
      <c r="H188" s="992"/>
      <c r="I188" s="992"/>
      <c r="J188" s="992"/>
      <c r="K188" s="992"/>
      <c r="L188" s="992"/>
      <c r="M188" s="992"/>
      <c r="N188" s="992"/>
      <c r="Q188" s="973"/>
      <c r="R188" s="973"/>
      <c r="S188" s="973"/>
      <c r="T188" s="973"/>
      <c r="U188" s="973"/>
      <c r="V188" s="973"/>
      <c r="W188" s="973"/>
      <c r="X188" s="973"/>
      <c r="Y188" s="973"/>
      <c r="Z188" s="973"/>
    </row>
    <row r="189" spans="1:26">
      <c r="A189" s="992"/>
      <c r="B189" s="992"/>
      <c r="C189" s="992"/>
      <c r="D189" s="992"/>
      <c r="E189" s="992"/>
      <c r="F189" s="992"/>
      <c r="G189" s="992"/>
      <c r="H189" s="992"/>
      <c r="I189" s="992"/>
      <c r="J189" s="992"/>
      <c r="K189" s="992"/>
      <c r="L189" s="992"/>
      <c r="M189" s="992"/>
      <c r="N189" s="992"/>
      <c r="Q189" s="973"/>
      <c r="R189" s="973"/>
      <c r="S189" s="973"/>
      <c r="T189" s="973"/>
      <c r="U189" s="973"/>
      <c r="V189" s="973"/>
      <c r="W189" s="973"/>
      <c r="X189" s="973"/>
      <c r="Y189" s="973"/>
      <c r="Z189" s="973"/>
    </row>
    <row r="190" spans="1:26">
      <c r="K190" s="973"/>
      <c r="Q190" s="973"/>
      <c r="R190" s="973"/>
      <c r="S190" s="973"/>
      <c r="T190" s="973"/>
      <c r="U190" s="973"/>
      <c r="V190" s="973"/>
      <c r="W190" s="973"/>
      <c r="X190" s="973"/>
      <c r="Y190" s="973"/>
      <c r="Z190" s="973"/>
    </row>
    <row r="191" spans="1:26" hidden="1">
      <c r="B191" s="1017"/>
      <c r="K191" s="973"/>
      <c r="Q191" s="973"/>
      <c r="R191" s="973"/>
      <c r="S191" s="973"/>
      <c r="T191" s="973"/>
      <c r="U191" s="973"/>
      <c r="V191" s="973"/>
      <c r="W191" s="973"/>
      <c r="X191" s="973"/>
      <c r="Y191" s="973"/>
      <c r="Z191" s="973"/>
    </row>
    <row r="192" spans="1:26" hidden="1">
      <c r="B192" s="1018"/>
      <c r="K192" s="973"/>
      <c r="Q192" s="973"/>
      <c r="R192" s="973"/>
      <c r="S192" s="973"/>
      <c r="T192" s="973"/>
      <c r="U192" s="973"/>
      <c r="V192" s="973"/>
      <c r="W192" s="973"/>
      <c r="X192" s="973"/>
      <c r="Y192" s="973"/>
      <c r="Z192" s="973"/>
    </row>
    <row r="193" spans="2:26" hidden="1">
      <c r="B193" s="1019"/>
      <c r="K193" s="973"/>
      <c r="Q193" s="973"/>
      <c r="R193" s="973"/>
      <c r="S193" s="973"/>
      <c r="T193" s="973"/>
      <c r="U193" s="973"/>
      <c r="V193" s="973"/>
      <c r="W193" s="973"/>
      <c r="X193" s="973"/>
      <c r="Y193" s="973"/>
      <c r="Z193" s="973"/>
    </row>
  </sheetData>
  <mergeCells count="2">
    <mergeCell ref="B1:J1"/>
    <mergeCell ref="B2:J2"/>
  </mergeCells>
  <conditionalFormatting sqref="B1:B15 B17:B1048576">
    <cfRule type="duplicateValues" dxfId="44" priority="1"/>
  </conditionalFormatting>
  <conditionalFormatting sqref="F17:F181">
    <cfRule type="cellIs" dxfId="43" priority="2" operator="equal">
      <formula>"IPS"</formula>
    </cfRule>
    <cfRule type="cellIs" dxfId="42" priority="3" operator="equal">
      <formula>"CAF"</formula>
    </cfRule>
  </conditionalFormatting>
  <conditionalFormatting sqref="G17:G134">
    <cfRule type="cellIs" dxfId="41" priority="10" operator="equal">
      <formula>"Eviction"</formula>
    </cfRule>
    <cfRule type="cellIs" dxfId="40" priority="11" operator="equal">
      <formula>"Skip"</formula>
    </cfRule>
    <cfRule type="cellIs" dxfId="39" priority="12" operator="equal">
      <formula>"Former"</formula>
    </cfRule>
  </conditionalFormatting>
  <conditionalFormatting sqref="G139:G181">
    <cfRule type="cellIs" dxfId="38" priority="13" operator="equal">
      <formula>"Eviction"</formula>
    </cfRule>
    <cfRule type="cellIs" dxfId="37" priority="14" operator="equal">
      <formula>"Skip"</formula>
    </cfRule>
    <cfRule type="cellIs" dxfId="36" priority="15" operator="equal">
      <formula>"Former"</formula>
    </cfRule>
  </conditionalFormatting>
  <pageMargins left="0.25" right="0.25" top="0.75" bottom="0.75" header="0.3" footer="0.3"/>
  <pageSetup paperSize="5" scale="70" fitToWidth="0" fitToHeight="0" orientation="landscape" horizontalDpi="300" verticalDpi="300" r:id="rId1"/>
  <rowBreaks count="1" manualBreakCount="1">
    <brk id="63" max="11" man="1"/>
  </rowBreaks>
  <ignoredErrors>
    <ignoredError sqref="A181 A110" unlockedFormula="1"/>
  </ignoredErrors>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C68511-1F50-4F71-954F-03B3498C5CE9}">
  <sheetPr>
    <tabColor rgb="FF002060"/>
    <pageSetUpPr fitToPage="1"/>
  </sheetPr>
  <dimension ref="A1:K284"/>
  <sheetViews>
    <sheetView showGridLines="0" zoomScaleNormal="100" workbookViewId="0">
      <pane xSplit="2" ySplit="1" topLeftCell="C2" activePane="bottomRight" state="frozen"/>
      <selection pane="topRight" activeCell="C1" sqref="C1"/>
      <selection pane="bottomLeft" activeCell="A2" sqref="A2"/>
      <selection pane="bottomRight" activeCell="F19" sqref="F19"/>
    </sheetView>
  </sheetViews>
  <sheetFormatPr defaultRowHeight="14.4"/>
  <cols>
    <col min="1" max="1" width="0.88671875" customWidth="1"/>
    <col min="2" max="2" width="23.5546875" customWidth="1"/>
    <col min="3" max="3" width="25.44140625" customWidth="1"/>
    <col min="4" max="4" width="15.44140625" customWidth="1"/>
    <col min="5" max="5" width="13.5546875" customWidth="1"/>
    <col min="6" max="6" width="17.6640625" bestFit="1" customWidth="1"/>
    <col min="7" max="7" width="20.44140625" customWidth="1"/>
    <col min="8" max="8" width="71.109375" bestFit="1" customWidth="1"/>
    <col min="9" max="9" width="18.109375" customWidth="1"/>
    <col min="10" max="11" width="15.44140625" customWidth="1"/>
    <col min="12" max="12" width="2.5546875" customWidth="1"/>
  </cols>
  <sheetData>
    <row r="1" spans="1:11" ht="24" customHeight="1">
      <c r="A1" s="113"/>
      <c r="B1" s="295" t="s">
        <v>783</v>
      </c>
      <c r="C1" s="113"/>
      <c r="D1" s="113"/>
      <c r="E1" s="113"/>
      <c r="F1" s="113"/>
      <c r="G1" s="113"/>
      <c r="H1" s="113"/>
      <c r="I1" s="113"/>
      <c r="J1" s="113"/>
      <c r="K1" s="113"/>
    </row>
    <row r="2" spans="1:11" ht="15" customHeight="1">
      <c r="A2" s="113"/>
      <c r="B2" s="296" t="s">
        <v>1173</v>
      </c>
      <c r="C2" s="113"/>
      <c r="D2" s="113"/>
      <c r="E2" s="113"/>
      <c r="F2" s="113"/>
      <c r="G2" s="113"/>
      <c r="H2" s="113"/>
      <c r="I2" s="113"/>
      <c r="J2" s="113"/>
      <c r="K2" s="113"/>
    </row>
    <row r="3" spans="1:11" ht="14.1" customHeight="1">
      <c r="A3" s="113"/>
      <c r="B3" s="297" t="s">
        <v>1088</v>
      </c>
      <c r="C3" s="298">
        <f>Dashboard_1!F3</f>
        <v>46244</v>
      </c>
      <c r="D3" s="113"/>
      <c r="E3" s="299" t="s">
        <v>1174</v>
      </c>
      <c r="F3" s="113"/>
      <c r="G3" s="113"/>
      <c r="H3" s="113"/>
      <c r="I3" s="113"/>
      <c r="J3" s="113"/>
      <c r="K3" s="113"/>
    </row>
    <row r="4" spans="1:11" ht="15.9" customHeight="1" thickBot="1">
      <c r="A4" s="113"/>
      <c r="B4" s="300" t="s">
        <v>1175</v>
      </c>
      <c r="C4" s="147"/>
      <c r="D4" s="147"/>
      <c r="E4" s="147"/>
      <c r="F4" s="147"/>
      <c r="G4" s="300" t="s">
        <v>1176</v>
      </c>
      <c r="H4" s="147"/>
      <c r="J4" s="113"/>
      <c r="K4" s="113"/>
    </row>
    <row r="5" spans="1:11" ht="14.1" customHeight="1">
      <c r="A5" s="113"/>
      <c r="B5" s="301" t="s">
        <v>1177</v>
      </c>
      <c r="C5" s="114">
        <f>COUNTA(_xlfn.ANCHORARRAY(B66))</f>
        <v>219</v>
      </c>
      <c r="D5" s="113"/>
      <c r="E5" s="113"/>
      <c r="F5" s="113"/>
      <c r="G5" s="301" t="s">
        <v>1178</v>
      </c>
      <c r="H5" s="114">
        <f>COUNTIFS(K66:K233,"&gt;=0",K66:K233,"&lt;=7",E66:E233,"&lt;&gt;Cancelled/Denied",E66:E233,"&lt;&gt;Converted",E66:E233,"&lt;&gt;No Record")</f>
        <v>0</v>
      </c>
      <c r="J5" s="113"/>
      <c r="K5" s="113"/>
    </row>
    <row r="6" spans="1:11" ht="14.1" customHeight="1">
      <c r="A6" s="113"/>
      <c r="B6" s="115" t="s">
        <v>943</v>
      </c>
      <c r="C6" s="116">
        <f>COUNTIFS(E66:E233,"In Review")+COUNTIFS(E66:E233,"Incomplete")</f>
        <v>48</v>
      </c>
      <c r="D6" s="113"/>
      <c r="E6" s="113"/>
      <c r="F6" s="113"/>
      <c r="G6" s="301" t="s">
        <v>1179</v>
      </c>
      <c r="H6" s="114">
        <f>COUNTIFS(K66:K233,"&gt;=8",K66:K233,"&lt;=14",E66:E233,"&lt;&gt;Cancelled/Denied",E66:E233,"&lt;&gt;Converted",E66:E233,"&lt;&gt;No Record")</f>
        <v>0</v>
      </c>
      <c r="J6" s="113"/>
      <c r="K6" s="113"/>
    </row>
    <row r="7" spans="1:11" ht="14.1" customHeight="1">
      <c r="A7" s="113"/>
      <c r="B7" s="117" t="s">
        <v>945</v>
      </c>
      <c r="C7" s="118">
        <f>COUNTIF(E66:E233,"Cancelled/Denied")</f>
        <v>62</v>
      </c>
      <c r="D7" s="113"/>
      <c r="E7" s="113"/>
      <c r="F7" s="113"/>
      <c r="G7" s="119" t="s">
        <v>1180</v>
      </c>
      <c r="H7" s="120">
        <f>COUNTIFS(K66:K233,"&gt;=15",K66:K233,"&lt;=21",E66:E233,"&lt;&gt;Cancelled/Denied",E66:E233,"&lt;&gt;Converted",E66:E233,"&lt;&gt;No Record")</f>
        <v>0</v>
      </c>
      <c r="J7" s="113"/>
      <c r="K7" s="113"/>
    </row>
    <row r="8" spans="1:11" ht="14.1" customHeight="1">
      <c r="A8" s="113"/>
      <c r="B8" s="115" t="s">
        <v>944</v>
      </c>
      <c r="C8" s="116">
        <f>COUNTIF(E66:E233,"Converted")</f>
        <v>58</v>
      </c>
      <c r="D8" s="113"/>
      <c r="E8" s="113"/>
      <c r="F8" s="113"/>
      <c r="G8" s="121" t="s">
        <v>1181</v>
      </c>
      <c r="H8" s="122">
        <f>COUNTIFS(K66:K233,"&gt;=22",K66:K233,"&lt;=30",E66:E233,"&lt;&gt;Cancelled/Denied",E66:E233,"&lt;&gt;Converted",E66:E233,"&lt;&gt;No Record")</f>
        <v>0</v>
      </c>
      <c r="J8" s="113"/>
      <c r="K8" s="113"/>
    </row>
    <row r="9" spans="1:11" ht="14.1" customHeight="1">
      <c r="A9" s="113"/>
      <c r="B9" s="115" t="s">
        <v>1182</v>
      </c>
      <c r="C9" s="116">
        <f>COUNTIF(E66:E233,"Other")</f>
        <v>0</v>
      </c>
      <c r="D9" s="113"/>
      <c r="E9" s="113"/>
      <c r="F9" s="113"/>
      <c r="G9" s="643" t="s">
        <v>1183</v>
      </c>
      <c r="H9" s="342">
        <f>COUNTIFS(K66:K233,"&gt;30",E66:E233,"&lt;&gt;Cancelled/Denied",E66:E233,"&lt;&gt;Converted",E66:E233,"&lt;&gt;No Record")</f>
        <v>48</v>
      </c>
      <c r="J9" s="113"/>
      <c r="K9" s="113"/>
    </row>
    <row r="10" spans="1:11" ht="14.1" customHeight="1">
      <c r="A10" s="113"/>
      <c r="B10" s="117" t="s">
        <v>1184</v>
      </c>
      <c r="C10" s="118">
        <f>COUNTIF(E66:E233,"No Record")</f>
        <v>0</v>
      </c>
      <c r="D10" s="113"/>
      <c r="E10" s="113"/>
      <c r="F10" s="113"/>
      <c r="J10" s="113"/>
      <c r="K10" s="113"/>
    </row>
    <row r="11" spans="1:11" s="109" customFormat="1" ht="6" customHeight="1"/>
    <row r="12" spans="1:11" ht="15.9" customHeight="1" thickBot="1">
      <c r="B12" s="300" t="s">
        <v>1185</v>
      </c>
      <c r="C12" s="148"/>
      <c r="D12" s="148"/>
      <c r="E12" s="148"/>
      <c r="F12" s="148"/>
      <c r="G12" s="148"/>
      <c r="H12" s="148"/>
    </row>
    <row r="13" spans="1:11" ht="14.1" customHeight="1">
      <c r="B13" s="302" t="s">
        <v>1186</v>
      </c>
      <c r="C13" s="303" t="s">
        <v>1187</v>
      </c>
      <c r="D13" s="303" t="s">
        <v>1188</v>
      </c>
      <c r="E13" s="304" t="s">
        <v>1189</v>
      </c>
      <c r="F13" s="304" t="s">
        <v>1190</v>
      </c>
      <c r="G13" s="1248" t="s">
        <v>1191</v>
      </c>
      <c r="H13" s="1249"/>
    </row>
    <row r="14" spans="1:11" ht="15.9" customHeight="1">
      <c r="B14" s="138" t="s">
        <v>1192</v>
      </c>
      <c r="C14" s="201" t="str" cm="1">
        <f t="array" ref="C14">_xlfn.LET(_xlpm.jF,Application_Status_Feb!J$2:J$561,_xlpm.kF,Application_Status_Feb!K$2:K$561,_xlpm.eF,Application_Status_Feb!E$2:E$561,_xlpm.jM,Application_Status_Mar!J$2:J$2000,_xlpm.kM,Application_Status_Mar!K$2:K$2000,_xlpm.eM,Application_Status_Mar!E$2:E$2000,_xlpm.jA,Application_Status_Apr!J$2:J$3000,_xlpm.kA,Application_Status_Apr!K$2:K$3000,_xlpm.eA,Application_Status_Apr!E$2:E$3000,_xlpm.mF,(_xlpm.jF&gt;=46054)*(_xlpm.kF&gt;0)*(ISNUMBER(SEARCH("App*Completed",_xlpm.eF))),_xlpm.mM,(_xlpm.jM&gt;=46054)*(_xlpm.kM&gt;0)*(ISNUMBER(SEARCH("App*Completed",_xlpm.eM))),_xlpm.mA,(_xlpm.jA&gt;=46054)*(_xlpm.kA&gt;0)*(ISNUMBER(SEARCH("App*Completed",_xlpm.eA))),IFERROR(ROUND((SUMPRODUCT(_xlpm.mF*(_xlpm.kF-_xlpm.jF))+SUMPRODUCT(_xlpm.mM*(_xlpm.kM-_xlpm.jM))+SUMPRODUCT(_xlpm.mA*(_xlpm.kA-_xlpm.jA)))/(SUMPRODUCT(_xlpm.mF)+SUMPRODUCT(_xlpm.mM)+SUMPRODUCT(_xlpm.mA)),1)&amp;" days","—"))</f>
        <v>2.2 days</v>
      </c>
      <c r="D14" s="125" t="str" cm="1">
        <f t="array" ref="D14">_xlfn.LET(_xlpm.jF,Application_Status_Feb!J$2:J$561,_xlpm.kF,Application_Status_Feb!K$2:K$561,_xlpm.eF,Application_Status_Feb!E$2:E$561,_xlpm.jM,Application_Status_Mar!J$2:J$2000,_xlpm.kM,Application_Status_Mar!K$2:K$2000,_xlpm.eM,Application_Status_Mar!E$2:E$2000,_xlpm.jA,Application_Status_Apr!J$2:J$3000,_xlpm.kA,Application_Status_Apr!K$2:K$3000,_xlpm.eA,Application_Status_Apr!E$2:E$3000,_xlpm.mF,(_xlpm.jF&gt;=46054)*(_xlpm.kF&gt;0)*(ISNUMBER(SEARCH("App*Cancelled",_xlpm.eF))),_xlpm.mM,(_xlpm.jM&gt;=46054)*(_xlpm.kM&gt;0)*(ISNUMBER(SEARCH("App*Cancelled",_xlpm.eM))),_xlpm.mA,(_xlpm.jA&gt;=46054)*(_xlpm.kA&gt;0)*(ISNUMBER(SEARCH("App*Cancelled",_xlpm.eA))),IFERROR(ROUND((SUMPRODUCT(_xlpm.mF*(_xlpm.kF-_xlpm.jF))+SUMPRODUCT(_xlpm.mM*(_xlpm.kM-_xlpm.jM))+SUMPRODUCT(_xlpm.mA*(_xlpm.kA-_xlpm.jA)))/(SUMPRODUCT(_xlpm.mF)+SUMPRODUCT(_xlpm.mM)+SUMPRODUCT(_xlpm.mA)),1)&amp;" days","—"))</f>
        <v>0.6 days</v>
      </c>
      <c r="E14" s="135" t="str" cm="1">
        <f t="array" ref="E14">_xlfn.LET(_xlpm.jF,Application_Status_Feb!J$2:J$561,_xlpm.kF,Application_Status_Feb!K$2:K$561,_xlpm.eF,Application_Status_Feb!E$2:E$561,_xlpm.jM,Application_Status_Mar!J$2:J$2000,_xlpm.kM,Application_Status_Mar!K$2:K$2000,_xlpm.eM,Application_Status_Mar!E$2:E$2000,_xlpm.jA,Application_Status_Apr!J$2:J$3000,_xlpm.kA,Application_Status_Apr!K$2:K$3000,_xlpm.eA,Application_Status_Apr!E$2:E$3000,_xlpm.mF,(_xlpm.jF&gt;=46054)*(_xlpm.kF&gt;0)*(ISNUMBER(SEARCH("Lease*",_xlpm.eF))),_xlpm.mM,(_xlpm.jM&gt;=46054)*(_xlpm.kM&gt;0)*(ISNUMBER(SEARCH("Lease*",_xlpm.eM))),_xlpm.mA,(_xlpm.jA&gt;=46054)*(_xlpm.kA&gt;0)*(ISNUMBER(SEARCH("Lease*",_xlpm.eA))),IFERROR(ROUND((SUMPRODUCT(_xlpm.mF*(_xlpm.kF-_xlpm.jF))+SUMPRODUCT(_xlpm.mM*(_xlpm.kM-_xlpm.jM))+SUMPRODUCT(_xlpm.mA*(_xlpm.kA-_xlpm.jA)))/(SUMPRODUCT(_xlpm.mF)+SUMPRODUCT(_xlpm.mM)+SUMPRODUCT(_xlpm.mA)),1)&amp;" days","—"))</f>
        <v>3.9 days</v>
      </c>
      <c r="F14" s="144" t="str" cm="1">
        <f t="array" ref="F14">_xlfn.LET(_xlpm.jF,Application_Status_Feb!J$2:J$561,_xlpm.kF,Application_Status_Feb!K$2:K$561,_xlpm.jM,Application_Status_Mar!J$2:J$2000,_xlpm.kM,Application_Status_Mar!K$2:K$2000,_xlpm.jA,Application_Status_Apr!J$2:J$3000,_xlpm.kA,Application_Status_Apr!K$2:K$3000,_xlpm.mF,(_xlpm.jF&gt;=46054)*(_xlpm.kF&gt;0),_xlpm.mM,(_xlpm.jM&gt;=46054)*(_xlpm.kM&gt;0),_xlpm.mA,(_xlpm.jA&gt;=46054)*(_xlpm.kA&gt;0),IFERROR(ROUND((SUMPRODUCT(_xlpm.mF*(_xlpm.kF-_xlpm.jF))+SUMPRODUCT(_xlpm.mM*(_xlpm.kM-_xlpm.jM))+SUMPRODUCT(_xlpm.mA*(_xlpm.kA-_xlpm.jA)))/(SUMPRODUCT(_xlpm.mF)+SUMPRODUCT(_xlpm.mM)+SUMPRODUCT(_xlpm.mA)),1)&amp;" days","—"))</f>
        <v>1.3 days</v>
      </c>
      <c r="G14" s="1250" t="str">
        <f>"Fast — applicants begin quickly ("&amp;C14&amp;" avg). Stable WoW."</f>
        <v>Fast — applicants begin quickly (2.2 days avg). Stable WoW.</v>
      </c>
      <c r="H14" s="1251"/>
    </row>
    <row r="15" spans="1:11" ht="15.9" customHeight="1">
      <c r="B15" s="138" t="s">
        <v>1193</v>
      </c>
      <c r="C15" s="201" t="str" cm="1">
        <f t="array" ref="C15">_xlfn.LET(_xlpm.kF,Application_Status_Feb!K$2:K$561,_xlpm.lF,Application_Status_Feb!L$2:L$561,_xlpm.eF,Application_Status_Feb!E$2:E$561,_xlpm.jF,Application_Status_Feb!J$2:J$561,_xlpm.kM,Application_Status_Mar!K$2:K$2000,_xlpm.lM,Application_Status_Mar!L$2:L$2000,_xlpm.eM,Application_Status_Mar!E$2:E$2000,_xlpm.jM,Application_Status_Mar!J$2:J$2000,_xlpm.kA,Application_Status_Apr!K$2:K$3000,_xlpm.lA,Application_Status_Apr!L$2:L$3000,_xlpm.eA,Application_Status_Apr!E$2:E$3000,_xlpm.jA,Application_Status_Apr!J$2:J$3000,_xlpm.mF,(_xlpm.jF&gt;=46054)*(_xlpm.lF&gt;0)*(ISNUMBER(SEARCH("App*Completed",_xlpm.eF))),_xlpm.mM,(_xlpm.jM&gt;=46054)*(_xlpm.lM&gt;0)*(ISNUMBER(SEARCH("App*Completed",_xlpm.eM))),_xlpm.mA,(_xlpm.jA&gt;=46054)*(_xlpm.lA&gt;0)*(ISNUMBER(SEARCH("App*Completed",_xlpm.eA))),IFERROR(ROUND((SUMPRODUCT(_xlpm.mF*(_xlpm.lF-_xlpm.kF))+SUMPRODUCT(_xlpm.mM*(_xlpm.lM-_xlpm.kM))+SUMPRODUCT(_xlpm.mA*(_xlpm.lA-_xlpm.kA)))/(SUMPRODUCT(_xlpm.mF)+SUMPRODUCT(_xlpm.mM)+SUMPRODUCT(_xlpm.mA)),1)&amp;" days","—"))</f>
        <v>2 days</v>
      </c>
      <c r="D15" s="125" t="str" cm="1">
        <f t="array" ref="D15">_xlfn.LET(_xlpm.kF,Application_Status_Feb!K$2:K$561,_xlpm.lF,Application_Status_Feb!L$2:L$561,_xlpm.eF,Application_Status_Feb!E$2:E$561,_xlpm.jF,Application_Status_Feb!J$2:J$561,_xlpm.kM,Application_Status_Mar!K$2:K$2000,_xlpm.lM,Application_Status_Mar!L$2:L$2000,_xlpm.eM,Application_Status_Mar!E$2:E$2000,_xlpm.jM,Application_Status_Mar!J$2:J$2000,_xlpm.kA,Application_Status_Apr!K$2:K$3000,_xlpm.lA,Application_Status_Apr!L$2:L$3000,_xlpm.eA,Application_Status_Apr!E$2:E$3000,_xlpm.jA,Application_Status_Apr!J$2:J$3000,_xlpm.mF,(_xlpm.jF&gt;=46054)*(_xlpm.lF&gt;0)*(ISNUMBER(SEARCH("App*Cancelled",_xlpm.eF))),_xlpm.mM,(_xlpm.jM&gt;=46054)*(_xlpm.lM&gt;0)*(ISNUMBER(SEARCH("App*Cancelled",_xlpm.eM))),_xlpm.mA,(_xlpm.jA&gt;=46054)*(_xlpm.lA&gt;0)*(ISNUMBER(SEARCH("App*Cancelled",_xlpm.eA))),IFERROR(ROUND((SUMPRODUCT(_xlpm.mF*(_xlpm.lF-_xlpm.kF))+SUMPRODUCT(_xlpm.mM*(_xlpm.lM-_xlpm.kM))+SUMPRODUCT(_xlpm.mA*(_xlpm.lA-_xlpm.kA)))/(SUMPRODUCT(_xlpm.mF)+SUMPRODUCT(_xlpm.mM)+SUMPRODUCT(_xlpm.mA)),1)&amp;" days","—"))</f>
        <v>1.1 days</v>
      </c>
      <c r="E15" s="135" t="str" cm="1">
        <f t="array" ref="E15">_xlfn.LET(_xlpm.kF,Application_Status_Feb!K$2:K$561,_xlpm.lF,Application_Status_Feb!L$2:L$561,_xlpm.eF,Application_Status_Feb!E$2:E$561,_xlpm.jF,Application_Status_Feb!J$2:J$561,_xlpm.kM,Application_Status_Mar!K$2:K$2000,_xlpm.lM,Application_Status_Mar!L$2:L$2000,_xlpm.eM,Application_Status_Mar!E$2:E$2000,_xlpm.jM,Application_Status_Mar!J$2:J$2000,_xlpm.kA,Application_Status_Apr!K$2:K$3000,_xlpm.lA,Application_Status_Apr!L$2:L$3000,_xlpm.eA,Application_Status_Apr!E$2:E$3000,_xlpm.jA,Application_Status_Apr!J$2:J$3000,_xlpm.mF,(_xlpm.jF&gt;=46054)*(_xlpm.lF&gt;0)*(ISNUMBER(SEARCH("Lease*",_xlpm.eF))),_xlpm.mM,(_xlpm.jM&gt;=46054)*(_xlpm.lM&gt;0)*(ISNUMBER(SEARCH("Lease*",_xlpm.eM))),_xlpm.mA,(_xlpm.jA&gt;=46054)*(_xlpm.lA&gt;0)*(ISNUMBER(SEARCH("Lease*",_xlpm.eA))),IFERROR(ROUND((SUMPRODUCT(_xlpm.mF*(_xlpm.lF-_xlpm.kF))+SUMPRODUCT(_xlpm.mM*(_xlpm.lM-_xlpm.kM))+SUMPRODUCT(_xlpm.mA*(_xlpm.lA-_xlpm.kA)))/(SUMPRODUCT(_xlpm.mF)+SUMPRODUCT(_xlpm.mM)+SUMPRODUCT(_xlpm.mA)),1)&amp;" days","—"))</f>
        <v>1.9 days</v>
      </c>
      <c r="F15" s="144" t="str" cm="1">
        <f t="array" ref="F15">_xlfn.LET(_xlpm.kF,Application_Status_Feb!K$2:K$561,_xlpm.lF,Application_Status_Feb!L$2:L$561,_xlpm.jF,Application_Status_Feb!J$2:J$561,_xlpm.kM,Application_Status_Mar!K$2:K$2000,_xlpm.lM,Application_Status_Mar!L$2:L$2000,_xlpm.jM,Application_Status_Mar!J$2:J$2000,_xlpm.kA,Application_Status_Apr!K$2:K$3000,_xlpm.lA,Application_Status_Apr!L$2:L$3000,_xlpm.jA,Application_Status_Apr!J$2:J$3000,_xlpm.mF,(_xlpm.jF&gt;=46054)*(_xlpm.lF&gt;0),_xlpm.mM,(_xlpm.jM&gt;=46054)*(_xlpm.lM&gt;0),_xlpm.mA,(_xlpm.jA&gt;=46054)*(_xlpm.lA&gt;0),IFERROR(ROUND((SUMPRODUCT(_xlpm.mF*(_xlpm.lF-_xlpm.kF))+SUMPRODUCT(_xlpm.mM*(_xlpm.lM-_xlpm.kM))+SUMPRODUCT(_xlpm.mA*(_xlpm.lA-_xlpm.kA)))/(SUMPRODUCT(_xlpm.mF)+SUMPRODUCT(_xlpm.mM)+SUMPRODUCT(_xlpm.mA)),1)&amp;" days","—"))</f>
        <v>608.5 days</v>
      </c>
      <c r="G15" s="1250" t="str">
        <f>"Reasonable — most complete within a week ("&amp;C15&amp;" avg). Stable WoW."</f>
        <v>Reasonable — most complete within a week (2 days avg). Stable WoW.</v>
      </c>
      <c r="H15" s="1251"/>
    </row>
    <row r="16" spans="1:11" ht="15.9" customHeight="1">
      <c r="B16" s="138" t="s">
        <v>1194</v>
      </c>
      <c r="C16" s="139" t="str" cm="1">
        <f t="array" ref="C16">_xlfn.LET(_xlpm.lF,Application_Status_Feb!L$2:L$561,_xlpm.mF,Application_Status_Feb!M$2:M$561,_xlpm.rF,Application_Status_Feb!R$2:R$561,_xlpm.sF,Application_Status_Feb!S$2:S$561,_xlpm.jF,Application_Status_Feb!J$2:J$561,_xlpm.lM,Application_Status_Mar!L$2:L$2000,_xlpm.mM,Application_Status_Mar!M$2:M$2000,_xlpm.rM,Application_Status_Mar!R$2:R$2000,_xlpm.sM,Application_Status_Mar!S$2:S$2000,_xlpm.jM,Application_Status_Mar!J$2:J$2000,_xlpm.lA,Application_Status_Apr!L$2:L$3000,_xlpm.mA,Application_Status_Apr!M$2:M$3000,_xlpm.rA,Application_Status_Apr!R$2:R$3000,_xlpm.sA,Application_Status_Apr!S$2:S$3000,_xlpm.jA,Application_Status_Apr!J$2:J$3000,_xlpm.lY,Application_Status_May!L$2:L$3000,_xlpm.mY,Application_Status_May!M$2:M$3000,_xlpm.rY,Application_Status_May!R$2:R$3000,_xlpm.sY,Application_Status_May!S$2:S$3000,_xlpm.jY,Application_Status_May!J$2:J$3000,_xlpm.dF,IF((_xlpm.mF&gt;0)+(_xlpm.rF&gt;0)+(_xlpm.sF&gt;0)&gt;0,IF(_xlpm.mF&gt;=IF(_xlpm.rF&gt;_xlpm.sF,_xlpm.rF,_xlpm.sF),_xlpm.mF,IF(_xlpm.rF&gt;_xlpm.sF,_xlpm.rF,_xlpm.sF)),0),_xlpm.dM,IF((_xlpm.mM&gt;0)+(_xlpm.rM&gt;0)+(_xlpm.sM&gt;0)&gt;0,IF(_xlpm.mM&gt;=IF(_xlpm.rM&gt;_xlpm.sM,_xlpm.rM,_xlpm.sM),_xlpm.mM,IF(_xlpm.rM&gt;_xlpm.sM,_xlpm.rM,_xlpm.sM)),0),_xlpm.dA,IF((_xlpm.mA&gt;0)+(_xlpm.rA&gt;0)+(_xlpm.sA&gt;0)&gt;0,IF(_xlpm.mA&gt;=IF(_xlpm.rA&gt;_xlpm.sA,_xlpm.rA,_xlpm.sA),_xlpm.mA,IF(_xlpm.rA&gt;_xlpm.sA,_xlpm.rA,_xlpm.sA)),0),_xlpm.dY,IF((_xlpm.mY&gt;0)+(_xlpm.rY&gt;0)+(_xlpm.sY&gt;0)&gt;0,IF(_xlpm.mY&gt;=IF(_xlpm.rY&gt;_xlpm.sY,_xlpm.rY,_xlpm.sY),_xlpm.mY,IF(_xlpm.rY&gt;_xlpm.sY,_xlpm.rY,_xlpm.sY)),0),_xlpm.qF,(_xlpm.jF&gt;=46054)*(_xlpm.lF&gt;0)*(_xlpm.dF&gt;0)*(_xlpm.dF&gt;=_xlpm.lF),_xlpm.qM,(_xlpm.jM&gt;=46054)*(_xlpm.lM&gt;0)*(_xlpm.dM&gt;0)*(_xlpm.dM&gt;=_xlpm.lM),_xlpm.qA,(_xlpm.jA&gt;=46054)*(_xlpm.lA&gt;0)*(_xlpm.dA&gt;0)*(_xlpm.dA&gt;=_xlpm.lA),_xlpm.qY,(_xlpm.jY&gt;=46054)*(_xlpm.lY&gt;0)*(_xlpm.dY&gt;0)*(_xlpm.dY&gt;=_xlpm.lY),_xlpm.num,SUMPRODUCT(_xlpm.qF*(_xlpm.dF-_xlpm.lF))+SUMPRODUCT(_xlpm.qM*(_xlpm.dM-_xlpm.lM))+SUMPRODUCT(_xlpm.qA*(_xlpm.dA-_xlpm.lA))+SUMPRODUCT(_xlpm.qY*(_xlpm.dY-_xlpm.lY)),_xlpm.den,SUMPRODUCT(_xlpm.qF)+SUMPRODUCT(_xlpm.qM)+SUMPRODUCT(_xlpm.qA)+SUMPRODUCT(_xlpm.qY),IFERROR(ROUND(_xlpm.num/_xlpm.den,1)&amp;" days","—"))</f>
        <v>10.4 days</v>
      </c>
      <c r="D16" s="140" t="str">
        <f>IFERROR(ROUND(AVERAGEIFS(J66:J155,E66:E155,"Cancelled/Denied",J66:J155,"&gt;40000")-AVERAGEIFS(I66:I155,E66:E155,"Cancelled/Denied",I66:I155,"&gt;0",J66:J155,"&gt;40000"),1)&amp;" days","—")</f>
        <v>24.6 days</v>
      </c>
      <c r="E16" s="146" t="str">
        <f>IFERROR(ROUND(AVERAGEIFS(I66:I155,E66:E155,"Converted",I66:I155,"&gt;0")-AVERAGEIFS(H66:H155,E66:E155,"Converted",I66:I155,"&gt;0"),1)&amp;" days","—")</f>
        <v>6.9 days</v>
      </c>
      <c r="F16" s="145" t="str">
        <f>IFERROR(ROUND(($C$3-AVERAGEIFS(I66:I155,E66:E155,"In Review",I66:I155,"&gt;0")+AVERAGEIFS(J66:J155,E66:E155,"Cancelled/Denied",J66:J155,"&gt;40000")-AVERAGEIFS(I66:I155,E66:E155,"Cancelled/Denied",I66:I155,"&gt;0",J66:J155,"&gt;40000"))/2,1)&amp;" days","—")</f>
        <v>55 days</v>
      </c>
      <c r="G16" s="1252" t="str">
        <f>"BOTTLENECK — screening/decisioning ("&amp;D16&amp;") takes "&amp;ROUND(IFERROR(VALUE(LEFT(D16,FIND(" ",D16)-1))/VALUE(LEFT(D15,FIND(" ",D15)-1)),0),0)&amp;"x longer than completion. Up from 11d last wk (+0.9d)."</f>
        <v>BOTTLENECK — screening/decisioning (24.6 days) takes 22x longer than completion. Up from 11d last wk (+0.9d).</v>
      </c>
      <c r="H16" s="1253"/>
    </row>
    <row r="17" spans="1:11" ht="15.9" customHeight="1">
      <c r="B17" s="142" t="s">
        <v>1195</v>
      </c>
      <c r="C17" s="143" t="str">
        <f>IFERROR(ROUND(AVERAGEIFS(K66:K203,E66:E203,"In Review",K66:K203,"&lt;&gt;—"),1)&amp;" days","—")</f>
        <v>86.4 days</v>
      </c>
      <c r="D17" s="153" t="str">
        <f>IFERROR(ROUND(AVERAGEIFS(J66:J155,E66:E155,"Cancelled/Denied",J66:J155,"&gt;40000")-AVERAGEIFS(H66:H155,E66:E155,"Cancelled/Denied",J66:J155,"&gt;40000"),1)&amp;" days","—")</f>
        <v>34 days</v>
      </c>
      <c r="E17" s="154" t="str">
        <f>IFERROR(ROUND(AVERAGEIFS(I66:I155,E66:E155,"Converted",I66:I155,"&gt;0")-AVERAGEIFS(H66:H155,E66:E155,"Converted"),1)&amp;" days","—")</f>
        <v>6.9 days</v>
      </c>
      <c r="F17" s="155" t="str" cm="1">
        <f t="array" ref="F17">ROUND((SUMPRODUCT((E66:E155="In Review")*IF(ISNUMBER(K66:K155),K66:K155,0))+SUMPRODUCT((E66:E155="Cancelled/Denied")*IF(ISNUMBER(J66:J155),IF(J66:J155&gt;40000,J66:J155-H66:H155,0),0)))/(SUMPRODUCT((E66:E155="In Review")*ISNUMBER(K66:K155))+SUMPRODUCT((E66:E155="Cancelled/Denied")*ISNUMBER(J66:J155)*(J66:J155&gt;40000))),1)&amp;" days"</f>
        <v>41.8 days</v>
      </c>
      <c r="G17" s="1254" t="str">
        <f>"Conversions resolved in "&amp;E17&amp;" avg — cancels dragged "&amp;D17&amp;" avg. Gap widening vs last wk."</f>
        <v>Conversions resolved in 6.9 days avg — cancels dragged 34 days avg. Gap widening vs last wk.</v>
      </c>
      <c r="H17" s="1255"/>
    </row>
    <row r="18" spans="1:11" s="30" customFormat="1" ht="15.9" customHeight="1">
      <c r="B18" s="138" t="s">
        <v>1196</v>
      </c>
      <c r="C18" s="141" t="str">
        <f>COUNTIFS(K66:K203,"&gt;=15",E66:E203,"In Review")&amp;" of "&amp;COUNTIF(E66:E203,"In Review")</f>
        <v>11 of 11</v>
      </c>
      <c r="D18" s="125" t="str">
        <f>"—"</f>
        <v>—</v>
      </c>
      <c r="E18" s="135" t="str">
        <f>"—"</f>
        <v>—</v>
      </c>
      <c r="F18" s="202">
        <f>IFERROR(ROUND(COUNTIFS(K66:K155,"&gt;=15",E66:E155,"In Review")/COUNTIF(E66:E155,"In Review"),2),0)</f>
        <v>1</v>
      </c>
      <c r="G18" s="1246" t="str">
        <f>ROUND(F18*100,0)&amp;"% of active pipeline past normal processing window (vs 36% last wk). Stale apps growing."</f>
        <v>100% of active pipeline past normal processing window (vs 36% last wk). Stale apps growing.</v>
      </c>
      <c r="H18" s="1247"/>
    </row>
    <row r="19" spans="1:11" s="109" customFormat="1" ht="6" customHeight="1"/>
    <row r="20" spans="1:11" s="109" customFormat="1" ht="15.9" customHeight="1" thickBot="1">
      <c r="A20"/>
      <c r="B20" s="196" t="s">
        <v>1197</v>
      </c>
      <c r="C20" s="148"/>
      <c r="D20" s="148"/>
      <c r="E20" s="148"/>
      <c r="F20" s="148"/>
      <c r="G20" s="148"/>
      <c r="H20" s="148"/>
      <c r="I20"/>
      <c r="J20"/>
      <c r="K20"/>
    </row>
    <row r="21" spans="1:11" s="109" customFormat="1" ht="14.1" customHeight="1">
      <c r="A21"/>
      <c r="B21" s="156" t="s">
        <v>1198</v>
      </c>
      <c r="C21" s="193" t="s">
        <v>1188</v>
      </c>
      <c r="D21" s="193" t="s">
        <v>1199</v>
      </c>
      <c r="E21" s="193" t="s">
        <v>1200</v>
      </c>
      <c r="F21" s="193" t="s">
        <v>1201</v>
      </c>
      <c r="G21" s="1244" t="s">
        <v>1202</v>
      </c>
      <c r="H21" s="1245"/>
      <c r="I21"/>
      <c r="J21"/>
      <c r="K21"/>
    </row>
    <row r="22" spans="1:11" s="109" customFormat="1" ht="15.9" customHeight="1">
      <c r="A22"/>
      <c r="B22" s="157" t="s">
        <v>1203</v>
      </c>
      <c r="C22" s="158">
        <f>COUNTIFS(Application_Status_Feb!S$2:S$561,"&gt;0",Application_Status_Feb!J$2:J$561,"&gt;="&amp;46054)+COUNTIFS(Application_Status_Mar!S$2:S$2000,"&gt;0",Application_Status_Mar!J$2:J$2000,"&gt;="&amp;46054)+COUNTIFS(Application_Status_Apr!S$2:S$3000,"&gt;0",Application_Status_Apr!J$2:J$3000,"&gt;="&amp;46054)</f>
        <v>18</v>
      </c>
      <c r="D22" s="159">
        <f>C22</f>
        <v>18</v>
      </c>
      <c r="E22" s="207">
        <f>IFERROR(D22/D27,0)</f>
        <v>0.23376623376623376</v>
      </c>
      <c r="F22" s="160" t="s">
        <v>1204</v>
      </c>
      <c r="G22" s="161" t="str">
        <f>C22&amp;" denials in pipeline. Screening criteria driving highest single-cause cancellation. Denials doubled vs 26 total cancels last wk."</f>
        <v>18 denials in pipeline. Screening criteria driving highest single-cause cancellation. Denials doubled vs 26 total cancels last wk.</v>
      </c>
      <c r="H22" s="162"/>
      <c r="I22"/>
      <c r="J22"/>
      <c r="K22"/>
    </row>
    <row r="23" spans="1:11" s="109" customFormat="1" ht="15.9" customHeight="1">
      <c r="A23"/>
      <c r="B23" s="163" t="s">
        <v>1205</v>
      </c>
      <c r="C23" s="164" cm="1">
        <f t="array" ref="C23">SUMPRODUCT((E66:E203="Cancelled/Denied")*IF(ISNUMBER(J66:J203),IF(J66:J203&gt;40000,(J66:J203-H66:H203)&gt;=15,0),0))</f>
        <v>37</v>
      </c>
      <c r="D23" s="164">
        <f>C23+COUNTIFS(K66:K155,"&gt;=15",E66:E155,"In Review")</f>
        <v>43</v>
      </c>
      <c r="E23" s="208">
        <f>IFERROR(D23/D27,0)</f>
        <v>0.55844155844155841</v>
      </c>
      <c r="F23" s="160" t="s">
        <v>1206</v>
      </c>
      <c r="G23" s="165" t="str">
        <f>"Avg "&amp;D16&amp;" completed→decision vs. "&amp;E16&amp;" for conversions. Backlog worsening (+0.9d WoW). Docs/verifications the bottleneck."</f>
        <v>Avg 24.6 days completed→decision vs. 6.9 days for conversions. Backlog worsening (+0.9d WoW). Docs/verifications the bottleneck.</v>
      </c>
      <c r="H23" s="166"/>
      <c r="I23"/>
      <c r="J23"/>
      <c r="K23"/>
    </row>
    <row r="24" spans="1:11" s="109" customFormat="1" ht="15.9" customHeight="1">
      <c r="A24"/>
      <c r="B24" s="163" t="s">
        <v>1207</v>
      </c>
      <c r="C24" s="158">
        <f>C7-C22-C23-C25-C26</f>
        <v>-27</v>
      </c>
      <c r="D24" s="158">
        <f>C24</f>
        <v>-27</v>
      </c>
      <c r="E24" s="209">
        <f>IFERROR(D24/D27,0)</f>
        <v>-0.35064935064935066</v>
      </c>
      <c r="F24" s="167" t="s">
        <v>1208</v>
      </c>
      <c r="G24" s="168" t="s">
        <v>1209</v>
      </c>
      <c r="H24" s="169"/>
      <c r="I24"/>
      <c r="J24"/>
      <c r="K24"/>
    </row>
    <row r="25" spans="1:11" s="109" customFormat="1" ht="15.9" customHeight="1">
      <c r="A25"/>
      <c r="B25" s="170" t="s">
        <v>1210</v>
      </c>
      <c r="C25" s="158" cm="1">
        <f t="array" ref="C25">SUMPRODUCT((E66:E203="Cancelled/Denied")*((COUNTIFS(Application_Status_Feb!I$2:I$561,B66:B203,Application_Status_Feb!E$2:E$561,"App*Cancelled")+COUNTIFS(Application_Status_Mar!I$2:I$2000,B66:B203,Application_Status_Mar!E$2:E$2000,"App*Cancelled")+COUNTIFS(Application_Status_Apr!I$2:I$3000,B66:B203,Application_Status_Apr!E$2:E$3000,"App*Cancelled"))&gt;1))</f>
        <v>26</v>
      </c>
      <c r="D25" s="158">
        <f>C25</f>
        <v>26</v>
      </c>
      <c r="E25" s="210">
        <f>IFERROR(D25/D27,0)</f>
        <v>0.33766233766233766</v>
      </c>
      <c r="F25" s="171" t="s">
        <v>1211</v>
      </c>
      <c r="G25" s="197" t="str" cm="1">
        <f t="array" ref="G25">SUMPRODUCT((E66:E201="Cancelled/Denied")*((COUNTIFS(Application_Status_Feb!I$2:I$561,B66:B201,Application_Status_Feb!E$2:E$561,"App*Cancelled")+COUNTIFS(Application_Status_Mar!I$2:I$2000,B66:B201,Application_Status_Mar!E$2:E$2000,"App*Cancelled")+COUNTIFS(Application_Status_Apr!I$2:I$3000,B66:B201,Application_Status_Apr!E$2:E$3000,"App*Cancelled"))&gt;1))&amp;" of "&amp;C7&amp;" cancelled units had prior cancels on same unit. Low repeat-fail rate is a positive signal."</f>
        <v>26 of 62 cancelled units had prior cancels on same unit. Low repeat-fail rate is a positive signal.</v>
      </c>
      <c r="H25" s="198"/>
      <c r="I25"/>
      <c r="J25"/>
      <c r="K25"/>
    </row>
    <row r="26" spans="1:11" s="109" customFormat="1" ht="15.9" customHeight="1">
      <c r="A26"/>
      <c r="B26" s="172" t="s">
        <v>1212</v>
      </c>
      <c r="C26" s="158">
        <f>COUNTIFS(F66:F203,"HOUSE*",E66:E203,"Cancelled/Denied")+COUNTIFS(F66:F203,"Not Assigned",E66:E203,"Cancelled/Denied")</f>
        <v>8</v>
      </c>
      <c r="D26" s="158">
        <f>C26+COUNTIFS(F66:F155,"HOUSE*",E66:E155,"In Review")+COUNTIFS(F66:F155,"HOUSE*",E66:E155,"Incomplete")+COUNTIFS(F66:F155,"Not Assigned",E66:E155,"In Review")+COUNTIFS(F66:F155,"Not Assigned",E66:E155,"Incomplete")</f>
        <v>17</v>
      </c>
      <c r="E26" s="210">
        <f>IFERROR(D26/D27,0)</f>
        <v>0.22077922077922077</v>
      </c>
      <c r="F26" s="167" t="s">
        <v>1208</v>
      </c>
      <c r="G26" s="197" t="str">
        <f>ROUND(C49/C5*100,0)&amp;"% of pipeline = HOUSE/Not Assigned (19 apps). No follow-up owner accelerates attrition. Assign agents to reduce stall risk."</f>
        <v>11% of pipeline = HOUSE/Not Assigned (19 apps). No follow-up owner accelerates attrition. Assign agents to reduce stall risk.</v>
      </c>
      <c r="H26" s="198"/>
      <c r="I26"/>
      <c r="J26"/>
      <c r="K26"/>
    </row>
    <row r="27" spans="1:11" s="109" customFormat="1" ht="15.9" customHeight="1">
      <c r="A27"/>
      <c r="B27" s="173" t="s">
        <v>1213</v>
      </c>
      <c r="C27" s="174">
        <f>C7</f>
        <v>62</v>
      </c>
      <c r="D27" s="175">
        <f>SUM(D22:D26)</f>
        <v>77</v>
      </c>
      <c r="E27" s="176">
        <f>SUM(E22:E26)</f>
        <v>0.99999999999999989</v>
      </c>
      <c r="F27" s="177"/>
      <c r="G27" s="178" t="str">
        <f>C7&amp;" cancelled + "&amp;C22&amp;" denied = "&amp;(C7+C22)&amp;" lost from "&amp;C5&amp;" submitted ("&amp;ROUND((C7+C22)/C5*100,0)&amp;"% loss rate, up from 29% last wk). POSITIVE: conversions doubled to "&amp;C8&amp;" ("&amp;ROUND(C8/C5*100,0)&amp;"%, up from 5.6%)."</f>
        <v>62 cancelled + 18 denied = 80 lost from 219 submitted (37% loss rate, up from 29% last wk). POSITIVE: conversions doubled to 58 (26%, up from 5.6%).</v>
      </c>
      <c r="H27" s="179"/>
      <c r="I27"/>
      <c r="J27"/>
      <c r="K27"/>
    </row>
    <row r="28" spans="1:11" s="109" customFormat="1" ht="6" customHeight="1">
      <c r="A28"/>
      <c r="B28" s="108"/>
      <c r="C28" s="108"/>
      <c r="D28" s="108"/>
      <c r="E28" s="108"/>
      <c r="F28" s="108"/>
      <c r="G28" s="108"/>
      <c r="H28" s="108"/>
      <c r="I28"/>
      <c r="J28"/>
      <c r="K28"/>
    </row>
    <row r="29" spans="1:11" s="109" customFormat="1" ht="15.9" customHeight="1" thickBot="1">
      <c r="A29"/>
      <c r="B29" s="196" t="str">
        <f>"CANCELLATION DETAIL ("&amp;C7&amp;" confirmed losses)"</f>
        <v>CANCELLATION DETAIL (62 confirmed losses)</v>
      </c>
      <c r="C29" s="148"/>
      <c r="D29" s="148"/>
      <c r="E29" s="148"/>
      <c r="F29" s="148"/>
      <c r="G29" s="148"/>
      <c r="H29" s="148"/>
      <c r="I29"/>
      <c r="J29"/>
      <c r="K29"/>
    </row>
    <row r="30" spans="1:11" s="109" customFormat="1" ht="14.1" customHeight="1">
      <c r="A30"/>
      <c r="B30" s="156" t="s">
        <v>1137</v>
      </c>
      <c r="C30" s="194" t="s">
        <v>1214</v>
      </c>
      <c r="D30" s="193" t="s">
        <v>1215</v>
      </c>
      <c r="E30" s="193" t="s">
        <v>1216</v>
      </c>
      <c r="F30" s="193" t="s">
        <v>1198</v>
      </c>
      <c r="G30" s="194" t="s">
        <v>1217</v>
      </c>
      <c r="H30" s="195"/>
      <c r="I30"/>
      <c r="J30"/>
      <c r="K30"/>
    </row>
    <row r="31" spans="1:11" s="109" customFormat="1" ht="15.9" customHeight="1">
      <c r="A31"/>
      <c r="B31" s="180" t="s">
        <v>1218</v>
      </c>
      <c r="C31" s="181" t="str">
        <f t="shared" ref="C31:C37" si="0">IFERROR(INDEX(C$66:C$203,MATCH(B31,B$66:B$203,0)),"—")</f>
        <v>Patel, Kausha</v>
      </c>
      <c r="D31" s="182" t="str">
        <f t="shared" ref="D31:D37" si="1">IFERROR(INDEX(J$66:J$203,MATCH(B31,B$66:B$203,0))-INDEX(H$66:H$203,MATCH(B31,B$66:B$203,0))&amp;" days","—")</f>
        <v>94 days</v>
      </c>
      <c r="E31" s="219" t="str">
        <f t="shared" ref="E31:E37" si="2">IFERROR(INDEX(G$66:G$203,MATCH(B31,B$66:B$203,0)),"—")</f>
        <v>Website</v>
      </c>
      <c r="F31" s="183" t="s">
        <v>1219</v>
      </c>
      <c r="G31" s="184" t="str">
        <f>"Created "&amp;TEXT(INDEX(H$66:H$203,MATCH(B31,B$66:B$203,0)),"m/d")&amp;", cancelled "&amp;TEXT(INDEX(J$66:J$203,MATCH(B31,B$66:B$203,0)),"m/d")&amp;" — "&amp;D31&amp;" in system."</f>
        <v>Created 12/29, cancelled 4/2 — 94 days in system.</v>
      </c>
      <c r="H31" s="185"/>
      <c r="I31"/>
      <c r="J31"/>
      <c r="K31"/>
    </row>
    <row r="32" spans="1:11" s="109" customFormat="1" ht="15.9" customHeight="1">
      <c r="A32"/>
      <c r="B32" s="180" t="s">
        <v>1218</v>
      </c>
      <c r="C32" s="181" t="str">
        <f t="shared" si="0"/>
        <v>Patel, Kausha</v>
      </c>
      <c r="D32" s="182" t="str">
        <f t="shared" si="1"/>
        <v>94 days</v>
      </c>
      <c r="E32" s="186" t="str">
        <f t="shared" si="2"/>
        <v>Website</v>
      </c>
      <c r="F32" s="183" t="s">
        <v>1219</v>
      </c>
      <c r="G32" s="184"/>
      <c r="H32" s="185"/>
      <c r="I32"/>
      <c r="J32"/>
      <c r="K32"/>
    </row>
    <row r="33" spans="1:11" s="109" customFormat="1" ht="15.9" customHeight="1">
      <c r="A33"/>
      <c r="B33" s="180" t="s">
        <v>1220</v>
      </c>
      <c r="C33" s="181" t="str">
        <f t="shared" si="0"/>
        <v>Masanga, Luhiagila</v>
      </c>
      <c r="D33" s="182" t="str">
        <f t="shared" si="1"/>
        <v>14 days</v>
      </c>
      <c r="E33" s="186" t="str">
        <f t="shared" si="2"/>
        <v>Website</v>
      </c>
      <c r="F33" s="183" t="s">
        <v>1221</v>
      </c>
      <c r="G33" s="187" t="s">
        <v>1222</v>
      </c>
      <c r="H33" s="188"/>
      <c r="I33"/>
      <c r="J33"/>
      <c r="K33"/>
    </row>
    <row r="34" spans="1:11" s="109" customFormat="1" ht="15.9" customHeight="1">
      <c r="A34"/>
      <c r="B34" s="180" t="s">
        <v>1223</v>
      </c>
      <c r="C34" s="181" t="str">
        <f t="shared" si="0"/>
        <v>Williams, Makaila</v>
      </c>
      <c r="D34" s="182" t="str">
        <f t="shared" si="1"/>
        <v>56 days</v>
      </c>
      <c r="E34" s="186" t="str">
        <f t="shared" si="2"/>
        <v>Website</v>
      </c>
      <c r="F34" s="183" t="s">
        <v>1219</v>
      </c>
      <c r="G34" s="184" t="s">
        <v>1224</v>
      </c>
      <c r="H34" s="185"/>
      <c r="I34"/>
      <c r="J34"/>
      <c r="K34"/>
    </row>
    <row r="35" spans="1:11" s="109" customFormat="1" ht="15.9" customHeight="1">
      <c r="A35"/>
      <c r="B35" s="180" t="s">
        <v>1225</v>
      </c>
      <c r="C35" s="181" t="str">
        <f t="shared" si="0"/>
        <v>Mitchell, Melody</v>
      </c>
      <c r="D35" s="183" t="str">
        <f t="shared" si="1"/>
        <v>17 days</v>
      </c>
      <c r="E35" s="186" t="str">
        <f t="shared" si="2"/>
        <v>Website</v>
      </c>
      <c r="F35" s="183" t="s">
        <v>1219</v>
      </c>
      <c r="G35" s="184" t="s">
        <v>1226</v>
      </c>
      <c r="H35" s="185"/>
      <c r="I35"/>
      <c r="J35"/>
      <c r="K35"/>
    </row>
    <row r="36" spans="1:11" s="109" customFormat="1" ht="15.9" customHeight="1">
      <c r="A36"/>
      <c r="B36" s="180" t="s">
        <v>1227</v>
      </c>
      <c r="C36" s="181" t="str">
        <f t="shared" si="0"/>
        <v>Williams, LaAsia</v>
      </c>
      <c r="D36" s="189" t="str">
        <f t="shared" si="1"/>
        <v>55 days</v>
      </c>
      <c r="E36" s="186" t="str">
        <f t="shared" si="2"/>
        <v>Drive By</v>
      </c>
      <c r="F36" s="190" t="s">
        <v>1228</v>
      </c>
      <c r="G36" s="184" t="s">
        <v>1229</v>
      </c>
      <c r="H36" s="185"/>
      <c r="I36"/>
      <c r="J36"/>
      <c r="K36"/>
    </row>
    <row r="37" spans="1:11" s="109" customFormat="1" ht="15.9" customHeight="1">
      <c r="A37"/>
      <c r="B37" s="180" t="s">
        <v>1230</v>
      </c>
      <c r="C37" s="181" t="str">
        <f t="shared" si="0"/>
        <v>—</v>
      </c>
      <c r="D37" s="191" t="str">
        <f t="shared" si="1"/>
        <v>—</v>
      </c>
      <c r="E37" s="186" t="str">
        <f t="shared" si="2"/>
        <v>—</v>
      </c>
      <c r="F37" s="190" t="s">
        <v>1228</v>
      </c>
      <c r="G37" s="184" t="s">
        <v>1231</v>
      </c>
      <c r="H37" s="185"/>
      <c r="I37"/>
      <c r="J37"/>
      <c r="K37"/>
    </row>
    <row r="38" spans="1:11" s="109" customFormat="1" ht="6" customHeight="1">
      <c r="A38"/>
      <c r="B38"/>
      <c r="C38"/>
      <c r="D38"/>
      <c r="E38"/>
      <c r="F38"/>
      <c r="G38" s="192"/>
      <c r="H38" s="192"/>
      <c r="I38"/>
      <c r="J38"/>
      <c r="K38"/>
    </row>
    <row r="39" spans="1:11" ht="15.9" customHeight="1" thickBot="1">
      <c r="B39" s="300" t="s">
        <v>1232</v>
      </c>
      <c r="C39" s="148"/>
      <c r="D39" s="148"/>
      <c r="E39" s="148"/>
      <c r="F39" s="148"/>
      <c r="G39" s="148"/>
      <c r="H39" s="148"/>
    </row>
    <row r="40" spans="1:11" ht="14.1" customHeight="1">
      <c r="B40" s="302" t="s">
        <v>1233</v>
      </c>
      <c r="C40" s="303" t="s">
        <v>1234</v>
      </c>
      <c r="D40" s="303" t="str">
        <f>"% of "&amp;C5</f>
        <v>% of 219</v>
      </c>
      <c r="E40" s="303" t="s">
        <v>1235</v>
      </c>
      <c r="F40" s="303" t="s">
        <v>1188</v>
      </c>
      <c r="G40" s="303" t="s">
        <v>1189</v>
      </c>
      <c r="H40" s="306" t="s">
        <v>1236</v>
      </c>
    </row>
    <row r="41" spans="1:11" ht="14.1" customHeight="1">
      <c r="B41" s="124" t="s">
        <v>1237</v>
      </c>
      <c r="C41" s="125">
        <f>COUNTIF(F66:F203,B41)</f>
        <v>14</v>
      </c>
      <c r="D41" s="211">
        <f>IFERROR(C41/C5,0)</f>
        <v>6.3926940639269403E-2</v>
      </c>
      <c r="E41" s="126">
        <f>COUNTIFS(F66:F203,B41,E66:E203,"In Review")+COUNTIFS(F66:F203,B41,E66:E203,"Incomplete")</f>
        <v>2</v>
      </c>
      <c r="F41" s="127">
        <f>COUNTIFS(F66:F203,B41,E66:E203,"Cancelled/Denied")</f>
        <v>6</v>
      </c>
      <c r="G41" s="125">
        <f>COUNTIFS(F66:F203,B41,E66:E203,"Converted")</f>
        <v>6</v>
      </c>
      <c r="H41" s="149" t="str">
        <f>"Highest volume ("&amp;C41&amp;" apps, "&amp;ROUND(D41*100,0)&amp;"%). "&amp;F41&amp;" cancels vs "&amp;G41&amp;" conversions. 52% cancel rate — needs pipeline quality review."</f>
        <v>Highest volume (14 apps, 6%). 6 cancels vs 6 conversions. 52% cancel rate — needs pipeline quality review.</v>
      </c>
    </row>
    <row r="42" spans="1:11" ht="14.1" customHeight="1">
      <c r="B42" s="124" t="s">
        <v>1238</v>
      </c>
      <c r="C42" s="125">
        <f>COUNTIF(F66:F203,B42)</f>
        <v>17</v>
      </c>
      <c r="D42" s="211">
        <f>IFERROR(C42/C5,0)</f>
        <v>7.7625570776255703E-2</v>
      </c>
      <c r="E42" s="126">
        <f>COUNTIFS(F66:F203,B42,E66:E203,"In Review")+COUNTIFS(F66:F203,B42,E66:E203,"Incomplete")</f>
        <v>3</v>
      </c>
      <c r="F42" s="127">
        <f>COUNTIFS(F66:F203,B42,E66:E203,"Cancelled/Denied")</f>
        <v>4</v>
      </c>
      <c r="G42" s="126">
        <f>COUNTIFS(F66:F203,B42,E66:E203,"Converted")</f>
        <v>10</v>
      </c>
      <c r="H42" s="150" t="str">
        <f>"TOP PERFORMER: "&amp;G42&amp;" of "&amp;C8&amp;" total conversions ("&amp;ROUND(G42/C8*100,0)&amp;"%). Zero cancels. Doubled from 2-3 conversions last wk. Model for team."</f>
        <v>TOP PERFORMER: 10 of 58 total conversions (17%). Zero cancels. Doubled from 2-3 conversions last wk. Model for team.</v>
      </c>
    </row>
    <row r="43" spans="1:11" ht="14.1" customHeight="1">
      <c r="B43" s="124" t="s">
        <v>1239</v>
      </c>
      <c r="C43" s="125">
        <f>COUNTIF(F66:F203,B43)</f>
        <v>13</v>
      </c>
      <c r="D43" s="211">
        <f>IFERROR(C43/C5,0)</f>
        <v>5.9360730593607303E-2</v>
      </c>
      <c r="E43" s="126">
        <f>COUNTIFS(F66:F203,B43,E66:E203,"In Review")+COUNTIFS(F66:F203,B43,E66:E203,"Incomplete")</f>
        <v>0</v>
      </c>
      <c r="F43" s="127">
        <f>COUNTIFS(F66:F203,B43,E66:E203,"Cancelled/Denied")</f>
        <v>5</v>
      </c>
      <c r="G43" s="125">
        <f>COUNTIFS(F66:F203,B43,E66:E203,"Converted")</f>
        <v>8</v>
      </c>
      <c r="H43" s="149" t="str">
        <f>F43&amp;" cancels out of "&amp;C43&amp;" apps ("&amp;ROUND(F43/C43*100,0)&amp;"% cancel rate). "&amp;E43&amp;" still open — 2nd largest open pipeline. Conversion opportunity if decisioning speeds up."</f>
        <v>5 cancels out of 13 apps (38% cancel rate). 0 still open — 2nd largest open pipeline. Conversion opportunity if decisioning speeds up.</v>
      </c>
    </row>
    <row r="44" spans="1:11" ht="14.1" customHeight="1">
      <c r="B44" s="124" t="s">
        <v>1240</v>
      </c>
      <c r="C44" s="125">
        <f>COUNTIF(F66:F203,"Reyes, Martha")+COUNTIF(F66:F203,"Reyes, Josie")</f>
        <v>7</v>
      </c>
      <c r="D44" s="211">
        <f>IFERROR(C44/C5,0)</f>
        <v>3.1963470319634701E-2</v>
      </c>
      <c r="E44" s="126">
        <f>COUNTIFS(F66:F203,"Reyes, Martha",E66:E203,"In Review")+COUNTIFS(F66:F203,"Reyes, Martha",E66:E203,"Incomplete")+COUNTIFS(F66:F203,"Reyes, Josie",E66:E203,"In Review")+COUNTIFS(F66:F203,"Reyes, Josie",E66:E203,"Incomplete")</f>
        <v>0</v>
      </c>
      <c r="F44" s="127">
        <f>COUNTIFS(F66:F203,"Reyes, Martha",E66:E203,"Cancelled/Denied")+COUNTIFS(F66:F203,"Reyes, Josie",E66:E203,"Cancelled/Denied")</f>
        <v>3</v>
      </c>
      <c r="G44" s="125">
        <f>COUNTIFS(F66:F203,"Reyes, Martha",E66:E203,"Converted")+COUNTIFS(F66:F203,"Reyes, Josie",E66:E203,"Converted")</f>
        <v>4</v>
      </c>
      <c r="H44" s="644" t="str">
        <f>F44&amp;" cancels out of "&amp;C44&amp;" apps ("&amp;ROUND(F44/C44*100,0)&amp;"% cancel rate). "&amp;E44&amp;" still open, 0 conversions. Highest cancel rate on team — needs screening review."</f>
        <v>3 cancels out of 7 apps (43% cancel rate). 0 still open, 0 conversions. Highest cancel rate on team — needs screening review.</v>
      </c>
    </row>
    <row r="45" spans="1:11" ht="14.1" customHeight="1">
      <c r="B45" s="124" t="s">
        <v>1241</v>
      </c>
      <c r="C45" s="125">
        <f>COUNTIF(F66:F203,B45)</f>
        <v>27</v>
      </c>
      <c r="D45" s="211">
        <f>IFERROR(C45/C5,0)</f>
        <v>0.12328767123287671</v>
      </c>
      <c r="E45" s="126">
        <f>COUNTIFS(F66:F203,B45,E66:E203,"In Review")+COUNTIFS(F66:F203,B45,E66:E203,"Incomplete")</f>
        <v>12</v>
      </c>
      <c r="F45" s="127">
        <f>COUNTIFS(F66:F203,B45,E66:E203,"Cancelled/Denied")</f>
        <v>12</v>
      </c>
      <c r="G45" s="125">
        <f>COUNTIFS(F66:F203,B45,E66:E203,"Converted")</f>
        <v>3</v>
      </c>
      <c r="H45" s="149" t="str">
        <f>F45&amp;" cancel, "&amp;E45&amp;" still open out of "&amp;C45&amp;" apps. No conversions yet but 86% still active — conversion opportunity if pipeline is worked."</f>
        <v>12 cancel, 12 still open out of 27 apps. No conversions yet but 86% still active — conversion opportunity if pipeline is worked.</v>
      </c>
    </row>
    <row r="46" spans="1:11" ht="14.1" customHeight="1">
      <c r="B46" s="124" t="s">
        <v>1242</v>
      </c>
      <c r="C46" s="125">
        <f>COUNTIF(F66:F203,B46)</f>
        <v>18</v>
      </c>
      <c r="D46" s="211">
        <f>IFERROR(C46/C5,0)</f>
        <v>8.2191780821917804E-2</v>
      </c>
      <c r="E46" s="126">
        <f>COUNTIFS(F66:F203,B46,E66:E203,"In Review")+COUNTIFS(F66:F203,B46,E66:E203,"Incomplete")</f>
        <v>4</v>
      </c>
      <c r="F46" s="127">
        <f>COUNTIFS(F66:F203,B46,E66:E203,"Cancelled/Denied")</f>
        <v>3</v>
      </c>
      <c r="G46" s="125">
        <f>COUNTIFS(F66:F203,B46,E66:E203,"Converted")</f>
        <v>11</v>
      </c>
      <c r="H46" s="149" t="str">
        <f>F46&amp;" cancels, "&amp;E46&amp;" still open out of "&amp;C46&amp;" apps. 50% cancel rate, 0 conversions. Needs support or reassignment of open apps."</f>
        <v>3 cancels, 4 still open out of 18 apps. 50% cancel rate, 0 conversions. Needs support or reassignment of open apps.</v>
      </c>
    </row>
    <row r="47" spans="1:11" ht="14.1" customHeight="1">
      <c r="B47" s="124" t="s">
        <v>1243</v>
      </c>
      <c r="C47" s="125">
        <f>COUNTIF(F66:F203,B47)</f>
        <v>15</v>
      </c>
      <c r="D47" s="211">
        <f>IFERROR(C47/C5,0)</f>
        <v>6.8493150684931503E-2</v>
      </c>
      <c r="E47" s="126">
        <f>COUNTIFS(F66:F203,B47,E66:E203,"In Review")+COUNTIFS(F66:F203,B47,E66:E203,"Incomplete")</f>
        <v>4</v>
      </c>
      <c r="F47" s="127">
        <f>COUNTIFS(F66:F203,B47,E66:E203,"Cancelled/Denied")</f>
        <v>5</v>
      </c>
      <c r="G47" s="125">
        <f>COUNTIFS(F66:F203,B47,E66:E203,"Converted")</f>
        <v>6</v>
      </c>
      <c r="H47" s="149" t="str">
        <f>F47&amp;" cancels out of "&amp;C47&amp;" apps. "&amp;G47&amp;" conversion. "&amp;E47&amp;" still open. Mixed results — has proven ability to convert."</f>
        <v>5 cancels out of 15 apps. 6 conversion. 4 still open. Mixed results — has proven ability to convert.</v>
      </c>
    </row>
    <row r="48" spans="1:11" ht="14.1" customHeight="1">
      <c r="B48" s="124" t="s">
        <v>1244</v>
      </c>
      <c r="C48" s="125">
        <f>COUNTIF(F66:F203,B48)</f>
        <v>1</v>
      </c>
      <c r="D48" s="211">
        <f>IFERROR(C48/C5,0)</f>
        <v>4.5662100456621002E-3</v>
      </c>
      <c r="E48" s="126">
        <f>COUNTIFS(F66:F203,B48,E66:E203,"In Review")+COUNTIFS(F66:F203,B48,E66:E203,"Incomplete")</f>
        <v>0</v>
      </c>
      <c r="F48" s="127">
        <f>COUNTIFS(F66:F203,B48,E66:E203,"Cancelled/Denied")</f>
        <v>0</v>
      </c>
      <c r="G48" s="125">
        <f>COUNTIFS(F66:F203,B48,E66:E203,"Converted")</f>
        <v>1</v>
      </c>
      <c r="H48" s="149" t="str">
        <f>"Single app — "&amp;E48&amp;" still in review. New agent, too early to assess."</f>
        <v>Single app — 0 still in review. New agent, too early to assess.</v>
      </c>
    </row>
    <row r="49" spans="1:11" ht="14.1" customHeight="1">
      <c r="B49" s="525" t="s">
        <v>1245</v>
      </c>
      <c r="C49" s="526">
        <f>COUNTIF(F66:F203,"HOUSE*")+COUNTIF(F66:F203,"Not Assigned")</f>
        <v>24</v>
      </c>
      <c r="D49" s="527">
        <f>IFERROR(C49/C5,0)</f>
        <v>0.1095890410958904</v>
      </c>
      <c r="E49" s="127">
        <f>COUNTIFS(F66:F203,"HOUSE*",E66:E203,"In Review")+COUNTIFS(F66:F203,"HOUSE*",E66:E203,"Incomplete")+COUNTIFS(F66:F203,"Not Assigned",E66:E203,"In Review")+COUNTIFS(F66:F203,"Not Assigned",E66:E203,"Incomplete")</f>
        <v>14</v>
      </c>
      <c r="F49" s="127">
        <f>COUNTIFS(F66:F203,"HOUSE*",E66:E203,"Cancelled/Denied")+COUNTIFS(F66:F203,"Not Assigned",E66:E203,"Cancelled/Denied")</f>
        <v>8</v>
      </c>
      <c r="G49" s="125">
        <f>COUNTIFS(F66:F203,"HOUSE*",E66:E203,"Converted")+COUNTIFS(F66:F203,"Not Assigned",E66:E203,"Converted")</f>
        <v>2</v>
      </c>
      <c r="H49" s="151" t="str">
        <f>ROUND(C49/C5*100,0)&amp;"% of pipeline has NO named agent ("&amp;C49&amp;" apps). Highest stall risk. PRIORITY: assign agents to "&amp;E49&amp;" open apps to unlock conversions."</f>
        <v>11% of pipeline has NO named agent (24 apps). Highest stall risk. PRIORITY: assign agents to 14 open apps to unlock conversions.</v>
      </c>
    </row>
    <row r="50" spans="1:11" ht="14.1" customHeight="1">
      <c r="B50" s="129" t="s">
        <v>856</v>
      </c>
      <c r="C50" s="130">
        <f>SUM(C41:C49)</f>
        <v>136</v>
      </c>
      <c r="D50" s="212">
        <f>IFERROR(SUM(D41:D49),0)</f>
        <v>0.62100456621004563</v>
      </c>
      <c r="E50" s="131">
        <f>SUM(E41:E49)</f>
        <v>39</v>
      </c>
      <c r="F50" s="132">
        <f>SUM(F41:F49)</f>
        <v>46</v>
      </c>
      <c r="G50" s="130">
        <f>SUM(G41:G49)</f>
        <v>51</v>
      </c>
      <c r="H50" s="152"/>
    </row>
    <row r="51" spans="1:11" s="109" customFormat="1">
      <c r="A51"/>
      <c r="B51"/>
      <c r="C51"/>
      <c r="D51"/>
      <c r="E51"/>
      <c r="F51"/>
      <c r="G51"/>
      <c r="H51"/>
    </row>
    <row r="52" spans="1:11" ht="15.9" customHeight="1" thickBot="1">
      <c r="B52" s="300" t="s">
        <v>1246</v>
      </c>
      <c r="C52" s="148"/>
      <c r="D52" s="148"/>
      <c r="E52" s="148"/>
      <c r="F52" s="148"/>
      <c r="G52" s="148"/>
      <c r="H52" s="148"/>
    </row>
    <row r="53" spans="1:11" ht="14.1" customHeight="1">
      <c r="B53" s="302" t="s">
        <v>1216</v>
      </c>
      <c r="C53" s="303" t="s">
        <v>1234</v>
      </c>
      <c r="D53" s="303" t="str">
        <f>"% of "&amp;C5</f>
        <v>% of 219</v>
      </c>
      <c r="E53" s="303" t="s">
        <v>1235</v>
      </c>
      <c r="F53" s="303" t="s">
        <v>1188</v>
      </c>
      <c r="G53" s="303" t="s">
        <v>1189</v>
      </c>
      <c r="H53" s="304" t="s">
        <v>946</v>
      </c>
    </row>
    <row r="54" spans="1:11" ht="14.1" customHeight="1">
      <c r="B54" s="133" t="s">
        <v>1247</v>
      </c>
      <c r="C54" s="125">
        <f>COUNTIF(G66:G203,B54)</f>
        <v>77</v>
      </c>
      <c r="D54" s="211">
        <f>IFERROR(C54/C5,0)</f>
        <v>0.35159817351598172</v>
      </c>
      <c r="E54" s="126">
        <f>COUNTIFS(G66:G203,B54,E66:E203,"In Review")+COUNTIFS(G66:G203,B54,E66:E203,"Incomplete")</f>
        <v>27</v>
      </c>
      <c r="F54" s="127">
        <f>COUNTIFS(G66:G203,B54,E66:E203,"Cancelled/Denied")</f>
        <v>31</v>
      </c>
      <c r="G54" s="126">
        <f>COUNTIFS(G66:G203,B54,E66:E203,"Converted")</f>
        <v>19</v>
      </c>
      <c r="H54" s="214">
        <f t="shared" ref="H54:H61" si="3">IFERROR(G54/C54,0)</f>
        <v>0.24675324675324675</v>
      </c>
    </row>
    <row r="55" spans="1:11" ht="14.1" customHeight="1">
      <c r="B55" s="133" t="s">
        <v>1248</v>
      </c>
      <c r="C55" s="125">
        <f>COUNTIF(G66:G203,B55)</f>
        <v>9</v>
      </c>
      <c r="D55" s="211">
        <f>IFERROR(C55/C5,0)</f>
        <v>4.1095890410958902E-2</v>
      </c>
      <c r="E55" s="126">
        <f>COUNTIFS(G66:G203,B55,E66:E203,"In Review")+COUNTIFS(G66:G203,B55,E66:E203,"Incomplete")</f>
        <v>0</v>
      </c>
      <c r="F55" s="127">
        <f>COUNTIFS(G66:G203,B55,E66:E203,"Cancelled/Denied")</f>
        <v>2</v>
      </c>
      <c r="G55" s="125">
        <f>COUNTIFS(G66:G203,B55,E66:E203,"Converted")</f>
        <v>7</v>
      </c>
      <c r="H55" s="215">
        <f t="shared" si="3"/>
        <v>0.77777777777777779</v>
      </c>
    </row>
    <row r="56" spans="1:11" ht="14.1" customHeight="1">
      <c r="B56" s="133" t="s">
        <v>1249</v>
      </c>
      <c r="C56" s="125">
        <f>COUNTIF(G66:G203,B56)</f>
        <v>10</v>
      </c>
      <c r="D56" s="211">
        <f>IFERROR(C56/C5,0)</f>
        <v>4.5662100456621002E-2</v>
      </c>
      <c r="E56" s="126">
        <f>COUNTIFS(G66:G203,B56,E66:E203,"In Review")+COUNTIFS(G66:G203,B56,E66:E203,"Incomplete")</f>
        <v>0</v>
      </c>
      <c r="F56" s="125">
        <f>COUNTIFS(G66:G203,B56,E66:E203,"Cancelled/Denied")</f>
        <v>5</v>
      </c>
      <c r="G56" s="125">
        <f>COUNTIFS(G66:G203,B56,E66:E203,"Converted")</f>
        <v>5</v>
      </c>
      <c r="H56" s="216">
        <f t="shared" si="3"/>
        <v>0.5</v>
      </c>
    </row>
    <row r="57" spans="1:11" ht="14.1" customHeight="1">
      <c r="B57" s="134" t="s">
        <v>1250</v>
      </c>
      <c r="C57" s="128">
        <f>COUNTIF(G66:G203,B57)</f>
        <v>4</v>
      </c>
      <c r="D57" s="213">
        <f>IFERROR(C57/C5,0)</f>
        <v>1.8264840182648401E-2</v>
      </c>
      <c r="E57" s="127">
        <f>COUNTIFS(G66:G203,B57,E66:E203,"In Review")+COUNTIFS(G66:G203,B57,E66:E203,"Incomplete")</f>
        <v>0</v>
      </c>
      <c r="F57" s="128">
        <f>COUNTIFS(G66:G203,B57,E66:E203,"Cancelled/Denied")</f>
        <v>3</v>
      </c>
      <c r="G57" s="127">
        <f>COUNTIFS(G66:G203,B57,E66:E203,"Converted")</f>
        <v>1</v>
      </c>
      <c r="H57" s="217">
        <f t="shared" si="3"/>
        <v>0.25</v>
      </c>
    </row>
    <row r="58" spans="1:11" ht="14.1" customHeight="1">
      <c r="B58" s="133" t="s">
        <v>1251</v>
      </c>
      <c r="C58" s="125">
        <f>COUNTIF(G66:G203,B58)</f>
        <v>4</v>
      </c>
      <c r="D58" s="211">
        <f>IFERROR(C58/C5,0)</f>
        <v>1.8264840182648401E-2</v>
      </c>
      <c r="E58" s="126">
        <f>COUNTIFS(G66:G203,B58,E66:E203,"In Review")+COUNTIFS(G66:G203,B58,E66:E203,"Incomplete")</f>
        <v>2</v>
      </c>
      <c r="F58" s="125">
        <f>COUNTIFS(G66:G203,B58,E66:E203,"Cancelled/Denied")</f>
        <v>0</v>
      </c>
      <c r="G58" s="126">
        <f>COUNTIFS(G66:G203,B58,E66:E203,"Converted")</f>
        <v>2</v>
      </c>
      <c r="H58" s="214">
        <f t="shared" si="3"/>
        <v>0.5</v>
      </c>
    </row>
    <row r="59" spans="1:11" ht="14.1" customHeight="1">
      <c r="B59" s="133" t="s">
        <v>1252</v>
      </c>
      <c r="C59" s="125">
        <f>COUNTIF(G66:G203,B59)</f>
        <v>23</v>
      </c>
      <c r="D59" s="211">
        <f>IFERROR(C59/C5,0)</f>
        <v>0.1050228310502283</v>
      </c>
      <c r="E59" s="126">
        <f>COUNTIFS(G66:G203,B59,E66:E203,"In Review")+COUNTIFS(G66:G203,B59,E66:E203,"Incomplete")</f>
        <v>9</v>
      </c>
      <c r="F59" s="127">
        <f>COUNTIFS(G66:G203,B59,E66:E203,"Cancelled/Denied")</f>
        <v>5</v>
      </c>
      <c r="G59" s="125">
        <f>COUNTIFS(G66:G203,B59,E66:E203,"Converted")</f>
        <v>9</v>
      </c>
      <c r="H59" s="215">
        <f t="shared" si="3"/>
        <v>0.39130434782608697</v>
      </c>
    </row>
    <row r="60" spans="1:11" ht="14.1" customHeight="1">
      <c r="B60" s="133" t="s">
        <v>1253</v>
      </c>
      <c r="C60" s="125">
        <f>COUNTIF(G66:G203,B60)</f>
        <v>2</v>
      </c>
      <c r="D60" s="211">
        <f>IFERROR(C60/C5,0)</f>
        <v>9.1324200913242004E-3</v>
      </c>
      <c r="E60" s="126">
        <f>COUNTIFS(G66:G203,B60,E66:E203,"In Review")+COUNTIFS(G66:G203,B60,E66:E203,"Incomplete")</f>
        <v>0</v>
      </c>
      <c r="F60" s="125">
        <f>COUNTIFS(G66:G203,B60,E66:E203,"Cancelled/Denied")</f>
        <v>1</v>
      </c>
      <c r="G60" s="125">
        <f>COUNTIFS(G66:G203,B60,E66:E203,"Converted")</f>
        <v>1</v>
      </c>
      <c r="H60" s="216">
        <f t="shared" si="3"/>
        <v>0.5</v>
      </c>
    </row>
    <row r="61" spans="1:11" ht="14.1" customHeight="1">
      <c r="B61" s="133" t="s">
        <v>1254</v>
      </c>
      <c r="C61" s="125">
        <f>C5-SUM(C54:C60)</f>
        <v>90</v>
      </c>
      <c r="D61" s="211">
        <f>IFERROR(C61/C5,0)</f>
        <v>0.41095890410958902</v>
      </c>
      <c r="E61" s="126">
        <f>C6-SUM(E54:E60)</f>
        <v>10</v>
      </c>
      <c r="F61" s="125">
        <f>C7-SUM(F54:F60)</f>
        <v>15</v>
      </c>
      <c r="G61" s="125">
        <f>C8-SUM(G54:G60)</f>
        <v>14</v>
      </c>
      <c r="H61" s="218">
        <f t="shared" si="3"/>
        <v>0.15555555555555556</v>
      </c>
    </row>
    <row r="62" spans="1:11" ht="14.1" customHeight="1">
      <c r="B62" s="136" t="s">
        <v>856</v>
      </c>
      <c r="C62" s="130">
        <f>SUM(C54:C61)</f>
        <v>219</v>
      </c>
      <c r="D62" s="212">
        <f>IFERROR(SUM(D54:D61),0)</f>
        <v>1</v>
      </c>
      <c r="E62" s="131">
        <f>SUM(E54:E61)</f>
        <v>48</v>
      </c>
      <c r="F62" s="130">
        <f>SUM(F54:F61)</f>
        <v>62</v>
      </c>
      <c r="G62" s="130">
        <f>SUM(G54:G61)</f>
        <v>58</v>
      </c>
      <c r="H62" s="137" t="str">
        <f>IFERROR(ROUND(G62/C62,1)*100,0)&amp;"% overall"</f>
        <v>30% overall</v>
      </c>
    </row>
    <row r="63" spans="1:11" s="109" customFormat="1">
      <c r="D63" s="220" t="s">
        <v>1255</v>
      </c>
      <c r="E63" s="221" t="s">
        <v>1256</v>
      </c>
      <c r="F63" s="222" t="s">
        <v>1257</v>
      </c>
      <c r="G63" s="223" t="s">
        <v>1258</v>
      </c>
    </row>
    <row r="64" spans="1:11" ht="15.9" customHeight="1" thickBot="1">
      <c r="A64" s="113"/>
      <c r="B64" s="300" t="s">
        <v>1259</v>
      </c>
      <c r="C64" s="147"/>
      <c r="D64" s="147"/>
      <c r="E64" s="147"/>
      <c r="F64" s="147"/>
      <c r="G64" s="147"/>
      <c r="H64" s="147"/>
      <c r="I64" s="147"/>
      <c r="J64" s="147"/>
      <c r="K64" s="147"/>
    </row>
    <row r="65" spans="1:11" ht="14.1" customHeight="1">
      <c r="A65" s="113"/>
      <c r="B65" s="307" t="s">
        <v>1137</v>
      </c>
      <c r="C65" s="307" t="s">
        <v>1214</v>
      </c>
      <c r="D65" s="305" t="s">
        <v>1260</v>
      </c>
      <c r="E65" s="305" t="s">
        <v>1261</v>
      </c>
      <c r="F65" s="305" t="s">
        <v>1262</v>
      </c>
      <c r="G65" s="305" t="s">
        <v>1216</v>
      </c>
      <c r="H65" s="305" t="s">
        <v>1263</v>
      </c>
      <c r="I65" s="305" t="s">
        <v>1264</v>
      </c>
      <c r="J65" s="305" t="s">
        <v>1265</v>
      </c>
      <c r="K65" s="305" t="s">
        <v>1215</v>
      </c>
    </row>
    <row r="66" spans="1:11" ht="14.1" customHeight="1">
      <c r="A66" s="113"/>
      <c r="B66" s="203" t="str" cm="1">
        <f t="array" ref="B66:B284">_xlfn._xlws.SORT(_xlfn.UNIQUE(_xlfn._xlws.FILTER(_xlfn.VSTACK(Application_Status_Feb!I$2:I$561,Application_Status_Mar!I$2:I$2000,Application_Status_Apr!I$2:I$3000,Application_Status_May!I$2:I$3000),(_xlfn.VSTACK(Application_Status_Feb!I$2:I$561,Application_Status_Mar!I$2:I$2000,Application_Status_Apr!I$2:I$3000,Application_Status_May!I$2:I$3000)&lt;&gt;"")*(LEFT(_xlfn.VSTACK(Application_Status_Feb!E$2:E$561,Application_Status_Mar!E$2:E$2000,Application_Status_Apr!E$2:E$3000,Application_Status_May!E$2:E$3000),3)&lt;&gt;"Gue")*(_xlfn.VSTACK(Application_Status_Feb!J$2:J$561,Application_Status_Mar!J$2:J$2000,Application_Status_Apr!J$2:J$3000,Application_Status_May!J$2:J$3000)&gt;=46054))))</f>
        <v>N01-1001</v>
      </c>
      <c r="C66" s="204" t="str" cm="1">
        <f t="array" ref="C66">_xlfn.LET(_xlpm.u,B66,_xlpm.myCnt,COUNTIFS(Application_Status_May!I$2:I$3000,_xlpm.u,Application_Status_May!E$2:E$3000,"App*")+COUNTIFS(Application_Status_May!I$2:I$3000,_xlpm.u,Application_Status_May!E$2:E$3000,"Lease*"),IF(_xlpm.myCnt&gt;0,INDEX(_xlfn._xlws.FILTER(Application_Status_May!B$2:B$3000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Nataren Quintanilla, Johnathan</v>
      </c>
      <c r="D66" s="205" t="str" cm="1">
        <f t="array" ref="D66">_xlfn.LET(_xlpm.u,B66,_xlpm.myCnt,COUNTIFS(Application_Status_May!I$2:I$3000,_xlpm.u,Application_Status_May!E$2:E$3000,"App*")+COUNTIFS(Application_Status_May!I$2:I$3000,_xlpm.u,Application_Status_May!E$2:E$3000,"Lease*"),IF(_xlpm.myCnt&gt;0,INDEX(_xlfn._xlws.FILTER(Application_Status_May!E$2:E$3000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Lease: Approved</v>
      </c>
      <c r="E66" s="205" t="str">
        <f t="shared" ref="E66:E129" si="4">IF(D66="Not Found","No Record",IF(OR(ISNUMBER(SEARCH("Cancelled",D66)),ISNUMBER(SEARCH("Denied",D66))),"Cancelled/Denied",IF(ISNUMBER(SEARCH("Lease",D66)),"Converted",IF(ISNUMBER(SEARCH("Completed",D66)),"In Review",IF(ISNUMBER(SEARCH("Started",D66)),"Incomplete","Other")))))</f>
        <v>Converted</v>
      </c>
      <c r="F66" s="205" t="str" cm="1">
        <f t="array" ref="F66">_xlfn.LET(_xlpm.u,B66,_xlpm.myCnt,COUNTIFS(Application_Status_May!I$2:I$3000,_xlpm.u,Application_Status_May!E$2:E$3000,"App*")+COUNTIFS(Application_Status_May!I$2:I$3000,_xlpm.u,Application_Status_May!E$2:E$3000,"Lease*"),IF(_xlpm.myCnt&gt;0,INDEX(_xlfn._xlws.FILTER(Application_Status_May!F$2:F$3000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Vazquez, Norma</v>
      </c>
      <c r="G66" s="205" t="str" cm="1">
        <f t="array" ref="G66">_xlfn.LET(_xlpm.u,B66,_xlpm.myCnt,COUNTIFS(Application_Status_May!I$2:I$3000,_xlpm.u,Application_Status_May!E$2:E$3000,"App*")+COUNTIFS(Application_Status_May!I$2:I$3000,_xlpm.u,Application_Status_May!E$2:E$3000,"Lease*"),IF(_xlpm.myCnt&gt;0,INDEX(_xlfn._xlws.FILTER(Application_Status_May!H$2:H$3000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Resident Referral</v>
      </c>
      <c r="H66" s="206" cm="1">
        <f t="array" ref="H66">_xlfn.LET(_xlpm.u,B66,_xlpm.myCnt,COUNTIFS(Application_Status_May!I$2:I$3000,_xlpm.u,Application_Status_May!E$2:E$3000,"App*")+COUNTIFS(Application_Status_May!I$2:I$3000,_xlpm.u,Application_Status_May!E$2:E$3000,"Lease*"),IF(_xlpm.myCnt&gt;0,INDEX(_xlfn._xlws.FILTER(Application_Status_May!J$2:J$3000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46104</v>
      </c>
      <c r="I66" s="206" cm="1">
        <f t="array" ref="I66">_xlfn.LET(_xlpm.u,B66,_xlpm.myCnt,COUNTIFS(Application_Status_May!I$2:I$3000,_xlpm.u,Application_Status_May!E$2:E$3000,"App*")+COUNTIFS(Application_Status_May!I$2:I$3000,_xlpm.u,Application_Status_May!E$2:E$3000,"Lease*"),IF(_xlpm.myCnt&gt;0,INDEX(_xlfn._xlws.FILTER(Application_Status_May!L$2:L$3000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46104</v>
      </c>
      <c r="J66" s="206" t="str">
        <f>IF(E66&lt;&gt;"Cancelled/Denied","—",_xlfn.LET(_xlpm.u,B66,_xlpm.myC,_xlfn.MAXIFS(Application_Status_May!R$2:R$3000,Application_Status_May!I$2:I$3000,_xlpm.u),_xlpm.myD,_xlfn.MAXIFS(Application_Status_May!S$2:S$3000,Application_Status_May!I$2:I$3000,_xlpm.u),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myC,_xlpm.myD,_xlpm.aC,_xlpm.aD,_xlpm.mC,_xlpm.mD,_xlpm.fC,_xlpm.fD)))</f>
        <v>—</v>
      </c>
      <c r="K66" s="205" t="str">
        <f t="shared" ref="K66:K129" si="5">IF(OR(E66="Cancelled/Denied",E66="Converted",E66="No Record",C66="NO RECORD"),"—",IF(ISNUMBER(H66),$C$3-H66,"—"))</f>
        <v>—</v>
      </c>
    </row>
    <row r="67" spans="1:11" ht="14.1" customHeight="1">
      <c r="A67" s="113"/>
      <c r="B67" s="204" t="str">
        <v>N01-1002</v>
      </c>
      <c r="C67" s="204" t="str" cm="1">
        <f t="array" ref="C67">_xlfn.LET(_xlpm.u,B67,_xlpm.myCnt,COUNTIFS(Application_Status_May!I$2:I$3000,_xlpm.u,Application_Status_May!E$2:E$3000,"App*")+COUNTIFS(Application_Status_May!I$2:I$3000,_xlpm.u,Application_Status_May!E$2:E$3000,"Lease*"),IF(_xlpm.myCnt&gt;0,INDEX(_xlfn._xlws.FILTER(Application_Status_May!B$2:B$3000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Ornelas, Nadia</v>
      </c>
      <c r="D67" s="205" t="str" cm="1">
        <f t="array" ref="D67">_xlfn.LET(_xlpm.u,B67,_xlpm.myCnt,COUNTIFS(Application_Status_May!I$2:I$3000,_xlpm.u,Application_Status_May!E$2:E$3000,"App*")+COUNTIFS(Application_Status_May!I$2:I$3000,_xlpm.u,Application_Status_May!E$2:E$3000,"Lease*"),IF(_xlpm.myCnt&gt;0,INDEX(_xlfn._xlws.FILTER(Application_Status_May!E$2:E$3000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Started</v>
      </c>
      <c r="E67" s="205" t="str">
        <f t="shared" si="4"/>
        <v>Incomplete</v>
      </c>
      <c r="F67" s="205" t="str" cm="1">
        <f t="array" ref="F67">_xlfn.LET(_xlpm.u,B67,_xlpm.myCnt,COUNTIFS(Application_Status_May!I$2:I$3000,_xlpm.u,Application_Status_May!E$2:E$3000,"App*")+COUNTIFS(Application_Status_May!I$2:I$3000,_xlpm.u,Application_Status_May!E$2:E$3000,"Lease*"),IF(_xlpm.myCnt&gt;0,INDEX(_xlfn._xlws.FILTER(Application_Status_May!F$2:F$3000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Elise, Meet</v>
      </c>
      <c r="G67" s="205" t="str" cm="1">
        <f t="array" ref="G67">_xlfn.LET(_xlpm.u,B67,_xlpm.myCnt,COUNTIFS(Application_Status_May!I$2:I$3000,_xlpm.u,Application_Status_May!E$2:E$3000,"App*")+COUNTIFS(Application_Status_May!I$2:I$3000,_xlpm.u,Application_Status_May!E$2:E$3000,"Lease*"),IF(_xlpm.myCnt&gt;0,INDEX(_xlfn._xlws.FILTER(Application_Status_May!H$2:H$3000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Website</v>
      </c>
      <c r="H67" s="206" cm="1">
        <f t="array" ref="H67">_xlfn.LET(_xlpm.u,B67,_xlpm.myCnt,COUNTIFS(Application_Status_May!I$2:I$3000,_xlpm.u,Application_Status_May!E$2:E$3000,"App*")+COUNTIFS(Application_Status_May!I$2:I$3000,_xlpm.u,Application_Status_May!E$2:E$3000,"Lease*"),IF(_xlpm.myCnt&gt;0,INDEX(_xlfn._xlws.FILTER(Application_Status_May!J$2:J$3000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46172</v>
      </c>
      <c r="I67" s="206" cm="1">
        <f t="array" ref="I67">_xlfn.LET(_xlpm.u,B67,_xlpm.myCnt,COUNTIFS(Application_Status_May!I$2:I$3000,_xlpm.u,Application_Status_May!E$2:E$3000,"App*")+COUNTIFS(Application_Status_May!I$2:I$3000,_xlpm.u,Application_Status_May!E$2:E$3000,"Lease*"),IF(_xlpm.myCnt&gt;0,INDEX(_xlfn._xlws.FILTER(Application_Status_May!L$2:L$3000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0</v>
      </c>
      <c r="J67" s="206" t="str">
        <f>IF(E67&lt;&gt;"Cancelled/Denied","—",_xlfn.LET(_xlpm.u,B67,_xlpm.myC,_xlfn.MAXIFS(Application_Status_May!R$2:R$3000,Application_Status_May!I$2:I$3000,_xlpm.u),_xlpm.myD,_xlfn.MAXIFS(Application_Status_May!S$2:S$3000,Application_Status_May!I$2:I$3000,_xlpm.u),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myC,_xlpm.myD,_xlpm.aC,_xlpm.aD,_xlpm.mC,_xlpm.mD,_xlpm.fC,_xlpm.fD)))</f>
        <v>—</v>
      </c>
      <c r="K67" s="205">
        <f t="shared" si="5"/>
        <v>72</v>
      </c>
    </row>
    <row r="68" spans="1:11" ht="14.1" customHeight="1">
      <c r="A68" s="113"/>
      <c r="B68" s="204" t="str">
        <v>N01-1003</v>
      </c>
      <c r="C68" s="204" t="str" cm="1">
        <f t="array" ref="C68">_xlfn.LET(_xlpm.u,B68,_xlpm.myCnt,COUNTIFS(Application_Status_May!I$2:I$3000,_xlpm.u,Application_Status_May!E$2:E$3000,"App*")+COUNTIFS(Application_Status_May!I$2:I$3000,_xlpm.u,Application_Status_May!E$2:E$3000,"Lease*"),IF(_xlpm.myCnt&gt;0,INDEX(_xlfn._xlws.FILTER(Application_Status_May!B$2:B$3000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Villarreal, Zenaida</v>
      </c>
      <c r="D68" s="205" t="str" cm="1">
        <f t="array" ref="D68">_xlfn.LET(_xlpm.u,B68,_xlpm.myCnt,COUNTIFS(Application_Status_May!I$2:I$3000,_xlpm.u,Application_Status_May!E$2:E$3000,"App*")+COUNTIFS(Application_Status_May!I$2:I$3000,_xlpm.u,Application_Status_May!E$2:E$3000,"Lease*"),IF(_xlpm.myCnt&gt;0,INDEX(_xlfn._xlws.FILTER(Application_Status_May!E$2:E$3000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Cancelled</v>
      </c>
      <c r="E68" s="205" t="str">
        <f t="shared" si="4"/>
        <v>Cancelled/Denied</v>
      </c>
      <c r="F68" s="205" t="str" cm="1">
        <f t="array" ref="F68">_xlfn.LET(_xlpm.u,B68,_xlpm.myCnt,COUNTIFS(Application_Status_May!I$2:I$3000,_xlpm.u,Application_Status_May!E$2:E$3000,"App*")+COUNTIFS(Application_Status_May!I$2:I$3000,_xlpm.u,Application_Status_May!E$2:E$3000,"Lease*"),IF(_xlpm.myCnt&gt;0,INDEX(_xlfn._xlws.FILTER(Application_Status_May!F$2:F$3000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Reyes, Martha</v>
      </c>
      <c r="G68" s="205" t="str" cm="1">
        <f t="array" ref="G68">_xlfn.LET(_xlpm.u,B68,_xlpm.myCnt,COUNTIFS(Application_Status_May!I$2:I$3000,_xlpm.u,Application_Status_May!E$2:E$3000,"App*")+COUNTIFS(Application_Status_May!I$2:I$3000,_xlpm.u,Application_Status_May!E$2:E$3000,"Lease*"),IF(_xlpm.myCnt&gt;0,INDEX(_xlfn._xlws.FILTER(Application_Status_May!H$2:H$3000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Resident Referral</v>
      </c>
      <c r="H68" s="206" cm="1">
        <f t="array" ref="H68">_xlfn.LET(_xlpm.u,B68,_xlpm.myCnt,COUNTIFS(Application_Status_May!I$2:I$3000,_xlpm.u,Application_Status_May!E$2:E$3000,"App*")+COUNTIFS(Application_Status_May!I$2:I$3000,_xlpm.u,Application_Status_May!E$2:E$3000,"Lease*"),IF(_xlpm.myCnt&gt;0,INDEX(_xlfn._xlws.FILTER(Application_Status_May!J$2:J$3000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46071</v>
      </c>
      <c r="I68" s="206" cm="1">
        <f t="array" ref="I68">_xlfn.LET(_xlpm.u,B68,_xlpm.myCnt,COUNTIFS(Application_Status_May!I$2:I$3000,_xlpm.u,Application_Status_May!E$2:E$3000,"App*")+COUNTIFS(Application_Status_May!I$2:I$3000,_xlpm.u,Application_Status_May!E$2:E$3000,"Lease*"),IF(_xlpm.myCnt&gt;0,INDEX(_xlfn._xlws.FILTER(Application_Status_May!L$2:L$3000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46073</v>
      </c>
      <c r="J68" s="206">
        <f>IF(E68&lt;&gt;"Cancelled/Denied","—",_xlfn.LET(_xlpm.u,B68,_xlpm.myC,_xlfn.MAXIFS(Application_Status_May!R$2:R$3000,Application_Status_May!I$2:I$3000,_xlpm.u),_xlpm.myD,_xlfn.MAXIFS(Application_Status_May!S$2:S$3000,Application_Status_May!I$2:I$3000,_xlpm.u),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myC,_xlpm.myD,_xlpm.aC,_xlpm.aD,_xlpm.mC,_xlpm.mD,_xlpm.fC,_xlpm.fD)))</f>
        <v>46114</v>
      </c>
      <c r="K68" s="205" t="str">
        <f t="shared" si="5"/>
        <v>—</v>
      </c>
    </row>
    <row r="69" spans="1:11" ht="14.1" customHeight="1">
      <c r="A69" s="113"/>
      <c r="B69" s="204" t="str">
        <v>N01-3003</v>
      </c>
      <c r="C69" s="204" t="str" cm="1">
        <f t="array" ref="C69">_xlfn.LET(_xlpm.u,B69,_xlpm.myCnt,COUNTIFS(Application_Status_May!I$2:I$3000,_xlpm.u,Application_Status_May!E$2:E$3000,"App*")+COUNTIFS(Application_Status_May!I$2:I$3000,_xlpm.u,Application_Status_May!E$2:E$3000,"Lease*"),IF(_xlpm.myCnt&gt;0,INDEX(_xlfn._xlws.FILTER(Application_Status_May!B$2:B$3000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Rice, Juwan</v>
      </c>
      <c r="D69" s="205" t="str" cm="1">
        <f t="array" ref="D69">_xlfn.LET(_xlpm.u,B69,_xlpm.myCnt,COUNTIFS(Application_Status_May!I$2:I$3000,_xlpm.u,Application_Status_May!E$2:E$3000,"App*")+COUNTIFS(Application_Status_May!I$2:I$3000,_xlpm.u,Application_Status_May!E$2:E$3000,"Lease*"),IF(_xlpm.myCnt&gt;0,INDEX(_xlfn._xlws.FILTER(Application_Status_May!E$2:E$3000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Started</v>
      </c>
      <c r="E69" s="205" t="str">
        <f t="shared" si="4"/>
        <v>Incomplete</v>
      </c>
      <c r="F69" s="205" t="str" cm="1">
        <f t="array" ref="F69">_xlfn.LET(_xlpm.u,B69,_xlpm.myCnt,COUNTIFS(Application_Status_May!I$2:I$3000,_xlpm.u,Application_Status_May!E$2:E$3000,"App*")+COUNTIFS(Application_Status_May!I$2:I$3000,_xlpm.u,Application_Status_May!E$2:E$3000,"Lease*"),IF(_xlpm.myCnt&gt;0,INDEX(_xlfn._xlws.FILTER(Application_Status_May!F$2:F$3000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Elise, Meet</v>
      </c>
      <c r="G69" s="205" t="str" cm="1">
        <f t="array" ref="G69">_xlfn.LET(_xlpm.u,B69,_xlpm.myCnt,COUNTIFS(Application_Status_May!I$2:I$3000,_xlpm.u,Application_Status_May!E$2:E$3000,"App*")+COUNTIFS(Application_Status_May!I$2:I$3000,_xlpm.u,Application_Status_May!E$2:E$3000,"Lease*"),IF(_xlpm.myCnt&gt;0,INDEX(_xlfn._xlws.FILTER(Application_Status_May!H$2:H$3000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Apartments.com</v>
      </c>
      <c r="H69" s="206" cm="1">
        <f t="array" ref="H69">_xlfn.LET(_xlpm.u,B69,_xlpm.myCnt,COUNTIFS(Application_Status_May!I$2:I$3000,_xlpm.u,Application_Status_May!E$2:E$3000,"App*")+COUNTIFS(Application_Status_May!I$2:I$3000,_xlpm.u,Application_Status_May!E$2:E$3000,"Lease*"),IF(_xlpm.myCnt&gt;0,INDEX(_xlfn._xlws.FILTER(Application_Status_May!J$2:J$3000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46164</v>
      </c>
      <c r="I69" s="206" cm="1">
        <f t="array" ref="I69">_xlfn.LET(_xlpm.u,B69,_xlpm.myCnt,COUNTIFS(Application_Status_May!I$2:I$3000,_xlpm.u,Application_Status_May!E$2:E$3000,"App*")+COUNTIFS(Application_Status_May!I$2:I$3000,_xlpm.u,Application_Status_May!E$2:E$3000,"Lease*"),IF(_xlpm.myCnt&gt;0,INDEX(_xlfn._xlws.FILTER(Application_Status_May!L$2:L$3000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0</v>
      </c>
      <c r="J69" s="206" t="str">
        <f>IF(E69&lt;&gt;"Cancelled/Denied","—",_xlfn.LET(_xlpm.u,B69,_xlpm.myC,_xlfn.MAXIFS(Application_Status_May!R$2:R$3000,Application_Status_May!I$2:I$3000,_xlpm.u),_xlpm.myD,_xlfn.MAXIFS(Application_Status_May!S$2:S$3000,Application_Status_May!I$2:I$3000,_xlpm.u),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myC,_xlpm.myD,_xlpm.aC,_xlpm.aD,_xlpm.mC,_xlpm.mD,_xlpm.fC,_xlpm.fD)))</f>
        <v>—</v>
      </c>
      <c r="K69" s="205">
        <f t="shared" si="5"/>
        <v>80</v>
      </c>
    </row>
    <row r="70" spans="1:11" ht="14.1" customHeight="1">
      <c r="A70" s="113"/>
      <c r="B70" s="204" t="str">
        <v>N01-3004</v>
      </c>
      <c r="C70" s="204" t="str" cm="1">
        <f t="array" ref="C70">_xlfn.LET(_xlpm.u,B70,_xlpm.myCnt,COUNTIFS(Application_Status_May!I$2:I$3000,_xlpm.u,Application_Status_May!E$2:E$3000,"App*")+COUNTIFS(Application_Status_May!I$2:I$3000,_xlpm.u,Application_Status_May!E$2:E$3000,"Lease*"),IF(_xlpm.myCnt&gt;0,INDEX(_xlfn._xlws.FILTER(Application_Status_May!B$2:B$3000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Tadesse, Nuhamin</v>
      </c>
      <c r="D70" s="205" t="str" cm="1">
        <f t="array" ref="D70">_xlfn.LET(_xlpm.u,B70,_xlpm.myCnt,COUNTIFS(Application_Status_May!I$2:I$3000,_xlpm.u,Application_Status_May!E$2:E$3000,"App*")+COUNTIFS(Application_Status_May!I$2:I$3000,_xlpm.u,Application_Status_May!E$2:E$3000,"Lease*"),IF(_xlpm.myCnt&gt;0,INDEX(_xlfn._xlws.FILTER(Application_Status_May!E$2:E$3000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Lease: Approved</v>
      </c>
      <c r="E70" s="205" t="str">
        <f t="shared" si="4"/>
        <v>Converted</v>
      </c>
      <c r="F70" s="205" t="str" cm="1">
        <f t="array" ref="F70">_xlfn.LET(_xlpm.u,B70,_xlpm.myCnt,COUNTIFS(Application_Status_May!I$2:I$3000,_xlpm.u,Application_Status_May!E$2:E$3000,"App*")+COUNTIFS(Application_Status_May!I$2:I$3000,_xlpm.u,Application_Status_May!E$2:E$3000,"Lease*"),IF(_xlpm.myCnt&gt;0,INDEX(_xlfn._xlws.FILTER(Application_Status_May!F$2:F$3000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Martinez, Briana</v>
      </c>
      <c r="G70" s="205" t="str" cm="1">
        <f t="array" ref="G70">_xlfn.LET(_xlpm.u,B70,_xlpm.myCnt,COUNTIFS(Application_Status_May!I$2:I$3000,_xlpm.u,Application_Status_May!E$2:E$3000,"App*")+COUNTIFS(Application_Status_May!I$2:I$3000,_xlpm.u,Application_Status_May!E$2:E$3000,"Lease*"),IF(_xlpm.myCnt&gt;0,INDEX(_xlfn._xlws.FILTER(Application_Status_May!H$2:H$3000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Website</v>
      </c>
      <c r="H70" s="206" cm="1">
        <f t="array" ref="H70">_xlfn.LET(_xlpm.u,B70,_xlpm.myCnt,COUNTIFS(Application_Status_May!I$2:I$3000,_xlpm.u,Application_Status_May!E$2:E$3000,"App*")+COUNTIFS(Application_Status_May!I$2:I$3000,_xlpm.u,Application_Status_May!E$2:E$3000,"Lease*"),IF(_xlpm.myCnt&gt;0,INDEX(_xlfn._xlws.FILTER(Application_Status_May!J$2:J$3000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46161</v>
      </c>
      <c r="I70" s="206" cm="1">
        <f t="array" ref="I70">_xlfn.LET(_xlpm.u,B70,_xlpm.myCnt,COUNTIFS(Application_Status_May!I$2:I$3000,_xlpm.u,Application_Status_May!E$2:E$3000,"App*")+COUNTIFS(Application_Status_May!I$2:I$3000,_xlpm.u,Application_Status_May!E$2:E$3000,"Lease*"),IF(_xlpm.myCnt&gt;0,INDEX(_xlfn._xlws.FILTER(Application_Status_May!L$2:L$3000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46161</v>
      </c>
      <c r="J70" s="206" t="str">
        <f>IF(E70&lt;&gt;"Cancelled/Denied","—",_xlfn.LET(_xlpm.u,B70,_xlpm.myC,_xlfn.MAXIFS(Application_Status_May!R$2:R$3000,Application_Status_May!I$2:I$3000,_xlpm.u),_xlpm.myD,_xlfn.MAXIFS(Application_Status_May!S$2:S$3000,Application_Status_May!I$2:I$3000,_xlpm.u),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myC,_xlpm.myD,_xlpm.aC,_xlpm.aD,_xlpm.mC,_xlpm.mD,_xlpm.fC,_xlpm.fD)))</f>
        <v>—</v>
      </c>
      <c r="K70" s="205" t="str">
        <f t="shared" si="5"/>
        <v>—</v>
      </c>
    </row>
    <row r="71" spans="1:11" ht="14.1" customHeight="1">
      <c r="A71" s="113"/>
      <c r="B71" s="204" t="str">
        <v>N03-1014</v>
      </c>
      <c r="C71" s="204" t="str" cm="1">
        <f t="array" ref="C71">_xlfn.LET(_xlpm.u,B71,_xlpm.myCnt,COUNTIFS(Application_Status_May!I$2:I$3000,_xlpm.u,Application_Status_May!E$2:E$3000,"App*")+COUNTIFS(Application_Status_May!I$2:I$3000,_xlpm.u,Application_Status_May!E$2:E$3000,"Lease*"),IF(_xlpm.myCnt&gt;0,INDEX(_xlfn._xlws.FILTER(Application_Status_May!B$2:B$3000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Igwenagu, Vision</v>
      </c>
      <c r="D71" s="205" t="str" cm="1">
        <f t="array" ref="D71">_xlfn.LET(_xlpm.u,B71,_xlpm.myCnt,COUNTIFS(Application_Status_May!I$2:I$3000,_xlpm.u,Application_Status_May!E$2:E$3000,"App*")+COUNTIFS(Application_Status_May!I$2:I$3000,_xlpm.u,Application_Status_May!E$2:E$3000,"Lease*"),IF(_xlpm.myCnt&gt;0,INDEX(_xlfn._xlws.FILTER(Application_Status_May!E$2:E$3000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Lease: Approved</v>
      </c>
      <c r="E71" s="205" t="str">
        <f t="shared" si="4"/>
        <v>Converted</v>
      </c>
      <c r="F71" s="205" t="str" cm="1">
        <f t="array" ref="F71">_xlfn.LET(_xlpm.u,B71,_xlpm.myCnt,COUNTIFS(Application_Status_May!I$2:I$3000,_xlpm.u,Application_Status_May!E$2:E$3000,"App*")+COUNTIFS(Application_Status_May!I$2:I$3000,_xlpm.u,Application_Status_May!E$2:E$3000,"Lease*"),IF(_xlpm.myCnt&gt;0,INDEX(_xlfn._xlws.FILTER(Application_Status_May!F$2:F$3000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Vazquez, Norma</v>
      </c>
      <c r="G71" s="205" t="str" cm="1">
        <f t="array" ref="G71">_xlfn.LET(_xlpm.u,B71,_xlpm.myCnt,COUNTIFS(Application_Status_May!I$2:I$3000,_xlpm.u,Application_Status_May!E$2:E$3000,"App*")+COUNTIFS(Application_Status_May!I$2:I$3000,_xlpm.u,Application_Status_May!E$2:E$3000,"Lease*"),IF(_xlpm.myCnt&gt;0,INDEX(_xlfn._xlws.FILTER(Application_Status_May!H$2:H$3000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Resident Referral</v>
      </c>
      <c r="H71" s="206" cm="1">
        <f t="array" ref="H71">_xlfn.LET(_xlpm.u,B71,_xlpm.myCnt,COUNTIFS(Application_Status_May!I$2:I$3000,_xlpm.u,Application_Status_May!E$2:E$3000,"App*")+COUNTIFS(Application_Status_May!I$2:I$3000,_xlpm.u,Application_Status_May!E$2:E$3000,"Lease*"),IF(_xlpm.myCnt&gt;0,INDEX(_xlfn._xlws.FILTER(Application_Status_May!J$2:J$3000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46161</v>
      </c>
      <c r="I71" s="206" cm="1">
        <f t="array" ref="I71">_xlfn.LET(_xlpm.u,B71,_xlpm.myCnt,COUNTIFS(Application_Status_May!I$2:I$3000,_xlpm.u,Application_Status_May!E$2:E$3000,"App*")+COUNTIFS(Application_Status_May!I$2:I$3000,_xlpm.u,Application_Status_May!E$2:E$3000,"Lease*"),IF(_xlpm.myCnt&gt;0,INDEX(_xlfn._xlws.FILTER(Application_Status_May!L$2:L$3000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46162</v>
      </c>
      <c r="J71" s="206" t="str">
        <f>IF(E71&lt;&gt;"Cancelled/Denied","—",_xlfn.LET(_xlpm.u,B71,_xlpm.myC,_xlfn.MAXIFS(Application_Status_May!R$2:R$3000,Application_Status_May!I$2:I$3000,_xlpm.u),_xlpm.myD,_xlfn.MAXIFS(Application_Status_May!S$2:S$3000,Application_Status_May!I$2:I$3000,_xlpm.u),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myC,_xlpm.myD,_xlpm.aC,_xlpm.aD,_xlpm.mC,_xlpm.mD,_xlpm.fC,_xlpm.fD)))</f>
        <v>—</v>
      </c>
      <c r="K71" s="205" t="str">
        <f t="shared" si="5"/>
        <v>—</v>
      </c>
    </row>
    <row r="72" spans="1:11" ht="14.1" customHeight="1">
      <c r="A72" s="113"/>
      <c r="B72" s="204" t="str">
        <v>N03-1018</v>
      </c>
      <c r="C72" s="204" t="str" cm="1">
        <f t="array" ref="C72">_xlfn.LET(_xlpm.u,B72,_xlpm.myCnt,COUNTIFS(Application_Status_May!I$2:I$3000,_xlpm.u,Application_Status_May!E$2:E$3000,"App*")+COUNTIFS(Application_Status_May!I$2:I$3000,_xlpm.u,Application_Status_May!E$2:E$3000,"Lease*"),IF(_xlpm.myCnt&gt;0,INDEX(_xlfn._xlws.FILTER(Application_Status_May!B$2:B$3000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Smith, Philip</v>
      </c>
      <c r="D72" s="205" t="str" cm="1">
        <f t="array" ref="D72">_xlfn.LET(_xlpm.u,B72,_xlpm.myCnt,COUNTIFS(Application_Status_May!I$2:I$3000,_xlpm.u,Application_Status_May!E$2:E$3000,"App*")+COUNTIFS(Application_Status_May!I$2:I$3000,_xlpm.u,Application_Status_May!E$2:E$3000,"Lease*"),IF(_xlpm.myCnt&gt;0,INDEX(_xlfn._xlws.FILTER(Application_Status_May!E$2:E$3000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Lease: Approved</v>
      </c>
      <c r="E72" s="205" t="str">
        <f t="shared" si="4"/>
        <v>Converted</v>
      </c>
      <c r="F72" s="205" t="str" cm="1">
        <f t="array" ref="F72">_xlfn.LET(_xlpm.u,B72,_xlpm.myCnt,COUNTIFS(Application_Status_May!I$2:I$3000,_xlpm.u,Application_Status_May!E$2:E$3000,"App*")+COUNTIFS(Application_Status_May!I$2:I$3000,_xlpm.u,Application_Status_May!E$2:E$3000,"Lease*"),IF(_xlpm.myCnt&gt;0,INDEX(_xlfn._xlws.FILTER(Application_Status_May!F$2:F$3000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Vazquez, Norma</v>
      </c>
      <c r="G72" s="205" t="str" cm="1">
        <f t="array" ref="G72">_xlfn.LET(_xlpm.u,B72,_xlpm.myCnt,COUNTIFS(Application_Status_May!I$2:I$3000,_xlpm.u,Application_Status_May!E$2:E$3000,"App*")+COUNTIFS(Application_Status_May!I$2:I$3000,_xlpm.u,Application_Status_May!E$2:E$3000,"Lease*"),IF(_xlpm.myCnt&gt;0,INDEX(_xlfn._xlws.FILTER(Application_Status_May!H$2:H$3000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Apartments.com</v>
      </c>
      <c r="H72" s="206" cm="1">
        <f t="array" ref="H72">_xlfn.LET(_xlpm.u,B72,_xlpm.myCnt,COUNTIFS(Application_Status_May!I$2:I$3000,_xlpm.u,Application_Status_May!E$2:E$3000,"App*")+COUNTIFS(Application_Status_May!I$2:I$3000,_xlpm.u,Application_Status_May!E$2:E$3000,"Lease*"),IF(_xlpm.myCnt&gt;0,INDEX(_xlfn._xlws.FILTER(Application_Status_May!J$2:J$3000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46136</v>
      </c>
      <c r="I72" s="206" cm="1">
        <f t="array" ref="I72">_xlfn.LET(_xlpm.u,B72,_xlpm.myCnt,COUNTIFS(Application_Status_May!I$2:I$3000,_xlpm.u,Application_Status_May!E$2:E$3000,"App*")+COUNTIFS(Application_Status_May!I$2:I$3000,_xlpm.u,Application_Status_May!E$2:E$3000,"Lease*"),IF(_xlpm.myCnt&gt;0,INDEX(_xlfn._xlws.FILTER(Application_Status_May!L$2:L$3000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46137</v>
      </c>
      <c r="J72" s="206" t="str">
        <f>IF(E72&lt;&gt;"Cancelled/Denied","—",_xlfn.LET(_xlpm.u,B72,_xlpm.myC,_xlfn.MAXIFS(Application_Status_May!R$2:R$3000,Application_Status_May!I$2:I$3000,_xlpm.u),_xlpm.myD,_xlfn.MAXIFS(Application_Status_May!S$2:S$3000,Application_Status_May!I$2:I$3000,_xlpm.u),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myC,_xlpm.myD,_xlpm.aC,_xlpm.aD,_xlpm.mC,_xlpm.mD,_xlpm.fC,_xlpm.fD)))</f>
        <v>—</v>
      </c>
      <c r="K72" s="205" t="str">
        <f t="shared" si="5"/>
        <v>—</v>
      </c>
    </row>
    <row r="73" spans="1:11" ht="14.1" customHeight="1">
      <c r="A73" s="113"/>
      <c r="B73" s="204" t="str">
        <v>N03-1020</v>
      </c>
      <c r="C73" s="204" t="str" cm="1">
        <f t="array" ref="C73">_xlfn.LET(_xlpm.u,B73,_xlpm.myCnt,COUNTIFS(Application_Status_May!I$2:I$3000,_xlpm.u,Application_Status_May!E$2:E$3000,"App*")+COUNTIFS(Application_Status_May!I$2:I$3000,_xlpm.u,Application_Status_May!E$2:E$3000,"Lease*"),IF(_xlpm.myCnt&gt;0,INDEX(_xlfn._xlws.FILTER(Application_Status_May!B$2:B$3000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Shepard, Daisah</v>
      </c>
      <c r="D73" s="205" t="str" cm="1">
        <f t="array" ref="D73">_xlfn.LET(_xlpm.u,B73,_xlpm.myCnt,COUNTIFS(Application_Status_May!I$2:I$3000,_xlpm.u,Application_Status_May!E$2:E$3000,"App*")+COUNTIFS(Application_Status_May!I$2:I$3000,_xlpm.u,Application_Status_May!E$2:E$3000,"Lease*"),IF(_xlpm.myCnt&gt;0,INDEX(_xlfn._xlws.FILTER(Application_Status_May!E$2:E$3000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Lease: Approved</v>
      </c>
      <c r="E73" s="205" t="str">
        <f t="shared" si="4"/>
        <v>Converted</v>
      </c>
      <c r="F73" s="205" t="str" cm="1">
        <f t="array" ref="F73">_xlfn.LET(_xlpm.u,B73,_xlpm.myCnt,COUNTIFS(Application_Status_May!I$2:I$3000,_xlpm.u,Application_Status_May!E$2:E$3000,"App*")+COUNTIFS(Application_Status_May!I$2:I$3000,_xlpm.u,Application_Status_May!E$2:E$3000,"Lease*"),IF(_xlpm.myCnt&gt;0,INDEX(_xlfn._xlws.FILTER(Application_Status_May!F$2:F$3000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Martinez, Briana</v>
      </c>
      <c r="G73" s="205" t="str" cm="1">
        <f t="array" ref="G73">_xlfn.LET(_xlpm.u,B73,_xlpm.myCnt,COUNTIFS(Application_Status_May!I$2:I$3000,_xlpm.u,Application_Status_May!E$2:E$3000,"App*")+COUNTIFS(Application_Status_May!I$2:I$3000,_xlpm.u,Application_Status_May!E$2:E$3000,"Lease*"),IF(_xlpm.myCnt&gt;0,INDEX(_xlfn._xlws.FILTER(Application_Status_May!H$2:H$3000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Website</v>
      </c>
      <c r="H73" s="206" cm="1">
        <f t="array" ref="H73">_xlfn.LET(_xlpm.u,B73,_xlpm.myCnt,COUNTIFS(Application_Status_May!I$2:I$3000,_xlpm.u,Application_Status_May!E$2:E$3000,"App*")+COUNTIFS(Application_Status_May!I$2:I$3000,_xlpm.u,Application_Status_May!E$2:E$3000,"Lease*"),IF(_xlpm.myCnt&gt;0,INDEX(_xlfn._xlws.FILTER(Application_Status_May!J$2:J$3000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46137</v>
      </c>
      <c r="I73" s="206" cm="1">
        <f t="array" ref="I73">_xlfn.LET(_xlpm.u,B73,_xlpm.myCnt,COUNTIFS(Application_Status_May!I$2:I$3000,_xlpm.u,Application_Status_May!E$2:E$3000,"App*")+COUNTIFS(Application_Status_May!I$2:I$3000,_xlpm.u,Application_Status_May!E$2:E$3000,"Lease*"),IF(_xlpm.myCnt&gt;0,INDEX(_xlfn._xlws.FILTER(Application_Status_May!L$2:L$3000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46139</v>
      </c>
      <c r="J73" s="206" t="str">
        <f>IF(E73&lt;&gt;"Cancelled/Denied","—",_xlfn.LET(_xlpm.u,B73,_xlpm.myC,_xlfn.MAXIFS(Application_Status_May!R$2:R$3000,Application_Status_May!I$2:I$3000,_xlpm.u),_xlpm.myD,_xlfn.MAXIFS(Application_Status_May!S$2:S$3000,Application_Status_May!I$2:I$3000,_xlpm.u),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myC,_xlpm.myD,_xlpm.aC,_xlpm.aD,_xlpm.mC,_xlpm.mD,_xlpm.fC,_xlpm.fD)))</f>
        <v>—</v>
      </c>
      <c r="K73" s="205" t="str">
        <f t="shared" si="5"/>
        <v>—</v>
      </c>
    </row>
    <row r="74" spans="1:11" ht="14.1" customHeight="1">
      <c r="A74" s="113"/>
      <c r="B74" s="204" t="str">
        <v>N03-2014</v>
      </c>
      <c r="C74" s="204" t="str" cm="1">
        <f t="array" ref="C74">_xlfn.LET(_xlpm.u,B74,_xlpm.myCnt,COUNTIFS(Application_Status_May!I$2:I$3000,_xlpm.u,Application_Status_May!E$2:E$3000,"App*")+COUNTIFS(Application_Status_May!I$2:I$3000,_xlpm.u,Application_Status_May!E$2:E$3000,"Lease*"),IF(_xlpm.myCnt&gt;0,INDEX(_xlfn._xlws.FILTER(Application_Status_May!B$2:B$3000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Townsel, Jahara</v>
      </c>
      <c r="D74" s="205" t="str" cm="1">
        <f t="array" ref="D74">_xlfn.LET(_xlpm.u,B74,_xlpm.myCnt,COUNTIFS(Application_Status_May!I$2:I$3000,_xlpm.u,Application_Status_May!E$2:E$3000,"App*")+COUNTIFS(Application_Status_May!I$2:I$3000,_xlpm.u,Application_Status_May!E$2:E$3000,"Lease*"),IF(_xlpm.myCnt&gt;0,INDEX(_xlfn._xlws.FILTER(Application_Status_May!E$2:E$3000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Cancelled</v>
      </c>
      <c r="E74" s="205" t="str">
        <f t="shared" si="4"/>
        <v>Cancelled/Denied</v>
      </c>
      <c r="F74" s="205" t="str" cm="1">
        <f t="array" ref="F74">_xlfn.LET(_xlpm.u,B74,_xlpm.myCnt,COUNTIFS(Application_Status_May!I$2:I$3000,_xlpm.u,Application_Status_May!E$2:E$3000,"App*")+COUNTIFS(Application_Status_May!I$2:I$3000,_xlpm.u,Application_Status_May!E$2:E$3000,"Lease*"),IF(_xlpm.myCnt&gt;0,INDEX(_xlfn._xlws.FILTER(Application_Status_May!F$2:F$3000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Elise, Meet</v>
      </c>
      <c r="G74" s="205" t="str" cm="1">
        <f t="array" ref="G74">_xlfn.LET(_xlpm.u,B74,_xlpm.myCnt,COUNTIFS(Application_Status_May!I$2:I$3000,_xlpm.u,Application_Status_May!E$2:E$3000,"App*")+COUNTIFS(Application_Status_May!I$2:I$3000,_xlpm.u,Application_Status_May!E$2:E$3000,"Lease*"),IF(_xlpm.myCnt&gt;0,INDEX(_xlfn._xlws.FILTER(Application_Status_May!H$2:H$3000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Website</v>
      </c>
      <c r="H74" s="206" cm="1">
        <f t="array" ref="H74">_xlfn.LET(_xlpm.u,B74,_xlpm.myCnt,COUNTIFS(Application_Status_May!I$2:I$3000,_xlpm.u,Application_Status_May!E$2:E$3000,"App*")+COUNTIFS(Application_Status_May!I$2:I$3000,_xlpm.u,Application_Status_May!E$2:E$3000,"Lease*"),IF(_xlpm.myCnt&gt;0,INDEX(_xlfn._xlws.FILTER(Application_Status_May!J$2:J$3000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46141</v>
      </c>
      <c r="I74" s="206" cm="1">
        <f t="array" ref="I74">_xlfn.LET(_xlpm.u,B74,_xlpm.myCnt,COUNTIFS(Application_Status_May!I$2:I$3000,_xlpm.u,Application_Status_May!E$2:E$3000,"App*")+COUNTIFS(Application_Status_May!I$2:I$3000,_xlpm.u,Application_Status_May!E$2:E$3000,"Lease*"),IF(_xlpm.myCnt&gt;0,INDEX(_xlfn._xlws.FILTER(Application_Status_May!L$2:L$3000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0</v>
      </c>
      <c r="J74" s="206">
        <f>IF(E74&lt;&gt;"Cancelled/Denied","—",_xlfn.LET(_xlpm.u,B74,_xlpm.myC,_xlfn.MAXIFS(Application_Status_May!R$2:R$3000,Application_Status_May!I$2:I$3000,_xlpm.u),_xlpm.myD,_xlfn.MAXIFS(Application_Status_May!S$2:S$3000,Application_Status_May!I$2:I$3000,_xlpm.u),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myC,_xlpm.myD,_xlpm.aC,_xlpm.aD,_xlpm.mC,_xlpm.mD,_xlpm.fC,_xlpm.fD)))</f>
        <v>46164</v>
      </c>
      <c r="K74" s="205" t="str">
        <f t="shared" si="5"/>
        <v>—</v>
      </c>
    </row>
    <row r="75" spans="1:11" ht="14.1" customHeight="1">
      <c r="A75" s="113"/>
      <c r="B75" s="204" t="str">
        <v>N03-2018</v>
      </c>
      <c r="C75" s="204" t="str" cm="1">
        <f t="array" ref="C75">_xlfn.LET(_xlpm.u,B75,_xlpm.myCnt,COUNTIFS(Application_Status_May!I$2:I$3000,_xlpm.u,Application_Status_May!E$2:E$3000,"App*")+COUNTIFS(Application_Status_May!I$2:I$3000,_xlpm.u,Application_Status_May!E$2:E$3000,"Lease*"),IF(_xlpm.myCnt&gt;0,INDEX(_xlfn._xlws.FILTER(Application_Status_May!B$2:B$3000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McGrier, Laelah</v>
      </c>
      <c r="D75" s="205" t="str" cm="1">
        <f t="array" ref="D75">_xlfn.LET(_xlpm.u,B75,_xlpm.myCnt,COUNTIFS(Application_Status_May!I$2:I$3000,_xlpm.u,Application_Status_May!E$2:E$3000,"App*")+COUNTIFS(Application_Status_May!I$2:I$3000,_xlpm.u,Application_Status_May!E$2:E$3000,"Lease*"),IF(_xlpm.myCnt&gt;0,INDEX(_xlfn._xlws.FILTER(Application_Status_May!E$2:E$3000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Lease: Approved</v>
      </c>
      <c r="E75" s="205" t="str">
        <f t="shared" si="4"/>
        <v>Converted</v>
      </c>
      <c r="F75" s="205" t="str" cm="1">
        <f t="array" ref="F75">_xlfn.LET(_xlpm.u,B75,_xlpm.myCnt,COUNTIFS(Application_Status_May!I$2:I$3000,_xlpm.u,Application_Status_May!E$2:E$3000,"App*")+COUNTIFS(Application_Status_May!I$2:I$3000,_xlpm.u,Application_Status_May!E$2:E$3000,"Lease*"),IF(_xlpm.myCnt&gt;0,INDEX(_xlfn._xlws.FILTER(Application_Status_May!F$2:F$3000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Martinez, Emily</v>
      </c>
      <c r="G75" s="205" t="str" cm="1">
        <f t="array" ref="G75">_xlfn.LET(_xlpm.u,B75,_xlpm.myCnt,COUNTIFS(Application_Status_May!I$2:I$3000,_xlpm.u,Application_Status_May!E$2:E$3000,"App*")+COUNTIFS(Application_Status_May!I$2:I$3000,_xlpm.u,Application_Status_May!E$2:E$3000,"Lease*"),IF(_xlpm.myCnt&gt;0,INDEX(_xlfn._xlws.FILTER(Application_Status_May!H$2:H$3000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Website</v>
      </c>
      <c r="H75" s="206" cm="1">
        <f t="array" ref="H75">_xlfn.LET(_xlpm.u,B75,_xlpm.myCnt,COUNTIFS(Application_Status_May!I$2:I$3000,_xlpm.u,Application_Status_May!E$2:E$3000,"App*")+COUNTIFS(Application_Status_May!I$2:I$3000,_xlpm.u,Application_Status_May!E$2:E$3000,"Lease*"),IF(_xlpm.myCnt&gt;0,INDEX(_xlfn._xlws.FILTER(Application_Status_May!J$2:J$3000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46160</v>
      </c>
      <c r="I75" s="206" cm="1">
        <f t="array" ref="I75">_xlfn.LET(_xlpm.u,B75,_xlpm.myCnt,COUNTIFS(Application_Status_May!I$2:I$3000,_xlpm.u,Application_Status_May!E$2:E$3000,"App*")+COUNTIFS(Application_Status_May!I$2:I$3000,_xlpm.u,Application_Status_May!E$2:E$3000,"Lease*"),IF(_xlpm.myCnt&gt;0,INDEX(_xlfn._xlws.FILTER(Application_Status_May!L$2:L$3000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46161</v>
      </c>
      <c r="J75" s="206" t="str">
        <f>IF(E75&lt;&gt;"Cancelled/Denied","—",_xlfn.LET(_xlpm.u,B75,_xlpm.myC,_xlfn.MAXIFS(Application_Status_May!R$2:R$3000,Application_Status_May!I$2:I$3000,_xlpm.u),_xlpm.myD,_xlfn.MAXIFS(Application_Status_May!S$2:S$3000,Application_Status_May!I$2:I$3000,_xlpm.u),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myC,_xlpm.myD,_xlpm.aC,_xlpm.aD,_xlpm.mC,_xlpm.mD,_xlpm.fC,_xlpm.fD)))</f>
        <v>—</v>
      </c>
      <c r="K75" s="205" t="str">
        <f t="shared" si="5"/>
        <v>—</v>
      </c>
    </row>
    <row r="76" spans="1:11" ht="14.1" customHeight="1">
      <c r="A76" s="113"/>
      <c r="B76" s="204" t="str">
        <v>N03-2020</v>
      </c>
      <c r="C76" s="204" t="str" cm="1">
        <f t="array" ref="C76">_xlfn.LET(_xlpm.u,B76,_xlpm.myCnt,COUNTIFS(Application_Status_May!I$2:I$3000,_xlpm.u,Application_Status_May!E$2:E$3000,"App*")+COUNTIFS(Application_Status_May!I$2:I$3000,_xlpm.u,Application_Status_May!E$2:E$3000,"Lease*"),IF(_xlpm.myCnt&gt;0,INDEX(_xlfn._xlws.FILTER(Application_Status_May!B$2:B$3000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Warner, Camillya</v>
      </c>
      <c r="D76" s="205" t="str" cm="1">
        <f t="array" ref="D76">_xlfn.LET(_xlpm.u,B76,_xlpm.myCnt,COUNTIFS(Application_Status_May!I$2:I$3000,_xlpm.u,Application_Status_May!E$2:E$3000,"App*")+COUNTIFS(Application_Status_May!I$2:I$3000,_xlpm.u,Application_Status_May!E$2:E$3000,"Lease*"),IF(_xlpm.myCnt&gt;0,INDEX(_xlfn._xlws.FILTER(Application_Status_May!E$2:E$3000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Started</v>
      </c>
      <c r="E76" s="205" t="str">
        <f t="shared" si="4"/>
        <v>Incomplete</v>
      </c>
      <c r="F76" s="205" t="str" cm="1">
        <f t="array" ref="F76">_xlfn.LET(_xlpm.u,B76,_xlpm.myCnt,COUNTIFS(Application_Status_May!I$2:I$3000,_xlpm.u,Application_Status_May!E$2:E$3000,"App*")+COUNTIFS(Application_Status_May!I$2:I$3000,_xlpm.u,Application_Status_May!E$2:E$3000,"Lease*"),IF(_xlpm.myCnt&gt;0,INDEX(_xlfn._xlws.FILTER(Application_Status_May!F$2:F$3000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Not Assigned</v>
      </c>
      <c r="G76" s="205" t="str" cm="1">
        <f t="array" ref="G76">_xlfn.LET(_xlpm.u,B76,_xlpm.myCnt,COUNTIFS(Application_Status_May!I$2:I$3000,_xlpm.u,Application_Status_May!E$2:E$3000,"App*")+COUNTIFS(Application_Status_May!I$2:I$3000,_xlpm.u,Application_Status_May!E$2:E$3000,"Lease*"),IF(_xlpm.myCnt&gt;0,INDEX(_xlfn._xlws.FILTER(Application_Status_May!H$2:H$3000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Website</v>
      </c>
      <c r="H76" s="206" cm="1">
        <f t="array" ref="H76">_xlfn.LET(_xlpm.u,B76,_xlpm.myCnt,COUNTIFS(Application_Status_May!I$2:I$3000,_xlpm.u,Application_Status_May!E$2:E$3000,"App*")+COUNTIFS(Application_Status_May!I$2:I$3000,_xlpm.u,Application_Status_May!E$2:E$3000,"Lease*"),IF(_xlpm.myCnt&gt;0,INDEX(_xlfn._xlws.FILTER(Application_Status_May!J$2:J$3000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46148</v>
      </c>
      <c r="I76" s="206" cm="1">
        <f t="array" ref="I76">_xlfn.LET(_xlpm.u,B76,_xlpm.myCnt,COUNTIFS(Application_Status_May!I$2:I$3000,_xlpm.u,Application_Status_May!E$2:E$3000,"App*")+COUNTIFS(Application_Status_May!I$2:I$3000,_xlpm.u,Application_Status_May!E$2:E$3000,"Lease*"),IF(_xlpm.myCnt&gt;0,INDEX(_xlfn._xlws.FILTER(Application_Status_May!L$2:L$3000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0</v>
      </c>
      <c r="J76" s="206" t="str">
        <f>IF(E76&lt;&gt;"Cancelled/Denied","—",_xlfn.LET(_xlpm.u,B76,_xlpm.myC,_xlfn.MAXIFS(Application_Status_May!R$2:R$3000,Application_Status_May!I$2:I$3000,_xlpm.u),_xlpm.myD,_xlfn.MAXIFS(Application_Status_May!S$2:S$3000,Application_Status_May!I$2:I$3000,_xlpm.u),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myC,_xlpm.myD,_xlpm.aC,_xlpm.aD,_xlpm.mC,_xlpm.mD,_xlpm.fC,_xlpm.fD)))</f>
        <v>—</v>
      </c>
      <c r="K76" s="205">
        <f t="shared" si="5"/>
        <v>96</v>
      </c>
    </row>
    <row r="77" spans="1:11" ht="14.1" customHeight="1">
      <c r="A77" s="113"/>
      <c r="B77" s="204" t="str">
        <v>N03-2021</v>
      </c>
      <c r="C77" s="204" t="str" cm="1">
        <f t="array" ref="C77">_xlfn.LET(_xlpm.u,B77,_xlpm.myCnt,COUNTIFS(Application_Status_May!I$2:I$3000,_xlpm.u,Application_Status_May!E$2:E$3000,"App*")+COUNTIFS(Application_Status_May!I$2:I$3000,_xlpm.u,Application_Status_May!E$2:E$3000,"Lease*"),IF(_xlpm.myCnt&gt;0,INDEX(_xlfn._xlws.FILTER(Application_Status_May!B$2:B$3000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Edwards, Gabriell</v>
      </c>
      <c r="D77" s="205" t="str" cm="1">
        <f t="array" ref="D77">_xlfn.LET(_xlpm.u,B77,_xlpm.myCnt,COUNTIFS(Application_Status_May!I$2:I$3000,_xlpm.u,Application_Status_May!E$2:E$3000,"App*")+COUNTIFS(Application_Status_May!I$2:I$3000,_xlpm.u,Application_Status_May!E$2:E$3000,"Lease*"),IF(_xlpm.myCnt&gt;0,INDEX(_xlfn._xlws.FILTER(Application_Status_May!E$2:E$3000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Completed</v>
      </c>
      <c r="E77" s="205" t="str">
        <f t="shared" si="4"/>
        <v>In Review</v>
      </c>
      <c r="F77" s="205" t="str" cm="1">
        <f t="array" ref="F77">_xlfn.LET(_xlpm.u,B77,_xlpm.myCnt,COUNTIFS(Application_Status_May!I$2:I$3000,_xlpm.u,Application_Status_May!E$2:E$3000,"App*")+COUNTIFS(Application_Status_May!I$2:I$3000,_xlpm.u,Application_Status_May!E$2:E$3000,"Lease*"),IF(_xlpm.myCnt&gt;0,INDEX(_xlfn._xlws.FILTER(Application_Status_May!F$2:F$3000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HOUSE, HOUSE</v>
      </c>
      <c r="G77" s="205" t="str" cm="1">
        <f t="array" ref="G77">_xlfn.LET(_xlpm.u,B77,_xlpm.myCnt,COUNTIFS(Application_Status_May!I$2:I$3000,_xlpm.u,Application_Status_May!E$2:E$3000,"App*")+COUNTIFS(Application_Status_May!I$2:I$3000,_xlpm.u,Application_Status_May!E$2:E$3000,"Lease*"),IF(_xlpm.myCnt&gt;0,INDEX(_xlfn._xlws.FILTER(Application_Status_May!H$2:H$3000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Apartments.com</v>
      </c>
      <c r="H77" s="206" cm="1">
        <f t="array" ref="H77">_xlfn.LET(_xlpm.u,B77,_xlpm.myCnt,COUNTIFS(Application_Status_May!I$2:I$3000,_xlpm.u,Application_Status_May!E$2:E$3000,"App*")+COUNTIFS(Application_Status_May!I$2:I$3000,_xlpm.u,Application_Status_May!E$2:E$3000,"Lease*"),IF(_xlpm.myCnt&gt;0,INDEX(_xlfn._xlws.FILTER(Application_Status_May!J$2:J$3000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46164</v>
      </c>
      <c r="I77" s="206" cm="1">
        <f t="array" ref="I77">_xlfn.LET(_xlpm.u,B77,_xlpm.myCnt,COUNTIFS(Application_Status_May!I$2:I$3000,_xlpm.u,Application_Status_May!E$2:E$3000,"App*")+COUNTIFS(Application_Status_May!I$2:I$3000,_xlpm.u,Application_Status_May!E$2:E$3000,"Lease*"),IF(_xlpm.myCnt&gt;0,INDEX(_xlfn._xlws.FILTER(Application_Status_May!L$2:L$3000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46165</v>
      </c>
      <c r="J77" s="206" t="str">
        <f>IF(E77&lt;&gt;"Cancelled/Denied","—",_xlfn.LET(_xlpm.u,B77,_xlpm.myC,_xlfn.MAXIFS(Application_Status_May!R$2:R$3000,Application_Status_May!I$2:I$3000,_xlpm.u),_xlpm.myD,_xlfn.MAXIFS(Application_Status_May!S$2:S$3000,Application_Status_May!I$2:I$3000,_xlpm.u),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myC,_xlpm.myD,_xlpm.aC,_xlpm.aD,_xlpm.mC,_xlpm.mD,_xlpm.fC,_xlpm.fD)))</f>
        <v>—</v>
      </c>
      <c r="K77" s="205">
        <f t="shared" si="5"/>
        <v>80</v>
      </c>
    </row>
    <row r="78" spans="1:11" ht="14.1" customHeight="1">
      <c r="A78" s="113"/>
      <c r="B78" s="204" t="str">
        <v>N03-3021</v>
      </c>
      <c r="C78" s="204" t="str" cm="1">
        <f t="array" ref="C78">_xlfn.LET(_xlpm.u,B78,_xlpm.myCnt,COUNTIFS(Application_Status_May!I$2:I$3000,_xlpm.u,Application_Status_May!E$2:E$3000,"App*")+COUNTIFS(Application_Status_May!I$2:I$3000,_xlpm.u,Application_Status_May!E$2:E$3000,"Lease*"),IF(_xlpm.myCnt&gt;0,INDEX(_xlfn._xlws.FILTER(Application_Status_May!B$2:B$3000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Didia, Kechinye</v>
      </c>
      <c r="D78" s="205" t="str" cm="1">
        <f t="array" ref="D78">_xlfn.LET(_xlpm.u,B78,_xlpm.myCnt,COUNTIFS(Application_Status_May!I$2:I$3000,_xlpm.u,Application_Status_May!E$2:E$3000,"App*")+COUNTIFS(Application_Status_May!I$2:I$3000,_xlpm.u,Application_Status_May!E$2:E$3000,"Lease*"),IF(_xlpm.myCnt&gt;0,INDEX(_xlfn._xlws.FILTER(Application_Status_May!E$2:E$3000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Started</v>
      </c>
      <c r="E78" s="205" t="str">
        <f t="shared" si="4"/>
        <v>Incomplete</v>
      </c>
      <c r="F78" s="205" t="str" cm="1">
        <f t="array" ref="F78">_xlfn.LET(_xlpm.u,B78,_xlpm.myCnt,COUNTIFS(Application_Status_May!I$2:I$3000,_xlpm.u,Application_Status_May!E$2:E$3000,"App*")+COUNTIFS(Application_Status_May!I$2:I$3000,_xlpm.u,Application_Status_May!E$2:E$3000,"Lease*"),IF(_xlpm.myCnt&gt;0,INDEX(_xlfn._xlws.FILTER(Application_Status_May!F$2:F$3000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Elise, Meet</v>
      </c>
      <c r="G78" s="205" t="str" cm="1">
        <f t="array" ref="G78">_xlfn.LET(_xlpm.u,B78,_xlpm.myCnt,COUNTIFS(Application_Status_May!I$2:I$3000,_xlpm.u,Application_Status_May!E$2:E$3000,"App*")+COUNTIFS(Application_Status_May!I$2:I$3000,_xlpm.u,Application_Status_May!E$2:E$3000,"Lease*"),IF(_xlpm.myCnt&gt;0,INDEX(_xlfn._xlws.FILTER(Application_Status_May!H$2:H$3000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Website</v>
      </c>
      <c r="H78" s="206" cm="1">
        <f t="array" ref="H78">_xlfn.LET(_xlpm.u,B78,_xlpm.myCnt,COUNTIFS(Application_Status_May!I$2:I$3000,_xlpm.u,Application_Status_May!E$2:E$3000,"App*")+COUNTIFS(Application_Status_May!I$2:I$3000,_xlpm.u,Application_Status_May!E$2:E$3000,"Lease*"),IF(_xlpm.myCnt&gt;0,INDEX(_xlfn._xlws.FILTER(Application_Status_May!J$2:J$3000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46167</v>
      </c>
      <c r="I78" s="206" cm="1">
        <f t="array" ref="I78">_xlfn.LET(_xlpm.u,B78,_xlpm.myCnt,COUNTIFS(Application_Status_May!I$2:I$3000,_xlpm.u,Application_Status_May!E$2:E$3000,"App*")+COUNTIFS(Application_Status_May!I$2:I$3000,_xlpm.u,Application_Status_May!E$2:E$3000,"Lease*"),IF(_xlpm.myCnt&gt;0,INDEX(_xlfn._xlws.FILTER(Application_Status_May!L$2:L$3000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0</v>
      </c>
      <c r="J78" s="206" t="str">
        <f>IF(E78&lt;&gt;"Cancelled/Denied","—",_xlfn.LET(_xlpm.u,B78,_xlpm.myC,_xlfn.MAXIFS(Application_Status_May!R$2:R$3000,Application_Status_May!I$2:I$3000,_xlpm.u),_xlpm.myD,_xlfn.MAXIFS(Application_Status_May!S$2:S$3000,Application_Status_May!I$2:I$3000,_xlpm.u),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myC,_xlpm.myD,_xlpm.aC,_xlpm.aD,_xlpm.mC,_xlpm.mD,_xlpm.fC,_xlpm.fD)))</f>
        <v>—</v>
      </c>
      <c r="K78" s="205">
        <f t="shared" si="5"/>
        <v>77</v>
      </c>
    </row>
    <row r="79" spans="1:11" ht="14.1" customHeight="1">
      <c r="A79" s="113"/>
      <c r="B79" s="204" t="str">
        <v>N04-1024</v>
      </c>
      <c r="C79" s="204" t="str" cm="1">
        <f t="array" ref="C79">_xlfn.LET(_xlpm.u,B79,_xlpm.myCnt,COUNTIFS(Application_Status_May!I$2:I$3000,_xlpm.u,Application_Status_May!E$2:E$3000,"App*")+COUNTIFS(Application_Status_May!I$2:I$3000,_xlpm.u,Application_Status_May!E$2:E$3000,"Lease*"),IF(_xlpm.myCnt&gt;0,INDEX(_xlfn._xlws.FILTER(Application_Status_May!B$2:B$3000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Finister, Jayden</v>
      </c>
      <c r="D79" s="205" t="str" cm="1">
        <f t="array" ref="D79">_xlfn.LET(_xlpm.u,B79,_xlpm.myCnt,COUNTIFS(Application_Status_May!I$2:I$3000,_xlpm.u,Application_Status_May!E$2:E$3000,"App*")+COUNTIFS(Application_Status_May!I$2:I$3000,_xlpm.u,Application_Status_May!E$2:E$3000,"Lease*"),IF(_xlpm.myCnt&gt;0,INDEX(_xlfn._xlws.FILTER(Application_Status_May!E$2:E$3000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Started</v>
      </c>
      <c r="E79" s="205" t="str">
        <f t="shared" si="4"/>
        <v>Incomplete</v>
      </c>
      <c r="F79" s="205" t="str" cm="1">
        <f t="array" ref="F79">_xlfn.LET(_xlpm.u,B79,_xlpm.myCnt,COUNTIFS(Application_Status_May!I$2:I$3000,_xlpm.u,Application_Status_May!E$2:E$3000,"App*")+COUNTIFS(Application_Status_May!I$2:I$3000,_xlpm.u,Application_Status_May!E$2:E$3000,"Lease*"),IF(_xlpm.myCnt&gt;0,INDEX(_xlfn._xlws.FILTER(Application_Status_May!F$2:F$3000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Elise, Meet</v>
      </c>
      <c r="G79" s="205" t="str" cm="1">
        <f t="array" ref="G79">_xlfn.LET(_xlpm.u,B79,_xlpm.myCnt,COUNTIFS(Application_Status_May!I$2:I$3000,_xlpm.u,Application_Status_May!E$2:E$3000,"App*")+COUNTIFS(Application_Status_May!I$2:I$3000,_xlpm.u,Application_Status_May!E$2:E$3000,"Lease*"),IF(_xlpm.myCnt&gt;0,INDEX(_xlfn._xlws.FILTER(Application_Status_May!H$2:H$3000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Website</v>
      </c>
      <c r="H79" s="206" cm="1">
        <f t="array" ref="H79">_xlfn.LET(_xlpm.u,B79,_xlpm.myCnt,COUNTIFS(Application_Status_May!I$2:I$3000,_xlpm.u,Application_Status_May!E$2:E$3000,"App*")+COUNTIFS(Application_Status_May!I$2:I$3000,_xlpm.u,Application_Status_May!E$2:E$3000,"Lease*"),IF(_xlpm.myCnt&gt;0,INDEX(_xlfn._xlws.FILTER(Application_Status_May!J$2:J$3000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46171</v>
      </c>
      <c r="I79" s="206" cm="1">
        <f t="array" ref="I79">_xlfn.LET(_xlpm.u,B79,_xlpm.myCnt,COUNTIFS(Application_Status_May!I$2:I$3000,_xlpm.u,Application_Status_May!E$2:E$3000,"App*")+COUNTIFS(Application_Status_May!I$2:I$3000,_xlpm.u,Application_Status_May!E$2:E$3000,"Lease*"),IF(_xlpm.myCnt&gt;0,INDEX(_xlfn._xlws.FILTER(Application_Status_May!L$2:L$3000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0</v>
      </c>
      <c r="J79" s="206" t="str">
        <f>IF(E79&lt;&gt;"Cancelled/Denied","—",_xlfn.LET(_xlpm.u,B79,_xlpm.myC,_xlfn.MAXIFS(Application_Status_May!R$2:R$3000,Application_Status_May!I$2:I$3000,_xlpm.u),_xlpm.myD,_xlfn.MAXIFS(Application_Status_May!S$2:S$3000,Application_Status_May!I$2:I$3000,_xlpm.u),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myC,_xlpm.myD,_xlpm.aC,_xlpm.aD,_xlpm.mC,_xlpm.mD,_xlpm.fC,_xlpm.fD)))</f>
        <v>—</v>
      </c>
      <c r="K79" s="205">
        <f t="shared" si="5"/>
        <v>73</v>
      </c>
    </row>
    <row r="80" spans="1:11" ht="14.1" customHeight="1">
      <c r="A80" s="113"/>
      <c r="B80" s="204" t="str">
        <v>N04-2025</v>
      </c>
      <c r="C80" s="204" t="str" cm="1">
        <f t="array" ref="C80">_xlfn.LET(_xlpm.u,B80,_xlpm.myCnt,COUNTIFS(Application_Status_May!I$2:I$3000,_xlpm.u,Application_Status_May!E$2:E$3000,"App*")+COUNTIFS(Application_Status_May!I$2:I$3000,_xlpm.u,Application_Status_May!E$2:E$3000,"Lease*"),IF(_xlpm.myCnt&gt;0,INDEX(_xlfn._xlws.FILTER(Application_Status_May!B$2:B$3000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Quarles, Alexandria</v>
      </c>
      <c r="D80" s="205" t="str" cm="1">
        <f t="array" ref="D80">_xlfn.LET(_xlpm.u,B80,_xlpm.myCnt,COUNTIFS(Application_Status_May!I$2:I$3000,_xlpm.u,Application_Status_May!E$2:E$3000,"App*")+COUNTIFS(Application_Status_May!I$2:I$3000,_xlpm.u,Application_Status_May!E$2:E$3000,"Lease*"),IF(_xlpm.myCnt&gt;0,INDEX(_xlfn._xlws.FILTER(Application_Status_May!E$2:E$3000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Lease: Approved</v>
      </c>
      <c r="E80" s="205" t="str">
        <f t="shared" si="4"/>
        <v>Converted</v>
      </c>
      <c r="F80" s="205" t="str" cm="1">
        <f t="array" ref="F80">_xlfn.LET(_xlpm.u,B80,_xlpm.myCnt,COUNTIFS(Application_Status_May!I$2:I$3000,_xlpm.u,Application_Status_May!E$2:E$3000,"App*")+COUNTIFS(Application_Status_May!I$2:I$3000,_xlpm.u,Application_Status_May!E$2:E$3000,"Lease*"),IF(_xlpm.myCnt&gt;0,INDEX(_xlfn._xlws.FILTER(Application_Status_May!F$2:F$3000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Martinez, Emily</v>
      </c>
      <c r="G80" s="205" t="str" cm="1">
        <f t="array" ref="G80">_xlfn.LET(_xlpm.u,B80,_xlpm.myCnt,COUNTIFS(Application_Status_May!I$2:I$3000,_xlpm.u,Application_Status_May!E$2:E$3000,"App*")+COUNTIFS(Application_Status_May!I$2:I$3000,_xlpm.u,Application_Status_May!E$2:E$3000,"Lease*"),IF(_xlpm.myCnt&gt;0,INDEX(_xlfn._xlws.FILTER(Application_Status_May!H$2:H$3000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RentVision Local SEO (GBP)</v>
      </c>
      <c r="H80" s="206" cm="1">
        <f t="array" ref="H80">_xlfn.LET(_xlpm.u,B80,_xlpm.myCnt,COUNTIFS(Application_Status_May!I$2:I$3000,_xlpm.u,Application_Status_May!E$2:E$3000,"App*")+COUNTIFS(Application_Status_May!I$2:I$3000,_xlpm.u,Application_Status_May!E$2:E$3000,"Lease*"),IF(_xlpm.myCnt&gt;0,INDEX(_xlfn._xlws.FILTER(Application_Status_May!J$2:J$3000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46090</v>
      </c>
      <c r="I80" s="206" cm="1">
        <f t="array" ref="I80">_xlfn.LET(_xlpm.u,B80,_xlpm.myCnt,COUNTIFS(Application_Status_May!I$2:I$3000,_xlpm.u,Application_Status_May!E$2:E$3000,"App*")+COUNTIFS(Application_Status_May!I$2:I$3000,_xlpm.u,Application_Status_May!E$2:E$3000,"Lease*"),IF(_xlpm.myCnt&gt;0,INDEX(_xlfn._xlws.FILTER(Application_Status_May!L$2:L$3000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46113</v>
      </c>
      <c r="J80" s="206" t="str">
        <f>IF(E80&lt;&gt;"Cancelled/Denied","—",_xlfn.LET(_xlpm.u,B80,_xlpm.myC,_xlfn.MAXIFS(Application_Status_May!R$2:R$3000,Application_Status_May!I$2:I$3000,_xlpm.u),_xlpm.myD,_xlfn.MAXIFS(Application_Status_May!S$2:S$3000,Application_Status_May!I$2:I$3000,_xlpm.u),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myC,_xlpm.myD,_xlpm.aC,_xlpm.aD,_xlpm.mC,_xlpm.mD,_xlpm.fC,_xlpm.fD)))</f>
        <v>—</v>
      </c>
      <c r="K80" s="205" t="str">
        <f t="shared" si="5"/>
        <v>—</v>
      </c>
    </row>
    <row r="81" spans="1:11" ht="14.1" customHeight="1">
      <c r="A81" s="113"/>
      <c r="B81" s="204" t="str">
        <v>N05-1027</v>
      </c>
      <c r="C81" s="204" t="str" cm="1">
        <f t="array" ref="C81">_xlfn.LET(_xlpm.u,B81,_xlpm.myCnt,COUNTIFS(Application_Status_May!I$2:I$3000,_xlpm.u,Application_Status_May!E$2:E$3000,"App*")+COUNTIFS(Application_Status_May!I$2:I$3000,_xlpm.u,Application_Status_May!E$2:E$3000,"Lease*"),IF(_xlpm.myCnt&gt;0,INDEX(_xlfn._xlws.FILTER(Application_Status_May!B$2:B$3000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Fears, Brandon</v>
      </c>
      <c r="D81" s="205" t="str" cm="1">
        <f t="array" ref="D81">_xlfn.LET(_xlpm.u,B81,_xlpm.myCnt,COUNTIFS(Application_Status_May!I$2:I$3000,_xlpm.u,Application_Status_May!E$2:E$3000,"App*")+COUNTIFS(Application_Status_May!I$2:I$3000,_xlpm.u,Application_Status_May!E$2:E$3000,"Lease*"),IF(_xlpm.myCnt&gt;0,INDEX(_xlfn._xlws.FILTER(Application_Status_May!E$2:E$3000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Lease: Approved</v>
      </c>
      <c r="E81" s="205" t="str">
        <f t="shared" si="4"/>
        <v>Converted</v>
      </c>
      <c r="F81" s="205" t="str" cm="1">
        <f t="array" ref="F81">_xlfn.LET(_xlpm.u,B81,_xlpm.myCnt,COUNTIFS(Application_Status_May!I$2:I$3000,_xlpm.u,Application_Status_May!E$2:E$3000,"App*")+COUNTIFS(Application_Status_May!I$2:I$3000,_xlpm.u,Application_Status_May!E$2:E$3000,"Lease*"),IF(_xlpm.myCnt&gt;0,INDEX(_xlfn._xlws.FILTER(Application_Status_May!F$2:F$3000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Vazquez, Norma</v>
      </c>
      <c r="G81" s="205" t="str" cm="1">
        <f t="array" ref="G81">_xlfn.LET(_xlpm.u,B81,_xlpm.myCnt,COUNTIFS(Application_Status_May!I$2:I$3000,_xlpm.u,Application_Status_May!E$2:E$3000,"App*")+COUNTIFS(Application_Status_May!I$2:I$3000,_xlpm.u,Application_Status_May!E$2:E$3000,"Lease*"),IF(_xlpm.myCnt&gt;0,INDEX(_xlfn._xlws.FILTER(Application_Status_May!H$2:H$3000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Zillow</v>
      </c>
      <c r="H81" s="206" cm="1">
        <f t="array" ref="H81">_xlfn.LET(_xlpm.u,B81,_xlpm.myCnt,COUNTIFS(Application_Status_May!I$2:I$3000,_xlpm.u,Application_Status_May!E$2:E$3000,"App*")+COUNTIFS(Application_Status_May!I$2:I$3000,_xlpm.u,Application_Status_May!E$2:E$3000,"Lease*"),IF(_xlpm.myCnt&gt;0,INDEX(_xlfn._xlws.FILTER(Application_Status_May!J$2:J$3000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46098</v>
      </c>
      <c r="I81" s="206" cm="1">
        <f t="array" ref="I81">_xlfn.LET(_xlpm.u,B81,_xlpm.myCnt,COUNTIFS(Application_Status_May!I$2:I$3000,_xlpm.u,Application_Status_May!E$2:E$3000,"App*")+COUNTIFS(Application_Status_May!I$2:I$3000,_xlpm.u,Application_Status_May!E$2:E$3000,"Lease*"),IF(_xlpm.myCnt&gt;0,INDEX(_xlfn._xlws.FILTER(Application_Status_May!L$2:L$3000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46098</v>
      </c>
      <c r="J81" s="206" t="str">
        <f>IF(E81&lt;&gt;"Cancelled/Denied","—",_xlfn.LET(_xlpm.u,B81,_xlpm.myC,_xlfn.MAXIFS(Application_Status_May!R$2:R$3000,Application_Status_May!I$2:I$3000,_xlpm.u),_xlpm.myD,_xlfn.MAXIFS(Application_Status_May!S$2:S$3000,Application_Status_May!I$2:I$3000,_xlpm.u),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myC,_xlpm.myD,_xlpm.aC,_xlpm.aD,_xlpm.mC,_xlpm.mD,_xlpm.fC,_xlpm.fD)))</f>
        <v>—</v>
      </c>
      <c r="K81" s="205" t="str">
        <f t="shared" si="5"/>
        <v>—</v>
      </c>
    </row>
    <row r="82" spans="1:11" ht="14.1" customHeight="1">
      <c r="A82" s="113"/>
      <c r="B82" s="204" t="str">
        <v>N06-1031</v>
      </c>
      <c r="C82" s="204" t="str" cm="1">
        <f t="array" ref="C82">_xlfn.LET(_xlpm.u,B82,_xlpm.myCnt,COUNTIFS(Application_Status_May!I$2:I$3000,_xlpm.u,Application_Status_May!E$2:E$3000,"App*")+COUNTIFS(Application_Status_May!I$2:I$3000,_xlpm.u,Application_Status_May!E$2:E$3000,"Lease*"),IF(_xlpm.myCnt&gt;0,INDEX(_xlfn._xlws.FILTER(Application_Status_May!B$2:B$3000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Derrett, DaTavia</v>
      </c>
      <c r="D82" s="205" t="str" cm="1">
        <f t="array" ref="D82">_xlfn.LET(_xlpm.u,B82,_xlpm.myCnt,COUNTIFS(Application_Status_May!I$2:I$3000,_xlpm.u,Application_Status_May!E$2:E$3000,"App*")+COUNTIFS(Application_Status_May!I$2:I$3000,_xlpm.u,Application_Status_May!E$2:E$3000,"Lease*"),IF(_xlpm.myCnt&gt;0,INDEX(_xlfn._xlws.FILTER(Application_Status_May!E$2:E$3000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Cancelled</v>
      </c>
      <c r="E82" s="205" t="str">
        <f t="shared" si="4"/>
        <v>Cancelled/Denied</v>
      </c>
      <c r="F82" s="205" t="str" cm="1">
        <f t="array" ref="F82">_xlfn.LET(_xlpm.u,B82,_xlpm.myCnt,COUNTIFS(Application_Status_May!I$2:I$3000,_xlpm.u,Application_Status_May!E$2:E$3000,"App*")+COUNTIFS(Application_Status_May!I$2:I$3000,_xlpm.u,Application_Status_May!E$2:E$3000,"Lease*"),IF(_xlpm.myCnt&gt;0,INDEX(_xlfn._xlws.FILTER(Application_Status_May!F$2:F$3000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Elise, Meet</v>
      </c>
      <c r="G82" s="205" t="str" cm="1">
        <f t="array" ref="G82">_xlfn.LET(_xlpm.u,B82,_xlpm.myCnt,COUNTIFS(Application_Status_May!I$2:I$3000,_xlpm.u,Application_Status_May!E$2:E$3000,"App*")+COUNTIFS(Application_Status_May!I$2:I$3000,_xlpm.u,Application_Status_May!E$2:E$3000,"Lease*"),IF(_xlpm.myCnt&gt;0,INDEX(_xlfn._xlws.FILTER(Application_Status_May!H$2:H$3000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Website</v>
      </c>
      <c r="H82" s="206" cm="1">
        <f t="array" ref="H82">_xlfn.LET(_xlpm.u,B82,_xlpm.myCnt,COUNTIFS(Application_Status_May!I$2:I$3000,_xlpm.u,Application_Status_May!E$2:E$3000,"App*")+COUNTIFS(Application_Status_May!I$2:I$3000,_xlpm.u,Application_Status_May!E$2:E$3000,"Lease*"),IF(_xlpm.myCnt&gt;0,INDEX(_xlfn._xlws.FILTER(Application_Status_May!J$2:J$3000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46100</v>
      </c>
      <c r="I82" s="206" cm="1">
        <f t="array" ref="I82">_xlfn.LET(_xlpm.u,B82,_xlpm.myCnt,COUNTIFS(Application_Status_May!I$2:I$3000,_xlpm.u,Application_Status_May!E$2:E$3000,"App*")+COUNTIFS(Application_Status_May!I$2:I$3000,_xlpm.u,Application_Status_May!E$2:E$3000,"Lease*"),IF(_xlpm.myCnt&gt;0,INDEX(_xlfn._xlws.FILTER(Application_Status_May!L$2:L$3000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0</v>
      </c>
      <c r="J82" s="206">
        <f>IF(E82&lt;&gt;"Cancelled/Denied","—",_xlfn.LET(_xlpm.u,B82,_xlpm.myC,_xlfn.MAXIFS(Application_Status_May!R$2:R$3000,Application_Status_May!I$2:I$3000,_xlpm.u),_xlpm.myD,_xlfn.MAXIFS(Application_Status_May!S$2:S$3000,Application_Status_May!I$2:I$3000,_xlpm.u),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myC,_xlpm.myD,_xlpm.aC,_xlpm.aD,_xlpm.mC,_xlpm.mD,_xlpm.fC,_xlpm.fD)))</f>
        <v>46114</v>
      </c>
      <c r="K82" s="205" t="str">
        <f t="shared" si="5"/>
        <v>—</v>
      </c>
    </row>
    <row r="83" spans="1:11" ht="14.1" customHeight="1">
      <c r="A83" s="113"/>
      <c r="B83" s="204" t="str">
        <v>N07-2050</v>
      </c>
      <c r="C83" s="204" t="str" cm="1">
        <f t="array" ref="C83">_xlfn.LET(_xlpm.u,B83,_xlpm.myCnt,COUNTIFS(Application_Status_May!I$2:I$3000,_xlpm.u,Application_Status_May!E$2:E$3000,"App*")+COUNTIFS(Application_Status_May!I$2:I$3000,_xlpm.u,Application_Status_May!E$2:E$3000,"Lease*"),IF(_xlpm.myCnt&gt;0,INDEX(_xlfn._xlws.FILTER(Application_Status_May!B$2:B$3000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Mccuin, Jezreel</v>
      </c>
      <c r="D83" s="205" t="str" cm="1">
        <f t="array" ref="D83">_xlfn.LET(_xlpm.u,B83,_xlpm.myCnt,COUNTIFS(Application_Status_May!I$2:I$3000,_xlpm.u,Application_Status_May!E$2:E$3000,"App*")+COUNTIFS(Application_Status_May!I$2:I$3000,_xlpm.u,Application_Status_May!E$2:E$3000,"Lease*"),IF(_xlpm.myCnt&gt;0,INDEX(_xlfn._xlws.FILTER(Application_Status_May!E$2:E$3000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Cancelled</v>
      </c>
      <c r="E83" s="205" t="str">
        <f t="shared" si="4"/>
        <v>Cancelled/Denied</v>
      </c>
      <c r="F83" s="205" t="str" cm="1">
        <f t="array" ref="F83">_xlfn.LET(_xlpm.u,B83,_xlpm.myCnt,COUNTIFS(Application_Status_May!I$2:I$3000,_xlpm.u,Application_Status_May!E$2:E$3000,"App*")+COUNTIFS(Application_Status_May!I$2:I$3000,_xlpm.u,Application_Status_May!E$2:E$3000,"Lease*"),IF(_xlpm.myCnt&gt;0,INDEX(_xlfn._xlws.FILTER(Application_Status_May!F$2:F$3000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Not Assigned</v>
      </c>
      <c r="G83" s="205" t="str" cm="1">
        <f t="array" ref="G83">_xlfn.LET(_xlpm.u,B83,_xlpm.myCnt,COUNTIFS(Application_Status_May!I$2:I$3000,_xlpm.u,Application_Status_May!E$2:E$3000,"App*")+COUNTIFS(Application_Status_May!I$2:I$3000,_xlpm.u,Application_Status_May!E$2:E$3000,"Lease*"),IF(_xlpm.myCnt&gt;0,INDEX(_xlfn._xlws.FILTER(Application_Status_May!H$2:H$3000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Website</v>
      </c>
      <c r="H83" s="206" cm="1">
        <f t="array" ref="H83">_xlfn.LET(_xlpm.u,B83,_xlpm.myCnt,COUNTIFS(Application_Status_May!I$2:I$3000,_xlpm.u,Application_Status_May!E$2:E$3000,"App*")+COUNTIFS(Application_Status_May!I$2:I$3000,_xlpm.u,Application_Status_May!E$2:E$3000,"Lease*"),IF(_xlpm.myCnt&gt;0,INDEX(_xlfn._xlws.FILTER(Application_Status_May!J$2:J$3000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46084</v>
      </c>
      <c r="I83" s="206" cm="1">
        <f t="array" ref="I83">_xlfn.LET(_xlpm.u,B83,_xlpm.myCnt,COUNTIFS(Application_Status_May!I$2:I$3000,_xlpm.u,Application_Status_May!E$2:E$3000,"App*")+COUNTIFS(Application_Status_May!I$2:I$3000,_xlpm.u,Application_Status_May!E$2:E$3000,"Lease*"),IF(_xlpm.myCnt&gt;0,INDEX(_xlfn._xlws.FILTER(Application_Status_May!L$2:L$3000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0</v>
      </c>
      <c r="J83" s="206">
        <f>IF(E83&lt;&gt;"Cancelled/Denied","—",_xlfn.LET(_xlpm.u,B83,_xlpm.myC,_xlfn.MAXIFS(Application_Status_May!R$2:R$3000,Application_Status_May!I$2:I$3000,_xlpm.u),_xlpm.myD,_xlfn.MAXIFS(Application_Status_May!S$2:S$3000,Application_Status_May!I$2:I$3000,_xlpm.u),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myC,_xlpm.myD,_xlpm.aC,_xlpm.aD,_xlpm.mC,_xlpm.mD,_xlpm.fC,_xlpm.fD)))</f>
        <v>46115</v>
      </c>
      <c r="K83" s="205" t="str">
        <f t="shared" si="5"/>
        <v>—</v>
      </c>
    </row>
    <row r="84" spans="1:11" ht="14.1" customHeight="1">
      <c r="A84" s="113"/>
      <c r="B84" s="204" t="str">
        <v>N07-2051</v>
      </c>
      <c r="C84" s="204" t="str" cm="1">
        <f t="array" ref="C84">_xlfn.LET(_xlpm.u,B84,_xlpm.myCnt,COUNTIFS(Application_Status_May!I$2:I$3000,_xlpm.u,Application_Status_May!E$2:E$3000,"App*")+COUNTIFS(Application_Status_May!I$2:I$3000,_xlpm.u,Application_Status_May!E$2:E$3000,"Lease*"),IF(_xlpm.myCnt&gt;0,INDEX(_xlfn._xlws.FILTER(Application_Status_May!B$2:B$3000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Philemon, Jude</v>
      </c>
      <c r="D84" s="205" t="str" cm="1">
        <f t="array" ref="D84">_xlfn.LET(_xlpm.u,B84,_xlpm.myCnt,COUNTIFS(Application_Status_May!I$2:I$3000,_xlpm.u,Application_Status_May!E$2:E$3000,"App*")+COUNTIFS(Application_Status_May!I$2:I$3000,_xlpm.u,Application_Status_May!E$2:E$3000,"Lease*"),IF(_xlpm.myCnt&gt;0,INDEX(_xlfn._xlws.FILTER(Application_Status_May!E$2:E$3000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Cancelled</v>
      </c>
      <c r="E84" s="205" t="str">
        <f t="shared" si="4"/>
        <v>Cancelled/Denied</v>
      </c>
      <c r="F84" s="205" t="str" cm="1">
        <f t="array" ref="F84">_xlfn.LET(_xlpm.u,B84,_xlpm.myCnt,COUNTIFS(Application_Status_May!I$2:I$3000,_xlpm.u,Application_Status_May!E$2:E$3000,"App*")+COUNTIFS(Application_Status_May!I$2:I$3000,_xlpm.u,Application_Status_May!E$2:E$3000,"Lease*"),IF(_xlpm.myCnt&gt;0,INDEX(_xlfn._xlws.FILTER(Application_Status_May!F$2:F$3000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Martinez, Emily</v>
      </c>
      <c r="G84" s="205" t="str" cm="1">
        <f t="array" ref="G84">_xlfn.LET(_xlpm.u,B84,_xlpm.myCnt,COUNTIFS(Application_Status_May!I$2:I$3000,_xlpm.u,Application_Status_May!E$2:E$3000,"App*")+COUNTIFS(Application_Status_May!I$2:I$3000,_xlpm.u,Application_Status_May!E$2:E$3000,"Lease*"),IF(_xlpm.myCnt&gt;0,INDEX(_xlfn._xlws.FILTER(Application_Status_May!H$2:H$3000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Website</v>
      </c>
      <c r="H84" s="206" cm="1">
        <f t="array" ref="H84">_xlfn.LET(_xlpm.u,B84,_xlpm.myCnt,COUNTIFS(Application_Status_May!I$2:I$3000,_xlpm.u,Application_Status_May!E$2:E$3000,"App*")+COUNTIFS(Application_Status_May!I$2:I$3000,_xlpm.u,Application_Status_May!E$2:E$3000,"Lease*"),IF(_xlpm.myCnt&gt;0,INDEX(_xlfn._xlws.FILTER(Application_Status_May!J$2:J$3000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46026</v>
      </c>
      <c r="I84" s="206" cm="1">
        <f t="array" ref="I84">_xlfn.LET(_xlpm.u,B84,_xlpm.myCnt,COUNTIFS(Application_Status_May!I$2:I$3000,_xlpm.u,Application_Status_May!E$2:E$3000,"App*")+COUNTIFS(Application_Status_May!I$2:I$3000,_xlpm.u,Application_Status_May!E$2:E$3000,"Lease*"),IF(_xlpm.myCnt&gt;0,INDEX(_xlfn._xlws.FILTER(Application_Status_May!L$2:L$3000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0</v>
      </c>
      <c r="J84" s="206">
        <f>IF(E84&lt;&gt;"Cancelled/Denied","—",_xlfn.LET(_xlpm.u,B84,_xlpm.myC,_xlfn.MAXIFS(Application_Status_May!R$2:R$3000,Application_Status_May!I$2:I$3000,_xlpm.u),_xlpm.myD,_xlfn.MAXIFS(Application_Status_May!S$2:S$3000,Application_Status_May!I$2:I$3000,_xlpm.u),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myC,_xlpm.myD,_xlpm.aC,_xlpm.aD,_xlpm.mC,_xlpm.mD,_xlpm.fC,_xlpm.fD)))</f>
        <v>46114</v>
      </c>
      <c r="K84" s="205" t="str">
        <f t="shared" si="5"/>
        <v>—</v>
      </c>
    </row>
    <row r="85" spans="1:11" ht="14.1" customHeight="1">
      <c r="A85" s="113"/>
      <c r="B85" s="204" t="str">
        <v>N08-2033</v>
      </c>
      <c r="C85" s="204" t="str" cm="1">
        <f t="array" ref="C85">_xlfn.LET(_xlpm.u,B85,_xlpm.myCnt,COUNTIFS(Application_Status_May!I$2:I$3000,_xlpm.u,Application_Status_May!E$2:E$3000,"App*")+COUNTIFS(Application_Status_May!I$2:I$3000,_xlpm.u,Application_Status_May!E$2:E$3000,"Lease*"),IF(_xlpm.myCnt&gt;0,INDEX(_xlfn._xlws.FILTER(Application_Status_May!B$2:B$3000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Lane, Davin</v>
      </c>
      <c r="D85" s="205" t="str" cm="1">
        <f t="array" ref="D85">_xlfn.LET(_xlpm.u,B85,_xlpm.myCnt,COUNTIFS(Application_Status_May!I$2:I$3000,_xlpm.u,Application_Status_May!E$2:E$3000,"App*")+COUNTIFS(Application_Status_May!I$2:I$3000,_xlpm.u,Application_Status_May!E$2:E$3000,"Lease*"),IF(_xlpm.myCnt&gt;0,INDEX(_xlfn._xlws.FILTER(Application_Status_May!E$2:E$3000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Lease: Approved</v>
      </c>
      <c r="E85" s="205" t="str">
        <f t="shared" si="4"/>
        <v>Converted</v>
      </c>
      <c r="F85" s="205" t="str" cm="1">
        <f t="array" ref="F85">_xlfn.LET(_xlpm.u,B85,_xlpm.myCnt,COUNTIFS(Application_Status_May!I$2:I$3000,_xlpm.u,Application_Status_May!E$2:E$3000,"App*")+COUNTIFS(Application_Status_May!I$2:I$3000,_xlpm.u,Application_Status_May!E$2:E$3000,"Lease*"),IF(_xlpm.myCnt&gt;0,INDEX(_xlfn._xlws.FILTER(Application_Status_May!F$2:F$3000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Vazquez, Norma</v>
      </c>
      <c r="G85" s="205" t="str" cm="1">
        <f t="array" ref="G85">_xlfn.LET(_xlpm.u,B85,_xlpm.myCnt,COUNTIFS(Application_Status_May!I$2:I$3000,_xlpm.u,Application_Status_May!E$2:E$3000,"App*")+COUNTIFS(Application_Status_May!I$2:I$3000,_xlpm.u,Application_Status_May!E$2:E$3000,"Lease*"),IF(_xlpm.myCnt&gt;0,INDEX(_xlfn._xlws.FILTER(Application_Status_May!H$2:H$3000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Website</v>
      </c>
      <c r="H85" s="206" cm="1">
        <f t="array" ref="H85">_xlfn.LET(_xlpm.u,B85,_xlpm.myCnt,COUNTIFS(Application_Status_May!I$2:I$3000,_xlpm.u,Application_Status_May!E$2:E$3000,"App*")+COUNTIFS(Application_Status_May!I$2:I$3000,_xlpm.u,Application_Status_May!E$2:E$3000,"Lease*"),IF(_xlpm.myCnt&gt;0,INDEX(_xlfn._xlws.FILTER(Application_Status_May!J$2:J$3000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46150</v>
      </c>
      <c r="I85" s="206" cm="1">
        <f t="array" ref="I85">_xlfn.LET(_xlpm.u,B85,_xlpm.myCnt,COUNTIFS(Application_Status_May!I$2:I$3000,_xlpm.u,Application_Status_May!E$2:E$3000,"App*")+COUNTIFS(Application_Status_May!I$2:I$3000,_xlpm.u,Application_Status_May!E$2:E$3000,"Lease*"),IF(_xlpm.myCnt&gt;0,INDEX(_xlfn._xlws.FILTER(Application_Status_May!L$2:L$3000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46150</v>
      </c>
      <c r="J85" s="206" t="str">
        <f>IF(E85&lt;&gt;"Cancelled/Denied","—",_xlfn.LET(_xlpm.u,B85,_xlpm.myC,_xlfn.MAXIFS(Application_Status_May!R$2:R$3000,Application_Status_May!I$2:I$3000,_xlpm.u),_xlpm.myD,_xlfn.MAXIFS(Application_Status_May!S$2:S$3000,Application_Status_May!I$2:I$3000,_xlpm.u),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myC,_xlpm.myD,_xlpm.aC,_xlpm.aD,_xlpm.mC,_xlpm.mD,_xlpm.fC,_xlpm.fD)))</f>
        <v>—</v>
      </c>
      <c r="K85" s="205" t="str">
        <f t="shared" si="5"/>
        <v>—</v>
      </c>
    </row>
    <row r="86" spans="1:11" ht="14.1" customHeight="1">
      <c r="A86" s="113"/>
      <c r="B86" s="204" t="str">
        <v>N09-1035</v>
      </c>
      <c r="C86" s="204" t="str" cm="1">
        <f t="array" ref="C86">_xlfn.LET(_xlpm.u,B86,_xlpm.myCnt,COUNTIFS(Application_Status_May!I$2:I$3000,_xlpm.u,Application_Status_May!E$2:E$3000,"App*")+COUNTIFS(Application_Status_May!I$2:I$3000,_xlpm.u,Application_Status_May!E$2:E$3000,"Lease*"),IF(_xlpm.myCnt&gt;0,INDEX(_xlfn._xlws.FILTER(Application_Status_May!B$2:B$3000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Betancourt, Eleazar</v>
      </c>
      <c r="D86" s="205" t="str" cm="1">
        <f t="array" ref="D86">_xlfn.LET(_xlpm.u,B86,_xlpm.myCnt,COUNTIFS(Application_Status_May!I$2:I$3000,_xlpm.u,Application_Status_May!E$2:E$3000,"App*")+COUNTIFS(Application_Status_May!I$2:I$3000,_xlpm.u,Application_Status_May!E$2:E$3000,"Lease*"),IF(_xlpm.myCnt&gt;0,INDEX(_xlfn._xlws.FILTER(Application_Status_May!E$2:E$3000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Lease: Approved</v>
      </c>
      <c r="E86" s="205" t="str">
        <f t="shared" si="4"/>
        <v>Converted</v>
      </c>
      <c r="F86" s="205" t="str" cm="1">
        <f t="array" ref="F86">_xlfn.LET(_xlpm.u,B86,_xlpm.myCnt,COUNTIFS(Application_Status_May!I$2:I$3000,_xlpm.u,Application_Status_May!E$2:E$3000,"App*")+COUNTIFS(Application_Status_May!I$2:I$3000,_xlpm.u,Application_Status_May!E$2:E$3000,"Lease*"),IF(_xlpm.myCnt&gt;0,INDEX(_xlfn._xlws.FILTER(Application_Status_May!F$2:F$3000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Not Assigned</v>
      </c>
      <c r="G86" s="205" t="str" cm="1">
        <f t="array" ref="G86">_xlfn.LET(_xlpm.u,B86,_xlpm.myCnt,COUNTIFS(Application_Status_May!I$2:I$3000,_xlpm.u,Application_Status_May!E$2:E$3000,"App*")+COUNTIFS(Application_Status_May!I$2:I$3000,_xlpm.u,Application_Status_May!E$2:E$3000,"Lease*"),IF(_xlpm.myCnt&gt;0,INDEX(_xlfn._xlws.FILTER(Application_Status_May!H$2:H$3000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Website</v>
      </c>
      <c r="H86" s="206" cm="1">
        <f t="array" ref="H86">_xlfn.LET(_xlpm.u,B86,_xlpm.myCnt,COUNTIFS(Application_Status_May!I$2:I$3000,_xlpm.u,Application_Status_May!E$2:E$3000,"App*")+COUNTIFS(Application_Status_May!I$2:I$3000,_xlpm.u,Application_Status_May!E$2:E$3000,"Lease*"),IF(_xlpm.myCnt&gt;0,INDEX(_xlfn._xlws.FILTER(Application_Status_May!J$2:J$3000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46079</v>
      </c>
      <c r="I86" s="206" cm="1">
        <f t="array" ref="I86">_xlfn.LET(_xlpm.u,B86,_xlpm.myCnt,COUNTIFS(Application_Status_May!I$2:I$3000,_xlpm.u,Application_Status_May!E$2:E$3000,"App*")+COUNTIFS(Application_Status_May!I$2:I$3000,_xlpm.u,Application_Status_May!E$2:E$3000,"Lease*"),IF(_xlpm.myCnt&gt;0,INDEX(_xlfn._xlws.FILTER(Application_Status_May!L$2:L$3000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46080</v>
      </c>
      <c r="J86" s="206" t="str">
        <f>IF(E86&lt;&gt;"Cancelled/Denied","—",_xlfn.LET(_xlpm.u,B86,_xlpm.myC,_xlfn.MAXIFS(Application_Status_May!R$2:R$3000,Application_Status_May!I$2:I$3000,_xlpm.u),_xlpm.myD,_xlfn.MAXIFS(Application_Status_May!S$2:S$3000,Application_Status_May!I$2:I$3000,_xlpm.u),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myC,_xlpm.myD,_xlpm.aC,_xlpm.aD,_xlpm.mC,_xlpm.mD,_xlpm.fC,_xlpm.fD)))</f>
        <v>—</v>
      </c>
      <c r="K86" s="205" t="str">
        <f t="shared" si="5"/>
        <v>—</v>
      </c>
    </row>
    <row r="87" spans="1:11" ht="14.1" customHeight="1">
      <c r="A87" s="113"/>
      <c r="B87" s="204" t="str">
        <v>N09-2034</v>
      </c>
      <c r="C87" s="204" t="str" cm="1">
        <f t="array" ref="C87">_xlfn.LET(_xlpm.u,B87,_xlpm.myCnt,COUNTIFS(Application_Status_May!I$2:I$3000,_xlpm.u,Application_Status_May!E$2:E$3000,"App*")+COUNTIFS(Application_Status_May!I$2:I$3000,_xlpm.u,Application_Status_May!E$2:E$3000,"Lease*"),IF(_xlpm.myCnt&gt;0,INDEX(_xlfn._xlws.FILTER(Application_Status_May!B$2:B$3000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Medina Aguilar, Alondra</v>
      </c>
      <c r="D87" s="205" t="str" cm="1">
        <f t="array" ref="D87">_xlfn.LET(_xlpm.u,B87,_xlpm.myCnt,COUNTIFS(Application_Status_May!I$2:I$3000,_xlpm.u,Application_Status_May!E$2:E$3000,"App*")+COUNTIFS(Application_Status_May!I$2:I$3000,_xlpm.u,Application_Status_May!E$2:E$3000,"Lease*"),IF(_xlpm.myCnt&gt;0,INDEX(_xlfn._xlws.FILTER(Application_Status_May!E$2:E$3000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Cancelled</v>
      </c>
      <c r="E87" s="205" t="str">
        <f t="shared" si="4"/>
        <v>Cancelled/Denied</v>
      </c>
      <c r="F87" s="205" t="str" cm="1">
        <f t="array" ref="F87">_xlfn.LET(_xlpm.u,B87,_xlpm.myCnt,COUNTIFS(Application_Status_May!I$2:I$3000,_xlpm.u,Application_Status_May!E$2:E$3000,"App*")+COUNTIFS(Application_Status_May!I$2:I$3000,_xlpm.u,Application_Status_May!E$2:E$3000,"Lease*"),IF(_xlpm.myCnt&gt;0,INDEX(_xlfn._xlws.FILTER(Application_Status_May!F$2:F$3000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Elise, Meet</v>
      </c>
      <c r="G87" s="205" t="str" cm="1">
        <f t="array" ref="G87">_xlfn.LET(_xlpm.u,B87,_xlpm.myCnt,COUNTIFS(Application_Status_May!I$2:I$3000,_xlpm.u,Application_Status_May!E$2:E$3000,"App*")+COUNTIFS(Application_Status_May!I$2:I$3000,_xlpm.u,Application_Status_May!E$2:E$3000,"Lease*"),IF(_xlpm.myCnt&gt;0,INDEX(_xlfn._xlws.FILTER(Application_Status_May!H$2:H$3000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Website</v>
      </c>
      <c r="H87" s="206" cm="1">
        <f t="array" ref="H87">_xlfn.LET(_xlpm.u,B87,_xlpm.myCnt,COUNTIFS(Application_Status_May!I$2:I$3000,_xlpm.u,Application_Status_May!E$2:E$3000,"App*")+COUNTIFS(Application_Status_May!I$2:I$3000,_xlpm.u,Application_Status_May!E$2:E$3000,"Lease*"),IF(_xlpm.myCnt&gt;0,INDEX(_xlfn._xlws.FILTER(Application_Status_May!J$2:J$3000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46154</v>
      </c>
      <c r="I87" s="206" cm="1">
        <f t="array" ref="I87">_xlfn.LET(_xlpm.u,B87,_xlpm.myCnt,COUNTIFS(Application_Status_May!I$2:I$3000,_xlpm.u,Application_Status_May!E$2:E$3000,"App*")+COUNTIFS(Application_Status_May!I$2:I$3000,_xlpm.u,Application_Status_May!E$2:E$3000,"Lease*"),IF(_xlpm.myCnt&gt;0,INDEX(_xlfn._xlws.FILTER(Application_Status_May!L$2:L$3000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0</v>
      </c>
      <c r="J87" s="206">
        <f>IF(E87&lt;&gt;"Cancelled/Denied","—",_xlfn.LET(_xlpm.u,B87,_xlpm.myC,_xlfn.MAXIFS(Application_Status_May!R$2:R$3000,Application_Status_May!I$2:I$3000,_xlpm.u),_xlpm.myD,_xlfn.MAXIFS(Application_Status_May!S$2:S$3000,Application_Status_May!I$2:I$3000,_xlpm.u),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myC,_xlpm.myD,_xlpm.aC,_xlpm.aD,_xlpm.mC,_xlpm.mD,_xlpm.fC,_xlpm.fD)))</f>
        <v>46164</v>
      </c>
      <c r="K87" s="205" t="str">
        <f t="shared" si="5"/>
        <v>—</v>
      </c>
    </row>
    <row r="88" spans="1:11" ht="14.1" customHeight="1">
      <c r="A88" s="113"/>
      <c r="B88" s="204" t="str">
        <v>N10-1038</v>
      </c>
      <c r="C88" s="204" t="str" cm="1">
        <f t="array" ref="C88">_xlfn.LET(_xlpm.u,B88,_xlpm.myCnt,COUNTIFS(Application_Status_May!I$2:I$3000,_xlpm.u,Application_Status_May!E$2:E$3000,"App*")+COUNTIFS(Application_Status_May!I$2:I$3000,_xlpm.u,Application_Status_May!E$2:E$3000,"Lease*"),IF(_xlpm.myCnt&gt;0,INDEX(_xlfn._xlws.FILTER(Application_Status_May!B$2:B$3000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Salinas, Maria</v>
      </c>
      <c r="D88" s="205" t="str" cm="1">
        <f t="array" ref="D88">_xlfn.LET(_xlpm.u,B88,_xlpm.myCnt,COUNTIFS(Application_Status_May!I$2:I$3000,_xlpm.u,Application_Status_May!E$2:E$3000,"App*")+COUNTIFS(Application_Status_May!I$2:I$3000,_xlpm.u,Application_Status_May!E$2:E$3000,"Lease*"),IF(_xlpm.myCnt&gt;0,INDEX(_xlfn._xlws.FILTER(Application_Status_May!E$2:E$3000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Cancelled</v>
      </c>
      <c r="E88" s="205" t="str">
        <f t="shared" si="4"/>
        <v>Cancelled/Denied</v>
      </c>
      <c r="F88" s="205" t="str" cm="1">
        <f t="array" ref="F88">_xlfn.LET(_xlpm.u,B88,_xlpm.myCnt,COUNTIFS(Application_Status_May!I$2:I$3000,_xlpm.u,Application_Status_May!E$2:E$3000,"App*")+COUNTIFS(Application_Status_May!I$2:I$3000,_xlpm.u,Application_Status_May!E$2:E$3000,"Lease*"),IF(_xlpm.myCnt&gt;0,INDEX(_xlfn._xlws.FILTER(Application_Status_May!F$2:F$3000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Vazquez, Norma</v>
      </c>
      <c r="G88" s="205" t="str" cm="1">
        <f t="array" ref="G88">_xlfn.LET(_xlpm.u,B88,_xlpm.myCnt,COUNTIFS(Application_Status_May!I$2:I$3000,_xlpm.u,Application_Status_May!E$2:E$3000,"App*")+COUNTIFS(Application_Status_May!I$2:I$3000,_xlpm.u,Application_Status_May!E$2:E$3000,"Lease*"),IF(_xlpm.myCnt&gt;0,INDEX(_xlfn._xlws.FILTER(Application_Status_May!H$2:H$3000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Resident Referral</v>
      </c>
      <c r="H88" s="206" cm="1">
        <f t="array" ref="H88">_xlfn.LET(_xlpm.u,B88,_xlpm.myCnt,COUNTIFS(Application_Status_May!I$2:I$3000,_xlpm.u,Application_Status_May!E$2:E$3000,"App*")+COUNTIFS(Application_Status_May!I$2:I$3000,_xlpm.u,Application_Status_May!E$2:E$3000,"Lease*"),IF(_xlpm.myCnt&gt;0,INDEX(_xlfn._xlws.FILTER(Application_Status_May!J$2:J$3000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46107</v>
      </c>
      <c r="I88" s="206" cm="1">
        <f t="array" ref="I88">_xlfn.LET(_xlpm.u,B88,_xlpm.myCnt,COUNTIFS(Application_Status_May!I$2:I$3000,_xlpm.u,Application_Status_May!E$2:E$3000,"App*")+COUNTIFS(Application_Status_May!I$2:I$3000,_xlpm.u,Application_Status_May!E$2:E$3000,"Lease*"),IF(_xlpm.myCnt&gt;0,INDEX(_xlfn._xlws.FILTER(Application_Status_May!L$2:L$3000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0</v>
      </c>
      <c r="J88" s="206">
        <f>IF(E88&lt;&gt;"Cancelled/Denied","—",_xlfn.LET(_xlpm.u,B88,_xlpm.myC,_xlfn.MAXIFS(Application_Status_May!R$2:R$3000,Application_Status_May!I$2:I$3000,_xlpm.u),_xlpm.myD,_xlfn.MAXIFS(Application_Status_May!S$2:S$3000,Application_Status_May!I$2:I$3000,_xlpm.u),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myC,_xlpm.myD,_xlpm.aC,_xlpm.aD,_xlpm.mC,_xlpm.mD,_xlpm.fC,_xlpm.fD)))</f>
        <v>46168</v>
      </c>
      <c r="K88" s="205" t="str">
        <f t="shared" si="5"/>
        <v>—</v>
      </c>
    </row>
    <row r="89" spans="1:11" ht="14.1" customHeight="1">
      <c r="A89" s="113"/>
      <c r="B89" s="204" t="str">
        <v>N10-1041</v>
      </c>
      <c r="C89" s="204" t="str" cm="1">
        <f t="array" ref="C89">_xlfn.LET(_xlpm.u,B89,_xlpm.myCnt,COUNTIFS(Application_Status_May!I$2:I$3000,_xlpm.u,Application_Status_May!E$2:E$3000,"App*")+COUNTIFS(Application_Status_May!I$2:I$3000,_xlpm.u,Application_Status_May!E$2:E$3000,"Lease*"),IF(_xlpm.myCnt&gt;0,INDEX(_xlfn._xlws.FILTER(Application_Status_May!B$2:B$3000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Yugusuk, Dogale Z</v>
      </c>
      <c r="D89" s="205" t="str" cm="1">
        <f t="array" ref="D89">_xlfn.LET(_xlpm.u,B89,_xlpm.myCnt,COUNTIFS(Application_Status_May!I$2:I$3000,_xlpm.u,Application_Status_May!E$2:E$3000,"App*")+COUNTIFS(Application_Status_May!I$2:I$3000,_xlpm.u,Application_Status_May!E$2:E$3000,"Lease*"),IF(_xlpm.myCnt&gt;0,INDEX(_xlfn._xlws.FILTER(Application_Status_May!E$2:E$3000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Lease: Approved</v>
      </c>
      <c r="E89" s="205" t="str">
        <f t="shared" si="4"/>
        <v>Converted</v>
      </c>
      <c r="F89" s="205" t="str" cm="1">
        <f t="array" ref="F89">_xlfn.LET(_xlpm.u,B89,_xlpm.myCnt,COUNTIFS(Application_Status_May!I$2:I$3000,_xlpm.u,Application_Status_May!E$2:E$3000,"App*")+COUNTIFS(Application_Status_May!I$2:I$3000,_xlpm.u,Application_Status_May!E$2:E$3000,"Lease*"),IF(_xlpm.myCnt&gt;0,INDEX(_xlfn._xlws.FILTER(Application_Status_May!F$2:F$3000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Gabehart, Jamey</v>
      </c>
      <c r="G89" s="205" t="str" cm="1">
        <f t="array" ref="G89">_xlfn.LET(_xlpm.u,B89,_xlpm.myCnt,COUNTIFS(Application_Status_May!I$2:I$3000,_xlpm.u,Application_Status_May!E$2:E$3000,"App*")+COUNTIFS(Application_Status_May!I$2:I$3000,_xlpm.u,Application_Status_May!E$2:E$3000,"Lease*"),IF(_xlpm.myCnt&gt;0,INDEX(_xlfn._xlws.FILTER(Application_Status_May!H$2:H$3000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Website</v>
      </c>
      <c r="H89" s="206" cm="1">
        <f t="array" ref="H89">_xlfn.LET(_xlpm.u,B89,_xlpm.myCnt,COUNTIFS(Application_Status_May!I$2:I$3000,_xlpm.u,Application_Status_May!E$2:E$3000,"App*")+COUNTIFS(Application_Status_May!I$2:I$3000,_xlpm.u,Application_Status_May!E$2:E$3000,"Lease*"),IF(_xlpm.myCnt&gt;0,INDEX(_xlfn._xlws.FILTER(Application_Status_May!J$2:J$3000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46094</v>
      </c>
      <c r="I89" s="206" cm="1">
        <f t="array" ref="I89">_xlfn.LET(_xlpm.u,B89,_xlpm.myCnt,COUNTIFS(Application_Status_May!I$2:I$3000,_xlpm.u,Application_Status_May!E$2:E$3000,"App*")+COUNTIFS(Application_Status_May!I$2:I$3000,_xlpm.u,Application_Status_May!E$2:E$3000,"Lease*"),IF(_xlpm.myCnt&gt;0,INDEX(_xlfn._xlws.FILTER(Application_Status_May!L$2:L$3000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46095</v>
      </c>
      <c r="J89" s="206" t="str">
        <f>IF(E89&lt;&gt;"Cancelled/Denied","—",_xlfn.LET(_xlpm.u,B89,_xlpm.myC,_xlfn.MAXIFS(Application_Status_May!R$2:R$3000,Application_Status_May!I$2:I$3000,_xlpm.u),_xlpm.myD,_xlfn.MAXIFS(Application_Status_May!S$2:S$3000,Application_Status_May!I$2:I$3000,_xlpm.u),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myC,_xlpm.myD,_xlpm.aC,_xlpm.aD,_xlpm.mC,_xlpm.mD,_xlpm.fC,_xlpm.fD)))</f>
        <v>—</v>
      </c>
      <c r="K89" s="205" t="str">
        <f t="shared" si="5"/>
        <v>—</v>
      </c>
    </row>
    <row r="90" spans="1:11" ht="14.1" customHeight="1">
      <c r="A90" s="113"/>
      <c r="B90" s="204" t="str">
        <v>N10-2038</v>
      </c>
      <c r="C90" s="204" t="str" cm="1">
        <f t="array" ref="C90">_xlfn.LET(_xlpm.u,B90,_xlpm.myCnt,COUNTIFS(Application_Status_May!I$2:I$3000,_xlpm.u,Application_Status_May!E$2:E$3000,"App*")+COUNTIFS(Application_Status_May!I$2:I$3000,_xlpm.u,Application_Status_May!E$2:E$3000,"Lease*"),IF(_xlpm.myCnt&gt;0,INDEX(_xlfn._xlws.FILTER(Application_Status_May!B$2:B$3000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Jones, Varon</v>
      </c>
      <c r="D90" s="205" t="str" cm="1">
        <f t="array" ref="D90">_xlfn.LET(_xlpm.u,B90,_xlpm.myCnt,COUNTIFS(Application_Status_May!I$2:I$3000,_xlpm.u,Application_Status_May!E$2:E$3000,"App*")+COUNTIFS(Application_Status_May!I$2:I$3000,_xlpm.u,Application_Status_May!E$2:E$3000,"Lease*"),IF(_xlpm.myCnt&gt;0,INDEX(_xlfn._xlws.FILTER(Application_Status_May!E$2:E$3000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Cancelled</v>
      </c>
      <c r="E90" s="205" t="str">
        <f t="shared" si="4"/>
        <v>Cancelled/Denied</v>
      </c>
      <c r="F90" s="205" t="str" cm="1">
        <f t="array" ref="F90">_xlfn.LET(_xlpm.u,B90,_xlpm.myCnt,COUNTIFS(Application_Status_May!I$2:I$3000,_xlpm.u,Application_Status_May!E$2:E$3000,"App*")+COUNTIFS(Application_Status_May!I$2:I$3000,_xlpm.u,Application_Status_May!E$2:E$3000,"Lease*"),IF(_xlpm.myCnt&gt;0,INDEX(_xlfn._xlws.FILTER(Application_Status_May!F$2:F$3000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Gabehart, Jamey</v>
      </c>
      <c r="G90" s="205" t="str" cm="1">
        <f t="array" ref="G90">_xlfn.LET(_xlpm.u,B90,_xlpm.myCnt,COUNTIFS(Application_Status_May!I$2:I$3000,_xlpm.u,Application_Status_May!E$2:E$3000,"App*")+COUNTIFS(Application_Status_May!I$2:I$3000,_xlpm.u,Application_Status_May!E$2:E$3000,"Lease*"),IF(_xlpm.myCnt&gt;0,INDEX(_xlfn._xlws.FILTER(Application_Status_May!H$2:H$3000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Apartments.com</v>
      </c>
      <c r="H90" s="206" cm="1">
        <f t="array" ref="H90">_xlfn.LET(_xlpm.u,B90,_xlpm.myCnt,COUNTIFS(Application_Status_May!I$2:I$3000,_xlpm.u,Application_Status_May!E$2:E$3000,"App*")+COUNTIFS(Application_Status_May!I$2:I$3000,_xlpm.u,Application_Status_May!E$2:E$3000,"Lease*"),IF(_xlpm.myCnt&gt;0,INDEX(_xlfn._xlws.FILTER(Application_Status_May!J$2:J$3000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46116</v>
      </c>
      <c r="I90" s="206" cm="1">
        <f t="array" ref="I90">_xlfn.LET(_xlpm.u,B90,_xlpm.myCnt,COUNTIFS(Application_Status_May!I$2:I$3000,_xlpm.u,Application_Status_May!E$2:E$3000,"App*")+COUNTIFS(Application_Status_May!I$2:I$3000,_xlpm.u,Application_Status_May!E$2:E$3000,"Lease*"),IF(_xlpm.myCnt&gt;0,INDEX(_xlfn._xlws.FILTER(Application_Status_May!L$2:L$3000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46118</v>
      </c>
      <c r="J90" s="206">
        <f>IF(E90&lt;&gt;"Cancelled/Denied","—",_xlfn.LET(_xlpm.u,B90,_xlpm.myC,_xlfn.MAXIFS(Application_Status_May!R$2:R$3000,Application_Status_May!I$2:I$3000,_xlpm.u),_xlpm.myD,_xlfn.MAXIFS(Application_Status_May!S$2:S$3000,Application_Status_May!I$2:I$3000,_xlpm.u),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myC,_xlpm.myD,_xlpm.aC,_xlpm.aD,_xlpm.mC,_xlpm.mD,_xlpm.fC,_xlpm.fD)))</f>
        <v>46136</v>
      </c>
      <c r="K90" s="205" t="str">
        <f t="shared" si="5"/>
        <v>—</v>
      </c>
    </row>
    <row r="91" spans="1:11" ht="14.1" customHeight="1">
      <c r="A91" s="113"/>
      <c r="B91" s="204" t="str">
        <v>N10-2040</v>
      </c>
      <c r="C91" s="204" t="str" cm="1">
        <f t="array" ref="C91">_xlfn.LET(_xlpm.u,B91,_xlpm.myCnt,COUNTIFS(Application_Status_May!I$2:I$3000,_xlpm.u,Application_Status_May!E$2:E$3000,"App*")+COUNTIFS(Application_Status_May!I$2:I$3000,_xlpm.u,Application_Status_May!E$2:E$3000,"Lease*"),IF(_xlpm.myCnt&gt;0,INDEX(_xlfn._xlws.FILTER(Application_Status_May!B$2:B$3000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Contreras, Eduardo</v>
      </c>
      <c r="D91" s="205" t="str" cm="1">
        <f t="array" ref="D91">_xlfn.LET(_xlpm.u,B91,_xlpm.myCnt,COUNTIFS(Application_Status_May!I$2:I$3000,_xlpm.u,Application_Status_May!E$2:E$3000,"App*")+COUNTIFS(Application_Status_May!I$2:I$3000,_xlpm.u,Application_Status_May!E$2:E$3000,"Lease*"),IF(_xlpm.myCnt&gt;0,INDEX(_xlfn._xlws.FILTER(Application_Status_May!E$2:E$3000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Cancelled</v>
      </c>
      <c r="E91" s="205" t="str">
        <f t="shared" si="4"/>
        <v>Cancelled/Denied</v>
      </c>
      <c r="F91" s="205" t="str" cm="1">
        <f t="array" ref="F91">_xlfn.LET(_xlpm.u,B91,_xlpm.myCnt,COUNTIFS(Application_Status_May!I$2:I$3000,_xlpm.u,Application_Status_May!E$2:E$3000,"App*")+COUNTIFS(Application_Status_May!I$2:I$3000,_xlpm.u,Application_Status_May!E$2:E$3000,"Lease*"),IF(_xlpm.myCnt&gt;0,INDEX(_xlfn._xlws.FILTER(Application_Status_May!F$2:F$3000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Rodriguez, Jennifer</v>
      </c>
      <c r="G91" s="205" t="str" cm="1">
        <f t="array" ref="G91">_xlfn.LET(_xlpm.u,B91,_xlpm.myCnt,COUNTIFS(Application_Status_May!I$2:I$3000,_xlpm.u,Application_Status_May!E$2:E$3000,"App*")+COUNTIFS(Application_Status_May!I$2:I$3000,_xlpm.u,Application_Status_May!E$2:E$3000,"Lease*"),IF(_xlpm.myCnt&gt;0,INDEX(_xlfn._xlws.FILTER(Application_Status_May!H$2:H$3000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Website</v>
      </c>
      <c r="H91" s="206" cm="1">
        <f t="array" ref="H91">_xlfn.LET(_xlpm.u,B91,_xlpm.myCnt,COUNTIFS(Application_Status_May!I$2:I$3000,_xlpm.u,Application_Status_May!E$2:E$3000,"App*")+COUNTIFS(Application_Status_May!I$2:I$3000,_xlpm.u,Application_Status_May!E$2:E$3000,"Lease*"),IF(_xlpm.myCnt&gt;0,INDEX(_xlfn._xlws.FILTER(Application_Status_May!J$2:J$3000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46015</v>
      </c>
      <c r="I91" s="206" cm="1">
        <f t="array" ref="I91">_xlfn.LET(_xlpm.u,B91,_xlpm.myCnt,COUNTIFS(Application_Status_May!I$2:I$3000,_xlpm.u,Application_Status_May!E$2:E$3000,"App*")+COUNTIFS(Application_Status_May!I$2:I$3000,_xlpm.u,Application_Status_May!E$2:E$3000,"Lease*"),IF(_xlpm.myCnt&gt;0,INDEX(_xlfn._xlws.FILTER(Application_Status_May!L$2:L$3000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0</v>
      </c>
      <c r="J91" s="206">
        <f>IF(E91&lt;&gt;"Cancelled/Denied","—",_xlfn.LET(_xlpm.u,B91,_xlpm.myC,_xlfn.MAXIFS(Application_Status_May!R$2:R$3000,Application_Status_May!I$2:I$3000,_xlpm.u),_xlpm.myD,_xlfn.MAXIFS(Application_Status_May!S$2:S$3000,Application_Status_May!I$2:I$3000,_xlpm.u),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myC,_xlpm.myD,_xlpm.aC,_xlpm.aD,_xlpm.mC,_xlpm.mD,_xlpm.fC,_xlpm.fD)))</f>
        <v>46114</v>
      </c>
      <c r="K91" s="205" t="str">
        <f t="shared" si="5"/>
        <v>—</v>
      </c>
    </row>
    <row r="92" spans="1:11" ht="14.1" customHeight="1">
      <c r="A92" s="113"/>
      <c r="B92" s="204" t="str">
        <v>N10-3038</v>
      </c>
      <c r="C92" s="204" t="str" cm="1">
        <f t="array" ref="C92">_xlfn.LET(_xlpm.u,B92,_xlpm.myCnt,COUNTIFS(Application_Status_May!I$2:I$3000,_xlpm.u,Application_Status_May!E$2:E$3000,"App*")+COUNTIFS(Application_Status_May!I$2:I$3000,_xlpm.u,Application_Status_May!E$2:E$3000,"Lease*"),IF(_xlpm.myCnt&gt;0,INDEX(_xlfn._xlws.FILTER(Application_Status_May!B$2:B$3000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Worthy, Andrue</v>
      </c>
      <c r="D92" s="205" t="str" cm="1">
        <f t="array" ref="D92">_xlfn.LET(_xlpm.u,B92,_xlpm.myCnt,COUNTIFS(Application_Status_May!I$2:I$3000,_xlpm.u,Application_Status_May!E$2:E$3000,"App*")+COUNTIFS(Application_Status_May!I$2:I$3000,_xlpm.u,Application_Status_May!E$2:E$3000,"Lease*"),IF(_xlpm.myCnt&gt;0,INDEX(_xlfn._xlws.FILTER(Application_Status_May!E$2:E$3000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Lease: Approved</v>
      </c>
      <c r="E92" s="205" t="str">
        <f t="shared" si="4"/>
        <v>Converted</v>
      </c>
      <c r="F92" s="205" t="str" cm="1">
        <f t="array" ref="F92">_xlfn.LET(_xlpm.u,B92,_xlpm.myCnt,COUNTIFS(Application_Status_May!I$2:I$3000,_xlpm.u,Application_Status_May!E$2:E$3000,"App*")+COUNTIFS(Application_Status_May!I$2:I$3000,_xlpm.u,Application_Status_May!E$2:E$3000,"Lease*"),IF(_xlpm.myCnt&gt;0,INDEX(_xlfn._xlws.FILTER(Application_Status_May!F$2:F$3000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Vazquez, Norma</v>
      </c>
      <c r="G92" s="205" t="str" cm="1">
        <f t="array" ref="G92">_xlfn.LET(_xlpm.u,B92,_xlpm.myCnt,COUNTIFS(Application_Status_May!I$2:I$3000,_xlpm.u,Application_Status_May!E$2:E$3000,"App*")+COUNTIFS(Application_Status_May!I$2:I$3000,_xlpm.u,Application_Status_May!E$2:E$3000,"Lease*"),IF(_xlpm.myCnt&gt;0,INDEX(_xlfn._xlws.FILTER(Application_Status_May!H$2:H$3000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Drive By</v>
      </c>
      <c r="H92" s="206" cm="1">
        <f t="array" ref="H92">_xlfn.LET(_xlpm.u,B92,_xlpm.myCnt,COUNTIFS(Application_Status_May!I$2:I$3000,_xlpm.u,Application_Status_May!E$2:E$3000,"App*")+COUNTIFS(Application_Status_May!I$2:I$3000,_xlpm.u,Application_Status_May!E$2:E$3000,"Lease*"),IF(_xlpm.myCnt&gt;0,INDEX(_xlfn._xlws.FILTER(Application_Status_May!J$2:J$3000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46079</v>
      </c>
      <c r="I92" s="206" cm="1">
        <f t="array" ref="I92">_xlfn.LET(_xlpm.u,B92,_xlpm.myCnt,COUNTIFS(Application_Status_May!I$2:I$3000,_xlpm.u,Application_Status_May!E$2:E$3000,"App*")+COUNTIFS(Application_Status_May!I$2:I$3000,_xlpm.u,Application_Status_May!E$2:E$3000,"Lease*"),IF(_xlpm.myCnt&gt;0,INDEX(_xlfn._xlws.FILTER(Application_Status_May!L$2:L$3000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46079</v>
      </c>
      <c r="J92" s="206" t="str">
        <f>IF(E92&lt;&gt;"Cancelled/Denied","—",_xlfn.LET(_xlpm.u,B92,_xlpm.myC,_xlfn.MAXIFS(Application_Status_May!R$2:R$3000,Application_Status_May!I$2:I$3000,_xlpm.u),_xlpm.myD,_xlfn.MAXIFS(Application_Status_May!S$2:S$3000,Application_Status_May!I$2:I$3000,_xlpm.u),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myC,_xlpm.myD,_xlpm.aC,_xlpm.aD,_xlpm.mC,_xlpm.mD,_xlpm.fC,_xlpm.fD)))</f>
        <v>—</v>
      </c>
      <c r="K92" s="205" t="str">
        <f t="shared" si="5"/>
        <v>—</v>
      </c>
    </row>
    <row r="93" spans="1:11" ht="14.1" customHeight="1">
      <c r="A93" s="113"/>
      <c r="B93" s="204" t="str">
        <v>N10-3040</v>
      </c>
      <c r="C93" s="204" t="str" cm="1">
        <f t="array" ref="C93">_xlfn.LET(_xlpm.u,B93,_xlpm.myCnt,COUNTIFS(Application_Status_May!I$2:I$3000,_xlpm.u,Application_Status_May!E$2:E$3000,"App*")+COUNTIFS(Application_Status_May!I$2:I$3000,_xlpm.u,Application_Status_May!E$2:E$3000,"Lease*"),IF(_xlpm.myCnt&gt;0,INDEX(_xlfn._xlws.FILTER(Application_Status_May!B$2:B$3000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rhynes, chanelle</v>
      </c>
      <c r="D93" s="205" t="str" cm="1">
        <f t="array" ref="D93">_xlfn.LET(_xlpm.u,B93,_xlpm.myCnt,COUNTIFS(Application_Status_May!I$2:I$3000,_xlpm.u,Application_Status_May!E$2:E$3000,"App*")+COUNTIFS(Application_Status_May!I$2:I$3000,_xlpm.u,Application_Status_May!E$2:E$3000,"Lease*"),IF(_xlpm.myCnt&gt;0,INDEX(_xlfn._xlws.FILTER(Application_Status_May!E$2:E$3000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Cancelled</v>
      </c>
      <c r="E93" s="205" t="str">
        <f t="shared" si="4"/>
        <v>Cancelled/Denied</v>
      </c>
      <c r="F93" s="205" t="str" cm="1">
        <f t="array" ref="F93">_xlfn.LET(_xlpm.u,B93,_xlpm.myCnt,COUNTIFS(Application_Status_May!I$2:I$3000,_xlpm.u,Application_Status_May!E$2:E$3000,"App*")+COUNTIFS(Application_Status_May!I$2:I$3000,_xlpm.u,Application_Status_May!E$2:E$3000,"Lease*"),IF(_xlpm.myCnt&gt;0,INDEX(_xlfn._xlws.FILTER(Application_Status_May!F$2:F$3000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Hernandez, Justin</v>
      </c>
      <c r="G93" s="205" t="str" cm="1">
        <f t="array" ref="G93">_xlfn.LET(_xlpm.u,B93,_xlpm.myCnt,COUNTIFS(Application_Status_May!I$2:I$3000,_xlpm.u,Application_Status_May!E$2:E$3000,"App*")+COUNTIFS(Application_Status_May!I$2:I$3000,_xlpm.u,Application_Status_May!E$2:E$3000,"Lease*"),IF(_xlpm.myCnt&gt;0,INDEX(_xlfn._xlws.FILTER(Application_Status_May!H$2:H$3000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Website</v>
      </c>
      <c r="H93" s="206" cm="1">
        <f t="array" ref="H93">_xlfn.LET(_xlpm.u,B93,_xlpm.myCnt,COUNTIFS(Application_Status_May!I$2:I$3000,_xlpm.u,Application_Status_May!E$2:E$3000,"App*")+COUNTIFS(Application_Status_May!I$2:I$3000,_xlpm.u,Application_Status_May!E$2:E$3000,"Lease*"),IF(_xlpm.myCnt&gt;0,INDEX(_xlfn._xlws.FILTER(Application_Status_May!J$2:J$3000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46121</v>
      </c>
      <c r="I93" s="206" cm="1">
        <f t="array" ref="I93">_xlfn.LET(_xlpm.u,B93,_xlpm.myCnt,COUNTIFS(Application_Status_May!I$2:I$3000,_xlpm.u,Application_Status_May!E$2:E$3000,"App*")+COUNTIFS(Application_Status_May!I$2:I$3000,_xlpm.u,Application_Status_May!E$2:E$3000,"Lease*"),IF(_xlpm.myCnt&gt;0,INDEX(_xlfn._xlws.FILTER(Application_Status_May!L$2:L$3000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0</v>
      </c>
      <c r="J93" s="206">
        <f>IF(E93&lt;&gt;"Cancelled/Denied","—",_xlfn.LET(_xlpm.u,B93,_xlpm.myC,_xlfn.MAXIFS(Application_Status_May!R$2:R$3000,Application_Status_May!I$2:I$3000,_xlpm.u),_xlpm.myD,_xlfn.MAXIFS(Application_Status_May!S$2:S$3000,Application_Status_May!I$2:I$3000,_xlpm.u),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myC,_xlpm.myD,_xlpm.aC,_xlpm.aD,_xlpm.mC,_xlpm.mD,_xlpm.fC,_xlpm.fD)))</f>
        <v>46136</v>
      </c>
      <c r="K93" s="205" t="str">
        <f t="shared" si="5"/>
        <v>—</v>
      </c>
    </row>
    <row r="94" spans="1:11" ht="14.1" customHeight="1">
      <c r="A94" s="113"/>
      <c r="B94" s="204" t="str">
        <v>N10-3041</v>
      </c>
      <c r="C94" s="204" t="str" cm="1">
        <f t="array" ref="C94">_xlfn.LET(_xlpm.u,B94,_xlpm.myCnt,COUNTIFS(Application_Status_May!I$2:I$3000,_xlpm.u,Application_Status_May!E$2:E$3000,"App*")+COUNTIFS(Application_Status_May!I$2:I$3000,_xlpm.u,Application_Status_May!E$2:E$3000,"Lease*"),IF(_xlpm.myCnt&gt;0,INDEX(_xlfn._xlws.FILTER(Application_Status_May!B$2:B$3000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Seay, John</v>
      </c>
      <c r="D94" s="205" t="str" cm="1">
        <f t="array" ref="D94">_xlfn.LET(_xlpm.u,B94,_xlpm.myCnt,COUNTIFS(Application_Status_May!I$2:I$3000,_xlpm.u,Application_Status_May!E$2:E$3000,"App*")+COUNTIFS(Application_Status_May!I$2:I$3000,_xlpm.u,Application_Status_May!E$2:E$3000,"Lease*"),IF(_xlpm.myCnt&gt;0,INDEX(_xlfn._xlws.FILTER(Application_Status_May!E$2:E$3000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Cancelled</v>
      </c>
      <c r="E94" s="205" t="str">
        <f t="shared" si="4"/>
        <v>Cancelled/Denied</v>
      </c>
      <c r="F94" s="205" t="str" cm="1">
        <f t="array" ref="F94">_xlfn.LET(_xlpm.u,B94,_xlpm.myCnt,COUNTIFS(Application_Status_May!I$2:I$3000,_xlpm.u,Application_Status_May!E$2:E$3000,"App*")+COUNTIFS(Application_Status_May!I$2:I$3000,_xlpm.u,Application_Status_May!E$2:E$3000,"Lease*"),IF(_xlpm.myCnt&gt;0,INDEX(_xlfn._xlws.FILTER(Application_Status_May!F$2:F$3000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HOUSE, HOUSE</v>
      </c>
      <c r="G94" s="205" t="str" cm="1">
        <f t="array" ref="G94">_xlfn.LET(_xlpm.u,B94,_xlpm.myCnt,COUNTIFS(Application_Status_May!I$2:I$3000,_xlpm.u,Application_Status_May!E$2:E$3000,"App*")+COUNTIFS(Application_Status_May!I$2:I$3000,_xlpm.u,Application_Status_May!E$2:E$3000,"Lease*"),IF(_xlpm.myCnt&gt;0,INDEX(_xlfn._xlws.FILTER(Application_Status_May!H$2:H$3000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Website</v>
      </c>
      <c r="H94" s="206" cm="1">
        <f t="array" ref="H94">_xlfn.LET(_xlpm.u,B94,_xlpm.myCnt,COUNTIFS(Application_Status_May!I$2:I$3000,_xlpm.u,Application_Status_May!E$2:E$3000,"App*")+COUNTIFS(Application_Status_May!I$2:I$3000,_xlpm.u,Application_Status_May!E$2:E$3000,"Lease*"),IF(_xlpm.myCnt&gt;0,INDEX(_xlfn._xlws.FILTER(Application_Status_May!J$2:J$3000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46142</v>
      </c>
      <c r="I94" s="206" cm="1">
        <f t="array" ref="I94">_xlfn.LET(_xlpm.u,B94,_xlpm.myCnt,COUNTIFS(Application_Status_May!I$2:I$3000,_xlpm.u,Application_Status_May!E$2:E$3000,"App*")+COUNTIFS(Application_Status_May!I$2:I$3000,_xlpm.u,Application_Status_May!E$2:E$3000,"Lease*"),IF(_xlpm.myCnt&gt;0,INDEX(_xlfn._xlws.FILTER(Application_Status_May!L$2:L$3000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0</v>
      </c>
      <c r="J94" s="206">
        <f>IF(E94&lt;&gt;"Cancelled/Denied","—",_xlfn.LET(_xlpm.u,B94,_xlpm.myC,_xlfn.MAXIFS(Application_Status_May!R$2:R$3000,Application_Status_May!I$2:I$3000,_xlpm.u),_xlpm.myD,_xlfn.MAXIFS(Application_Status_May!S$2:S$3000,Application_Status_May!I$2:I$3000,_xlpm.u),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myC,_xlpm.myD,_xlpm.aC,_xlpm.aD,_xlpm.mC,_xlpm.mD,_xlpm.fC,_xlpm.fD)))</f>
        <v>46158</v>
      </c>
      <c r="K94" s="205" t="str">
        <f t="shared" si="5"/>
        <v>—</v>
      </c>
    </row>
    <row r="95" spans="1:11" ht="14.1" customHeight="1">
      <c r="A95" s="113"/>
      <c r="B95" s="204" t="str">
        <v>N12-2047</v>
      </c>
      <c r="C95" s="204" t="str" cm="1">
        <f t="array" ref="C95">_xlfn.LET(_xlpm.u,B95,_xlpm.myCnt,COUNTIFS(Application_Status_May!I$2:I$3000,_xlpm.u,Application_Status_May!E$2:E$3000,"App*")+COUNTIFS(Application_Status_May!I$2:I$3000,_xlpm.u,Application_Status_May!E$2:E$3000,"Lease*"),IF(_xlpm.myCnt&gt;0,INDEX(_xlfn._xlws.FILTER(Application_Status_May!B$2:B$3000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Hallcy, Nicholas</v>
      </c>
      <c r="D95" s="205" t="str" cm="1">
        <f t="array" ref="D95">_xlfn.LET(_xlpm.u,B95,_xlpm.myCnt,COUNTIFS(Application_Status_May!I$2:I$3000,_xlpm.u,Application_Status_May!E$2:E$3000,"App*")+COUNTIFS(Application_Status_May!I$2:I$3000,_xlpm.u,Application_Status_May!E$2:E$3000,"Lease*"),IF(_xlpm.myCnt&gt;0,INDEX(_xlfn._xlws.FILTER(Application_Status_May!E$2:E$3000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Cancelled</v>
      </c>
      <c r="E95" s="205" t="str">
        <f t="shared" si="4"/>
        <v>Cancelled/Denied</v>
      </c>
      <c r="F95" s="205" t="str" cm="1">
        <f t="array" ref="F95">_xlfn.LET(_xlpm.u,B95,_xlpm.myCnt,COUNTIFS(Application_Status_May!I$2:I$3000,_xlpm.u,Application_Status_May!E$2:E$3000,"App*")+COUNTIFS(Application_Status_May!I$2:I$3000,_xlpm.u,Application_Status_May!E$2:E$3000,"Lease*"),IF(_xlpm.myCnt&gt;0,INDEX(_xlfn._xlws.FILTER(Application_Status_May!F$2:F$3000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Elise, Meet</v>
      </c>
      <c r="G95" s="205" t="str" cm="1">
        <f t="array" ref="G95">_xlfn.LET(_xlpm.u,B95,_xlpm.myCnt,COUNTIFS(Application_Status_May!I$2:I$3000,_xlpm.u,Application_Status_May!E$2:E$3000,"App*")+COUNTIFS(Application_Status_May!I$2:I$3000,_xlpm.u,Application_Status_May!E$2:E$3000,"Lease*"),IF(_xlpm.myCnt&gt;0,INDEX(_xlfn._xlws.FILTER(Application_Status_May!H$2:H$3000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Apartments.com</v>
      </c>
      <c r="H95" s="206" cm="1">
        <f t="array" ref="H95">_xlfn.LET(_xlpm.u,B95,_xlpm.myCnt,COUNTIFS(Application_Status_May!I$2:I$3000,_xlpm.u,Application_Status_May!E$2:E$3000,"App*")+COUNTIFS(Application_Status_May!I$2:I$3000,_xlpm.u,Application_Status_May!E$2:E$3000,"Lease*"),IF(_xlpm.myCnt&gt;0,INDEX(_xlfn._xlws.FILTER(Application_Status_May!J$2:J$3000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46098</v>
      </c>
      <c r="I95" s="206" cm="1">
        <f t="array" ref="I95">_xlfn.LET(_xlpm.u,B95,_xlpm.myCnt,COUNTIFS(Application_Status_May!I$2:I$3000,_xlpm.u,Application_Status_May!E$2:E$3000,"App*")+COUNTIFS(Application_Status_May!I$2:I$3000,_xlpm.u,Application_Status_May!E$2:E$3000,"Lease*"),IF(_xlpm.myCnt&gt;0,INDEX(_xlfn._xlws.FILTER(Application_Status_May!L$2:L$3000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0</v>
      </c>
      <c r="J95" s="206">
        <f>IF(E95&lt;&gt;"Cancelled/Denied","—",_xlfn.LET(_xlpm.u,B95,_xlpm.myC,_xlfn.MAXIFS(Application_Status_May!R$2:R$3000,Application_Status_May!I$2:I$3000,_xlpm.u),_xlpm.myD,_xlfn.MAXIFS(Application_Status_May!S$2:S$3000,Application_Status_May!I$2:I$3000,_xlpm.u),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myC,_xlpm.myD,_xlpm.aC,_xlpm.aD,_xlpm.mC,_xlpm.mD,_xlpm.fC,_xlpm.fD)))</f>
        <v>46114</v>
      </c>
      <c r="K95" s="205" t="str">
        <f t="shared" si="5"/>
        <v>—</v>
      </c>
    </row>
    <row r="96" spans="1:11" ht="14.1" customHeight="1">
      <c r="A96" s="113"/>
      <c r="B96" s="204" t="str">
        <v>N12-2048</v>
      </c>
      <c r="C96" s="204" t="str" cm="1">
        <f t="array" ref="C96">_xlfn.LET(_xlpm.u,B96,_xlpm.myCnt,COUNTIFS(Application_Status_May!I$2:I$3000,_xlpm.u,Application_Status_May!E$2:E$3000,"App*")+COUNTIFS(Application_Status_May!I$2:I$3000,_xlpm.u,Application_Status_May!E$2:E$3000,"Lease*"),IF(_xlpm.myCnt&gt;0,INDEX(_xlfn._xlws.FILTER(Application_Status_May!B$2:B$3000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Chinchilla, Claudia</v>
      </c>
      <c r="D96" s="205" t="str" cm="1">
        <f t="array" ref="D96">_xlfn.LET(_xlpm.u,B96,_xlpm.myCnt,COUNTIFS(Application_Status_May!I$2:I$3000,_xlpm.u,Application_Status_May!E$2:E$3000,"App*")+COUNTIFS(Application_Status_May!I$2:I$3000,_xlpm.u,Application_Status_May!E$2:E$3000,"Lease*"),IF(_xlpm.myCnt&gt;0,INDEX(_xlfn._xlws.FILTER(Application_Status_May!E$2:E$3000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Lease: Approved</v>
      </c>
      <c r="E96" s="205" t="str">
        <f t="shared" si="4"/>
        <v>Converted</v>
      </c>
      <c r="F96" s="205" t="str" cm="1">
        <f t="array" ref="F96">_xlfn.LET(_xlpm.u,B96,_xlpm.myCnt,COUNTIFS(Application_Status_May!I$2:I$3000,_xlpm.u,Application_Status_May!E$2:E$3000,"App*")+COUNTIFS(Application_Status_May!I$2:I$3000,_xlpm.u,Application_Status_May!E$2:E$3000,"Lease*"),IF(_xlpm.myCnt&gt;0,INDEX(_xlfn._xlws.FILTER(Application_Status_May!F$2:F$3000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Martinez, Emily</v>
      </c>
      <c r="G96" s="205" t="str" cm="1">
        <f t="array" ref="G96">_xlfn.LET(_xlpm.u,B96,_xlpm.myCnt,COUNTIFS(Application_Status_May!I$2:I$3000,_xlpm.u,Application_Status_May!E$2:E$3000,"App*")+COUNTIFS(Application_Status_May!I$2:I$3000,_xlpm.u,Application_Status_May!E$2:E$3000,"Lease*"),IF(_xlpm.myCnt&gt;0,INDEX(_xlfn._xlws.FILTER(Application_Status_May!H$2:H$3000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Website</v>
      </c>
      <c r="H96" s="206" cm="1">
        <f t="array" ref="H96">_xlfn.LET(_xlpm.u,B96,_xlpm.myCnt,COUNTIFS(Application_Status_May!I$2:I$3000,_xlpm.u,Application_Status_May!E$2:E$3000,"App*")+COUNTIFS(Application_Status_May!I$2:I$3000,_xlpm.u,Application_Status_May!E$2:E$3000,"Lease*"),IF(_xlpm.myCnt&gt;0,INDEX(_xlfn._xlws.FILTER(Application_Status_May!J$2:J$3000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46081</v>
      </c>
      <c r="I96" s="206" cm="1">
        <f t="array" ref="I96">_xlfn.LET(_xlpm.u,B96,_xlpm.myCnt,COUNTIFS(Application_Status_May!I$2:I$3000,_xlpm.u,Application_Status_May!E$2:E$3000,"App*")+COUNTIFS(Application_Status_May!I$2:I$3000,_xlpm.u,Application_Status_May!E$2:E$3000,"Lease*"),IF(_xlpm.myCnt&gt;0,INDEX(_xlfn._xlws.FILTER(Application_Status_May!L$2:L$3000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46081</v>
      </c>
      <c r="J96" s="206" t="str">
        <f>IF(E96&lt;&gt;"Cancelled/Denied","—",_xlfn.LET(_xlpm.u,B96,_xlpm.myC,_xlfn.MAXIFS(Application_Status_May!R$2:R$3000,Application_Status_May!I$2:I$3000,_xlpm.u),_xlpm.myD,_xlfn.MAXIFS(Application_Status_May!S$2:S$3000,Application_Status_May!I$2:I$3000,_xlpm.u),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myC,_xlpm.myD,_xlpm.aC,_xlpm.aD,_xlpm.mC,_xlpm.mD,_xlpm.fC,_xlpm.fD)))</f>
        <v>—</v>
      </c>
      <c r="K96" s="205" t="str">
        <f t="shared" si="5"/>
        <v>—</v>
      </c>
    </row>
    <row r="97" spans="1:11" ht="14.1" customHeight="1">
      <c r="A97" s="113"/>
      <c r="B97" s="204" t="str">
        <v>N12-3049</v>
      </c>
      <c r="C97" s="204" t="str" cm="1">
        <f t="array" ref="C97">_xlfn.LET(_xlpm.u,B97,_xlpm.myCnt,COUNTIFS(Application_Status_May!I$2:I$3000,_xlpm.u,Application_Status_May!E$2:E$3000,"App*")+COUNTIFS(Application_Status_May!I$2:I$3000,_xlpm.u,Application_Status_May!E$2:E$3000,"Lease*"),IF(_xlpm.myCnt&gt;0,INDEX(_xlfn._xlws.FILTER(Application_Status_May!B$2:B$3000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Phuong Nhor, Sreylenh</v>
      </c>
      <c r="D97" s="205" t="str" cm="1">
        <f t="array" ref="D97">_xlfn.LET(_xlpm.u,B97,_xlpm.myCnt,COUNTIFS(Application_Status_May!I$2:I$3000,_xlpm.u,Application_Status_May!E$2:E$3000,"App*")+COUNTIFS(Application_Status_May!I$2:I$3000,_xlpm.u,Application_Status_May!E$2:E$3000,"Lease*"),IF(_xlpm.myCnt&gt;0,INDEX(_xlfn._xlws.FILTER(Application_Status_May!E$2:E$3000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Cancelled</v>
      </c>
      <c r="E97" s="205" t="str">
        <f t="shared" si="4"/>
        <v>Cancelled/Denied</v>
      </c>
      <c r="F97" s="205" t="str" cm="1">
        <f t="array" ref="F97">_xlfn.LET(_xlpm.u,B97,_xlpm.myCnt,COUNTIFS(Application_Status_May!I$2:I$3000,_xlpm.u,Application_Status_May!E$2:E$3000,"App*")+COUNTIFS(Application_Status_May!I$2:I$3000,_xlpm.u,Application_Status_May!E$2:E$3000,"Lease*"),IF(_xlpm.myCnt&gt;0,INDEX(_xlfn._xlws.FILTER(Application_Status_May!F$2:F$3000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Gabehart, Jamey</v>
      </c>
      <c r="G97" s="205" t="str" cm="1">
        <f t="array" ref="G97">_xlfn.LET(_xlpm.u,B97,_xlpm.myCnt,COUNTIFS(Application_Status_May!I$2:I$3000,_xlpm.u,Application_Status_May!E$2:E$3000,"App*")+COUNTIFS(Application_Status_May!I$2:I$3000,_xlpm.u,Application_Status_May!E$2:E$3000,"Lease*"),IF(_xlpm.myCnt&gt;0,INDEX(_xlfn._xlws.FILTER(Application_Status_May!H$2:H$3000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Website</v>
      </c>
      <c r="H97" s="206" cm="1">
        <f t="array" ref="H97">_xlfn.LET(_xlpm.u,B97,_xlpm.myCnt,COUNTIFS(Application_Status_May!I$2:I$3000,_xlpm.u,Application_Status_May!E$2:E$3000,"App*")+COUNTIFS(Application_Status_May!I$2:I$3000,_xlpm.u,Application_Status_May!E$2:E$3000,"Lease*"),IF(_xlpm.myCnt&gt;0,INDEX(_xlfn._xlws.FILTER(Application_Status_May!J$2:J$3000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46096</v>
      </c>
      <c r="I97" s="206" cm="1">
        <f t="array" ref="I97">_xlfn.LET(_xlpm.u,B97,_xlpm.myCnt,COUNTIFS(Application_Status_May!I$2:I$3000,_xlpm.u,Application_Status_May!E$2:E$3000,"App*")+COUNTIFS(Application_Status_May!I$2:I$3000,_xlpm.u,Application_Status_May!E$2:E$3000,"Lease*"),IF(_xlpm.myCnt&gt;0,INDEX(_xlfn._xlws.FILTER(Application_Status_May!L$2:L$3000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46100</v>
      </c>
      <c r="J97" s="206">
        <f>IF(E97&lt;&gt;"Cancelled/Denied","—",_xlfn.LET(_xlpm.u,B97,_xlpm.myC,_xlfn.MAXIFS(Application_Status_May!R$2:R$3000,Application_Status_May!I$2:I$3000,_xlpm.u),_xlpm.myD,_xlfn.MAXIFS(Application_Status_May!S$2:S$3000,Application_Status_May!I$2:I$3000,_xlpm.u),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myC,_xlpm.myD,_xlpm.aC,_xlpm.aD,_xlpm.mC,_xlpm.mD,_xlpm.fC,_xlpm.fD)))</f>
        <v>46139</v>
      </c>
      <c r="K97" s="205" t="str">
        <f t="shared" si="5"/>
        <v>—</v>
      </c>
    </row>
    <row r="98" spans="1:11" ht="14.1" customHeight="1">
      <c r="A98" s="113"/>
      <c r="B98" s="204" t="str">
        <v>N13-1056</v>
      </c>
      <c r="C98" s="204" t="str" cm="1">
        <f t="array" ref="C98">_xlfn.LET(_xlpm.u,B98,_xlpm.myCnt,COUNTIFS(Application_Status_May!I$2:I$3000,_xlpm.u,Application_Status_May!E$2:E$3000,"App*")+COUNTIFS(Application_Status_May!I$2:I$3000,_xlpm.u,Application_Status_May!E$2:E$3000,"Lease*"),IF(_xlpm.myCnt&gt;0,INDEX(_xlfn._xlws.FILTER(Application_Status_May!B$2:B$3000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Ortiz, Joel</v>
      </c>
      <c r="D98" s="205" t="str" cm="1">
        <f t="array" ref="D98">_xlfn.LET(_xlpm.u,B98,_xlpm.myCnt,COUNTIFS(Application_Status_May!I$2:I$3000,_xlpm.u,Application_Status_May!E$2:E$3000,"App*")+COUNTIFS(Application_Status_May!I$2:I$3000,_xlpm.u,Application_Status_May!E$2:E$3000,"Lease*"),IF(_xlpm.myCnt&gt;0,INDEX(_xlfn._xlws.FILTER(Application_Status_May!E$2:E$3000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Started</v>
      </c>
      <c r="E98" s="205" t="str">
        <f t="shared" si="4"/>
        <v>Incomplete</v>
      </c>
      <c r="F98" s="205" t="str" cm="1">
        <f t="array" ref="F98">_xlfn.LET(_xlpm.u,B98,_xlpm.myCnt,COUNTIFS(Application_Status_May!I$2:I$3000,_xlpm.u,Application_Status_May!E$2:E$3000,"App*")+COUNTIFS(Application_Status_May!I$2:I$3000,_xlpm.u,Application_Status_May!E$2:E$3000,"Lease*"),IF(_xlpm.myCnt&gt;0,INDEX(_xlfn._xlws.FILTER(Application_Status_May!F$2:F$3000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HOUSE, HOUSE</v>
      </c>
      <c r="G98" s="205" t="str" cm="1">
        <f t="array" ref="G98">_xlfn.LET(_xlpm.u,B98,_xlpm.myCnt,COUNTIFS(Application_Status_May!I$2:I$3000,_xlpm.u,Application_Status_May!E$2:E$3000,"App*")+COUNTIFS(Application_Status_May!I$2:I$3000,_xlpm.u,Application_Status_May!E$2:E$3000,"Lease*"),IF(_xlpm.myCnt&gt;0,INDEX(_xlfn._xlws.FILTER(Application_Status_May!H$2:H$3000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Website</v>
      </c>
      <c r="H98" s="206" cm="1">
        <f t="array" ref="H98">_xlfn.LET(_xlpm.u,B98,_xlpm.myCnt,COUNTIFS(Application_Status_May!I$2:I$3000,_xlpm.u,Application_Status_May!E$2:E$3000,"App*")+COUNTIFS(Application_Status_May!I$2:I$3000,_xlpm.u,Application_Status_May!E$2:E$3000,"Lease*"),IF(_xlpm.myCnt&gt;0,INDEX(_xlfn._xlws.FILTER(Application_Status_May!J$2:J$3000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46159</v>
      </c>
      <c r="I98" s="206" cm="1">
        <f t="array" ref="I98">_xlfn.LET(_xlpm.u,B98,_xlpm.myCnt,COUNTIFS(Application_Status_May!I$2:I$3000,_xlpm.u,Application_Status_May!E$2:E$3000,"App*")+COUNTIFS(Application_Status_May!I$2:I$3000,_xlpm.u,Application_Status_May!E$2:E$3000,"Lease*"),IF(_xlpm.myCnt&gt;0,INDEX(_xlfn._xlws.FILTER(Application_Status_May!L$2:L$3000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0</v>
      </c>
      <c r="J98" s="206" t="str">
        <f>IF(E98&lt;&gt;"Cancelled/Denied","—",_xlfn.LET(_xlpm.u,B98,_xlpm.myC,_xlfn.MAXIFS(Application_Status_May!R$2:R$3000,Application_Status_May!I$2:I$3000,_xlpm.u),_xlpm.myD,_xlfn.MAXIFS(Application_Status_May!S$2:S$3000,Application_Status_May!I$2:I$3000,_xlpm.u),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myC,_xlpm.myD,_xlpm.aC,_xlpm.aD,_xlpm.mC,_xlpm.mD,_xlpm.fC,_xlpm.fD)))</f>
        <v>—</v>
      </c>
      <c r="K98" s="205">
        <f t="shared" si="5"/>
        <v>85</v>
      </c>
    </row>
    <row r="99" spans="1:11" ht="14.1" customHeight="1">
      <c r="A99" s="113"/>
      <c r="B99" s="204" t="str">
        <v>N14-1063</v>
      </c>
      <c r="C99" s="204" t="str" cm="1">
        <f t="array" ref="C99">_xlfn.LET(_xlpm.u,B99,_xlpm.myCnt,COUNTIFS(Application_Status_May!I$2:I$3000,_xlpm.u,Application_Status_May!E$2:E$3000,"App*")+COUNTIFS(Application_Status_May!I$2:I$3000,_xlpm.u,Application_Status_May!E$2:E$3000,"Lease*"),IF(_xlpm.myCnt&gt;0,INDEX(_xlfn._xlws.FILTER(Application_Status_May!B$2:B$3000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Harvey, Jeremy</v>
      </c>
      <c r="D99" s="205" t="str" cm="1">
        <f t="array" ref="D99">_xlfn.LET(_xlpm.u,B99,_xlpm.myCnt,COUNTIFS(Application_Status_May!I$2:I$3000,_xlpm.u,Application_Status_May!E$2:E$3000,"App*")+COUNTIFS(Application_Status_May!I$2:I$3000,_xlpm.u,Application_Status_May!E$2:E$3000,"Lease*"),IF(_xlpm.myCnt&gt;0,INDEX(_xlfn._xlws.FILTER(Application_Status_May!E$2:E$3000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Started</v>
      </c>
      <c r="E99" s="205" t="str">
        <f t="shared" si="4"/>
        <v>Incomplete</v>
      </c>
      <c r="F99" s="205" t="str" cm="1">
        <f t="array" ref="F99">_xlfn.LET(_xlpm.u,B99,_xlpm.myCnt,COUNTIFS(Application_Status_May!I$2:I$3000,_xlpm.u,Application_Status_May!E$2:E$3000,"App*")+COUNTIFS(Application_Status_May!I$2:I$3000,_xlpm.u,Application_Status_May!E$2:E$3000,"Lease*"),IF(_xlpm.myCnt&gt;0,INDEX(_xlfn._xlws.FILTER(Application_Status_May!F$2:F$3000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Elise, Meet</v>
      </c>
      <c r="G99" s="205" t="str" cm="1">
        <f t="array" ref="G99">_xlfn.LET(_xlpm.u,B99,_xlpm.myCnt,COUNTIFS(Application_Status_May!I$2:I$3000,_xlpm.u,Application_Status_May!E$2:E$3000,"App*")+COUNTIFS(Application_Status_May!I$2:I$3000,_xlpm.u,Application_Status_May!E$2:E$3000,"Lease*"),IF(_xlpm.myCnt&gt;0,INDEX(_xlfn._xlws.FILTER(Application_Status_May!H$2:H$3000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Website</v>
      </c>
      <c r="H99" s="206" cm="1">
        <f t="array" ref="H99">_xlfn.LET(_xlpm.u,B99,_xlpm.myCnt,COUNTIFS(Application_Status_May!I$2:I$3000,_xlpm.u,Application_Status_May!E$2:E$3000,"App*")+COUNTIFS(Application_Status_May!I$2:I$3000,_xlpm.u,Application_Status_May!E$2:E$3000,"Lease*"),IF(_xlpm.myCnt&gt;0,INDEX(_xlfn._xlws.FILTER(Application_Status_May!J$2:J$3000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46161</v>
      </c>
      <c r="I99" s="206" cm="1">
        <f t="array" ref="I99">_xlfn.LET(_xlpm.u,B99,_xlpm.myCnt,COUNTIFS(Application_Status_May!I$2:I$3000,_xlpm.u,Application_Status_May!E$2:E$3000,"App*")+COUNTIFS(Application_Status_May!I$2:I$3000,_xlpm.u,Application_Status_May!E$2:E$3000,"Lease*"),IF(_xlpm.myCnt&gt;0,INDEX(_xlfn._xlws.FILTER(Application_Status_May!L$2:L$3000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0</v>
      </c>
      <c r="J99" s="206" t="str">
        <f>IF(E99&lt;&gt;"Cancelled/Denied","—",_xlfn.LET(_xlpm.u,B99,_xlpm.myC,_xlfn.MAXIFS(Application_Status_May!R$2:R$3000,Application_Status_May!I$2:I$3000,_xlpm.u),_xlpm.myD,_xlfn.MAXIFS(Application_Status_May!S$2:S$3000,Application_Status_May!I$2:I$3000,_xlpm.u),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myC,_xlpm.myD,_xlpm.aC,_xlpm.aD,_xlpm.mC,_xlpm.mD,_xlpm.fC,_xlpm.fD)))</f>
        <v>—</v>
      </c>
      <c r="K99" s="205">
        <f t="shared" si="5"/>
        <v>83</v>
      </c>
    </row>
    <row r="100" spans="1:11" ht="14.1" customHeight="1">
      <c r="A100" s="113"/>
      <c r="B100" s="204" t="str">
        <v>N14-2058</v>
      </c>
      <c r="C100" s="204" t="str" cm="1">
        <f t="array" ref="C100">_xlfn.LET(_xlpm.u,B100,_xlpm.myCnt,COUNTIFS(Application_Status_May!I$2:I$3000,_xlpm.u,Application_Status_May!E$2:E$3000,"App*")+COUNTIFS(Application_Status_May!I$2:I$3000,_xlpm.u,Application_Status_May!E$2:E$3000,"Lease*"),IF(_xlpm.myCnt&gt;0,INDEX(_xlfn._xlws.FILTER(Application_Status_May!B$2:B$3000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Simpson, Sinatra</v>
      </c>
      <c r="D100" s="205" t="str" cm="1">
        <f t="array" ref="D100">_xlfn.LET(_xlpm.u,B100,_xlpm.myCnt,COUNTIFS(Application_Status_May!I$2:I$3000,_xlpm.u,Application_Status_May!E$2:E$3000,"App*")+COUNTIFS(Application_Status_May!I$2:I$3000,_xlpm.u,Application_Status_May!E$2:E$3000,"Lease*"),IF(_xlpm.myCnt&gt;0,INDEX(_xlfn._xlws.FILTER(Application_Status_May!E$2:E$3000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Started</v>
      </c>
      <c r="E100" s="205" t="str">
        <f t="shared" si="4"/>
        <v>Incomplete</v>
      </c>
      <c r="F100" s="205" t="str" cm="1">
        <f t="array" ref="F100">_xlfn.LET(_xlpm.u,B100,_xlpm.myCnt,COUNTIFS(Application_Status_May!I$2:I$3000,_xlpm.u,Application_Status_May!E$2:E$3000,"App*")+COUNTIFS(Application_Status_May!I$2:I$3000,_xlpm.u,Application_Status_May!E$2:E$3000,"Lease*"),IF(_xlpm.myCnt&gt;0,INDEX(_xlfn._xlws.FILTER(Application_Status_May!F$2:F$3000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HOUSE, HOUSE</v>
      </c>
      <c r="G100" s="205" t="str" cm="1">
        <f t="array" ref="G100">_xlfn.LET(_xlpm.u,B100,_xlpm.myCnt,COUNTIFS(Application_Status_May!I$2:I$3000,_xlpm.u,Application_Status_May!E$2:E$3000,"App*")+COUNTIFS(Application_Status_May!I$2:I$3000,_xlpm.u,Application_Status_May!E$2:E$3000,"Lease*"),IF(_xlpm.myCnt&gt;0,INDEX(_xlfn._xlws.FILTER(Application_Status_May!H$2:H$3000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Apartments.com</v>
      </c>
      <c r="H100" s="206" cm="1">
        <f t="array" ref="H100">_xlfn.LET(_xlpm.u,B100,_xlpm.myCnt,COUNTIFS(Application_Status_May!I$2:I$3000,_xlpm.u,Application_Status_May!E$2:E$3000,"App*")+COUNTIFS(Application_Status_May!I$2:I$3000,_xlpm.u,Application_Status_May!E$2:E$3000,"Lease*"),IF(_xlpm.myCnt&gt;0,INDEX(_xlfn._xlws.FILTER(Application_Status_May!J$2:J$3000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46162</v>
      </c>
      <c r="I100" s="206" cm="1">
        <f t="array" ref="I100">_xlfn.LET(_xlpm.u,B100,_xlpm.myCnt,COUNTIFS(Application_Status_May!I$2:I$3000,_xlpm.u,Application_Status_May!E$2:E$3000,"App*")+COUNTIFS(Application_Status_May!I$2:I$3000,_xlpm.u,Application_Status_May!E$2:E$3000,"Lease*"),IF(_xlpm.myCnt&gt;0,INDEX(_xlfn._xlws.FILTER(Application_Status_May!L$2:L$3000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0</v>
      </c>
      <c r="J100" s="206" t="str">
        <f>IF(E100&lt;&gt;"Cancelled/Denied","—",_xlfn.LET(_xlpm.u,B100,_xlpm.myC,_xlfn.MAXIFS(Application_Status_May!R$2:R$3000,Application_Status_May!I$2:I$3000,_xlpm.u),_xlpm.myD,_xlfn.MAXIFS(Application_Status_May!S$2:S$3000,Application_Status_May!I$2:I$3000,_xlpm.u),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myC,_xlpm.myD,_xlpm.aC,_xlpm.aD,_xlpm.mC,_xlpm.mD,_xlpm.fC,_xlpm.fD)))</f>
        <v>—</v>
      </c>
      <c r="K100" s="205">
        <f t="shared" si="5"/>
        <v>82</v>
      </c>
    </row>
    <row r="101" spans="1:11" s="109" customFormat="1" ht="14.1" customHeight="1">
      <c r="B101" s="123" t="str">
        <v>N14-2059</v>
      </c>
      <c r="C101" s="204" t="str" cm="1">
        <f t="array" ref="C101">_xlfn.LET(_xlpm.u,B101,_xlpm.myCnt,COUNTIFS(Application_Status_May!I$2:I$3000,_xlpm.u,Application_Status_May!E$2:E$3000,"App*")+COUNTIFS(Application_Status_May!I$2:I$3000,_xlpm.u,Application_Status_May!E$2:E$3000,"Lease*"),IF(_xlpm.myCnt&gt;0,INDEX(_xlfn._xlws.FILTER(Application_Status_May!B$2:B$3000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Watson, Jessie</v>
      </c>
      <c r="D101" s="205" t="str" cm="1">
        <f t="array" ref="D101">_xlfn.LET(_xlpm.u,B101,_xlpm.myCnt,COUNTIFS(Application_Status_May!I$2:I$3000,_xlpm.u,Application_Status_May!E$2:E$3000,"App*")+COUNTIFS(Application_Status_May!I$2:I$3000,_xlpm.u,Application_Status_May!E$2:E$3000,"Lease*"),IF(_xlpm.myCnt&gt;0,INDEX(_xlfn._xlws.FILTER(Application_Status_May!E$2:E$3000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Cancelled</v>
      </c>
      <c r="E101" s="205" t="str">
        <f t="shared" si="4"/>
        <v>Cancelled/Denied</v>
      </c>
      <c r="F101" s="205" t="str" cm="1">
        <f t="array" ref="F101">_xlfn.LET(_xlpm.u,B101,_xlpm.myCnt,COUNTIFS(Application_Status_May!I$2:I$3000,_xlpm.u,Application_Status_May!E$2:E$3000,"App*")+COUNTIFS(Application_Status_May!I$2:I$3000,_xlpm.u,Application_Status_May!E$2:E$3000,"Lease*"),IF(_xlpm.myCnt&gt;0,INDEX(_xlfn._xlws.FILTER(Application_Status_May!F$2:F$3000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Elise, Meet</v>
      </c>
      <c r="G101" s="205" t="str" cm="1">
        <f t="array" ref="G101">_xlfn.LET(_xlpm.u,B101,_xlpm.myCnt,COUNTIFS(Application_Status_May!I$2:I$3000,_xlpm.u,Application_Status_May!E$2:E$3000,"App*")+COUNTIFS(Application_Status_May!I$2:I$3000,_xlpm.u,Application_Status_May!E$2:E$3000,"Lease*"),IF(_xlpm.myCnt&gt;0,INDEX(_xlfn._xlws.FILTER(Application_Status_May!H$2:H$3000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Website</v>
      </c>
      <c r="H101" s="206" cm="1">
        <f t="array" ref="H101">_xlfn.LET(_xlpm.u,B101,_xlpm.myCnt,COUNTIFS(Application_Status_May!I$2:I$3000,_xlpm.u,Application_Status_May!E$2:E$3000,"App*")+COUNTIFS(Application_Status_May!I$2:I$3000,_xlpm.u,Application_Status_May!E$2:E$3000,"Lease*"),IF(_xlpm.myCnt&gt;0,INDEX(_xlfn._xlws.FILTER(Application_Status_May!J$2:J$3000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46022</v>
      </c>
      <c r="I101" s="206" cm="1">
        <f t="array" ref="I101">_xlfn.LET(_xlpm.u,B101,_xlpm.myCnt,COUNTIFS(Application_Status_May!I$2:I$3000,_xlpm.u,Application_Status_May!E$2:E$3000,"App*")+COUNTIFS(Application_Status_May!I$2:I$3000,_xlpm.u,Application_Status_May!E$2:E$3000,"Lease*"),IF(_xlpm.myCnt&gt;0,INDEX(_xlfn._xlws.FILTER(Application_Status_May!L$2:L$3000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0</v>
      </c>
      <c r="J101" s="206">
        <f>IF(E101&lt;&gt;"Cancelled/Denied","—",_xlfn.LET(_xlpm.u,B101,_xlpm.myC,_xlfn.MAXIFS(Application_Status_May!R$2:R$3000,Application_Status_May!I$2:I$3000,_xlpm.u),_xlpm.myD,_xlfn.MAXIFS(Application_Status_May!S$2:S$3000,Application_Status_May!I$2:I$3000,_xlpm.u),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myC,_xlpm.myD,_xlpm.aC,_xlpm.aD,_xlpm.mC,_xlpm.mD,_xlpm.fC,_xlpm.fD)))</f>
        <v>46160</v>
      </c>
      <c r="K101" s="205" t="str">
        <f t="shared" si="5"/>
        <v>—</v>
      </c>
    </row>
    <row r="102" spans="1:11" ht="14.1" customHeight="1">
      <c r="B102" s="204" t="str">
        <v>N14-2060</v>
      </c>
      <c r="C102" s="204" t="str" cm="1">
        <f t="array" ref="C102">_xlfn.LET(_xlpm.u,B102,_xlpm.myCnt,COUNTIFS(Application_Status_May!I$2:I$3000,_xlpm.u,Application_Status_May!E$2:E$3000,"App*")+COUNTIFS(Application_Status_May!I$2:I$3000,_xlpm.u,Application_Status_May!E$2:E$3000,"Lease*"),IF(_xlpm.myCnt&gt;0,INDEX(_xlfn._xlws.FILTER(Application_Status_May!B$2:B$3000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Nguyen, Augustine</v>
      </c>
      <c r="D102" s="205" t="str" cm="1">
        <f t="array" ref="D102">_xlfn.LET(_xlpm.u,B102,_xlpm.myCnt,COUNTIFS(Application_Status_May!I$2:I$3000,_xlpm.u,Application_Status_May!E$2:E$3000,"App*")+COUNTIFS(Application_Status_May!I$2:I$3000,_xlpm.u,Application_Status_May!E$2:E$3000,"Lease*"),IF(_xlpm.myCnt&gt;0,INDEX(_xlfn._xlws.FILTER(Application_Status_May!E$2:E$3000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Lease: Approved</v>
      </c>
      <c r="E102" s="205" t="str">
        <f t="shared" si="4"/>
        <v>Converted</v>
      </c>
      <c r="F102" s="205" t="str" cm="1">
        <f t="array" ref="F102">_xlfn.LET(_xlpm.u,B102,_xlpm.myCnt,COUNTIFS(Application_Status_May!I$2:I$3000,_xlpm.u,Application_Status_May!E$2:E$3000,"App*")+COUNTIFS(Application_Status_May!I$2:I$3000,_xlpm.u,Application_Status_May!E$2:E$3000,"Lease*"),IF(_xlpm.myCnt&gt;0,INDEX(_xlfn._xlws.FILTER(Application_Status_May!F$2:F$3000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Gabehart, Jamey</v>
      </c>
      <c r="G102" s="205" t="str" cm="1">
        <f t="array" ref="G102">_xlfn.LET(_xlpm.u,B102,_xlpm.myCnt,COUNTIFS(Application_Status_May!I$2:I$3000,_xlpm.u,Application_Status_May!E$2:E$3000,"App*")+COUNTIFS(Application_Status_May!I$2:I$3000,_xlpm.u,Application_Status_May!E$2:E$3000,"Lease*"),IF(_xlpm.myCnt&gt;0,INDEX(_xlfn._xlws.FILTER(Application_Status_May!H$2:H$3000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Website</v>
      </c>
      <c r="H102" s="206" cm="1">
        <f t="array" ref="H102">_xlfn.LET(_xlpm.u,B102,_xlpm.myCnt,COUNTIFS(Application_Status_May!I$2:I$3000,_xlpm.u,Application_Status_May!E$2:E$3000,"App*")+COUNTIFS(Application_Status_May!I$2:I$3000,_xlpm.u,Application_Status_May!E$2:E$3000,"Lease*"),IF(_xlpm.myCnt&gt;0,INDEX(_xlfn._xlws.FILTER(Application_Status_May!J$2:J$3000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46130</v>
      </c>
      <c r="I102" s="206" cm="1">
        <f t="array" ref="I102">_xlfn.LET(_xlpm.u,B102,_xlpm.myCnt,COUNTIFS(Application_Status_May!I$2:I$3000,_xlpm.u,Application_Status_May!E$2:E$3000,"App*")+COUNTIFS(Application_Status_May!I$2:I$3000,_xlpm.u,Application_Status_May!E$2:E$3000,"Lease*"),IF(_xlpm.myCnt&gt;0,INDEX(_xlfn._xlws.FILTER(Application_Status_May!L$2:L$3000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46135</v>
      </c>
      <c r="J102" s="206" t="str">
        <f>IF(E102&lt;&gt;"Cancelled/Denied","—",_xlfn.LET(_xlpm.u,B102,_xlpm.myC,_xlfn.MAXIFS(Application_Status_May!R$2:R$3000,Application_Status_May!I$2:I$3000,_xlpm.u),_xlpm.myD,_xlfn.MAXIFS(Application_Status_May!S$2:S$3000,Application_Status_May!I$2:I$3000,_xlpm.u),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myC,_xlpm.myD,_xlpm.aC,_xlpm.aD,_xlpm.mC,_xlpm.mD,_xlpm.fC,_xlpm.fD)))</f>
        <v>—</v>
      </c>
      <c r="K102" s="205" t="str">
        <f t="shared" si="5"/>
        <v>—</v>
      </c>
    </row>
    <row r="103" spans="1:11" ht="14.1" customHeight="1">
      <c r="B103" s="204" t="str">
        <v>N14-3061</v>
      </c>
      <c r="C103" s="204" t="str" cm="1">
        <f t="array" ref="C103">_xlfn.LET(_xlpm.u,B103,_xlpm.myCnt,COUNTIFS(Application_Status_May!I$2:I$3000,_xlpm.u,Application_Status_May!E$2:E$3000,"App*")+COUNTIFS(Application_Status_May!I$2:I$3000,_xlpm.u,Application_Status_May!E$2:E$3000,"Lease*"),IF(_xlpm.myCnt&gt;0,INDEX(_xlfn._xlws.FILTER(Application_Status_May!B$2:B$3000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Manzanares Irias, Dorian</v>
      </c>
      <c r="D103" s="205" t="str" cm="1">
        <f t="array" ref="D103">_xlfn.LET(_xlpm.u,B103,_xlpm.myCnt,COUNTIFS(Application_Status_May!I$2:I$3000,_xlpm.u,Application_Status_May!E$2:E$3000,"App*")+COUNTIFS(Application_Status_May!I$2:I$3000,_xlpm.u,Application_Status_May!E$2:E$3000,"Lease*"),IF(_xlpm.myCnt&gt;0,INDEX(_xlfn._xlws.FILTER(Application_Status_May!E$2:E$3000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Lease: Approved</v>
      </c>
      <c r="E103" s="205" t="str">
        <f t="shared" si="4"/>
        <v>Converted</v>
      </c>
      <c r="F103" s="205" t="str" cm="1">
        <f t="array" ref="F103">_xlfn.LET(_xlpm.u,B103,_xlpm.myCnt,COUNTIFS(Application_Status_May!I$2:I$3000,_xlpm.u,Application_Status_May!E$2:E$3000,"App*")+COUNTIFS(Application_Status_May!I$2:I$3000,_xlpm.u,Application_Status_May!E$2:E$3000,"Lease*"),IF(_xlpm.myCnt&gt;0,INDEX(_xlfn._xlws.FILTER(Application_Status_May!F$2:F$3000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Vazquez, Norma</v>
      </c>
      <c r="G103" s="205" t="str" cm="1">
        <f t="array" ref="G103">_xlfn.LET(_xlpm.u,B103,_xlpm.myCnt,COUNTIFS(Application_Status_May!I$2:I$3000,_xlpm.u,Application_Status_May!E$2:E$3000,"App*")+COUNTIFS(Application_Status_May!I$2:I$3000,_xlpm.u,Application_Status_May!E$2:E$3000,"Lease*"),IF(_xlpm.myCnt&gt;0,INDEX(_xlfn._xlws.FILTER(Application_Status_May!H$2:H$3000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Apartments.com</v>
      </c>
      <c r="H103" s="206" cm="1">
        <f t="array" ref="H103">_xlfn.LET(_xlpm.u,B103,_xlpm.myCnt,COUNTIFS(Application_Status_May!I$2:I$3000,_xlpm.u,Application_Status_May!E$2:E$3000,"App*")+COUNTIFS(Application_Status_May!I$2:I$3000,_xlpm.u,Application_Status_May!E$2:E$3000,"Lease*"),IF(_xlpm.myCnt&gt;0,INDEX(_xlfn._xlws.FILTER(Application_Status_May!J$2:J$3000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46088</v>
      </c>
      <c r="I103" s="206" cm="1">
        <f t="array" ref="I103">_xlfn.LET(_xlpm.u,B103,_xlpm.myCnt,COUNTIFS(Application_Status_May!I$2:I$3000,_xlpm.u,Application_Status_May!E$2:E$3000,"App*")+COUNTIFS(Application_Status_May!I$2:I$3000,_xlpm.u,Application_Status_May!E$2:E$3000,"Lease*"),IF(_xlpm.myCnt&gt;0,INDEX(_xlfn._xlws.FILTER(Application_Status_May!L$2:L$3000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46113</v>
      </c>
      <c r="J103" s="206" t="str">
        <f>IF(E103&lt;&gt;"Cancelled/Denied","—",_xlfn.LET(_xlpm.u,B103,_xlpm.myC,_xlfn.MAXIFS(Application_Status_May!R$2:R$3000,Application_Status_May!I$2:I$3000,_xlpm.u),_xlpm.myD,_xlfn.MAXIFS(Application_Status_May!S$2:S$3000,Application_Status_May!I$2:I$3000,_xlpm.u),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myC,_xlpm.myD,_xlpm.aC,_xlpm.aD,_xlpm.mC,_xlpm.mD,_xlpm.fC,_xlpm.fD)))</f>
        <v>—</v>
      </c>
      <c r="K103" s="205" t="str">
        <f t="shared" si="5"/>
        <v>—</v>
      </c>
    </row>
    <row r="104" spans="1:11" ht="14.1" customHeight="1">
      <c r="B104" s="204" t="str">
        <v>N15-1069</v>
      </c>
      <c r="C104" s="204" t="str" cm="1">
        <f t="array" ref="C104">_xlfn.LET(_xlpm.u,B104,_xlpm.myCnt,COUNTIFS(Application_Status_May!I$2:I$3000,_xlpm.u,Application_Status_May!E$2:E$3000,"App*")+COUNTIFS(Application_Status_May!I$2:I$3000,_xlpm.u,Application_Status_May!E$2:E$3000,"Lease*"),IF(_xlpm.myCnt&gt;0,INDEX(_xlfn._xlws.FILTER(Application_Status_May!B$2:B$3000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Scott, Rejana</v>
      </c>
      <c r="D104" s="205" t="str" cm="1">
        <f t="array" ref="D104">_xlfn.LET(_xlpm.u,B104,_xlpm.myCnt,COUNTIFS(Application_Status_May!I$2:I$3000,_xlpm.u,Application_Status_May!E$2:E$3000,"App*")+COUNTIFS(Application_Status_May!I$2:I$3000,_xlpm.u,Application_Status_May!E$2:E$3000,"Lease*"),IF(_xlpm.myCnt&gt;0,INDEX(_xlfn._xlws.FILTER(Application_Status_May!E$2:E$3000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Cancelled</v>
      </c>
      <c r="E104" s="205" t="str">
        <f t="shared" si="4"/>
        <v>Cancelled/Denied</v>
      </c>
      <c r="F104" s="205" t="str" cm="1">
        <f t="array" ref="F104">_xlfn.LET(_xlpm.u,B104,_xlpm.myCnt,COUNTIFS(Application_Status_May!I$2:I$3000,_xlpm.u,Application_Status_May!E$2:E$3000,"App*")+COUNTIFS(Application_Status_May!I$2:I$3000,_xlpm.u,Application_Status_May!E$2:E$3000,"Lease*"),IF(_xlpm.myCnt&gt;0,INDEX(_xlfn._xlws.FILTER(Application_Status_May!F$2:F$3000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Vazquez, Norma</v>
      </c>
      <c r="G104" s="205" t="str" cm="1">
        <f t="array" ref="G104">_xlfn.LET(_xlpm.u,B104,_xlpm.myCnt,COUNTIFS(Application_Status_May!I$2:I$3000,_xlpm.u,Application_Status_May!E$2:E$3000,"App*")+COUNTIFS(Application_Status_May!I$2:I$3000,_xlpm.u,Application_Status_May!E$2:E$3000,"Lease*"),IF(_xlpm.myCnt&gt;0,INDEX(_xlfn._xlws.FILTER(Application_Status_May!H$2:H$3000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Website</v>
      </c>
      <c r="H104" s="206" cm="1">
        <f t="array" ref="H104">_xlfn.LET(_xlpm.u,B104,_xlpm.myCnt,COUNTIFS(Application_Status_May!I$2:I$3000,_xlpm.u,Application_Status_May!E$2:E$3000,"App*")+COUNTIFS(Application_Status_May!I$2:I$3000,_xlpm.u,Application_Status_May!E$2:E$3000,"Lease*"),IF(_xlpm.myCnt&gt;0,INDEX(_xlfn._xlws.FILTER(Application_Status_May!J$2:J$3000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46122</v>
      </c>
      <c r="I104" s="206" cm="1">
        <f t="array" ref="I104">_xlfn.LET(_xlpm.u,B104,_xlpm.myCnt,COUNTIFS(Application_Status_May!I$2:I$3000,_xlpm.u,Application_Status_May!E$2:E$3000,"App*")+COUNTIFS(Application_Status_May!I$2:I$3000,_xlpm.u,Application_Status_May!E$2:E$3000,"Lease*"),IF(_xlpm.myCnt&gt;0,INDEX(_xlfn._xlws.FILTER(Application_Status_May!L$2:L$3000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46122</v>
      </c>
      <c r="J104" s="206">
        <f>IF(E104&lt;&gt;"Cancelled/Denied","—",_xlfn.LET(_xlpm.u,B104,_xlpm.myC,_xlfn.MAXIFS(Application_Status_May!R$2:R$3000,Application_Status_May!I$2:I$3000,_xlpm.u),_xlpm.myD,_xlfn.MAXIFS(Application_Status_May!S$2:S$3000,Application_Status_May!I$2:I$3000,_xlpm.u),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myC,_xlpm.myD,_xlpm.aC,_xlpm.aD,_xlpm.mC,_xlpm.mD,_xlpm.fC,_xlpm.fD)))</f>
        <v>46128</v>
      </c>
      <c r="K104" s="205" t="str">
        <f t="shared" si="5"/>
        <v>—</v>
      </c>
    </row>
    <row r="105" spans="1:11" ht="14.1" customHeight="1">
      <c r="B105" s="204" t="str">
        <v>N15-2067</v>
      </c>
      <c r="C105" s="204" t="str" cm="1">
        <f t="array" ref="C105">_xlfn.LET(_xlpm.u,B105,_xlpm.myCnt,COUNTIFS(Application_Status_May!I$2:I$3000,_xlpm.u,Application_Status_May!E$2:E$3000,"App*")+COUNTIFS(Application_Status_May!I$2:I$3000,_xlpm.u,Application_Status_May!E$2:E$3000,"Lease*"),IF(_xlpm.myCnt&gt;0,INDEX(_xlfn._xlws.FILTER(Application_Status_May!B$2:B$3000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Munoz, Cecilia</v>
      </c>
      <c r="D105" s="205" t="str" cm="1">
        <f t="array" ref="D105">_xlfn.LET(_xlpm.u,B105,_xlpm.myCnt,COUNTIFS(Application_Status_May!I$2:I$3000,_xlpm.u,Application_Status_May!E$2:E$3000,"App*")+COUNTIFS(Application_Status_May!I$2:I$3000,_xlpm.u,Application_Status_May!E$2:E$3000,"Lease*"),IF(_xlpm.myCnt&gt;0,INDEX(_xlfn._xlws.FILTER(Application_Status_May!E$2:E$3000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Started</v>
      </c>
      <c r="E105" s="205" t="str">
        <f t="shared" si="4"/>
        <v>Incomplete</v>
      </c>
      <c r="F105" s="205" t="str" cm="1">
        <f t="array" ref="F105">_xlfn.LET(_xlpm.u,B105,_xlpm.myCnt,COUNTIFS(Application_Status_May!I$2:I$3000,_xlpm.u,Application_Status_May!E$2:E$3000,"App*")+COUNTIFS(Application_Status_May!I$2:I$3000,_xlpm.u,Application_Status_May!E$2:E$3000,"Lease*"),IF(_xlpm.myCnt&gt;0,INDEX(_xlfn._xlws.FILTER(Application_Status_May!F$2:F$3000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HOUSE, HOUSE</v>
      </c>
      <c r="G105" s="205" t="str" cm="1">
        <f t="array" ref="G105">_xlfn.LET(_xlpm.u,B105,_xlpm.myCnt,COUNTIFS(Application_Status_May!I$2:I$3000,_xlpm.u,Application_Status_May!E$2:E$3000,"App*")+COUNTIFS(Application_Status_May!I$2:I$3000,_xlpm.u,Application_Status_May!E$2:E$3000,"Lease*"),IF(_xlpm.myCnt&gt;0,INDEX(_xlfn._xlws.FILTER(Application_Status_May!H$2:H$3000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Apartment List</v>
      </c>
      <c r="H105" s="206" cm="1">
        <f t="array" ref="H105">_xlfn.LET(_xlpm.u,B105,_xlpm.myCnt,COUNTIFS(Application_Status_May!I$2:I$3000,_xlpm.u,Application_Status_May!E$2:E$3000,"App*")+COUNTIFS(Application_Status_May!I$2:I$3000,_xlpm.u,Application_Status_May!E$2:E$3000,"Lease*"),IF(_xlpm.myCnt&gt;0,INDEX(_xlfn._xlws.FILTER(Application_Status_May!J$2:J$3000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46170</v>
      </c>
      <c r="I105" s="206" cm="1">
        <f t="array" ref="I105">_xlfn.LET(_xlpm.u,B105,_xlpm.myCnt,COUNTIFS(Application_Status_May!I$2:I$3000,_xlpm.u,Application_Status_May!E$2:E$3000,"App*")+COUNTIFS(Application_Status_May!I$2:I$3000,_xlpm.u,Application_Status_May!E$2:E$3000,"Lease*"),IF(_xlpm.myCnt&gt;0,INDEX(_xlfn._xlws.FILTER(Application_Status_May!L$2:L$3000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0</v>
      </c>
      <c r="J105" s="206" t="str">
        <f>IF(E105&lt;&gt;"Cancelled/Denied","—",_xlfn.LET(_xlpm.u,B105,_xlpm.myC,_xlfn.MAXIFS(Application_Status_May!R$2:R$3000,Application_Status_May!I$2:I$3000,_xlpm.u),_xlpm.myD,_xlfn.MAXIFS(Application_Status_May!S$2:S$3000,Application_Status_May!I$2:I$3000,_xlpm.u),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myC,_xlpm.myD,_xlpm.aC,_xlpm.aD,_xlpm.mC,_xlpm.mD,_xlpm.fC,_xlpm.fD)))</f>
        <v>—</v>
      </c>
      <c r="K105" s="205">
        <f t="shared" si="5"/>
        <v>74</v>
      </c>
    </row>
    <row r="106" spans="1:11" ht="14.1" customHeight="1">
      <c r="B106" s="204" t="str">
        <v>N15-3068</v>
      </c>
      <c r="C106" s="204" t="str" cm="1">
        <f t="array" ref="C106">_xlfn.LET(_xlpm.u,B106,_xlpm.myCnt,COUNTIFS(Application_Status_May!I$2:I$3000,_xlpm.u,Application_Status_May!E$2:E$3000,"App*")+COUNTIFS(Application_Status_May!I$2:I$3000,_xlpm.u,Application_Status_May!E$2:E$3000,"Lease*"),IF(_xlpm.myCnt&gt;0,INDEX(_xlfn._xlws.FILTER(Application_Status_May!B$2:B$3000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Simmons, Myleah</v>
      </c>
      <c r="D106" s="205" t="str" cm="1">
        <f t="array" ref="D106">_xlfn.LET(_xlpm.u,B106,_xlpm.myCnt,COUNTIFS(Application_Status_May!I$2:I$3000,_xlpm.u,Application_Status_May!E$2:E$3000,"App*")+COUNTIFS(Application_Status_May!I$2:I$3000,_xlpm.u,Application_Status_May!E$2:E$3000,"Lease*"),IF(_xlpm.myCnt&gt;0,INDEX(_xlfn._xlws.FILTER(Application_Status_May!E$2:E$3000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Lease: Approved</v>
      </c>
      <c r="E106" s="205" t="str">
        <f t="shared" si="4"/>
        <v>Converted</v>
      </c>
      <c r="F106" s="205" t="str" cm="1">
        <f t="array" ref="F106">_xlfn.LET(_xlpm.u,B106,_xlpm.myCnt,COUNTIFS(Application_Status_May!I$2:I$3000,_xlpm.u,Application_Status_May!E$2:E$3000,"App*")+COUNTIFS(Application_Status_May!I$2:I$3000,_xlpm.u,Application_Status_May!E$2:E$3000,"Lease*"),IF(_xlpm.myCnt&gt;0,INDEX(_xlfn._xlws.FILTER(Application_Status_May!F$2:F$3000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Vazquez, Norma</v>
      </c>
      <c r="G106" s="205" t="str" cm="1">
        <f t="array" ref="G106">_xlfn.LET(_xlpm.u,B106,_xlpm.myCnt,COUNTIFS(Application_Status_May!I$2:I$3000,_xlpm.u,Application_Status_May!E$2:E$3000,"App*")+COUNTIFS(Application_Status_May!I$2:I$3000,_xlpm.u,Application_Status_May!E$2:E$3000,"Lease*"),IF(_xlpm.myCnt&gt;0,INDEX(_xlfn._xlws.FILTER(Application_Status_May!H$2:H$3000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Website</v>
      </c>
      <c r="H106" s="206" cm="1">
        <f t="array" ref="H106">_xlfn.LET(_xlpm.u,B106,_xlpm.myCnt,COUNTIFS(Application_Status_May!I$2:I$3000,_xlpm.u,Application_Status_May!E$2:E$3000,"App*")+COUNTIFS(Application_Status_May!I$2:I$3000,_xlpm.u,Application_Status_May!E$2:E$3000,"Lease*"),IF(_xlpm.myCnt&gt;0,INDEX(_xlfn._xlws.FILTER(Application_Status_May!J$2:J$3000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46156</v>
      </c>
      <c r="I106" s="206" cm="1">
        <f t="array" ref="I106">_xlfn.LET(_xlpm.u,B106,_xlpm.myCnt,COUNTIFS(Application_Status_May!I$2:I$3000,_xlpm.u,Application_Status_May!E$2:E$3000,"App*")+COUNTIFS(Application_Status_May!I$2:I$3000,_xlpm.u,Application_Status_May!E$2:E$3000,"Lease*"),IF(_xlpm.myCnt&gt;0,INDEX(_xlfn._xlws.FILTER(Application_Status_May!L$2:L$3000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46169</v>
      </c>
      <c r="J106" s="206" t="str">
        <f>IF(E106&lt;&gt;"Cancelled/Denied","—",_xlfn.LET(_xlpm.u,B106,_xlpm.myC,_xlfn.MAXIFS(Application_Status_May!R$2:R$3000,Application_Status_May!I$2:I$3000,_xlpm.u),_xlpm.myD,_xlfn.MAXIFS(Application_Status_May!S$2:S$3000,Application_Status_May!I$2:I$3000,_xlpm.u),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myC,_xlpm.myD,_xlpm.aC,_xlpm.aD,_xlpm.mC,_xlpm.mD,_xlpm.fC,_xlpm.fD)))</f>
        <v>—</v>
      </c>
      <c r="K106" s="205" t="str">
        <f t="shared" si="5"/>
        <v>—</v>
      </c>
    </row>
    <row r="107" spans="1:11" ht="14.1" customHeight="1">
      <c r="B107" s="204" t="str">
        <v>N16-2070</v>
      </c>
      <c r="C107" s="204" t="str" cm="1">
        <f t="array" ref="C107">_xlfn.LET(_xlpm.u,B107,_xlpm.myCnt,COUNTIFS(Application_Status_May!I$2:I$3000,_xlpm.u,Application_Status_May!E$2:E$3000,"App*")+COUNTIFS(Application_Status_May!I$2:I$3000,_xlpm.u,Application_Status_May!E$2:E$3000,"Lease*"),IF(_xlpm.myCnt&gt;0,INDEX(_xlfn._xlws.FILTER(Application_Status_May!B$2:B$3000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Hinkel, August</v>
      </c>
      <c r="D107" s="205" t="str" cm="1">
        <f t="array" ref="D107">_xlfn.LET(_xlpm.u,B107,_xlpm.myCnt,COUNTIFS(Application_Status_May!I$2:I$3000,_xlpm.u,Application_Status_May!E$2:E$3000,"App*")+COUNTIFS(Application_Status_May!I$2:I$3000,_xlpm.u,Application_Status_May!E$2:E$3000,"Lease*"),IF(_xlpm.myCnt&gt;0,INDEX(_xlfn._xlws.FILTER(Application_Status_May!E$2:E$3000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Cancelled</v>
      </c>
      <c r="E107" s="205" t="str">
        <f t="shared" si="4"/>
        <v>Cancelled/Denied</v>
      </c>
      <c r="F107" s="205" t="str" cm="1">
        <f t="array" ref="F107">_xlfn.LET(_xlpm.u,B107,_xlpm.myCnt,COUNTIFS(Application_Status_May!I$2:I$3000,_xlpm.u,Application_Status_May!E$2:E$3000,"App*")+COUNTIFS(Application_Status_May!I$2:I$3000,_xlpm.u,Application_Status_May!E$2:E$3000,"Lease*"),IF(_xlpm.myCnt&gt;0,INDEX(_xlfn._xlws.FILTER(Application_Status_May!F$2:F$3000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Elise, Meet</v>
      </c>
      <c r="G107" s="205" t="str" cm="1">
        <f t="array" ref="G107">_xlfn.LET(_xlpm.u,B107,_xlpm.myCnt,COUNTIFS(Application_Status_May!I$2:I$3000,_xlpm.u,Application_Status_May!E$2:E$3000,"App*")+COUNTIFS(Application_Status_May!I$2:I$3000,_xlpm.u,Application_Status_May!E$2:E$3000,"Lease*"),IF(_xlpm.myCnt&gt;0,INDEX(_xlfn._xlws.FILTER(Application_Status_May!H$2:H$3000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Apartments.com</v>
      </c>
      <c r="H107" s="206" cm="1">
        <f t="array" ref="H107">_xlfn.LET(_xlpm.u,B107,_xlpm.myCnt,COUNTIFS(Application_Status_May!I$2:I$3000,_xlpm.u,Application_Status_May!E$2:E$3000,"App*")+COUNTIFS(Application_Status_May!I$2:I$3000,_xlpm.u,Application_Status_May!E$2:E$3000,"Lease*"),IF(_xlpm.myCnt&gt;0,INDEX(_xlfn._xlws.FILTER(Application_Status_May!J$2:J$3000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46066</v>
      </c>
      <c r="I107" s="206" cm="1">
        <f t="array" ref="I107">_xlfn.LET(_xlpm.u,B107,_xlpm.myCnt,COUNTIFS(Application_Status_May!I$2:I$3000,_xlpm.u,Application_Status_May!E$2:E$3000,"App*")+COUNTIFS(Application_Status_May!I$2:I$3000,_xlpm.u,Application_Status_May!E$2:E$3000,"Lease*"),IF(_xlpm.myCnt&gt;0,INDEX(_xlfn._xlws.FILTER(Application_Status_May!L$2:L$3000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0</v>
      </c>
      <c r="J107" s="206">
        <f>IF(E107&lt;&gt;"Cancelled/Denied","—",_xlfn.LET(_xlpm.u,B107,_xlpm.myC,_xlfn.MAXIFS(Application_Status_May!R$2:R$3000,Application_Status_May!I$2:I$3000,_xlpm.u),_xlpm.myD,_xlfn.MAXIFS(Application_Status_May!S$2:S$3000,Application_Status_May!I$2:I$3000,_xlpm.u),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myC,_xlpm.myD,_xlpm.aC,_xlpm.aD,_xlpm.mC,_xlpm.mD,_xlpm.fC,_xlpm.fD)))</f>
        <v>46116</v>
      </c>
      <c r="K107" s="205" t="str">
        <f t="shared" si="5"/>
        <v>—</v>
      </c>
    </row>
    <row r="108" spans="1:11" ht="14.1" customHeight="1">
      <c r="B108" s="204" t="str">
        <v>N16-2071</v>
      </c>
      <c r="C108" s="204" t="str" cm="1">
        <f t="array" ref="C108">_xlfn.LET(_xlpm.u,B108,_xlpm.myCnt,COUNTIFS(Application_Status_May!I$2:I$3000,_xlpm.u,Application_Status_May!E$2:E$3000,"App*")+COUNTIFS(Application_Status_May!I$2:I$3000,_xlpm.u,Application_Status_May!E$2:E$3000,"Lease*"),IF(_xlpm.myCnt&gt;0,INDEX(_xlfn._xlws.FILTER(Application_Status_May!B$2:B$3000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Gilly, Jesus</v>
      </c>
      <c r="D108" s="205" t="str" cm="1">
        <f t="array" ref="D108">_xlfn.LET(_xlpm.u,B108,_xlpm.myCnt,COUNTIFS(Application_Status_May!I$2:I$3000,_xlpm.u,Application_Status_May!E$2:E$3000,"App*")+COUNTIFS(Application_Status_May!I$2:I$3000,_xlpm.u,Application_Status_May!E$2:E$3000,"Lease*"),IF(_xlpm.myCnt&gt;0,INDEX(_xlfn._xlws.FILTER(Application_Status_May!E$2:E$3000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Cancelled</v>
      </c>
      <c r="E108" s="205" t="str">
        <f t="shared" si="4"/>
        <v>Cancelled/Denied</v>
      </c>
      <c r="F108" s="205" t="str" cm="1">
        <f t="array" ref="F108">_xlfn.LET(_xlpm.u,B108,_xlpm.myCnt,COUNTIFS(Application_Status_May!I$2:I$3000,_xlpm.u,Application_Status_May!E$2:E$3000,"App*")+COUNTIFS(Application_Status_May!I$2:I$3000,_xlpm.u,Application_Status_May!E$2:E$3000,"Lease*"),IF(_xlpm.myCnt&gt;0,INDEX(_xlfn._xlws.FILTER(Application_Status_May!F$2:F$3000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HOUSE, HOUSE</v>
      </c>
      <c r="G108" s="205" t="str" cm="1">
        <f t="array" ref="G108">_xlfn.LET(_xlpm.u,B108,_xlpm.myCnt,COUNTIFS(Application_Status_May!I$2:I$3000,_xlpm.u,Application_Status_May!E$2:E$3000,"App*")+COUNTIFS(Application_Status_May!I$2:I$3000,_xlpm.u,Application_Status_May!E$2:E$3000,"Lease*"),IF(_xlpm.myCnt&gt;0,INDEX(_xlfn._xlws.FILTER(Application_Status_May!H$2:H$3000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Website</v>
      </c>
      <c r="H108" s="206" cm="1">
        <f t="array" ref="H108">_xlfn.LET(_xlpm.u,B108,_xlpm.myCnt,COUNTIFS(Application_Status_May!I$2:I$3000,_xlpm.u,Application_Status_May!E$2:E$3000,"App*")+COUNTIFS(Application_Status_May!I$2:I$3000,_xlpm.u,Application_Status_May!E$2:E$3000,"Lease*"),IF(_xlpm.myCnt&gt;0,INDEX(_xlfn._xlws.FILTER(Application_Status_May!J$2:J$3000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46114</v>
      </c>
      <c r="I108" s="206" cm="1">
        <f t="array" ref="I108">_xlfn.LET(_xlpm.u,B108,_xlpm.myCnt,COUNTIFS(Application_Status_May!I$2:I$3000,_xlpm.u,Application_Status_May!E$2:E$3000,"App*")+COUNTIFS(Application_Status_May!I$2:I$3000,_xlpm.u,Application_Status_May!E$2:E$3000,"Lease*"),IF(_xlpm.myCnt&gt;0,INDEX(_xlfn._xlws.FILTER(Application_Status_May!L$2:L$3000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0</v>
      </c>
      <c r="J108" s="206">
        <f>IF(E108&lt;&gt;"Cancelled/Denied","—",_xlfn.LET(_xlpm.u,B108,_xlpm.myC,_xlfn.MAXIFS(Application_Status_May!R$2:R$3000,Application_Status_May!I$2:I$3000,_xlpm.u),_xlpm.myD,_xlfn.MAXIFS(Application_Status_May!S$2:S$3000,Application_Status_May!I$2:I$3000,_xlpm.u),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myC,_xlpm.myD,_xlpm.aC,_xlpm.aD,_xlpm.mC,_xlpm.mD,_xlpm.fC,_xlpm.fD)))</f>
        <v>46142</v>
      </c>
      <c r="K108" s="205" t="str">
        <f t="shared" si="5"/>
        <v>—</v>
      </c>
    </row>
    <row r="109" spans="1:11" ht="14.1" customHeight="1">
      <c r="B109" s="204" t="str">
        <v>N17-1074</v>
      </c>
      <c r="C109" s="204" t="str" cm="1">
        <f t="array" ref="C109">_xlfn.LET(_xlpm.u,B109,_xlpm.myCnt,COUNTIFS(Application_Status_May!I$2:I$3000,_xlpm.u,Application_Status_May!E$2:E$3000,"App*")+COUNTIFS(Application_Status_May!I$2:I$3000,_xlpm.u,Application_Status_May!E$2:E$3000,"Lease*"),IF(_xlpm.myCnt&gt;0,INDEX(_xlfn._xlws.FILTER(Application_Status_May!B$2:B$3000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Smith, Danajah</v>
      </c>
      <c r="D109" s="205" t="str" cm="1">
        <f t="array" ref="D109">_xlfn.LET(_xlpm.u,B109,_xlpm.myCnt,COUNTIFS(Application_Status_May!I$2:I$3000,_xlpm.u,Application_Status_May!E$2:E$3000,"App*")+COUNTIFS(Application_Status_May!I$2:I$3000,_xlpm.u,Application_Status_May!E$2:E$3000,"Lease*"),IF(_xlpm.myCnt&gt;0,INDEX(_xlfn._xlws.FILTER(Application_Status_May!E$2:E$3000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Lease: Approved</v>
      </c>
      <c r="E109" s="205" t="str">
        <f t="shared" si="4"/>
        <v>Converted</v>
      </c>
      <c r="F109" s="205" t="str" cm="1">
        <f t="array" ref="F109">_xlfn.LET(_xlpm.u,B109,_xlpm.myCnt,COUNTIFS(Application_Status_May!I$2:I$3000,_xlpm.u,Application_Status_May!E$2:E$3000,"App*")+COUNTIFS(Application_Status_May!I$2:I$3000,_xlpm.u,Application_Status_May!E$2:E$3000,"Lease*"),IF(_xlpm.myCnt&gt;0,INDEX(_xlfn._xlws.FILTER(Application_Status_May!F$2:F$3000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Reyes, Josie</v>
      </c>
      <c r="G109" s="205" t="str" cm="1">
        <f t="array" ref="G109">_xlfn.LET(_xlpm.u,B109,_xlpm.myCnt,COUNTIFS(Application_Status_May!I$2:I$3000,_xlpm.u,Application_Status_May!E$2:E$3000,"App*")+COUNTIFS(Application_Status_May!I$2:I$3000,_xlpm.u,Application_Status_May!E$2:E$3000,"Lease*"),IF(_xlpm.myCnt&gt;0,INDEX(_xlfn._xlws.FILTER(Application_Status_May!H$2:H$3000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Apple</v>
      </c>
      <c r="H109" s="206" cm="1">
        <f t="array" ref="H109">_xlfn.LET(_xlpm.u,B109,_xlpm.myCnt,COUNTIFS(Application_Status_May!I$2:I$3000,_xlpm.u,Application_Status_May!E$2:E$3000,"App*")+COUNTIFS(Application_Status_May!I$2:I$3000,_xlpm.u,Application_Status_May!E$2:E$3000,"Lease*"),IF(_xlpm.myCnt&gt;0,INDEX(_xlfn._xlws.FILTER(Application_Status_May!J$2:J$3000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46090</v>
      </c>
      <c r="I109" s="206" cm="1">
        <f t="array" ref="I109">_xlfn.LET(_xlpm.u,B109,_xlpm.myCnt,COUNTIFS(Application_Status_May!I$2:I$3000,_xlpm.u,Application_Status_May!E$2:E$3000,"App*")+COUNTIFS(Application_Status_May!I$2:I$3000,_xlpm.u,Application_Status_May!E$2:E$3000,"Lease*"),IF(_xlpm.myCnt&gt;0,INDEX(_xlfn._xlws.FILTER(Application_Status_May!L$2:L$3000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46090</v>
      </c>
      <c r="J109" s="206" t="str">
        <f>IF(E109&lt;&gt;"Cancelled/Denied","—",_xlfn.LET(_xlpm.u,B109,_xlpm.myC,_xlfn.MAXIFS(Application_Status_May!R$2:R$3000,Application_Status_May!I$2:I$3000,_xlpm.u),_xlpm.myD,_xlfn.MAXIFS(Application_Status_May!S$2:S$3000,Application_Status_May!I$2:I$3000,_xlpm.u),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myC,_xlpm.myD,_xlpm.aC,_xlpm.aD,_xlpm.mC,_xlpm.mD,_xlpm.fC,_xlpm.fD)))</f>
        <v>—</v>
      </c>
      <c r="K109" s="205" t="str">
        <f t="shared" si="5"/>
        <v>—</v>
      </c>
    </row>
    <row r="110" spans="1:11" ht="14.1" customHeight="1">
      <c r="B110" s="204" t="str">
        <v>N17-2073</v>
      </c>
      <c r="C110" s="204" t="str" cm="1">
        <f t="array" ref="C110">_xlfn.LET(_xlpm.u,B110,_xlpm.myCnt,COUNTIFS(Application_Status_May!I$2:I$3000,_xlpm.u,Application_Status_May!E$2:E$3000,"App*")+COUNTIFS(Application_Status_May!I$2:I$3000,_xlpm.u,Application_Status_May!E$2:E$3000,"Lease*"),IF(_xlpm.myCnt&gt;0,INDEX(_xlfn._xlws.FILTER(Application_Status_May!B$2:B$3000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Banuelos, Miguel</v>
      </c>
      <c r="D110" s="205" t="str" cm="1">
        <f t="array" ref="D110">_xlfn.LET(_xlpm.u,B110,_xlpm.myCnt,COUNTIFS(Application_Status_May!I$2:I$3000,_xlpm.u,Application_Status_May!E$2:E$3000,"App*")+COUNTIFS(Application_Status_May!I$2:I$3000,_xlpm.u,Application_Status_May!E$2:E$3000,"Lease*"),IF(_xlpm.myCnt&gt;0,INDEX(_xlfn._xlws.FILTER(Application_Status_May!E$2:E$3000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Lease: Approved</v>
      </c>
      <c r="E110" s="205" t="str">
        <f t="shared" si="4"/>
        <v>Converted</v>
      </c>
      <c r="F110" s="205" t="str" cm="1">
        <f t="array" ref="F110">_xlfn.LET(_xlpm.u,B110,_xlpm.myCnt,COUNTIFS(Application_Status_May!I$2:I$3000,_xlpm.u,Application_Status_May!E$2:E$3000,"App*")+COUNTIFS(Application_Status_May!I$2:I$3000,_xlpm.u,Application_Status_May!E$2:E$3000,"Lease*"),IF(_xlpm.myCnt&gt;0,INDEX(_xlfn._xlws.FILTER(Application_Status_May!F$2:F$3000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Elise, Meet</v>
      </c>
      <c r="G110" s="205" t="str" cm="1">
        <f t="array" ref="G110">_xlfn.LET(_xlpm.u,B110,_xlpm.myCnt,COUNTIFS(Application_Status_May!I$2:I$3000,_xlpm.u,Application_Status_May!E$2:E$3000,"App*")+COUNTIFS(Application_Status_May!I$2:I$3000,_xlpm.u,Application_Status_May!E$2:E$3000,"Lease*"),IF(_xlpm.myCnt&gt;0,INDEX(_xlfn._xlws.FILTER(Application_Status_May!H$2:H$3000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Google</v>
      </c>
      <c r="H110" s="206" cm="1">
        <f t="array" ref="H110">_xlfn.LET(_xlpm.u,B110,_xlpm.myCnt,COUNTIFS(Application_Status_May!I$2:I$3000,_xlpm.u,Application_Status_May!E$2:E$3000,"App*")+COUNTIFS(Application_Status_May!I$2:I$3000,_xlpm.u,Application_Status_May!E$2:E$3000,"Lease*"),IF(_xlpm.myCnt&gt;0,INDEX(_xlfn._xlws.FILTER(Application_Status_May!J$2:J$3000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46093</v>
      </c>
      <c r="I110" s="206" cm="1">
        <f t="array" ref="I110">_xlfn.LET(_xlpm.u,B110,_xlpm.myCnt,COUNTIFS(Application_Status_May!I$2:I$3000,_xlpm.u,Application_Status_May!E$2:E$3000,"App*")+COUNTIFS(Application_Status_May!I$2:I$3000,_xlpm.u,Application_Status_May!E$2:E$3000,"Lease*"),IF(_xlpm.myCnt&gt;0,INDEX(_xlfn._xlws.FILTER(Application_Status_May!L$2:L$3000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46093</v>
      </c>
      <c r="J110" s="206" t="str">
        <f>IF(E110&lt;&gt;"Cancelled/Denied","—",_xlfn.LET(_xlpm.u,B110,_xlpm.myC,_xlfn.MAXIFS(Application_Status_May!R$2:R$3000,Application_Status_May!I$2:I$3000,_xlpm.u),_xlpm.myD,_xlfn.MAXIFS(Application_Status_May!S$2:S$3000,Application_Status_May!I$2:I$3000,_xlpm.u),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myC,_xlpm.myD,_xlpm.aC,_xlpm.aD,_xlpm.mC,_xlpm.mD,_xlpm.fC,_xlpm.fD)))</f>
        <v>—</v>
      </c>
      <c r="K110" s="205" t="str">
        <f t="shared" si="5"/>
        <v>—</v>
      </c>
    </row>
    <row r="111" spans="1:11" ht="14.1" customHeight="1">
      <c r="B111" s="204" t="str">
        <v>N18-1084</v>
      </c>
      <c r="C111" s="204" t="str" cm="1">
        <f t="array" ref="C111">_xlfn.LET(_xlpm.u,B111,_xlpm.myCnt,COUNTIFS(Application_Status_May!I$2:I$3000,_xlpm.u,Application_Status_May!E$2:E$3000,"App*")+COUNTIFS(Application_Status_May!I$2:I$3000,_xlpm.u,Application_Status_May!E$2:E$3000,"Lease*"),IF(_xlpm.myCnt&gt;0,INDEX(_xlfn._xlws.FILTER(Application_Status_May!B$2:B$3000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Zatarain, Maria</v>
      </c>
      <c r="D111" s="205" t="str" cm="1">
        <f t="array" ref="D111">_xlfn.LET(_xlpm.u,B111,_xlpm.myCnt,COUNTIFS(Application_Status_May!I$2:I$3000,_xlpm.u,Application_Status_May!E$2:E$3000,"App*")+COUNTIFS(Application_Status_May!I$2:I$3000,_xlpm.u,Application_Status_May!E$2:E$3000,"Lease*"),IF(_xlpm.myCnt&gt;0,INDEX(_xlfn._xlws.FILTER(Application_Status_May!E$2:E$3000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Started</v>
      </c>
      <c r="E111" s="205" t="str">
        <f t="shared" si="4"/>
        <v>Incomplete</v>
      </c>
      <c r="F111" s="205" t="str" cm="1">
        <f t="array" ref="F111">_xlfn.LET(_xlpm.u,B111,_xlpm.myCnt,COUNTIFS(Application_Status_May!I$2:I$3000,_xlpm.u,Application_Status_May!E$2:E$3000,"App*")+COUNTIFS(Application_Status_May!I$2:I$3000,_xlpm.u,Application_Status_May!E$2:E$3000,"Lease*"),IF(_xlpm.myCnt&gt;0,INDEX(_xlfn._xlws.FILTER(Application_Status_May!F$2:F$3000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Martinez, Emily</v>
      </c>
      <c r="G111" s="205" t="str" cm="1">
        <f t="array" ref="G111">_xlfn.LET(_xlpm.u,B111,_xlpm.myCnt,COUNTIFS(Application_Status_May!I$2:I$3000,_xlpm.u,Application_Status_May!E$2:E$3000,"App*")+COUNTIFS(Application_Status_May!I$2:I$3000,_xlpm.u,Application_Status_May!E$2:E$3000,"Lease*"),IF(_xlpm.myCnt&gt;0,INDEX(_xlfn._xlws.FILTER(Application_Status_May!H$2:H$3000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Website</v>
      </c>
      <c r="H111" s="206" cm="1">
        <f t="array" ref="H111">_xlfn.LET(_xlpm.u,B111,_xlpm.myCnt,COUNTIFS(Application_Status_May!I$2:I$3000,_xlpm.u,Application_Status_May!E$2:E$3000,"App*")+COUNTIFS(Application_Status_May!I$2:I$3000,_xlpm.u,Application_Status_May!E$2:E$3000,"Lease*"),IF(_xlpm.myCnt&gt;0,INDEX(_xlfn._xlws.FILTER(Application_Status_May!J$2:J$3000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46151</v>
      </c>
      <c r="I111" s="206" cm="1">
        <f t="array" ref="I111">_xlfn.LET(_xlpm.u,B111,_xlpm.myCnt,COUNTIFS(Application_Status_May!I$2:I$3000,_xlpm.u,Application_Status_May!E$2:E$3000,"App*")+COUNTIFS(Application_Status_May!I$2:I$3000,_xlpm.u,Application_Status_May!E$2:E$3000,"Lease*"),IF(_xlpm.myCnt&gt;0,INDEX(_xlfn._xlws.FILTER(Application_Status_May!L$2:L$3000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0</v>
      </c>
      <c r="J111" s="206" t="str">
        <f>IF(E111&lt;&gt;"Cancelled/Denied","—",_xlfn.LET(_xlpm.u,B111,_xlpm.myC,_xlfn.MAXIFS(Application_Status_May!R$2:R$3000,Application_Status_May!I$2:I$3000,_xlpm.u),_xlpm.myD,_xlfn.MAXIFS(Application_Status_May!S$2:S$3000,Application_Status_May!I$2:I$3000,_xlpm.u),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myC,_xlpm.myD,_xlpm.aC,_xlpm.aD,_xlpm.mC,_xlpm.mD,_xlpm.fC,_xlpm.fD)))</f>
        <v>—</v>
      </c>
      <c r="K111" s="205">
        <f t="shared" si="5"/>
        <v>93</v>
      </c>
    </row>
    <row r="112" spans="1:11" ht="14.1" customHeight="1">
      <c r="B112" s="204" t="str">
        <v>N18-1085</v>
      </c>
      <c r="C112" s="204" t="str" cm="1">
        <f t="array" ref="C112">_xlfn.LET(_xlpm.u,B112,_xlpm.myCnt,COUNTIFS(Application_Status_May!I$2:I$3000,_xlpm.u,Application_Status_May!E$2:E$3000,"App*")+COUNTIFS(Application_Status_May!I$2:I$3000,_xlpm.u,Application_Status_May!E$2:E$3000,"Lease*"),IF(_xlpm.myCnt&gt;0,INDEX(_xlfn._xlws.FILTER(Application_Status_May!B$2:B$3000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Myles, Amanda</v>
      </c>
      <c r="D112" s="205" t="str" cm="1">
        <f t="array" ref="D112">_xlfn.LET(_xlpm.u,B112,_xlpm.myCnt,COUNTIFS(Application_Status_May!I$2:I$3000,_xlpm.u,Application_Status_May!E$2:E$3000,"App*")+COUNTIFS(Application_Status_May!I$2:I$3000,_xlpm.u,Application_Status_May!E$2:E$3000,"Lease*"),IF(_xlpm.myCnt&gt;0,INDEX(_xlfn._xlws.FILTER(Application_Status_May!E$2:E$3000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Cancelled</v>
      </c>
      <c r="E112" s="205" t="str">
        <f t="shared" si="4"/>
        <v>Cancelled/Denied</v>
      </c>
      <c r="F112" s="205" t="str" cm="1">
        <f t="array" ref="F112">_xlfn.LET(_xlpm.u,B112,_xlpm.myCnt,COUNTIFS(Application_Status_May!I$2:I$3000,_xlpm.u,Application_Status_May!E$2:E$3000,"App*")+COUNTIFS(Application_Status_May!I$2:I$3000,_xlpm.u,Application_Status_May!E$2:E$3000,"Lease*"),IF(_xlpm.myCnt&gt;0,INDEX(_xlfn._xlws.FILTER(Application_Status_May!F$2:F$3000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HOUSE, HOUSE</v>
      </c>
      <c r="G112" s="205" t="str" cm="1">
        <f t="array" ref="G112">_xlfn.LET(_xlpm.u,B112,_xlpm.myCnt,COUNTIFS(Application_Status_May!I$2:I$3000,_xlpm.u,Application_Status_May!E$2:E$3000,"App*")+COUNTIFS(Application_Status_May!I$2:I$3000,_xlpm.u,Application_Status_May!E$2:E$3000,"Lease*"),IF(_xlpm.myCnt&gt;0,INDEX(_xlfn._xlws.FILTER(Application_Status_May!H$2:H$3000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UMOVEFREE</v>
      </c>
      <c r="H112" s="206" cm="1">
        <f t="array" ref="H112">_xlfn.LET(_xlpm.u,B112,_xlpm.myCnt,COUNTIFS(Application_Status_May!I$2:I$3000,_xlpm.u,Application_Status_May!E$2:E$3000,"App*")+COUNTIFS(Application_Status_May!I$2:I$3000,_xlpm.u,Application_Status_May!E$2:E$3000,"Lease*"),IF(_xlpm.myCnt&gt;0,INDEX(_xlfn._xlws.FILTER(Application_Status_May!J$2:J$3000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46079</v>
      </c>
      <c r="I112" s="206" cm="1">
        <f t="array" ref="I112">_xlfn.LET(_xlpm.u,B112,_xlpm.myCnt,COUNTIFS(Application_Status_May!I$2:I$3000,_xlpm.u,Application_Status_May!E$2:E$3000,"App*")+COUNTIFS(Application_Status_May!I$2:I$3000,_xlpm.u,Application_Status_May!E$2:E$3000,"Lease*"),IF(_xlpm.myCnt&gt;0,INDEX(_xlfn._xlws.FILTER(Application_Status_May!L$2:L$3000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0</v>
      </c>
      <c r="J112" s="206">
        <f>IF(E112&lt;&gt;"Cancelled/Denied","—",_xlfn.LET(_xlpm.u,B112,_xlpm.myC,_xlfn.MAXIFS(Application_Status_May!R$2:R$3000,Application_Status_May!I$2:I$3000,_xlpm.u),_xlpm.myD,_xlfn.MAXIFS(Application_Status_May!S$2:S$3000,Application_Status_May!I$2:I$3000,_xlpm.u),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myC,_xlpm.myD,_xlpm.aC,_xlpm.aD,_xlpm.mC,_xlpm.mD,_xlpm.fC,_xlpm.fD)))</f>
        <v>46114</v>
      </c>
      <c r="K112" s="205" t="str">
        <f t="shared" si="5"/>
        <v>—</v>
      </c>
    </row>
    <row r="113" spans="2:11" ht="14.1" customHeight="1">
      <c r="B113" s="204" t="str">
        <v>N18-1086</v>
      </c>
      <c r="C113" s="204" t="str" cm="1">
        <f t="array" ref="C113">_xlfn.LET(_xlpm.u,B113,_xlpm.myCnt,COUNTIFS(Application_Status_May!I$2:I$3000,_xlpm.u,Application_Status_May!E$2:E$3000,"App*")+COUNTIFS(Application_Status_May!I$2:I$3000,_xlpm.u,Application_Status_May!E$2:E$3000,"Lease*"),IF(_xlpm.myCnt&gt;0,INDEX(_xlfn._xlws.FILTER(Application_Status_May!B$2:B$3000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Castillo, Eric</v>
      </c>
      <c r="D113" s="205" t="str" cm="1">
        <f t="array" ref="D113">_xlfn.LET(_xlpm.u,B113,_xlpm.myCnt,COUNTIFS(Application_Status_May!I$2:I$3000,_xlpm.u,Application_Status_May!E$2:E$3000,"App*")+COUNTIFS(Application_Status_May!I$2:I$3000,_xlpm.u,Application_Status_May!E$2:E$3000,"Lease*"),IF(_xlpm.myCnt&gt;0,INDEX(_xlfn._xlws.FILTER(Application_Status_May!E$2:E$3000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Lease: Approved</v>
      </c>
      <c r="E113" s="205" t="str">
        <f t="shared" si="4"/>
        <v>Converted</v>
      </c>
      <c r="F113" s="205" t="str" cm="1">
        <f t="array" ref="F113">_xlfn.LET(_xlpm.u,B113,_xlpm.myCnt,COUNTIFS(Application_Status_May!I$2:I$3000,_xlpm.u,Application_Status_May!E$2:E$3000,"App*")+COUNTIFS(Application_Status_May!I$2:I$3000,_xlpm.u,Application_Status_May!E$2:E$3000,"Lease*"),IF(_xlpm.myCnt&gt;0,INDEX(_xlfn._xlws.FILTER(Application_Status_May!F$2:F$3000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Martinez, Emily</v>
      </c>
      <c r="G113" s="205" t="str" cm="1">
        <f t="array" ref="G113">_xlfn.LET(_xlpm.u,B113,_xlpm.myCnt,COUNTIFS(Application_Status_May!I$2:I$3000,_xlpm.u,Application_Status_May!E$2:E$3000,"App*")+COUNTIFS(Application_Status_May!I$2:I$3000,_xlpm.u,Application_Status_May!E$2:E$3000,"Lease*"),IF(_xlpm.myCnt&gt;0,INDEX(_xlfn._xlws.FILTER(Application_Status_May!H$2:H$3000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Website</v>
      </c>
      <c r="H113" s="206" cm="1">
        <f t="array" ref="H113">_xlfn.LET(_xlpm.u,B113,_xlpm.myCnt,COUNTIFS(Application_Status_May!I$2:I$3000,_xlpm.u,Application_Status_May!E$2:E$3000,"App*")+COUNTIFS(Application_Status_May!I$2:I$3000,_xlpm.u,Application_Status_May!E$2:E$3000,"Lease*"),IF(_xlpm.myCnt&gt;0,INDEX(_xlfn._xlws.FILTER(Application_Status_May!J$2:J$3000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46064</v>
      </c>
      <c r="I113" s="206" cm="1">
        <f t="array" ref="I113">_xlfn.LET(_xlpm.u,B113,_xlpm.myCnt,COUNTIFS(Application_Status_May!I$2:I$3000,_xlpm.u,Application_Status_May!E$2:E$3000,"App*")+COUNTIFS(Application_Status_May!I$2:I$3000,_xlpm.u,Application_Status_May!E$2:E$3000,"Lease*"),IF(_xlpm.myCnt&gt;0,INDEX(_xlfn._xlws.FILTER(Application_Status_May!L$2:L$3000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46064</v>
      </c>
      <c r="J113" s="206" t="str">
        <f>IF(E113&lt;&gt;"Cancelled/Denied","—",_xlfn.LET(_xlpm.u,B113,_xlpm.myC,_xlfn.MAXIFS(Application_Status_May!R$2:R$3000,Application_Status_May!I$2:I$3000,_xlpm.u),_xlpm.myD,_xlfn.MAXIFS(Application_Status_May!S$2:S$3000,Application_Status_May!I$2:I$3000,_xlpm.u),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myC,_xlpm.myD,_xlpm.aC,_xlpm.aD,_xlpm.mC,_xlpm.mD,_xlpm.fC,_xlpm.fD)))</f>
        <v>—</v>
      </c>
      <c r="K113" s="205" t="str">
        <f t="shared" si="5"/>
        <v>—</v>
      </c>
    </row>
    <row r="114" spans="2:11" ht="14.1" customHeight="1">
      <c r="B114" s="204" t="str">
        <v>N18-2084</v>
      </c>
      <c r="C114" s="204" t="str" cm="1">
        <f t="array" ref="C114">_xlfn.LET(_xlpm.u,B114,_xlpm.myCnt,COUNTIFS(Application_Status_May!I$2:I$3000,_xlpm.u,Application_Status_May!E$2:E$3000,"App*")+COUNTIFS(Application_Status_May!I$2:I$3000,_xlpm.u,Application_Status_May!E$2:E$3000,"Lease*"),IF(_xlpm.myCnt&gt;0,INDEX(_xlfn._xlws.FILTER(Application_Status_May!B$2:B$3000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Andrade Borjas, Darwin</v>
      </c>
      <c r="D114" s="205" t="str" cm="1">
        <f t="array" ref="D114">_xlfn.LET(_xlpm.u,B114,_xlpm.myCnt,COUNTIFS(Application_Status_May!I$2:I$3000,_xlpm.u,Application_Status_May!E$2:E$3000,"App*")+COUNTIFS(Application_Status_May!I$2:I$3000,_xlpm.u,Application_Status_May!E$2:E$3000,"Lease*"),IF(_xlpm.myCnt&gt;0,INDEX(_xlfn._xlws.FILTER(Application_Status_May!E$2:E$3000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Cancelled</v>
      </c>
      <c r="E114" s="205" t="str">
        <f t="shared" si="4"/>
        <v>Cancelled/Denied</v>
      </c>
      <c r="F114" s="205" t="str" cm="1">
        <f t="array" ref="F114">_xlfn.LET(_xlpm.u,B114,_xlpm.myCnt,COUNTIFS(Application_Status_May!I$2:I$3000,_xlpm.u,Application_Status_May!E$2:E$3000,"App*")+COUNTIFS(Application_Status_May!I$2:I$3000,_xlpm.u,Application_Status_May!E$2:E$3000,"Lease*"),IF(_xlpm.myCnt&gt;0,INDEX(_xlfn._xlws.FILTER(Application_Status_May!F$2:F$3000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Martinez, Emily</v>
      </c>
      <c r="G114" s="205" t="str" cm="1">
        <f t="array" ref="G114">_xlfn.LET(_xlpm.u,B114,_xlpm.myCnt,COUNTIFS(Application_Status_May!I$2:I$3000,_xlpm.u,Application_Status_May!E$2:E$3000,"App*")+COUNTIFS(Application_Status_May!I$2:I$3000,_xlpm.u,Application_Status_May!E$2:E$3000,"Lease*"),IF(_xlpm.myCnt&gt;0,INDEX(_xlfn._xlws.FILTER(Application_Status_May!H$2:H$3000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Website</v>
      </c>
      <c r="H114" s="206" cm="1">
        <f t="array" ref="H114">_xlfn.LET(_xlpm.u,B114,_xlpm.myCnt,COUNTIFS(Application_Status_May!I$2:I$3000,_xlpm.u,Application_Status_May!E$2:E$3000,"App*")+COUNTIFS(Application_Status_May!I$2:I$3000,_xlpm.u,Application_Status_May!E$2:E$3000,"Lease*"),IF(_xlpm.myCnt&gt;0,INDEX(_xlfn._xlws.FILTER(Application_Status_May!J$2:J$3000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46078</v>
      </c>
      <c r="I114" s="206" cm="1">
        <f t="array" ref="I114">_xlfn.LET(_xlpm.u,B114,_xlpm.myCnt,COUNTIFS(Application_Status_May!I$2:I$3000,_xlpm.u,Application_Status_May!E$2:E$3000,"App*")+COUNTIFS(Application_Status_May!I$2:I$3000,_xlpm.u,Application_Status_May!E$2:E$3000,"Lease*"),IF(_xlpm.myCnt&gt;0,INDEX(_xlfn._xlws.FILTER(Application_Status_May!L$2:L$3000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0</v>
      </c>
      <c r="J114" s="206">
        <f>IF(E114&lt;&gt;"Cancelled/Denied","—",_xlfn.LET(_xlpm.u,B114,_xlpm.myC,_xlfn.MAXIFS(Application_Status_May!R$2:R$3000,Application_Status_May!I$2:I$3000,_xlpm.u),_xlpm.myD,_xlfn.MAXIFS(Application_Status_May!S$2:S$3000,Application_Status_May!I$2:I$3000,_xlpm.u),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myC,_xlpm.myD,_xlpm.aC,_xlpm.aD,_xlpm.mC,_xlpm.mD,_xlpm.fC,_xlpm.fD)))</f>
        <v>46114</v>
      </c>
      <c r="K114" s="205" t="str">
        <f t="shared" si="5"/>
        <v>—</v>
      </c>
    </row>
    <row r="115" spans="2:11" ht="14.1" customHeight="1">
      <c r="B115" s="204" t="str">
        <v>N18-2085</v>
      </c>
      <c r="C115" s="204" t="str" cm="1">
        <f t="array" ref="C115">_xlfn.LET(_xlpm.u,B115,_xlpm.myCnt,COUNTIFS(Application_Status_May!I$2:I$3000,_xlpm.u,Application_Status_May!E$2:E$3000,"App*")+COUNTIFS(Application_Status_May!I$2:I$3000,_xlpm.u,Application_Status_May!E$2:E$3000,"Lease*"),IF(_xlpm.myCnt&gt;0,INDEX(_xlfn._xlws.FILTER(Application_Status_May!B$2:B$3000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Prashasouk, Alex</v>
      </c>
      <c r="D115" s="205" t="str" cm="1">
        <f t="array" ref="D115">_xlfn.LET(_xlpm.u,B115,_xlpm.myCnt,COUNTIFS(Application_Status_May!I$2:I$3000,_xlpm.u,Application_Status_May!E$2:E$3000,"App*")+COUNTIFS(Application_Status_May!I$2:I$3000,_xlpm.u,Application_Status_May!E$2:E$3000,"Lease*"),IF(_xlpm.myCnt&gt;0,INDEX(_xlfn._xlws.FILTER(Application_Status_May!E$2:E$3000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Started</v>
      </c>
      <c r="E115" s="205" t="str">
        <f t="shared" si="4"/>
        <v>Incomplete</v>
      </c>
      <c r="F115" s="205" t="str" cm="1">
        <f t="array" ref="F115">_xlfn.LET(_xlpm.u,B115,_xlpm.myCnt,COUNTIFS(Application_Status_May!I$2:I$3000,_xlpm.u,Application_Status_May!E$2:E$3000,"App*")+COUNTIFS(Application_Status_May!I$2:I$3000,_xlpm.u,Application_Status_May!E$2:E$3000,"Lease*"),IF(_xlpm.myCnt&gt;0,INDEX(_xlfn._xlws.FILTER(Application_Status_May!F$2:F$3000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Elise, Meet</v>
      </c>
      <c r="G115" s="205" t="str" cm="1">
        <f t="array" ref="G115">_xlfn.LET(_xlpm.u,B115,_xlpm.myCnt,COUNTIFS(Application_Status_May!I$2:I$3000,_xlpm.u,Application_Status_May!E$2:E$3000,"App*")+COUNTIFS(Application_Status_May!I$2:I$3000,_xlpm.u,Application_Status_May!E$2:E$3000,"Lease*"),IF(_xlpm.myCnt&gt;0,INDEX(_xlfn._xlws.FILTER(Application_Status_May!H$2:H$3000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Apartments.com</v>
      </c>
      <c r="H115" s="206" cm="1">
        <f t="array" ref="H115">_xlfn.LET(_xlpm.u,B115,_xlpm.myCnt,COUNTIFS(Application_Status_May!I$2:I$3000,_xlpm.u,Application_Status_May!E$2:E$3000,"App*")+COUNTIFS(Application_Status_May!I$2:I$3000,_xlpm.u,Application_Status_May!E$2:E$3000,"Lease*"),IF(_xlpm.myCnt&gt;0,INDEX(_xlfn._xlws.FILTER(Application_Status_May!J$2:J$3000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46166</v>
      </c>
      <c r="I115" s="206" cm="1">
        <f t="array" ref="I115">_xlfn.LET(_xlpm.u,B115,_xlpm.myCnt,COUNTIFS(Application_Status_May!I$2:I$3000,_xlpm.u,Application_Status_May!E$2:E$3000,"App*")+COUNTIFS(Application_Status_May!I$2:I$3000,_xlpm.u,Application_Status_May!E$2:E$3000,"Lease*"),IF(_xlpm.myCnt&gt;0,INDEX(_xlfn._xlws.FILTER(Application_Status_May!L$2:L$3000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0</v>
      </c>
      <c r="J115" s="206" t="str">
        <f>IF(E115&lt;&gt;"Cancelled/Denied","—",_xlfn.LET(_xlpm.u,B115,_xlpm.myC,_xlfn.MAXIFS(Application_Status_May!R$2:R$3000,Application_Status_May!I$2:I$3000,_xlpm.u),_xlpm.myD,_xlfn.MAXIFS(Application_Status_May!S$2:S$3000,Application_Status_May!I$2:I$3000,_xlpm.u),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myC,_xlpm.myD,_xlpm.aC,_xlpm.aD,_xlpm.mC,_xlpm.mD,_xlpm.fC,_xlpm.fD)))</f>
        <v>—</v>
      </c>
      <c r="K115" s="205">
        <f t="shared" si="5"/>
        <v>78</v>
      </c>
    </row>
    <row r="116" spans="2:11" ht="14.1" customHeight="1">
      <c r="B116" s="204" t="str">
        <v>N18-2086</v>
      </c>
      <c r="C116" s="204" t="str" cm="1">
        <f t="array" ref="C116">_xlfn.LET(_xlpm.u,B116,_xlpm.myCnt,COUNTIFS(Application_Status_May!I$2:I$3000,_xlpm.u,Application_Status_May!E$2:E$3000,"App*")+COUNTIFS(Application_Status_May!I$2:I$3000,_xlpm.u,Application_Status_May!E$2:E$3000,"Lease*"),IF(_xlpm.myCnt&gt;0,INDEX(_xlfn._xlws.FILTER(Application_Status_May!B$2:B$3000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Johnson, Scott</v>
      </c>
      <c r="D116" s="205" t="str" cm="1">
        <f t="array" ref="D116">_xlfn.LET(_xlpm.u,B116,_xlpm.myCnt,COUNTIFS(Application_Status_May!I$2:I$3000,_xlpm.u,Application_Status_May!E$2:E$3000,"App*")+COUNTIFS(Application_Status_May!I$2:I$3000,_xlpm.u,Application_Status_May!E$2:E$3000,"Lease*"),IF(_xlpm.myCnt&gt;0,INDEX(_xlfn._xlws.FILTER(Application_Status_May!E$2:E$3000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Lease: Approved</v>
      </c>
      <c r="E116" s="205" t="str">
        <f t="shared" si="4"/>
        <v>Converted</v>
      </c>
      <c r="F116" s="205" t="str" cm="1">
        <f t="array" ref="F116">_xlfn.LET(_xlpm.u,B116,_xlpm.myCnt,COUNTIFS(Application_Status_May!I$2:I$3000,_xlpm.u,Application_Status_May!E$2:E$3000,"App*")+COUNTIFS(Application_Status_May!I$2:I$3000,_xlpm.u,Application_Status_May!E$2:E$3000,"Lease*"),IF(_xlpm.myCnt&gt;0,INDEX(_xlfn._xlws.FILTER(Application_Status_May!F$2:F$3000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Gabehart, Jamey</v>
      </c>
      <c r="G116" s="205" t="str" cm="1">
        <f t="array" ref="G116">_xlfn.LET(_xlpm.u,B116,_xlpm.myCnt,COUNTIFS(Application_Status_May!I$2:I$3000,_xlpm.u,Application_Status_May!E$2:E$3000,"App*")+COUNTIFS(Application_Status_May!I$2:I$3000,_xlpm.u,Application_Status_May!E$2:E$3000,"Lease*"),IF(_xlpm.myCnt&gt;0,INDEX(_xlfn._xlws.FILTER(Application_Status_May!H$2:H$3000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Drive By</v>
      </c>
      <c r="H116" s="206" cm="1">
        <f t="array" ref="H116">_xlfn.LET(_xlpm.u,B116,_xlpm.myCnt,COUNTIFS(Application_Status_May!I$2:I$3000,_xlpm.u,Application_Status_May!E$2:E$3000,"App*")+COUNTIFS(Application_Status_May!I$2:I$3000,_xlpm.u,Application_Status_May!E$2:E$3000,"Lease*"),IF(_xlpm.myCnt&gt;0,INDEX(_xlfn._xlws.FILTER(Application_Status_May!J$2:J$3000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46092</v>
      </c>
      <c r="I116" s="206" cm="1">
        <f t="array" ref="I116">_xlfn.LET(_xlpm.u,B116,_xlpm.myCnt,COUNTIFS(Application_Status_May!I$2:I$3000,_xlpm.u,Application_Status_May!E$2:E$3000,"App*")+COUNTIFS(Application_Status_May!I$2:I$3000,_xlpm.u,Application_Status_May!E$2:E$3000,"Lease*"),IF(_xlpm.myCnt&gt;0,INDEX(_xlfn._xlws.FILTER(Application_Status_May!L$2:L$3000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46097</v>
      </c>
      <c r="J116" s="206" t="str">
        <f>IF(E116&lt;&gt;"Cancelled/Denied","—",_xlfn.LET(_xlpm.u,B116,_xlpm.myC,_xlfn.MAXIFS(Application_Status_May!R$2:R$3000,Application_Status_May!I$2:I$3000,_xlpm.u),_xlpm.myD,_xlfn.MAXIFS(Application_Status_May!S$2:S$3000,Application_Status_May!I$2:I$3000,_xlpm.u),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myC,_xlpm.myD,_xlpm.aC,_xlpm.aD,_xlpm.mC,_xlpm.mD,_xlpm.fC,_xlpm.fD)))</f>
        <v>—</v>
      </c>
      <c r="K116" s="205" t="str">
        <f t="shared" si="5"/>
        <v>—</v>
      </c>
    </row>
    <row r="117" spans="2:11" ht="14.1" customHeight="1">
      <c r="B117" s="204" t="str">
        <v>N19-1080</v>
      </c>
      <c r="C117" s="204" t="str" cm="1">
        <f t="array" ref="C117">_xlfn.LET(_xlpm.u,B117,_xlpm.myCnt,COUNTIFS(Application_Status_May!I$2:I$3000,_xlpm.u,Application_Status_May!E$2:E$3000,"App*")+COUNTIFS(Application_Status_May!I$2:I$3000,_xlpm.u,Application_Status_May!E$2:E$3000,"Lease*"),IF(_xlpm.myCnt&gt;0,INDEX(_xlfn._xlws.FILTER(Application_Status_May!B$2:B$3000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Masanga, Luhiagila</v>
      </c>
      <c r="D117" s="205" t="str" cm="1">
        <f t="array" ref="D117">_xlfn.LET(_xlpm.u,B117,_xlpm.myCnt,COUNTIFS(Application_Status_May!I$2:I$3000,_xlpm.u,Application_Status_May!E$2:E$3000,"App*")+COUNTIFS(Application_Status_May!I$2:I$3000,_xlpm.u,Application_Status_May!E$2:E$3000,"Lease*"),IF(_xlpm.myCnt&gt;0,INDEX(_xlfn._xlws.FILTER(Application_Status_May!E$2:E$3000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Cancelled</v>
      </c>
      <c r="E117" s="205" t="str">
        <f t="shared" si="4"/>
        <v>Cancelled/Denied</v>
      </c>
      <c r="F117" s="205" t="str" cm="1">
        <f t="array" ref="F117">_xlfn.LET(_xlpm.u,B117,_xlpm.myCnt,COUNTIFS(Application_Status_May!I$2:I$3000,_xlpm.u,Application_Status_May!E$2:E$3000,"App*")+COUNTIFS(Application_Status_May!I$2:I$3000,_xlpm.u,Application_Status_May!E$2:E$3000,"Lease*"),IF(_xlpm.myCnt&gt;0,INDEX(_xlfn._xlws.FILTER(Application_Status_May!F$2:F$3000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Rodriguez, Jennifer</v>
      </c>
      <c r="G117" s="205" t="str" cm="1">
        <f t="array" ref="G117">_xlfn.LET(_xlpm.u,B117,_xlpm.myCnt,COUNTIFS(Application_Status_May!I$2:I$3000,_xlpm.u,Application_Status_May!E$2:E$3000,"App*")+COUNTIFS(Application_Status_May!I$2:I$3000,_xlpm.u,Application_Status_May!E$2:E$3000,"Lease*"),IF(_xlpm.myCnt&gt;0,INDEX(_xlfn._xlws.FILTER(Application_Status_May!H$2:H$3000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Website</v>
      </c>
      <c r="H117" s="206" cm="1">
        <f t="array" ref="H117">_xlfn.LET(_xlpm.u,B117,_xlpm.myCnt,COUNTIFS(Application_Status_May!I$2:I$3000,_xlpm.u,Application_Status_May!E$2:E$3000,"App*")+COUNTIFS(Application_Status_May!I$2:I$3000,_xlpm.u,Application_Status_May!E$2:E$3000,"Lease*"),IF(_xlpm.myCnt&gt;0,INDEX(_xlfn._xlws.FILTER(Application_Status_May!J$2:J$3000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46084</v>
      </c>
      <c r="I117" s="206" cm="1">
        <f t="array" ref="I117">_xlfn.LET(_xlpm.u,B117,_xlpm.myCnt,COUNTIFS(Application_Status_May!I$2:I$3000,_xlpm.u,Application_Status_May!E$2:E$3000,"App*")+COUNTIFS(Application_Status_May!I$2:I$3000,_xlpm.u,Application_Status_May!E$2:E$3000,"Lease*"),IF(_xlpm.myCnt&gt;0,INDEX(_xlfn._xlws.FILTER(Application_Status_May!L$2:L$3000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46084</v>
      </c>
      <c r="J117" s="206">
        <f>IF(E117&lt;&gt;"Cancelled/Denied","—",_xlfn.LET(_xlpm.u,B117,_xlpm.myC,_xlfn.MAXIFS(Application_Status_May!R$2:R$3000,Application_Status_May!I$2:I$3000,_xlpm.u),_xlpm.myD,_xlfn.MAXIFS(Application_Status_May!S$2:S$3000,Application_Status_May!I$2:I$3000,_xlpm.u),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myC,_xlpm.myD,_xlpm.aC,_xlpm.aD,_xlpm.mC,_xlpm.mD,_xlpm.fC,_xlpm.fD)))</f>
        <v>46098</v>
      </c>
      <c r="K117" s="205" t="str">
        <f t="shared" si="5"/>
        <v>—</v>
      </c>
    </row>
    <row r="118" spans="2:11" ht="14.1" customHeight="1">
      <c r="B118" s="204" t="str">
        <v>N19-1083</v>
      </c>
      <c r="C118" s="204" t="str" cm="1">
        <f t="array" ref="C118">_xlfn.LET(_xlpm.u,B118,_xlpm.myCnt,COUNTIFS(Application_Status_May!I$2:I$3000,_xlpm.u,Application_Status_May!E$2:E$3000,"App*")+COUNTIFS(Application_Status_May!I$2:I$3000,_xlpm.u,Application_Status_May!E$2:E$3000,"Lease*"),IF(_xlpm.myCnt&gt;0,INDEX(_xlfn._xlws.FILTER(Application_Status_May!B$2:B$3000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Argbah, Augustine</v>
      </c>
      <c r="D118" s="205" t="str" cm="1">
        <f t="array" ref="D118">_xlfn.LET(_xlpm.u,B118,_xlpm.myCnt,COUNTIFS(Application_Status_May!I$2:I$3000,_xlpm.u,Application_Status_May!E$2:E$3000,"App*")+COUNTIFS(Application_Status_May!I$2:I$3000,_xlpm.u,Application_Status_May!E$2:E$3000,"Lease*"),IF(_xlpm.myCnt&gt;0,INDEX(_xlfn._xlws.FILTER(Application_Status_May!E$2:E$3000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Started</v>
      </c>
      <c r="E118" s="205" t="str">
        <f t="shared" si="4"/>
        <v>Incomplete</v>
      </c>
      <c r="F118" s="205" t="str" cm="1">
        <f t="array" ref="F118">_xlfn.LET(_xlpm.u,B118,_xlpm.myCnt,COUNTIFS(Application_Status_May!I$2:I$3000,_xlpm.u,Application_Status_May!E$2:E$3000,"App*")+COUNTIFS(Application_Status_May!I$2:I$3000,_xlpm.u,Application_Status_May!E$2:E$3000,"Lease*"),IF(_xlpm.myCnt&gt;0,INDEX(_xlfn._xlws.FILTER(Application_Status_May!F$2:F$3000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HOUSE, HOUSE</v>
      </c>
      <c r="G118" s="205" t="str" cm="1">
        <f t="array" ref="G118">_xlfn.LET(_xlpm.u,B118,_xlpm.myCnt,COUNTIFS(Application_Status_May!I$2:I$3000,_xlpm.u,Application_Status_May!E$2:E$3000,"App*")+COUNTIFS(Application_Status_May!I$2:I$3000,_xlpm.u,Application_Status_May!E$2:E$3000,"Lease*"),IF(_xlpm.myCnt&gt;0,INDEX(_xlfn._xlws.FILTER(Application_Status_May!H$2:H$3000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Website</v>
      </c>
      <c r="H118" s="206" cm="1">
        <f t="array" ref="H118">_xlfn.LET(_xlpm.u,B118,_xlpm.myCnt,COUNTIFS(Application_Status_May!I$2:I$3000,_xlpm.u,Application_Status_May!E$2:E$3000,"App*")+COUNTIFS(Application_Status_May!I$2:I$3000,_xlpm.u,Application_Status_May!E$2:E$3000,"Lease*"),IF(_xlpm.myCnt&gt;0,INDEX(_xlfn._xlws.FILTER(Application_Status_May!J$2:J$3000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46078</v>
      </c>
      <c r="I118" s="206" cm="1">
        <f t="array" ref="I118">_xlfn.LET(_xlpm.u,B118,_xlpm.myCnt,COUNTIFS(Application_Status_May!I$2:I$3000,_xlpm.u,Application_Status_May!E$2:E$3000,"App*")+COUNTIFS(Application_Status_May!I$2:I$3000,_xlpm.u,Application_Status_May!E$2:E$3000,"Lease*"),IF(_xlpm.myCnt&gt;0,INDEX(_xlfn._xlws.FILTER(Application_Status_May!L$2:L$3000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0</v>
      </c>
      <c r="J118" s="206" t="str">
        <f>IF(E118&lt;&gt;"Cancelled/Denied","—",_xlfn.LET(_xlpm.u,B118,_xlpm.myC,_xlfn.MAXIFS(Application_Status_May!R$2:R$3000,Application_Status_May!I$2:I$3000,_xlpm.u),_xlpm.myD,_xlfn.MAXIFS(Application_Status_May!S$2:S$3000,Application_Status_May!I$2:I$3000,_xlpm.u),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myC,_xlpm.myD,_xlpm.aC,_xlpm.aD,_xlpm.mC,_xlpm.mD,_xlpm.fC,_xlpm.fD)))</f>
        <v>—</v>
      </c>
      <c r="K118" s="205">
        <f t="shared" si="5"/>
        <v>166</v>
      </c>
    </row>
    <row r="119" spans="2:11" ht="14.1" customHeight="1">
      <c r="B119" s="204" t="str">
        <v>N19-2076</v>
      </c>
      <c r="C119" s="204" t="str" cm="1">
        <f t="array" ref="C119">_xlfn.LET(_xlpm.u,B119,_xlpm.myCnt,COUNTIFS(Application_Status_May!I$2:I$3000,_xlpm.u,Application_Status_May!E$2:E$3000,"App*")+COUNTIFS(Application_Status_May!I$2:I$3000,_xlpm.u,Application_Status_May!E$2:E$3000,"Lease*"),IF(_xlpm.myCnt&gt;0,INDEX(_xlfn._xlws.FILTER(Application_Status_May!B$2:B$3000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Newhouse, Davian</v>
      </c>
      <c r="D119" s="205" t="str" cm="1">
        <f t="array" ref="D119">_xlfn.LET(_xlpm.u,B119,_xlpm.myCnt,COUNTIFS(Application_Status_May!I$2:I$3000,_xlpm.u,Application_Status_May!E$2:E$3000,"App*")+COUNTIFS(Application_Status_May!I$2:I$3000,_xlpm.u,Application_Status_May!E$2:E$3000,"Lease*"),IF(_xlpm.myCnt&gt;0,INDEX(_xlfn._xlws.FILTER(Application_Status_May!E$2:E$3000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Cancelled</v>
      </c>
      <c r="E119" s="205" t="str">
        <f t="shared" si="4"/>
        <v>Cancelled/Denied</v>
      </c>
      <c r="F119" s="205" t="str" cm="1">
        <f t="array" ref="F119">_xlfn.LET(_xlpm.u,B119,_xlpm.myCnt,COUNTIFS(Application_Status_May!I$2:I$3000,_xlpm.u,Application_Status_May!E$2:E$3000,"App*")+COUNTIFS(Application_Status_May!I$2:I$3000,_xlpm.u,Application_Status_May!E$2:E$3000,"Lease*"),IF(_xlpm.myCnt&gt;0,INDEX(_xlfn._xlws.FILTER(Application_Status_May!F$2:F$3000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Hernandez, Justin</v>
      </c>
      <c r="G119" s="205" t="str" cm="1">
        <f t="array" ref="G119">_xlfn.LET(_xlpm.u,B119,_xlpm.myCnt,COUNTIFS(Application_Status_May!I$2:I$3000,_xlpm.u,Application_Status_May!E$2:E$3000,"App*")+COUNTIFS(Application_Status_May!I$2:I$3000,_xlpm.u,Application_Status_May!E$2:E$3000,"Lease*"),IF(_xlpm.myCnt&gt;0,INDEX(_xlfn._xlws.FILTER(Application_Status_May!H$2:H$3000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Website</v>
      </c>
      <c r="H119" s="206" cm="1">
        <f t="array" ref="H119">_xlfn.LET(_xlpm.u,B119,_xlpm.myCnt,COUNTIFS(Application_Status_May!I$2:I$3000,_xlpm.u,Application_Status_May!E$2:E$3000,"App*")+COUNTIFS(Application_Status_May!I$2:I$3000,_xlpm.u,Application_Status_May!E$2:E$3000,"Lease*"),IF(_xlpm.myCnt&gt;0,INDEX(_xlfn._xlws.FILTER(Application_Status_May!J$2:J$3000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46124</v>
      </c>
      <c r="I119" s="206" cm="1">
        <f t="array" ref="I119">_xlfn.LET(_xlpm.u,B119,_xlpm.myCnt,COUNTIFS(Application_Status_May!I$2:I$3000,_xlpm.u,Application_Status_May!E$2:E$3000,"App*")+COUNTIFS(Application_Status_May!I$2:I$3000,_xlpm.u,Application_Status_May!E$2:E$3000,"Lease*"),IF(_xlpm.myCnt&gt;0,INDEX(_xlfn._xlws.FILTER(Application_Status_May!L$2:L$3000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0</v>
      </c>
      <c r="J119" s="206">
        <f>IF(E119&lt;&gt;"Cancelled/Denied","—",_xlfn.LET(_xlpm.u,B119,_xlpm.myC,_xlfn.MAXIFS(Application_Status_May!R$2:R$3000,Application_Status_May!I$2:I$3000,_xlpm.u),_xlpm.myD,_xlfn.MAXIFS(Application_Status_May!S$2:S$3000,Application_Status_May!I$2:I$3000,_xlpm.u),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myC,_xlpm.myD,_xlpm.aC,_xlpm.aD,_xlpm.mC,_xlpm.mD,_xlpm.fC,_xlpm.fD)))</f>
        <v>46142</v>
      </c>
      <c r="K119" s="205" t="str">
        <f t="shared" si="5"/>
        <v>—</v>
      </c>
    </row>
    <row r="120" spans="2:11" ht="14.1" customHeight="1">
      <c r="B120" s="204" t="str">
        <v>N19-2078</v>
      </c>
      <c r="C120" s="204" t="str" cm="1">
        <f t="array" ref="C120">_xlfn.LET(_xlpm.u,B120,_xlpm.myCnt,COUNTIFS(Application_Status_May!I$2:I$3000,_xlpm.u,Application_Status_May!E$2:E$3000,"App*")+COUNTIFS(Application_Status_May!I$2:I$3000,_xlpm.u,Application_Status_May!E$2:E$3000,"Lease*"),IF(_xlpm.myCnt&gt;0,INDEX(_xlfn._xlws.FILTER(Application_Status_May!B$2:B$3000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Mendez, Donaldo</v>
      </c>
      <c r="D120" s="205" t="str" cm="1">
        <f t="array" ref="D120">_xlfn.LET(_xlpm.u,B120,_xlpm.myCnt,COUNTIFS(Application_Status_May!I$2:I$3000,_xlpm.u,Application_Status_May!E$2:E$3000,"App*")+COUNTIFS(Application_Status_May!I$2:I$3000,_xlpm.u,Application_Status_May!E$2:E$3000,"Lease*"),IF(_xlpm.myCnt&gt;0,INDEX(_xlfn._xlws.FILTER(Application_Status_May!E$2:E$3000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Cancelled</v>
      </c>
      <c r="E120" s="205" t="str">
        <f t="shared" si="4"/>
        <v>Cancelled/Denied</v>
      </c>
      <c r="F120" s="205" t="str" cm="1">
        <f t="array" ref="F120">_xlfn.LET(_xlpm.u,B120,_xlpm.myCnt,COUNTIFS(Application_Status_May!I$2:I$3000,_xlpm.u,Application_Status_May!E$2:E$3000,"App*")+COUNTIFS(Application_Status_May!I$2:I$3000,_xlpm.u,Application_Status_May!E$2:E$3000,"Lease*"),IF(_xlpm.myCnt&gt;0,INDEX(_xlfn._xlws.FILTER(Application_Status_May!F$2:F$3000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Elise, Meet</v>
      </c>
      <c r="G120" s="205" t="str" cm="1">
        <f t="array" ref="G120">_xlfn.LET(_xlpm.u,B120,_xlpm.myCnt,COUNTIFS(Application_Status_May!I$2:I$3000,_xlpm.u,Application_Status_May!E$2:E$3000,"App*")+COUNTIFS(Application_Status_May!I$2:I$3000,_xlpm.u,Application_Status_May!E$2:E$3000,"Lease*"),IF(_xlpm.myCnt&gt;0,INDEX(_xlfn._xlws.FILTER(Application_Status_May!H$2:H$3000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Website</v>
      </c>
      <c r="H120" s="206" cm="1">
        <f t="array" ref="H120">_xlfn.LET(_xlpm.u,B120,_xlpm.myCnt,COUNTIFS(Application_Status_May!I$2:I$3000,_xlpm.u,Application_Status_May!E$2:E$3000,"App*")+COUNTIFS(Application_Status_May!I$2:I$3000,_xlpm.u,Application_Status_May!E$2:E$3000,"Lease*"),IF(_xlpm.myCnt&gt;0,INDEX(_xlfn._xlws.FILTER(Application_Status_May!J$2:J$3000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46137</v>
      </c>
      <c r="I120" s="206" cm="1">
        <f t="array" ref="I120">_xlfn.LET(_xlpm.u,B120,_xlpm.myCnt,COUNTIFS(Application_Status_May!I$2:I$3000,_xlpm.u,Application_Status_May!E$2:E$3000,"App*")+COUNTIFS(Application_Status_May!I$2:I$3000,_xlpm.u,Application_Status_May!E$2:E$3000,"Lease*"),IF(_xlpm.myCnt&gt;0,INDEX(_xlfn._xlws.FILTER(Application_Status_May!L$2:L$3000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0</v>
      </c>
      <c r="J120" s="206">
        <f>IF(E120&lt;&gt;"Cancelled/Denied","—",_xlfn.LET(_xlpm.u,B120,_xlpm.myC,_xlfn.MAXIFS(Application_Status_May!R$2:R$3000,Application_Status_May!I$2:I$3000,_xlpm.u),_xlpm.myD,_xlfn.MAXIFS(Application_Status_May!S$2:S$3000,Application_Status_May!I$2:I$3000,_xlpm.u),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myC,_xlpm.myD,_xlpm.aC,_xlpm.aD,_xlpm.mC,_xlpm.mD,_xlpm.fC,_xlpm.fD)))</f>
        <v>46158</v>
      </c>
      <c r="K120" s="205" t="str">
        <f t="shared" si="5"/>
        <v>—</v>
      </c>
    </row>
    <row r="121" spans="2:11" ht="14.1" customHeight="1">
      <c r="B121" s="204" t="str">
        <v>N20-1089</v>
      </c>
      <c r="C121" s="204" t="str" cm="1">
        <f t="array" ref="C121">_xlfn.LET(_xlpm.u,B121,_xlpm.myCnt,COUNTIFS(Application_Status_May!I$2:I$3000,_xlpm.u,Application_Status_May!E$2:E$3000,"App*")+COUNTIFS(Application_Status_May!I$2:I$3000,_xlpm.u,Application_Status_May!E$2:E$3000,"Lease*"),IF(_xlpm.myCnt&gt;0,INDEX(_xlfn._xlws.FILTER(Application_Status_May!B$2:B$3000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terry, breann</v>
      </c>
      <c r="D121" s="205" t="str" cm="1">
        <f t="array" ref="D121">_xlfn.LET(_xlpm.u,B121,_xlpm.myCnt,COUNTIFS(Application_Status_May!I$2:I$3000,_xlpm.u,Application_Status_May!E$2:E$3000,"App*")+COUNTIFS(Application_Status_May!I$2:I$3000,_xlpm.u,Application_Status_May!E$2:E$3000,"Lease*"),IF(_xlpm.myCnt&gt;0,INDEX(_xlfn._xlws.FILTER(Application_Status_May!E$2:E$3000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Cancelled</v>
      </c>
      <c r="E121" s="205" t="str">
        <f t="shared" si="4"/>
        <v>Cancelled/Denied</v>
      </c>
      <c r="F121" s="205" t="str" cm="1">
        <f t="array" ref="F121">_xlfn.LET(_xlpm.u,B121,_xlpm.myCnt,COUNTIFS(Application_Status_May!I$2:I$3000,_xlpm.u,Application_Status_May!E$2:E$3000,"App*")+COUNTIFS(Application_Status_May!I$2:I$3000,_xlpm.u,Application_Status_May!E$2:E$3000,"Lease*"),IF(_xlpm.myCnt&gt;0,INDEX(_xlfn._xlws.FILTER(Application_Status_May!F$2:F$3000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Elise, Meet</v>
      </c>
      <c r="G121" s="205" t="str" cm="1">
        <f t="array" ref="G121">_xlfn.LET(_xlpm.u,B121,_xlpm.myCnt,COUNTIFS(Application_Status_May!I$2:I$3000,_xlpm.u,Application_Status_May!E$2:E$3000,"App*")+COUNTIFS(Application_Status_May!I$2:I$3000,_xlpm.u,Application_Status_May!E$2:E$3000,"Lease*"),IF(_xlpm.myCnt&gt;0,INDEX(_xlfn._xlws.FILTER(Application_Status_May!H$2:H$3000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Affordable Housing</v>
      </c>
      <c r="H121" s="206" cm="1">
        <f t="array" ref="H121">_xlfn.LET(_xlpm.u,B121,_xlpm.myCnt,COUNTIFS(Application_Status_May!I$2:I$3000,_xlpm.u,Application_Status_May!E$2:E$3000,"App*")+COUNTIFS(Application_Status_May!I$2:I$3000,_xlpm.u,Application_Status_May!E$2:E$3000,"Lease*"),IF(_xlpm.myCnt&gt;0,INDEX(_xlfn._xlws.FILTER(Application_Status_May!J$2:J$3000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46143</v>
      </c>
      <c r="I121" s="206" cm="1">
        <f t="array" ref="I121">_xlfn.LET(_xlpm.u,B121,_xlpm.myCnt,COUNTIFS(Application_Status_May!I$2:I$3000,_xlpm.u,Application_Status_May!E$2:E$3000,"App*")+COUNTIFS(Application_Status_May!I$2:I$3000,_xlpm.u,Application_Status_May!E$2:E$3000,"Lease*"),IF(_xlpm.myCnt&gt;0,INDEX(_xlfn._xlws.FILTER(Application_Status_May!L$2:L$3000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46143</v>
      </c>
      <c r="J121" s="206">
        <f>IF(E121&lt;&gt;"Cancelled/Denied","—",_xlfn.LET(_xlpm.u,B121,_xlpm.myC,_xlfn.MAXIFS(Application_Status_May!R$2:R$3000,Application_Status_May!I$2:I$3000,_xlpm.u),_xlpm.myD,_xlfn.MAXIFS(Application_Status_May!S$2:S$3000,Application_Status_May!I$2:I$3000,_xlpm.u),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myC,_xlpm.myD,_xlpm.aC,_xlpm.aD,_xlpm.mC,_xlpm.mD,_xlpm.fC,_xlpm.fD)))</f>
        <v>46147</v>
      </c>
      <c r="K121" s="205" t="str">
        <f t="shared" si="5"/>
        <v>—</v>
      </c>
    </row>
    <row r="122" spans="2:11" ht="14.1" customHeight="1">
      <c r="B122" s="204" t="str">
        <v>N20-2091</v>
      </c>
      <c r="C122" s="204" t="str" cm="1">
        <f t="array" ref="C122">_xlfn.LET(_xlpm.u,B122,_xlpm.myCnt,COUNTIFS(Application_Status_May!I$2:I$3000,_xlpm.u,Application_Status_May!E$2:E$3000,"App*")+COUNTIFS(Application_Status_May!I$2:I$3000,_xlpm.u,Application_Status_May!E$2:E$3000,"Lease*"),IF(_xlpm.myCnt&gt;0,INDEX(_xlfn._xlws.FILTER(Application_Status_May!B$2:B$3000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Rios Adame, Cecilia</v>
      </c>
      <c r="D122" s="205" t="str" cm="1">
        <f t="array" ref="D122">_xlfn.LET(_xlpm.u,B122,_xlpm.myCnt,COUNTIFS(Application_Status_May!I$2:I$3000,_xlpm.u,Application_Status_May!E$2:E$3000,"App*")+COUNTIFS(Application_Status_May!I$2:I$3000,_xlpm.u,Application_Status_May!E$2:E$3000,"Lease*"),IF(_xlpm.myCnt&gt;0,INDEX(_xlfn._xlws.FILTER(Application_Status_May!E$2:E$3000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Lease: Approved</v>
      </c>
      <c r="E122" s="205" t="str">
        <f t="shared" si="4"/>
        <v>Converted</v>
      </c>
      <c r="F122" s="205" t="str" cm="1">
        <f t="array" ref="F122">_xlfn.LET(_xlpm.u,B122,_xlpm.myCnt,COUNTIFS(Application_Status_May!I$2:I$3000,_xlpm.u,Application_Status_May!E$2:E$3000,"App*")+COUNTIFS(Application_Status_May!I$2:I$3000,_xlpm.u,Application_Status_May!E$2:E$3000,"Lease*"),IF(_xlpm.myCnt&gt;0,INDEX(_xlfn._xlws.FILTER(Application_Status_May!F$2:F$3000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Reyes, Josie</v>
      </c>
      <c r="G122" s="205" t="str" cm="1">
        <f t="array" ref="G122">_xlfn.LET(_xlpm.u,B122,_xlpm.myCnt,COUNTIFS(Application_Status_May!I$2:I$3000,_xlpm.u,Application_Status_May!E$2:E$3000,"App*")+COUNTIFS(Application_Status_May!I$2:I$3000,_xlpm.u,Application_Status_May!E$2:E$3000,"Lease*"),IF(_xlpm.myCnt&gt;0,INDEX(_xlfn._xlws.FILTER(Application_Status_May!H$2:H$3000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Apartments.com</v>
      </c>
      <c r="H122" s="206" cm="1">
        <f t="array" ref="H122">_xlfn.LET(_xlpm.u,B122,_xlpm.myCnt,COUNTIFS(Application_Status_May!I$2:I$3000,_xlpm.u,Application_Status_May!E$2:E$3000,"App*")+COUNTIFS(Application_Status_May!I$2:I$3000,_xlpm.u,Application_Status_May!E$2:E$3000,"Lease*"),IF(_xlpm.myCnt&gt;0,INDEX(_xlfn._xlws.FILTER(Application_Status_May!J$2:J$3000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46118</v>
      </c>
      <c r="I122" s="206" cm="1">
        <f t="array" ref="I122">_xlfn.LET(_xlpm.u,B122,_xlpm.myCnt,COUNTIFS(Application_Status_May!I$2:I$3000,_xlpm.u,Application_Status_May!E$2:E$3000,"App*")+COUNTIFS(Application_Status_May!I$2:I$3000,_xlpm.u,Application_Status_May!E$2:E$3000,"Lease*"),IF(_xlpm.myCnt&gt;0,INDEX(_xlfn._xlws.FILTER(Application_Status_May!L$2:L$3000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46126</v>
      </c>
      <c r="J122" s="206" t="str">
        <f>IF(E122&lt;&gt;"Cancelled/Denied","—",_xlfn.LET(_xlpm.u,B122,_xlpm.myC,_xlfn.MAXIFS(Application_Status_May!R$2:R$3000,Application_Status_May!I$2:I$3000,_xlpm.u),_xlpm.myD,_xlfn.MAXIFS(Application_Status_May!S$2:S$3000,Application_Status_May!I$2:I$3000,_xlpm.u),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myC,_xlpm.myD,_xlpm.aC,_xlpm.aD,_xlpm.mC,_xlpm.mD,_xlpm.fC,_xlpm.fD)))</f>
        <v>—</v>
      </c>
      <c r="K122" s="205" t="str">
        <f t="shared" si="5"/>
        <v>—</v>
      </c>
    </row>
    <row r="123" spans="2:11" ht="14.1" customHeight="1">
      <c r="B123" s="204" t="str">
        <v>N20-2093</v>
      </c>
      <c r="C123" s="204" t="str" cm="1">
        <f t="array" ref="C123">_xlfn.LET(_xlpm.u,B123,_xlpm.myCnt,COUNTIFS(Application_Status_May!I$2:I$3000,_xlpm.u,Application_Status_May!E$2:E$3000,"App*")+COUNTIFS(Application_Status_May!I$2:I$3000,_xlpm.u,Application_Status_May!E$2:E$3000,"Lease*"),IF(_xlpm.myCnt&gt;0,INDEX(_xlfn._xlws.FILTER(Application_Status_May!B$2:B$3000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Alexander, Ajaa</v>
      </c>
      <c r="D123" s="205" t="str" cm="1">
        <f t="array" ref="D123">_xlfn.LET(_xlpm.u,B123,_xlpm.myCnt,COUNTIFS(Application_Status_May!I$2:I$3000,_xlpm.u,Application_Status_May!E$2:E$3000,"App*")+COUNTIFS(Application_Status_May!I$2:I$3000,_xlpm.u,Application_Status_May!E$2:E$3000,"Lease*"),IF(_xlpm.myCnt&gt;0,INDEX(_xlfn._xlws.FILTER(Application_Status_May!E$2:E$3000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Lease: Approved</v>
      </c>
      <c r="E123" s="205" t="str">
        <f t="shared" si="4"/>
        <v>Converted</v>
      </c>
      <c r="F123" s="205" t="str" cm="1">
        <f t="array" ref="F123">_xlfn.LET(_xlpm.u,B123,_xlpm.myCnt,COUNTIFS(Application_Status_May!I$2:I$3000,_xlpm.u,Application_Status_May!E$2:E$3000,"App*")+COUNTIFS(Application_Status_May!I$2:I$3000,_xlpm.u,Application_Status_May!E$2:E$3000,"Lease*"),IF(_xlpm.myCnt&gt;0,INDEX(_xlfn._xlws.FILTER(Application_Status_May!F$2:F$3000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Martinez, Briana</v>
      </c>
      <c r="G123" s="205" t="str" cm="1">
        <f t="array" ref="G123">_xlfn.LET(_xlpm.u,B123,_xlpm.myCnt,COUNTIFS(Application_Status_May!I$2:I$3000,_xlpm.u,Application_Status_May!E$2:E$3000,"App*")+COUNTIFS(Application_Status_May!I$2:I$3000,_xlpm.u,Application_Status_May!E$2:E$3000,"Lease*"),IF(_xlpm.myCnt&gt;0,INDEX(_xlfn._xlws.FILTER(Application_Status_May!H$2:H$3000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Website</v>
      </c>
      <c r="H123" s="206" cm="1">
        <f t="array" ref="H123">_xlfn.LET(_xlpm.u,B123,_xlpm.myCnt,COUNTIFS(Application_Status_May!I$2:I$3000,_xlpm.u,Application_Status_May!E$2:E$3000,"App*")+COUNTIFS(Application_Status_May!I$2:I$3000,_xlpm.u,Application_Status_May!E$2:E$3000,"Lease*"),IF(_xlpm.myCnt&gt;0,INDEX(_xlfn._xlws.FILTER(Application_Status_May!J$2:J$3000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46152</v>
      </c>
      <c r="I123" s="206" cm="1">
        <f t="array" ref="I123">_xlfn.LET(_xlpm.u,B123,_xlpm.myCnt,COUNTIFS(Application_Status_May!I$2:I$3000,_xlpm.u,Application_Status_May!E$2:E$3000,"App*")+COUNTIFS(Application_Status_May!I$2:I$3000,_xlpm.u,Application_Status_May!E$2:E$3000,"Lease*"),IF(_xlpm.myCnt&gt;0,INDEX(_xlfn._xlws.FILTER(Application_Status_May!L$2:L$3000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46156</v>
      </c>
      <c r="J123" s="206" t="str">
        <f>IF(E123&lt;&gt;"Cancelled/Denied","—",_xlfn.LET(_xlpm.u,B123,_xlpm.myC,_xlfn.MAXIFS(Application_Status_May!R$2:R$3000,Application_Status_May!I$2:I$3000,_xlpm.u),_xlpm.myD,_xlfn.MAXIFS(Application_Status_May!S$2:S$3000,Application_Status_May!I$2:I$3000,_xlpm.u),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myC,_xlpm.myD,_xlpm.aC,_xlpm.aD,_xlpm.mC,_xlpm.mD,_xlpm.fC,_xlpm.fD)))</f>
        <v>—</v>
      </c>
      <c r="K123" s="205" t="str">
        <f t="shared" si="5"/>
        <v>—</v>
      </c>
    </row>
    <row r="124" spans="2:11" ht="14.1" customHeight="1">
      <c r="B124" s="204" t="str">
        <v>N20-3089</v>
      </c>
      <c r="C124" s="204" t="str" cm="1">
        <f t="array" ref="C124">_xlfn.LET(_xlpm.u,B124,_xlpm.myCnt,COUNTIFS(Application_Status_May!I$2:I$3000,_xlpm.u,Application_Status_May!E$2:E$3000,"App*")+COUNTIFS(Application_Status_May!I$2:I$3000,_xlpm.u,Application_Status_May!E$2:E$3000,"Lease*"),IF(_xlpm.myCnt&gt;0,INDEX(_xlfn._xlws.FILTER(Application_Status_May!B$2:B$3000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King, Kynlee</v>
      </c>
      <c r="D124" s="205" t="str" cm="1">
        <f t="array" ref="D124">_xlfn.LET(_xlpm.u,B124,_xlpm.myCnt,COUNTIFS(Application_Status_May!I$2:I$3000,_xlpm.u,Application_Status_May!E$2:E$3000,"App*")+COUNTIFS(Application_Status_May!I$2:I$3000,_xlpm.u,Application_Status_May!E$2:E$3000,"Lease*"),IF(_xlpm.myCnt&gt;0,INDEX(_xlfn._xlws.FILTER(Application_Status_May!E$2:E$3000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Cancelled</v>
      </c>
      <c r="E124" s="205" t="str">
        <f t="shared" si="4"/>
        <v>Cancelled/Denied</v>
      </c>
      <c r="F124" s="205" t="str" cm="1">
        <f t="array" ref="F124">_xlfn.LET(_xlpm.u,B124,_xlpm.myCnt,COUNTIFS(Application_Status_May!I$2:I$3000,_xlpm.u,Application_Status_May!E$2:E$3000,"App*")+COUNTIFS(Application_Status_May!I$2:I$3000,_xlpm.u,Application_Status_May!E$2:E$3000,"Lease*"),IF(_xlpm.myCnt&gt;0,INDEX(_xlfn._xlws.FILTER(Application_Status_May!F$2:F$3000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Not Assigned</v>
      </c>
      <c r="G124" s="205" t="str" cm="1">
        <f t="array" ref="G124">_xlfn.LET(_xlpm.u,B124,_xlpm.myCnt,COUNTIFS(Application_Status_May!I$2:I$3000,_xlpm.u,Application_Status_May!E$2:E$3000,"App*")+COUNTIFS(Application_Status_May!I$2:I$3000,_xlpm.u,Application_Status_May!E$2:E$3000,"Lease*"),IF(_xlpm.myCnt&gt;0,INDEX(_xlfn._xlws.FILTER(Application_Status_May!H$2:H$3000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Website</v>
      </c>
      <c r="H124" s="206" cm="1">
        <f t="array" ref="H124">_xlfn.LET(_xlpm.u,B124,_xlpm.myCnt,COUNTIFS(Application_Status_May!I$2:I$3000,_xlpm.u,Application_Status_May!E$2:E$3000,"App*")+COUNTIFS(Application_Status_May!I$2:I$3000,_xlpm.u,Application_Status_May!E$2:E$3000,"Lease*"),IF(_xlpm.myCnt&gt;0,INDEX(_xlfn._xlws.FILTER(Application_Status_May!J$2:J$3000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46109</v>
      </c>
      <c r="I124" s="206" cm="1">
        <f t="array" ref="I124">_xlfn.LET(_xlpm.u,B124,_xlpm.myCnt,COUNTIFS(Application_Status_May!I$2:I$3000,_xlpm.u,Application_Status_May!E$2:E$3000,"App*")+COUNTIFS(Application_Status_May!I$2:I$3000,_xlpm.u,Application_Status_May!E$2:E$3000,"Lease*"),IF(_xlpm.myCnt&gt;0,INDEX(_xlfn._xlws.FILTER(Application_Status_May!L$2:L$3000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0</v>
      </c>
      <c r="J124" s="206">
        <f>IF(E124&lt;&gt;"Cancelled/Denied","—",_xlfn.LET(_xlpm.u,B124,_xlpm.myC,_xlfn.MAXIFS(Application_Status_May!R$2:R$3000,Application_Status_May!I$2:I$3000,_xlpm.u),_xlpm.myD,_xlfn.MAXIFS(Application_Status_May!S$2:S$3000,Application_Status_May!I$2:I$3000,_xlpm.u),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myC,_xlpm.myD,_xlpm.aC,_xlpm.aD,_xlpm.mC,_xlpm.mD,_xlpm.fC,_xlpm.fD)))</f>
        <v>46114</v>
      </c>
      <c r="K124" s="205" t="str">
        <f t="shared" si="5"/>
        <v>—</v>
      </c>
    </row>
    <row r="125" spans="2:11" ht="14.1" customHeight="1">
      <c r="B125" s="204" t="str">
        <v>N20-3091</v>
      </c>
      <c r="C125" s="204" t="str" cm="1">
        <f t="array" ref="C125">_xlfn.LET(_xlpm.u,B125,_xlpm.myCnt,COUNTIFS(Application_Status_May!I$2:I$3000,_xlpm.u,Application_Status_May!E$2:E$3000,"App*")+COUNTIFS(Application_Status_May!I$2:I$3000,_xlpm.u,Application_Status_May!E$2:E$3000,"Lease*"),IF(_xlpm.myCnt&gt;0,INDEX(_xlfn._xlws.FILTER(Application_Status_May!B$2:B$3000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Revolorio Sarceno, Sergio</v>
      </c>
      <c r="D125" s="205" t="str" cm="1">
        <f t="array" ref="D125">_xlfn.LET(_xlpm.u,B125,_xlpm.myCnt,COUNTIFS(Application_Status_May!I$2:I$3000,_xlpm.u,Application_Status_May!E$2:E$3000,"App*")+COUNTIFS(Application_Status_May!I$2:I$3000,_xlpm.u,Application_Status_May!E$2:E$3000,"Lease*"),IF(_xlpm.myCnt&gt;0,INDEX(_xlfn._xlws.FILTER(Application_Status_May!E$2:E$3000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Cancelled</v>
      </c>
      <c r="E125" s="205" t="str">
        <f t="shared" si="4"/>
        <v>Cancelled/Denied</v>
      </c>
      <c r="F125" s="205" t="str" cm="1">
        <f t="array" ref="F125">_xlfn.LET(_xlpm.u,B125,_xlpm.myCnt,COUNTIFS(Application_Status_May!I$2:I$3000,_xlpm.u,Application_Status_May!E$2:E$3000,"App*")+COUNTIFS(Application_Status_May!I$2:I$3000,_xlpm.u,Application_Status_May!E$2:E$3000,"Lease*"),IF(_xlpm.myCnt&gt;0,INDEX(_xlfn._xlws.FILTER(Application_Status_May!F$2:F$3000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Vazquez, Norma</v>
      </c>
      <c r="G125" s="205" t="str" cm="1">
        <f t="array" ref="G125">_xlfn.LET(_xlpm.u,B125,_xlpm.myCnt,COUNTIFS(Application_Status_May!I$2:I$3000,_xlpm.u,Application_Status_May!E$2:E$3000,"App*")+COUNTIFS(Application_Status_May!I$2:I$3000,_xlpm.u,Application_Status_May!E$2:E$3000,"Lease*"),IF(_xlpm.myCnt&gt;0,INDEX(_xlfn._xlws.FILTER(Application_Status_May!H$2:H$3000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Resident Referral</v>
      </c>
      <c r="H125" s="206" cm="1">
        <f t="array" ref="H125">_xlfn.LET(_xlpm.u,B125,_xlpm.myCnt,COUNTIFS(Application_Status_May!I$2:I$3000,_xlpm.u,Application_Status_May!E$2:E$3000,"App*")+COUNTIFS(Application_Status_May!I$2:I$3000,_xlpm.u,Application_Status_May!E$2:E$3000,"Lease*"),IF(_xlpm.myCnt&gt;0,INDEX(_xlfn._xlws.FILTER(Application_Status_May!J$2:J$3000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46132</v>
      </c>
      <c r="I125" s="206" cm="1">
        <f t="array" ref="I125">_xlfn.LET(_xlpm.u,B125,_xlpm.myCnt,COUNTIFS(Application_Status_May!I$2:I$3000,_xlpm.u,Application_Status_May!E$2:E$3000,"App*")+COUNTIFS(Application_Status_May!I$2:I$3000,_xlpm.u,Application_Status_May!E$2:E$3000,"Lease*"),IF(_xlpm.myCnt&gt;0,INDEX(_xlfn._xlws.FILTER(Application_Status_May!L$2:L$3000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46134</v>
      </c>
      <c r="J125" s="206">
        <f>IF(E125&lt;&gt;"Cancelled/Denied","—",_xlfn.LET(_xlpm.u,B125,_xlpm.myC,_xlfn.MAXIFS(Application_Status_May!R$2:R$3000,Application_Status_May!I$2:I$3000,_xlpm.u),_xlpm.myD,_xlfn.MAXIFS(Application_Status_May!S$2:S$3000,Application_Status_May!I$2:I$3000,_xlpm.u),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myC,_xlpm.myD,_xlpm.aC,_xlpm.aD,_xlpm.mC,_xlpm.mD,_xlpm.fC,_xlpm.fD)))</f>
        <v>46165</v>
      </c>
      <c r="K125" s="205" t="str">
        <f t="shared" si="5"/>
        <v>—</v>
      </c>
    </row>
    <row r="126" spans="2:11" ht="14.1" customHeight="1">
      <c r="B126" s="204" t="str">
        <v>N22-1096</v>
      </c>
      <c r="C126" s="204" t="str" cm="1">
        <f t="array" ref="C126">_xlfn.LET(_xlpm.u,B126,_xlpm.myCnt,COUNTIFS(Application_Status_May!I$2:I$3000,_xlpm.u,Application_Status_May!E$2:E$3000,"App*")+COUNTIFS(Application_Status_May!I$2:I$3000,_xlpm.u,Application_Status_May!E$2:E$3000,"Lease*"),IF(_xlpm.myCnt&gt;0,INDEX(_xlfn._xlws.FILTER(Application_Status_May!B$2:B$3000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Perry, Amber</v>
      </c>
      <c r="D126" s="205" t="str" cm="1">
        <f t="array" ref="D126">_xlfn.LET(_xlpm.u,B126,_xlpm.myCnt,COUNTIFS(Application_Status_May!I$2:I$3000,_xlpm.u,Application_Status_May!E$2:E$3000,"App*")+COUNTIFS(Application_Status_May!I$2:I$3000,_xlpm.u,Application_Status_May!E$2:E$3000,"Lease*"),IF(_xlpm.myCnt&gt;0,INDEX(_xlfn._xlws.FILTER(Application_Status_May!E$2:E$3000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Lease: Approved</v>
      </c>
      <c r="E126" s="205" t="str">
        <f t="shared" si="4"/>
        <v>Converted</v>
      </c>
      <c r="F126" s="205" t="str" cm="1">
        <f t="array" ref="F126">_xlfn.LET(_xlpm.u,B126,_xlpm.myCnt,COUNTIFS(Application_Status_May!I$2:I$3000,_xlpm.u,Application_Status_May!E$2:E$3000,"App*")+COUNTIFS(Application_Status_May!I$2:I$3000,_xlpm.u,Application_Status_May!E$2:E$3000,"Lease*"),IF(_xlpm.myCnt&gt;0,INDEX(_xlfn._xlws.FILTER(Application_Status_May!F$2:F$3000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Vazquez, Norma</v>
      </c>
      <c r="G126" s="205" t="str" cm="1">
        <f t="array" ref="G126">_xlfn.LET(_xlpm.u,B126,_xlpm.myCnt,COUNTIFS(Application_Status_May!I$2:I$3000,_xlpm.u,Application_Status_May!E$2:E$3000,"App*")+COUNTIFS(Application_Status_May!I$2:I$3000,_xlpm.u,Application_Status_May!E$2:E$3000,"Lease*"),IF(_xlpm.myCnt&gt;0,INDEX(_xlfn._xlws.FILTER(Application_Status_May!H$2:H$3000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Drive By</v>
      </c>
      <c r="H126" s="206" cm="1">
        <f t="array" ref="H126">_xlfn.LET(_xlpm.u,B126,_xlpm.myCnt,COUNTIFS(Application_Status_May!I$2:I$3000,_xlpm.u,Application_Status_May!E$2:E$3000,"App*")+COUNTIFS(Application_Status_May!I$2:I$3000,_xlpm.u,Application_Status_May!E$2:E$3000,"Lease*"),IF(_xlpm.myCnt&gt;0,INDEX(_xlfn._xlws.FILTER(Application_Status_May!J$2:J$3000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46123</v>
      </c>
      <c r="I126" s="206" cm="1">
        <f t="array" ref="I126">_xlfn.LET(_xlpm.u,B126,_xlpm.myCnt,COUNTIFS(Application_Status_May!I$2:I$3000,_xlpm.u,Application_Status_May!E$2:E$3000,"App*")+COUNTIFS(Application_Status_May!I$2:I$3000,_xlpm.u,Application_Status_May!E$2:E$3000,"Lease*"),IF(_xlpm.myCnt&gt;0,INDEX(_xlfn._xlws.FILTER(Application_Status_May!L$2:L$3000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46143</v>
      </c>
      <c r="J126" s="206" t="str">
        <f>IF(E126&lt;&gt;"Cancelled/Denied","—",_xlfn.LET(_xlpm.u,B126,_xlpm.myC,_xlfn.MAXIFS(Application_Status_May!R$2:R$3000,Application_Status_May!I$2:I$3000,_xlpm.u),_xlpm.myD,_xlfn.MAXIFS(Application_Status_May!S$2:S$3000,Application_Status_May!I$2:I$3000,_xlpm.u),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myC,_xlpm.myD,_xlpm.aC,_xlpm.aD,_xlpm.mC,_xlpm.mD,_xlpm.fC,_xlpm.fD)))</f>
        <v>—</v>
      </c>
      <c r="K126" s="205" t="str">
        <f t="shared" si="5"/>
        <v>—</v>
      </c>
    </row>
    <row r="127" spans="2:11" ht="14.1" customHeight="1">
      <c r="B127" s="204" t="str">
        <v>N22-2097</v>
      </c>
      <c r="C127" s="204" t="str" cm="1">
        <f t="array" ref="C127">_xlfn.LET(_xlpm.u,B127,_xlpm.myCnt,COUNTIFS(Application_Status_May!I$2:I$3000,_xlpm.u,Application_Status_May!E$2:E$3000,"App*")+COUNTIFS(Application_Status_May!I$2:I$3000,_xlpm.u,Application_Status_May!E$2:E$3000,"Lease*"),IF(_xlpm.myCnt&gt;0,INDEX(_xlfn._xlws.FILTER(Application_Status_May!B$2:B$3000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Mcgee, Alondra</v>
      </c>
      <c r="D127" s="205" t="str" cm="1">
        <f t="array" ref="D127">_xlfn.LET(_xlpm.u,B127,_xlpm.myCnt,COUNTIFS(Application_Status_May!I$2:I$3000,_xlpm.u,Application_Status_May!E$2:E$3000,"App*")+COUNTIFS(Application_Status_May!I$2:I$3000,_xlpm.u,Application_Status_May!E$2:E$3000,"Lease*"),IF(_xlpm.myCnt&gt;0,INDEX(_xlfn._xlws.FILTER(Application_Status_May!E$2:E$3000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Lease: Approved</v>
      </c>
      <c r="E127" s="205" t="str">
        <f t="shared" si="4"/>
        <v>Converted</v>
      </c>
      <c r="F127" s="205" t="str" cm="1">
        <f t="array" ref="F127">_xlfn.LET(_xlpm.u,B127,_xlpm.myCnt,COUNTIFS(Application_Status_May!I$2:I$3000,_xlpm.u,Application_Status_May!E$2:E$3000,"App*")+COUNTIFS(Application_Status_May!I$2:I$3000,_xlpm.u,Application_Status_May!E$2:E$3000,"Lease*"),IF(_xlpm.myCnt&gt;0,INDEX(_xlfn._xlws.FILTER(Application_Status_May!F$2:F$3000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Rodriguez, Jennifer</v>
      </c>
      <c r="G127" s="205" t="str" cm="1">
        <f t="array" ref="G127">_xlfn.LET(_xlpm.u,B127,_xlpm.myCnt,COUNTIFS(Application_Status_May!I$2:I$3000,_xlpm.u,Application_Status_May!E$2:E$3000,"App*")+COUNTIFS(Application_Status_May!I$2:I$3000,_xlpm.u,Application_Status_May!E$2:E$3000,"Lease*"),IF(_xlpm.myCnt&gt;0,INDEX(_xlfn._xlws.FILTER(Application_Status_May!H$2:H$3000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Website</v>
      </c>
      <c r="H127" s="206" cm="1">
        <f t="array" ref="H127">_xlfn.LET(_xlpm.u,B127,_xlpm.myCnt,COUNTIFS(Application_Status_May!I$2:I$3000,_xlpm.u,Application_Status_May!E$2:E$3000,"App*")+COUNTIFS(Application_Status_May!I$2:I$3000,_xlpm.u,Application_Status_May!E$2:E$3000,"Lease*"),IF(_xlpm.myCnt&gt;0,INDEX(_xlfn._xlws.FILTER(Application_Status_May!J$2:J$3000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46118</v>
      </c>
      <c r="I127" s="206" cm="1">
        <f t="array" ref="I127">_xlfn.LET(_xlpm.u,B127,_xlpm.myCnt,COUNTIFS(Application_Status_May!I$2:I$3000,_xlpm.u,Application_Status_May!E$2:E$3000,"App*")+COUNTIFS(Application_Status_May!I$2:I$3000,_xlpm.u,Application_Status_May!E$2:E$3000,"Lease*"),IF(_xlpm.myCnt&gt;0,INDEX(_xlfn._xlws.FILTER(Application_Status_May!L$2:L$3000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46118</v>
      </c>
      <c r="J127" s="206" t="str">
        <f>IF(E127&lt;&gt;"Cancelled/Denied","—",_xlfn.LET(_xlpm.u,B127,_xlpm.myC,_xlfn.MAXIFS(Application_Status_May!R$2:R$3000,Application_Status_May!I$2:I$3000,_xlpm.u),_xlpm.myD,_xlfn.MAXIFS(Application_Status_May!S$2:S$3000,Application_Status_May!I$2:I$3000,_xlpm.u),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myC,_xlpm.myD,_xlpm.aC,_xlpm.aD,_xlpm.mC,_xlpm.mD,_xlpm.fC,_xlpm.fD)))</f>
        <v>—</v>
      </c>
      <c r="K127" s="205" t="str">
        <f t="shared" si="5"/>
        <v>—</v>
      </c>
    </row>
    <row r="128" spans="2:11" ht="14.1" customHeight="1">
      <c r="B128" s="204" t="str">
        <v>N23-2098</v>
      </c>
      <c r="C128" s="204" t="str" cm="1">
        <f t="array" ref="C128">_xlfn.LET(_xlpm.u,B128,_xlpm.myCnt,COUNTIFS(Application_Status_May!I$2:I$3000,_xlpm.u,Application_Status_May!E$2:E$3000,"App*")+COUNTIFS(Application_Status_May!I$2:I$3000,_xlpm.u,Application_Status_May!E$2:E$3000,"Lease*"),IF(_xlpm.myCnt&gt;0,INDEX(_xlfn._xlws.FILTER(Application_Status_May!B$2:B$3000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Obiamiwe, Lisa</v>
      </c>
      <c r="D128" s="205" t="str" cm="1">
        <f t="array" ref="D128">_xlfn.LET(_xlpm.u,B128,_xlpm.myCnt,COUNTIFS(Application_Status_May!I$2:I$3000,_xlpm.u,Application_Status_May!E$2:E$3000,"App*")+COUNTIFS(Application_Status_May!I$2:I$3000,_xlpm.u,Application_Status_May!E$2:E$3000,"Lease*"),IF(_xlpm.myCnt&gt;0,INDEX(_xlfn._xlws.FILTER(Application_Status_May!E$2:E$3000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Lease: Approved</v>
      </c>
      <c r="E128" s="205" t="str">
        <f t="shared" si="4"/>
        <v>Converted</v>
      </c>
      <c r="F128" s="205" t="str" cm="1">
        <f t="array" ref="F128">_xlfn.LET(_xlpm.u,B128,_xlpm.myCnt,COUNTIFS(Application_Status_May!I$2:I$3000,_xlpm.u,Application_Status_May!E$2:E$3000,"App*")+COUNTIFS(Application_Status_May!I$2:I$3000,_xlpm.u,Application_Status_May!E$2:E$3000,"Lease*"),IF(_xlpm.myCnt&gt;0,INDEX(_xlfn._xlws.FILTER(Application_Status_May!F$2:F$3000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Vazquez, Norma</v>
      </c>
      <c r="G128" s="205" t="str" cm="1">
        <f t="array" ref="G128">_xlfn.LET(_xlpm.u,B128,_xlpm.myCnt,COUNTIFS(Application_Status_May!I$2:I$3000,_xlpm.u,Application_Status_May!E$2:E$3000,"App*")+COUNTIFS(Application_Status_May!I$2:I$3000,_xlpm.u,Application_Status_May!E$2:E$3000,"Lease*"),IF(_xlpm.myCnt&gt;0,INDEX(_xlfn._xlws.FILTER(Application_Status_May!H$2:H$3000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UMOVEFREE</v>
      </c>
      <c r="H128" s="206" cm="1">
        <f t="array" ref="H128">_xlfn.LET(_xlpm.u,B128,_xlpm.myCnt,COUNTIFS(Application_Status_May!I$2:I$3000,_xlpm.u,Application_Status_May!E$2:E$3000,"App*")+COUNTIFS(Application_Status_May!I$2:I$3000,_xlpm.u,Application_Status_May!E$2:E$3000,"Lease*"),IF(_xlpm.myCnt&gt;0,INDEX(_xlfn._xlws.FILTER(Application_Status_May!J$2:J$3000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46120</v>
      </c>
      <c r="I128" s="206" cm="1">
        <f t="array" ref="I128">_xlfn.LET(_xlpm.u,B128,_xlpm.myCnt,COUNTIFS(Application_Status_May!I$2:I$3000,_xlpm.u,Application_Status_May!E$2:E$3000,"App*")+COUNTIFS(Application_Status_May!I$2:I$3000,_xlpm.u,Application_Status_May!E$2:E$3000,"Lease*"),IF(_xlpm.myCnt&gt;0,INDEX(_xlfn._xlws.FILTER(Application_Status_May!L$2:L$3000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46141</v>
      </c>
      <c r="J128" s="206" t="str">
        <f>IF(E128&lt;&gt;"Cancelled/Denied","—",_xlfn.LET(_xlpm.u,B128,_xlpm.myC,_xlfn.MAXIFS(Application_Status_May!R$2:R$3000,Application_Status_May!I$2:I$3000,_xlpm.u),_xlpm.myD,_xlfn.MAXIFS(Application_Status_May!S$2:S$3000,Application_Status_May!I$2:I$3000,_xlpm.u),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myC,_xlpm.myD,_xlpm.aC,_xlpm.aD,_xlpm.mC,_xlpm.mD,_xlpm.fC,_xlpm.fD)))</f>
        <v>—</v>
      </c>
      <c r="K128" s="205" t="str">
        <f t="shared" si="5"/>
        <v>—</v>
      </c>
    </row>
    <row r="129" spans="2:11" ht="14.1" customHeight="1">
      <c r="B129" s="204" t="str">
        <v>N24-1101</v>
      </c>
      <c r="C129" s="204" t="str" cm="1">
        <f t="array" ref="C129">_xlfn.LET(_xlpm.u,B129,_xlpm.myCnt,COUNTIFS(Application_Status_May!I$2:I$3000,_xlpm.u,Application_Status_May!E$2:E$3000,"App*")+COUNTIFS(Application_Status_May!I$2:I$3000,_xlpm.u,Application_Status_May!E$2:E$3000,"Lease*"),IF(_xlpm.myCnt&gt;0,INDEX(_xlfn._xlws.FILTER(Application_Status_May!B$2:B$3000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Williams, Nikki</v>
      </c>
      <c r="D129" s="205" t="str" cm="1">
        <f t="array" ref="D129">_xlfn.LET(_xlpm.u,B129,_xlpm.myCnt,COUNTIFS(Application_Status_May!I$2:I$3000,_xlpm.u,Application_Status_May!E$2:E$3000,"App*")+COUNTIFS(Application_Status_May!I$2:I$3000,_xlpm.u,Application_Status_May!E$2:E$3000,"Lease*"),IF(_xlpm.myCnt&gt;0,INDEX(_xlfn._xlws.FILTER(Application_Status_May!E$2:E$3000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Cancelled</v>
      </c>
      <c r="E129" s="205" t="str">
        <f t="shared" si="4"/>
        <v>Cancelled/Denied</v>
      </c>
      <c r="F129" s="205" t="str" cm="1">
        <f t="array" ref="F129">_xlfn.LET(_xlpm.u,B129,_xlpm.myCnt,COUNTIFS(Application_Status_May!I$2:I$3000,_xlpm.u,Application_Status_May!E$2:E$3000,"App*")+COUNTIFS(Application_Status_May!I$2:I$3000,_xlpm.u,Application_Status_May!E$2:E$3000,"Lease*"),IF(_xlpm.myCnt&gt;0,INDEX(_xlfn._xlws.FILTER(Application_Status_May!F$2:F$3000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HOUSE, HOUSE</v>
      </c>
      <c r="G129" s="205" t="str" cm="1">
        <f t="array" ref="G129">_xlfn.LET(_xlpm.u,B129,_xlpm.myCnt,COUNTIFS(Application_Status_May!I$2:I$3000,_xlpm.u,Application_Status_May!E$2:E$3000,"App*")+COUNTIFS(Application_Status_May!I$2:I$3000,_xlpm.u,Application_Status_May!E$2:E$3000,"Lease*"),IF(_xlpm.myCnt&gt;0,INDEX(_xlfn._xlws.FILTER(Application_Status_May!H$2:H$3000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Website</v>
      </c>
      <c r="H129" s="206" cm="1">
        <f t="array" ref="H129">_xlfn.LET(_xlpm.u,B129,_xlpm.myCnt,COUNTIFS(Application_Status_May!I$2:I$3000,_xlpm.u,Application_Status_May!E$2:E$3000,"App*")+COUNTIFS(Application_Status_May!I$2:I$3000,_xlpm.u,Application_Status_May!E$2:E$3000,"Lease*"),IF(_xlpm.myCnt&gt;0,INDEX(_xlfn._xlws.FILTER(Application_Status_May!J$2:J$3000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46082</v>
      </c>
      <c r="I129" s="206" cm="1">
        <f t="array" ref="I129">_xlfn.LET(_xlpm.u,B129,_xlpm.myCnt,COUNTIFS(Application_Status_May!I$2:I$3000,_xlpm.u,Application_Status_May!E$2:E$3000,"App*")+COUNTIFS(Application_Status_May!I$2:I$3000,_xlpm.u,Application_Status_May!E$2:E$3000,"Lease*"),IF(_xlpm.myCnt&gt;0,INDEX(_xlfn._xlws.FILTER(Application_Status_May!L$2:L$3000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0</v>
      </c>
      <c r="J129" s="206">
        <f>IF(E129&lt;&gt;"Cancelled/Denied","—",_xlfn.LET(_xlpm.u,B129,_xlpm.myC,_xlfn.MAXIFS(Application_Status_May!R$2:R$3000,Application_Status_May!I$2:I$3000,_xlpm.u),_xlpm.myD,_xlfn.MAXIFS(Application_Status_May!S$2:S$3000,Application_Status_May!I$2:I$3000,_xlpm.u),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myC,_xlpm.myD,_xlpm.aC,_xlpm.aD,_xlpm.mC,_xlpm.mD,_xlpm.fC,_xlpm.fD)))</f>
        <v>46114</v>
      </c>
      <c r="K129" s="205" t="str">
        <f t="shared" si="5"/>
        <v>—</v>
      </c>
    </row>
    <row r="130" spans="2:11" ht="14.1" customHeight="1">
      <c r="B130" s="204" t="str">
        <v>N24-2101</v>
      </c>
      <c r="C130" s="204" t="str" cm="1">
        <f t="array" ref="C130">_xlfn.LET(_xlpm.u,B130,_xlpm.myCnt,COUNTIFS(Application_Status_May!I$2:I$3000,_xlpm.u,Application_Status_May!E$2:E$3000,"App*")+COUNTIFS(Application_Status_May!I$2:I$3000,_xlpm.u,Application_Status_May!E$2:E$3000,"Lease*"),IF(_xlpm.myCnt&gt;0,INDEX(_xlfn._xlws.FILTER(Application_Status_May!B$2:B$3000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peppers, Denise</v>
      </c>
      <c r="D130" s="205" t="str" cm="1">
        <f t="array" ref="D130">_xlfn.LET(_xlpm.u,B130,_xlpm.myCnt,COUNTIFS(Application_Status_May!I$2:I$3000,_xlpm.u,Application_Status_May!E$2:E$3000,"App*")+COUNTIFS(Application_Status_May!I$2:I$3000,_xlpm.u,Application_Status_May!E$2:E$3000,"Lease*"),IF(_xlpm.myCnt&gt;0,INDEX(_xlfn._xlws.FILTER(Application_Status_May!E$2:E$3000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Started</v>
      </c>
      <c r="E130" s="205" t="str">
        <f t="shared" ref="E130:E193" si="6">IF(D130="Not Found","No Record",IF(OR(ISNUMBER(SEARCH("Cancelled",D130)),ISNUMBER(SEARCH("Denied",D130))),"Cancelled/Denied",IF(ISNUMBER(SEARCH("Lease",D130)),"Converted",IF(ISNUMBER(SEARCH("Completed",D130)),"In Review",IF(ISNUMBER(SEARCH("Started",D130)),"Incomplete","Other")))))</f>
        <v>Incomplete</v>
      </c>
      <c r="F130" s="205" t="str" cm="1">
        <f t="array" ref="F130">_xlfn.LET(_xlpm.u,B130,_xlpm.myCnt,COUNTIFS(Application_Status_May!I$2:I$3000,_xlpm.u,Application_Status_May!E$2:E$3000,"App*")+COUNTIFS(Application_Status_May!I$2:I$3000,_xlpm.u,Application_Status_May!E$2:E$3000,"Lease*"),IF(_xlpm.myCnt&gt;0,INDEX(_xlfn._xlws.FILTER(Application_Status_May!F$2:F$3000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HOUSE, HOUSE</v>
      </c>
      <c r="G130" s="205" t="str" cm="1">
        <f t="array" ref="G130">_xlfn.LET(_xlpm.u,B130,_xlpm.myCnt,COUNTIFS(Application_Status_May!I$2:I$3000,_xlpm.u,Application_Status_May!E$2:E$3000,"App*")+COUNTIFS(Application_Status_May!I$2:I$3000,_xlpm.u,Application_Status_May!E$2:E$3000,"Lease*"),IF(_xlpm.myCnt&gt;0,INDEX(_xlfn._xlws.FILTER(Application_Status_May!H$2:H$3000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Apartments.com</v>
      </c>
      <c r="H130" s="206" cm="1">
        <f t="array" ref="H130">_xlfn.LET(_xlpm.u,B130,_xlpm.myCnt,COUNTIFS(Application_Status_May!I$2:I$3000,_xlpm.u,Application_Status_May!E$2:E$3000,"App*")+COUNTIFS(Application_Status_May!I$2:I$3000,_xlpm.u,Application_Status_May!E$2:E$3000,"Lease*"),IF(_xlpm.myCnt&gt;0,INDEX(_xlfn._xlws.FILTER(Application_Status_May!J$2:J$3000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46161</v>
      </c>
      <c r="I130" s="206" cm="1">
        <f t="array" ref="I130">_xlfn.LET(_xlpm.u,B130,_xlpm.myCnt,COUNTIFS(Application_Status_May!I$2:I$3000,_xlpm.u,Application_Status_May!E$2:E$3000,"App*")+COUNTIFS(Application_Status_May!I$2:I$3000,_xlpm.u,Application_Status_May!E$2:E$3000,"Lease*"),IF(_xlpm.myCnt&gt;0,INDEX(_xlfn._xlws.FILTER(Application_Status_May!L$2:L$3000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0</v>
      </c>
      <c r="J130" s="206" t="str">
        <f>IF(E130&lt;&gt;"Cancelled/Denied","—",_xlfn.LET(_xlpm.u,B130,_xlpm.myC,_xlfn.MAXIFS(Application_Status_May!R$2:R$3000,Application_Status_May!I$2:I$3000,_xlpm.u),_xlpm.myD,_xlfn.MAXIFS(Application_Status_May!S$2:S$3000,Application_Status_May!I$2:I$3000,_xlpm.u),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myC,_xlpm.myD,_xlpm.aC,_xlpm.aD,_xlpm.mC,_xlpm.mD,_xlpm.fC,_xlpm.fD)))</f>
        <v>—</v>
      </c>
      <c r="K130" s="205">
        <f t="shared" ref="K130:K193" si="7">IF(OR(E130="Cancelled/Denied",E130="Converted",E130="No Record",C130="NO RECORD"),"—",IF(ISNUMBER(H130),$C$3-H130,"—"))</f>
        <v>83</v>
      </c>
    </row>
    <row r="131" spans="2:11" ht="14.1" customHeight="1">
      <c r="B131" s="204" t="str">
        <v>N25-1102</v>
      </c>
      <c r="C131" s="204" t="str" cm="1">
        <f t="array" ref="C131">_xlfn.LET(_xlpm.u,B131,_xlpm.myCnt,COUNTIFS(Application_Status_May!I$2:I$3000,_xlpm.u,Application_Status_May!E$2:E$3000,"App*")+COUNTIFS(Application_Status_May!I$2:I$3000,_xlpm.u,Application_Status_May!E$2:E$3000,"Lease*"),IF(_xlpm.myCnt&gt;0,INDEX(_xlfn._xlws.FILTER(Application_Status_May!B$2:B$3000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Jones, Nikitria</v>
      </c>
      <c r="D131" s="205" t="str" cm="1">
        <f t="array" ref="D131">_xlfn.LET(_xlpm.u,B131,_xlpm.myCnt,COUNTIFS(Application_Status_May!I$2:I$3000,_xlpm.u,Application_Status_May!E$2:E$3000,"App*")+COUNTIFS(Application_Status_May!I$2:I$3000,_xlpm.u,Application_Status_May!E$2:E$3000,"Lease*"),IF(_xlpm.myCnt&gt;0,INDEX(_xlfn._xlws.FILTER(Application_Status_May!E$2:E$3000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Lease: Approved</v>
      </c>
      <c r="E131" s="205" t="str">
        <f t="shared" si="6"/>
        <v>Converted</v>
      </c>
      <c r="F131" s="205" t="str" cm="1">
        <f t="array" ref="F131">_xlfn.LET(_xlpm.u,B131,_xlpm.myCnt,COUNTIFS(Application_Status_May!I$2:I$3000,_xlpm.u,Application_Status_May!E$2:E$3000,"App*")+COUNTIFS(Application_Status_May!I$2:I$3000,_xlpm.u,Application_Status_May!E$2:E$3000,"Lease*"),IF(_xlpm.myCnt&gt;0,INDEX(_xlfn._xlws.FILTER(Application_Status_May!F$2:F$3000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HOUSE, HOUSE</v>
      </c>
      <c r="G131" s="205" t="str" cm="1">
        <f t="array" ref="G131">_xlfn.LET(_xlpm.u,B131,_xlpm.myCnt,COUNTIFS(Application_Status_May!I$2:I$3000,_xlpm.u,Application_Status_May!E$2:E$3000,"App*")+COUNTIFS(Application_Status_May!I$2:I$3000,_xlpm.u,Application_Status_May!E$2:E$3000,"Lease*"),IF(_xlpm.myCnt&gt;0,INDEX(_xlfn._xlws.FILTER(Application_Status_May!H$2:H$3000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Apartments.com</v>
      </c>
      <c r="H131" s="206" cm="1">
        <f t="array" ref="H131">_xlfn.LET(_xlpm.u,B131,_xlpm.myCnt,COUNTIFS(Application_Status_May!I$2:I$3000,_xlpm.u,Application_Status_May!E$2:E$3000,"App*")+COUNTIFS(Application_Status_May!I$2:I$3000,_xlpm.u,Application_Status_May!E$2:E$3000,"Lease*"),IF(_xlpm.myCnt&gt;0,INDEX(_xlfn._xlws.FILTER(Application_Status_May!J$2:J$3000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46158</v>
      </c>
      <c r="I131" s="206" cm="1">
        <f t="array" ref="I131">_xlfn.LET(_xlpm.u,B131,_xlpm.myCnt,COUNTIFS(Application_Status_May!I$2:I$3000,_xlpm.u,Application_Status_May!E$2:E$3000,"App*")+COUNTIFS(Application_Status_May!I$2:I$3000,_xlpm.u,Application_Status_May!E$2:E$3000,"Lease*"),IF(_xlpm.myCnt&gt;0,INDEX(_xlfn._xlws.FILTER(Application_Status_May!L$2:L$3000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46170</v>
      </c>
      <c r="J131" s="206" t="str">
        <f>IF(E131&lt;&gt;"Cancelled/Denied","—",_xlfn.LET(_xlpm.u,B131,_xlpm.myC,_xlfn.MAXIFS(Application_Status_May!R$2:R$3000,Application_Status_May!I$2:I$3000,_xlpm.u),_xlpm.myD,_xlfn.MAXIFS(Application_Status_May!S$2:S$3000,Application_Status_May!I$2:I$3000,_xlpm.u),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myC,_xlpm.myD,_xlpm.aC,_xlpm.aD,_xlpm.mC,_xlpm.mD,_xlpm.fC,_xlpm.fD)))</f>
        <v>—</v>
      </c>
      <c r="K131" s="205" t="str">
        <f t="shared" si="7"/>
        <v>—</v>
      </c>
    </row>
    <row r="132" spans="2:11" ht="14.1" customHeight="1">
      <c r="B132" s="204" t="str">
        <v>N25-1103</v>
      </c>
      <c r="C132" s="204" t="str" cm="1">
        <f t="array" ref="C132">_xlfn.LET(_xlpm.u,B132,_xlpm.myCnt,COUNTIFS(Application_Status_May!I$2:I$3000,_xlpm.u,Application_Status_May!E$2:E$3000,"App*")+COUNTIFS(Application_Status_May!I$2:I$3000,_xlpm.u,Application_Status_May!E$2:E$3000,"Lease*"),IF(_xlpm.myCnt&gt;0,INDEX(_xlfn._xlws.FILTER(Application_Status_May!B$2:B$3000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Estrada Villegas, Michael</v>
      </c>
      <c r="D132" s="205" t="str" cm="1">
        <f t="array" ref="D132">_xlfn.LET(_xlpm.u,B132,_xlpm.myCnt,COUNTIFS(Application_Status_May!I$2:I$3000,_xlpm.u,Application_Status_May!E$2:E$3000,"App*")+COUNTIFS(Application_Status_May!I$2:I$3000,_xlpm.u,Application_Status_May!E$2:E$3000,"Lease*"),IF(_xlpm.myCnt&gt;0,INDEX(_xlfn._xlws.FILTER(Application_Status_May!E$2:E$3000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Lease: Approved</v>
      </c>
      <c r="E132" s="205" t="str">
        <f t="shared" si="6"/>
        <v>Converted</v>
      </c>
      <c r="F132" s="205" t="str" cm="1">
        <f t="array" ref="F132">_xlfn.LET(_xlpm.u,B132,_xlpm.myCnt,COUNTIFS(Application_Status_May!I$2:I$3000,_xlpm.u,Application_Status_May!E$2:E$3000,"App*")+COUNTIFS(Application_Status_May!I$2:I$3000,_xlpm.u,Application_Status_May!E$2:E$3000,"Lease*"),IF(_xlpm.myCnt&gt;0,INDEX(_xlfn._xlws.FILTER(Application_Status_May!F$2:F$3000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Rodriguez, Jennifer</v>
      </c>
      <c r="G132" s="205" t="str" cm="1">
        <f t="array" ref="G132">_xlfn.LET(_xlpm.u,B132,_xlpm.myCnt,COUNTIFS(Application_Status_May!I$2:I$3000,_xlpm.u,Application_Status_May!E$2:E$3000,"App*")+COUNTIFS(Application_Status_May!I$2:I$3000,_xlpm.u,Application_Status_May!E$2:E$3000,"Lease*"),IF(_xlpm.myCnt&gt;0,INDEX(_xlfn._xlws.FILTER(Application_Status_May!H$2:H$3000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Drive By</v>
      </c>
      <c r="H132" s="206" cm="1">
        <f t="array" ref="H132">_xlfn.LET(_xlpm.u,B132,_xlpm.myCnt,COUNTIFS(Application_Status_May!I$2:I$3000,_xlpm.u,Application_Status_May!E$2:E$3000,"App*")+COUNTIFS(Application_Status_May!I$2:I$3000,_xlpm.u,Application_Status_May!E$2:E$3000,"Lease*"),IF(_xlpm.myCnt&gt;0,INDEX(_xlfn._xlws.FILTER(Application_Status_May!J$2:J$3000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46095</v>
      </c>
      <c r="I132" s="206" cm="1">
        <f t="array" ref="I132">_xlfn.LET(_xlpm.u,B132,_xlpm.myCnt,COUNTIFS(Application_Status_May!I$2:I$3000,_xlpm.u,Application_Status_May!E$2:E$3000,"App*")+COUNTIFS(Application_Status_May!I$2:I$3000,_xlpm.u,Application_Status_May!E$2:E$3000,"Lease*"),IF(_xlpm.myCnt&gt;0,INDEX(_xlfn._xlws.FILTER(Application_Status_May!L$2:L$3000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46095</v>
      </c>
      <c r="J132" s="206" t="str">
        <f>IF(E132&lt;&gt;"Cancelled/Denied","—",_xlfn.LET(_xlpm.u,B132,_xlpm.myC,_xlfn.MAXIFS(Application_Status_May!R$2:R$3000,Application_Status_May!I$2:I$3000,_xlpm.u),_xlpm.myD,_xlfn.MAXIFS(Application_Status_May!S$2:S$3000,Application_Status_May!I$2:I$3000,_xlpm.u),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myC,_xlpm.myD,_xlpm.aC,_xlpm.aD,_xlpm.mC,_xlpm.mD,_xlpm.fC,_xlpm.fD)))</f>
        <v>—</v>
      </c>
      <c r="K132" s="205" t="str">
        <f t="shared" si="7"/>
        <v>—</v>
      </c>
    </row>
    <row r="133" spans="2:11" ht="14.1" customHeight="1">
      <c r="B133" s="204" t="str">
        <v>N25-2102</v>
      </c>
      <c r="C133" s="204" t="str" cm="1">
        <f t="array" ref="C133">_xlfn.LET(_xlpm.u,B133,_xlpm.myCnt,COUNTIFS(Application_Status_May!I$2:I$3000,_xlpm.u,Application_Status_May!E$2:E$3000,"App*")+COUNTIFS(Application_Status_May!I$2:I$3000,_xlpm.u,Application_Status_May!E$2:E$3000,"Lease*"),IF(_xlpm.myCnt&gt;0,INDEX(_xlfn._xlws.FILTER(Application_Status_May!B$2:B$3000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Portillo, William</v>
      </c>
      <c r="D133" s="205" t="str" cm="1">
        <f t="array" ref="D133">_xlfn.LET(_xlpm.u,B133,_xlpm.myCnt,COUNTIFS(Application_Status_May!I$2:I$3000,_xlpm.u,Application_Status_May!E$2:E$3000,"App*")+COUNTIFS(Application_Status_May!I$2:I$3000,_xlpm.u,Application_Status_May!E$2:E$3000,"Lease*"),IF(_xlpm.myCnt&gt;0,INDEX(_xlfn._xlws.FILTER(Application_Status_May!E$2:E$3000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Cancelled</v>
      </c>
      <c r="E133" s="205" t="str">
        <f t="shared" si="6"/>
        <v>Cancelled/Denied</v>
      </c>
      <c r="F133" s="205" t="str" cm="1">
        <f t="array" ref="F133">_xlfn.LET(_xlpm.u,B133,_xlpm.myCnt,COUNTIFS(Application_Status_May!I$2:I$3000,_xlpm.u,Application_Status_May!E$2:E$3000,"App*")+COUNTIFS(Application_Status_May!I$2:I$3000,_xlpm.u,Application_Status_May!E$2:E$3000,"Lease*"),IF(_xlpm.myCnt&gt;0,INDEX(_xlfn._xlws.FILTER(Application_Status_May!F$2:F$3000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Not Assigned</v>
      </c>
      <c r="G133" s="205" t="str" cm="1">
        <f t="array" ref="G133">_xlfn.LET(_xlpm.u,B133,_xlpm.myCnt,COUNTIFS(Application_Status_May!I$2:I$3000,_xlpm.u,Application_Status_May!E$2:E$3000,"App*")+COUNTIFS(Application_Status_May!I$2:I$3000,_xlpm.u,Application_Status_May!E$2:E$3000,"Lease*"),IF(_xlpm.myCnt&gt;0,INDEX(_xlfn._xlws.FILTER(Application_Status_May!H$2:H$3000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Website</v>
      </c>
      <c r="H133" s="206" cm="1">
        <f t="array" ref="H133">_xlfn.LET(_xlpm.u,B133,_xlpm.myCnt,COUNTIFS(Application_Status_May!I$2:I$3000,_xlpm.u,Application_Status_May!E$2:E$3000,"App*")+COUNTIFS(Application_Status_May!I$2:I$3000,_xlpm.u,Application_Status_May!E$2:E$3000,"Lease*"),IF(_xlpm.myCnt&gt;0,INDEX(_xlfn._xlws.FILTER(Application_Status_May!J$2:J$3000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46064</v>
      </c>
      <c r="I133" s="206" cm="1">
        <f t="array" ref="I133">_xlfn.LET(_xlpm.u,B133,_xlpm.myCnt,COUNTIFS(Application_Status_May!I$2:I$3000,_xlpm.u,Application_Status_May!E$2:E$3000,"App*")+COUNTIFS(Application_Status_May!I$2:I$3000,_xlpm.u,Application_Status_May!E$2:E$3000,"Lease*"),IF(_xlpm.myCnt&gt;0,INDEX(_xlfn._xlws.FILTER(Application_Status_May!L$2:L$3000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0</v>
      </c>
      <c r="J133" s="206">
        <f>IF(E133&lt;&gt;"Cancelled/Denied","—",_xlfn.LET(_xlpm.u,B133,_xlpm.myC,_xlfn.MAXIFS(Application_Status_May!R$2:R$3000,Application_Status_May!I$2:I$3000,_xlpm.u),_xlpm.myD,_xlfn.MAXIFS(Application_Status_May!S$2:S$3000,Application_Status_May!I$2:I$3000,_xlpm.u),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myC,_xlpm.myD,_xlpm.aC,_xlpm.aD,_xlpm.mC,_xlpm.mD,_xlpm.fC,_xlpm.fD)))</f>
        <v>46114</v>
      </c>
      <c r="K133" s="205" t="str">
        <f t="shared" si="7"/>
        <v>—</v>
      </c>
    </row>
    <row r="134" spans="2:11" ht="14.1" customHeight="1">
      <c r="B134" s="204" t="str">
        <v>N25-2103</v>
      </c>
      <c r="C134" s="204" t="str" cm="1">
        <f t="array" ref="C134">_xlfn.LET(_xlpm.u,B134,_xlpm.myCnt,COUNTIFS(Application_Status_May!I$2:I$3000,_xlpm.u,Application_Status_May!E$2:E$3000,"App*")+COUNTIFS(Application_Status_May!I$2:I$3000,_xlpm.u,Application_Status_May!E$2:E$3000,"Lease*"),IF(_xlpm.myCnt&gt;0,INDEX(_xlfn._xlws.FILTER(Application_Status_May!B$2:B$3000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Hinkel, August</v>
      </c>
      <c r="D134" s="205" t="str" cm="1">
        <f t="array" ref="D134">_xlfn.LET(_xlpm.u,B134,_xlpm.myCnt,COUNTIFS(Application_Status_May!I$2:I$3000,_xlpm.u,Application_Status_May!E$2:E$3000,"App*")+COUNTIFS(Application_Status_May!I$2:I$3000,_xlpm.u,Application_Status_May!E$2:E$3000,"Lease*"),IF(_xlpm.myCnt&gt;0,INDEX(_xlfn._xlws.FILTER(Application_Status_May!E$2:E$3000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Lease: Approved</v>
      </c>
      <c r="E134" s="205" t="str">
        <f t="shared" si="6"/>
        <v>Converted</v>
      </c>
      <c r="F134" s="205" t="str" cm="1">
        <f t="array" ref="F134">_xlfn.LET(_xlpm.u,B134,_xlpm.myCnt,COUNTIFS(Application_Status_May!I$2:I$3000,_xlpm.u,Application_Status_May!E$2:E$3000,"App*")+COUNTIFS(Application_Status_May!I$2:I$3000,_xlpm.u,Application_Status_May!E$2:E$3000,"Lease*"),IF(_xlpm.myCnt&gt;0,INDEX(_xlfn._xlws.FILTER(Application_Status_May!F$2:F$3000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Martinez, Emily</v>
      </c>
      <c r="G134" s="205" t="str" cm="1">
        <f t="array" ref="G134">_xlfn.LET(_xlpm.u,B134,_xlpm.myCnt,COUNTIFS(Application_Status_May!I$2:I$3000,_xlpm.u,Application_Status_May!E$2:E$3000,"App*")+COUNTIFS(Application_Status_May!I$2:I$3000,_xlpm.u,Application_Status_May!E$2:E$3000,"Lease*"),IF(_xlpm.myCnt&gt;0,INDEX(_xlfn._xlws.FILTER(Application_Status_May!H$2:H$3000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Apartments.com</v>
      </c>
      <c r="H134" s="206" cm="1">
        <f t="array" ref="H134">_xlfn.LET(_xlpm.u,B134,_xlpm.myCnt,COUNTIFS(Application_Status_May!I$2:I$3000,_xlpm.u,Application_Status_May!E$2:E$3000,"App*")+COUNTIFS(Application_Status_May!I$2:I$3000,_xlpm.u,Application_Status_May!E$2:E$3000,"Lease*"),IF(_xlpm.myCnt&gt;0,INDEX(_xlfn._xlws.FILTER(Application_Status_May!J$2:J$3000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46066</v>
      </c>
      <c r="I134" s="206" cm="1">
        <f t="array" ref="I134">_xlfn.LET(_xlpm.u,B134,_xlpm.myCnt,COUNTIFS(Application_Status_May!I$2:I$3000,_xlpm.u,Application_Status_May!E$2:E$3000,"App*")+COUNTIFS(Application_Status_May!I$2:I$3000,_xlpm.u,Application_Status_May!E$2:E$3000,"Lease*"),IF(_xlpm.myCnt&gt;0,INDEX(_xlfn._xlws.FILTER(Application_Status_May!L$2:L$3000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46105</v>
      </c>
      <c r="J134" s="206" t="str">
        <f>IF(E134&lt;&gt;"Cancelled/Denied","—",_xlfn.LET(_xlpm.u,B134,_xlpm.myC,_xlfn.MAXIFS(Application_Status_May!R$2:R$3000,Application_Status_May!I$2:I$3000,_xlpm.u),_xlpm.myD,_xlfn.MAXIFS(Application_Status_May!S$2:S$3000,Application_Status_May!I$2:I$3000,_xlpm.u),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myC,_xlpm.myD,_xlpm.aC,_xlpm.aD,_xlpm.mC,_xlpm.mD,_xlpm.fC,_xlpm.fD)))</f>
        <v>—</v>
      </c>
      <c r="K134" s="205" t="str">
        <f t="shared" si="7"/>
        <v>—</v>
      </c>
    </row>
    <row r="135" spans="2:11" ht="14.1" customHeight="1">
      <c r="B135" s="204" t="str">
        <v>N26-1104</v>
      </c>
      <c r="C135" s="204" t="str" cm="1">
        <f t="array" ref="C135">_xlfn.LET(_xlpm.u,B135,_xlpm.myCnt,COUNTIFS(Application_Status_May!I$2:I$3000,_xlpm.u,Application_Status_May!E$2:E$3000,"App*")+COUNTIFS(Application_Status_May!I$2:I$3000,_xlpm.u,Application_Status_May!E$2:E$3000,"Lease*"),IF(_xlpm.myCnt&gt;0,INDEX(_xlfn._xlws.FILTER(Application_Status_May!B$2:B$3000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Smith, Lauren</v>
      </c>
      <c r="D135" s="205" t="str" cm="1">
        <f t="array" ref="D135">_xlfn.LET(_xlpm.u,B135,_xlpm.myCnt,COUNTIFS(Application_Status_May!I$2:I$3000,_xlpm.u,Application_Status_May!E$2:E$3000,"App*")+COUNTIFS(Application_Status_May!I$2:I$3000,_xlpm.u,Application_Status_May!E$2:E$3000,"Lease*"),IF(_xlpm.myCnt&gt;0,INDEX(_xlfn._xlws.FILTER(Application_Status_May!E$2:E$3000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Lease: Approved</v>
      </c>
      <c r="E135" s="205" t="str">
        <f t="shared" si="6"/>
        <v>Converted</v>
      </c>
      <c r="F135" s="205" t="str" cm="1">
        <f t="array" ref="F135">_xlfn.LET(_xlpm.u,B135,_xlpm.myCnt,COUNTIFS(Application_Status_May!I$2:I$3000,_xlpm.u,Application_Status_May!E$2:E$3000,"App*")+COUNTIFS(Application_Status_May!I$2:I$3000,_xlpm.u,Application_Status_May!E$2:E$3000,"Lease*"),IF(_xlpm.myCnt&gt;0,INDEX(_xlfn._xlws.FILTER(Application_Status_May!F$2:F$3000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Martinez, Emily</v>
      </c>
      <c r="G135" s="205" t="str" cm="1">
        <f t="array" ref="G135">_xlfn.LET(_xlpm.u,B135,_xlpm.myCnt,COUNTIFS(Application_Status_May!I$2:I$3000,_xlpm.u,Application_Status_May!E$2:E$3000,"App*")+COUNTIFS(Application_Status_May!I$2:I$3000,_xlpm.u,Application_Status_May!E$2:E$3000,"Lease*"),IF(_xlpm.myCnt&gt;0,INDEX(_xlfn._xlws.FILTER(Application_Status_May!H$2:H$3000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Apartments.com</v>
      </c>
      <c r="H135" s="206" cm="1">
        <f t="array" ref="H135">_xlfn.LET(_xlpm.u,B135,_xlpm.myCnt,COUNTIFS(Application_Status_May!I$2:I$3000,_xlpm.u,Application_Status_May!E$2:E$3000,"App*")+COUNTIFS(Application_Status_May!I$2:I$3000,_xlpm.u,Application_Status_May!E$2:E$3000,"Lease*"),IF(_xlpm.myCnt&gt;0,INDEX(_xlfn._xlws.FILTER(Application_Status_May!J$2:J$3000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46084</v>
      </c>
      <c r="I135" s="206" cm="1">
        <f t="array" ref="I135">_xlfn.LET(_xlpm.u,B135,_xlpm.myCnt,COUNTIFS(Application_Status_May!I$2:I$3000,_xlpm.u,Application_Status_May!E$2:E$3000,"App*")+COUNTIFS(Application_Status_May!I$2:I$3000,_xlpm.u,Application_Status_May!E$2:E$3000,"Lease*"),IF(_xlpm.myCnt&gt;0,INDEX(_xlfn._xlws.FILTER(Application_Status_May!L$2:L$3000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46086</v>
      </c>
      <c r="J135" s="206" t="str">
        <f>IF(E135&lt;&gt;"Cancelled/Denied","—",_xlfn.LET(_xlpm.u,B135,_xlpm.myC,_xlfn.MAXIFS(Application_Status_May!R$2:R$3000,Application_Status_May!I$2:I$3000,_xlpm.u),_xlpm.myD,_xlfn.MAXIFS(Application_Status_May!S$2:S$3000,Application_Status_May!I$2:I$3000,_xlpm.u),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myC,_xlpm.myD,_xlpm.aC,_xlpm.aD,_xlpm.mC,_xlpm.mD,_xlpm.fC,_xlpm.fD)))</f>
        <v>—</v>
      </c>
      <c r="K135" s="205" t="str">
        <f t="shared" si="7"/>
        <v>—</v>
      </c>
    </row>
    <row r="136" spans="2:11" ht="14.1" customHeight="1">
      <c r="B136" s="204" t="str">
        <v>N26-2105</v>
      </c>
      <c r="C136" s="204" t="str" cm="1">
        <f t="array" ref="C136">_xlfn.LET(_xlpm.u,B136,_xlpm.myCnt,COUNTIFS(Application_Status_May!I$2:I$3000,_xlpm.u,Application_Status_May!E$2:E$3000,"App*")+COUNTIFS(Application_Status_May!I$2:I$3000,_xlpm.u,Application_Status_May!E$2:E$3000,"Lease*"),IF(_xlpm.myCnt&gt;0,INDEX(_xlfn._xlws.FILTER(Application_Status_May!B$2:B$3000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Epinayu epinayu, Maira</v>
      </c>
      <c r="D136" s="205" t="str" cm="1">
        <f t="array" ref="D136">_xlfn.LET(_xlpm.u,B136,_xlpm.myCnt,COUNTIFS(Application_Status_May!I$2:I$3000,_xlpm.u,Application_Status_May!E$2:E$3000,"App*")+COUNTIFS(Application_Status_May!I$2:I$3000,_xlpm.u,Application_Status_May!E$2:E$3000,"Lease*"),IF(_xlpm.myCnt&gt;0,INDEX(_xlfn._xlws.FILTER(Application_Status_May!E$2:E$3000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Lease: Approved</v>
      </c>
      <c r="E136" s="205" t="str">
        <f t="shared" si="6"/>
        <v>Converted</v>
      </c>
      <c r="F136" s="205" t="str" cm="1">
        <f t="array" ref="F136">_xlfn.LET(_xlpm.u,B136,_xlpm.myCnt,COUNTIFS(Application_Status_May!I$2:I$3000,_xlpm.u,Application_Status_May!E$2:E$3000,"App*")+COUNTIFS(Application_Status_May!I$2:I$3000,_xlpm.u,Application_Status_May!E$2:E$3000,"Lease*"),IF(_xlpm.myCnt&gt;0,INDEX(_xlfn._xlws.FILTER(Application_Status_May!F$2:F$3000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Martinez, Emily</v>
      </c>
      <c r="G136" s="205" t="str" cm="1">
        <f t="array" ref="G136">_xlfn.LET(_xlpm.u,B136,_xlpm.myCnt,COUNTIFS(Application_Status_May!I$2:I$3000,_xlpm.u,Application_Status_May!E$2:E$3000,"App*")+COUNTIFS(Application_Status_May!I$2:I$3000,_xlpm.u,Application_Status_May!E$2:E$3000,"Lease*"),IF(_xlpm.myCnt&gt;0,INDEX(_xlfn._xlws.FILTER(Application_Status_May!H$2:H$3000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Resident Referral</v>
      </c>
      <c r="H136" s="206" cm="1">
        <f t="array" ref="H136">_xlfn.LET(_xlpm.u,B136,_xlpm.myCnt,COUNTIFS(Application_Status_May!I$2:I$3000,_xlpm.u,Application_Status_May!E$2:E$3000,"App*")+COUNTIFS(Application_Status_May!I$2:I$3000,_xlpm.u,Application_Status_May!E$2:E$3000,"Lease*"),IF(_xlpm.myCnt&gt;0,INDEX(_xlfn._xlws.FILTER(Application_Status_May!J$2:J$3000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46081</v>
      </c>
      <c r="I136" s="206" cm="1">
        <f t="array" ref="I136">_xlfn.LET(_xlpm.u,B136,_xlpm.myCnt,COUNTIFS(Application_Status_May!I$2:I$3000,_xlpm.u,Application_Status_May!E$2:E$3000,"App*")+COUNTIFS(Application_Status_May!I$2:I$3000,_xlpm.u,Application_Status_May!E$2:E$3000,"Lease*"),IF(_xlpm.myCnt&gt;0,INDEX(_xlfn._xlws.FILTER(Application_Status_May!L$2:L$3000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46097</v>
      </c>
      <c r="J136" s="206" t="str">
        <f>IF(E136&lt;&gt;"Cancelled/Denied","—",_xlfn.LET(_xlpm.u,B136,_xlpm.myC,_xlfn.MAXIFS(Application_Status_May!R$2:R$3000,Application_Status_May!I$2:I$3000,_xlpm.u),_xlpm.myD,_xlfn.MAXIFS(Application_Status_May!S$2:S$3000,Application_Status_May!I$2:I$3000,_xlpm.u),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myC,_xlpm.myD,_xlpm.aC,_xlpm.aD,_xlpm.mC,_xlpm.mD,_xlpm.fC,_xlpm.fD)))</f>
        <v>—</v>
      </c>
      <c r="K136" s="205" t="str">
        <f t="shared" si="7"/>
        <v>—</v>
      </c>
    </row>
    <row r="137" spans="2:11" ht="14.1" customHeight="1">
      <c r="B137" s="204" t="str">
        <v>S26-401</v>
      </c>
      <c r="C137" s="204" t="str" cm="1">
        <f t="array" ref="C137">_xlfn.LET(_xlpm.u,B137,_xlpm.myCnt,COUNTIFS(Application_Status_May!I$2:I$3000,_xlpm.u,Application_Status_May!E$2:E$3000,"App*")+COUNTIFS(Application_Status_May!I$2:I$3000,_xlpm.u,Application_Status_May!E$2:E$3000,"Lease*"),IF(_xlpm.myCnt&gt;0,INDEX(_xlfn._xlws.FILTER(Application_Status_May!B$2:B$3000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Stewart, Aaron</v>
      </c>
      <c r="D137" s="205" t="str" cm="1">
        <f t="array" ref="D137">_xlfn.LET(_xlpm.u,B137,_xlpm.myCnt,COUNTIFS(Application_Status_May!I$2:I$3000,_xlpm.u,Application_Status_May!E$2:E$3000,"App*")+COUNTIFS(Application_Status_May!I$2:I$3000,_xlpm.u,Application_Status_May!E$2:E$3000,"Lease*"),IF(_xlpm.myCnt&gt;0,INDEX(_xlfn._xlws.FILTER(Application_Status_May!E$2:E$3000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Completed</v>
      </c>
      <c r="E137" s="205" t="str">
        <f t="shared" si="6"/>
        <v>In Review</v>
      </c>
      <c r="F137" s="205" t="str" cm="1">
        <f t="array" ref="F137">_xlfn.LET(_xlpm.u,B137,_xlpm.myCnt,COUNTIFS(Application_Status_May!I$2:I$3000,_xlpm.u,Application_Status_May!E$2:E$3000,"App*")+COUNTIFS(Application_Status_May!I$2:I$3000,_xlpm.u,Application_Status_May!E$2:E$3000,"Lease*"),IF(_xlpm.myCnt&gt;0,INDEX(_xlfn._xlws.FILTER(Application_Status_May!F$2:F$3000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Gabehart, Jamey</v>
      </c>
      <c r="G137" s="205" t="str" cm="1">
        <f t="array" ref="G137">_xlfn.LET(_xlpm.u,B137,_xlpm.myCnt,COUNTIFS(Application_Status_May!I$2:I$3000,_xlpm.u,Application_Status_May!E$2:E$3000,"App*")+COUNTIFS(Application_Status_May!I$2:I$3000,_xlpm.u,Application_Status_May!E$2:E$3000,"Lease*"),IF(_xlpm.myCnt&gt;0,INDEX(_xlfn._xlws.FILTER(Application_Status_May!H$2:H$3000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Apartments.com</v>
      </c>
      <c r="H137" s="206" cm="1">
        <f t="array" ref="H137">_xlfn.LET(_xlpm.u,B137,_xlpm.myCnt,COUNTIFS(Application_Status_May!I$2:I$3000,_xlpm.u,Application_Status_May!E$2:E$3000,"App*")+COUNTIFS(Application_Status_May!I$2:I$3000,_xlpm.u,Application_Status_May!E$2:E$3000,"Lease*"),IF(_xlpm.myCnt&gt;0,INDEX(_xlfn._xlws.FILTER(Application_Status_May!J$2:J$3000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46171</v>
      </c>
      <c r="I137" s="206" cm="1">
        <f t="array" ref="I137">_xlfn.LET(_xlpm.u,B137,_xlpm.myCnt,COUNTIFS(Application_Status_May!I$2:I$3000,_xlpm.u,Application_Status_May!E$2:E$3000,"App*")+COUNTIFS(Application_Status_May!I$2:I$3000,_xlpm.u,Application_Status_May!E$2:E$3000,"Lease*"),IF(_xlpm.myCnt&gt;0,INDEX(_xlfn._xlws.FILTER(Application_Status_May!L$2:L$3000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46172</v>
      </c>
      <c r="J137" s="206" t="str">
        <f>IF(E137&lt;&gt;"Cancelled/Denied","—",_xlfn.LET(_xlpm.u,B137,_xlpm.myC,_xlfn.MAXIFS(Application_Status_May!R$2:R$3000,Application_Status_May!I$2:I$3000,_xlpm.u),_xlpm.myD,_xlfn.MAXIFS(Application_Status_May!S$2:S$3000,Application_Status_May!I$2:I$3000,_xlpm.u),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myC,_xlpm.myD,_xlpm.aC,_xlpm.aD,_xlpm.mC,_xlpm.mD,_xlpm.fC,_xlpm.fD)))</f>
        <v>—</v>
      </c>
      <c r="K137" s="205">
        <f t="shared" si="7"/>
        <v>73</v>
      </c>
    </row>
    <row r="138" spans="2:11" ht="14.1" customHeight="1">
      <c r="B138" s="204" t="str">
        <v>S26-403</v>
      </c>
      <c r="C138" s="204" t="str" cm="1">
        <f t="array" ref="C138">_xlfn.LET(_xlpm.u,B138,_xlpm.myCnt,COUNTIFS(Application_Status_May!I$2:I$3000,_xlpm.u,Application_Status_May!E$2:E$3000,"App*")+COUNTIFS(Application_Status_May!I$2:I$3000,_xlpm.u,Application_Status_May!E$2:E$3000,"Lease*"),IF(_xlpm.myCnt&gt;0,INDEX(_xlfn._xlws.FILTER(Application_Status_May!B$2:B$3000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Williams, LaAsia</v>
      </c>
      <c r="D138" s="205" t="str" cm="1">
        <f t="array" ref="D138">_xlfn.LET(_xlpm.u,B138,_xlpm.myCnt,COUNTIFS(Application_Status_May!I$2:I$3000,_xlpm.u,Application_Status_May!E$2:E$3000,"App*")+COUNTIFS(Application_Status_May!I$2:I$3000,_xlpm.u,Application_Status_May!E$2:E$3000,"Lease*"),IF(_xlpm.myCnt&gt;0,INDEX(_xlfn._xlws.FILTER(Application_Status_May!E$2:E$3000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Cancelled</v>
      </c>
      <c r="E138" s="205" t="str">
        <f t="shared" si="6"/>
        <v>Cancelled/Denied</v>
      </c>
      <c r="F138" s="205" t="str" cm="1">
        <f t="array" ref="F138">_xlfn.LET(_xlpm.u,B138,_xlpm.myCnt,COUNTIFS(Application_Status_May!I$2:I$3000,_xlpm.u,Application_Status_May!E$2:E$3000,"App*")+COUNTIFS(Application_Status_May!I$2:I$3000,_xlpm.u,Application_Status_May!E$2:E$3000,"Lease*"),IF(_xlpm.myCnt&gt;0,INDEX(_xlfn._xlws.FILTER(Application_Status_May!F$2:F$3000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Martinez, Briana</v>
      </c>
      <c r="G138" s="205" t="str" cm="1">
        <f t="array" ref="G138">_xlfn.LET(_xlpm.u,B138,_xlpm.myCnt,COUNTIFS(Application_Status_May!I$2:I$3000,_xlpm.u,Application_Status_May!E$2:E$3000,"App*")+COUNTIFS(Application_Status_May!I$2:I$3000,_xlpm.u,Application_Status_May!E$2:E$3000,"Lease*"),IF(_xlpm.myCnt&gt;0,INDEX(_xlfn._xlws.FILTER(Application_Status_May!H$2:H$3000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Drive By</v>
      </c>
      <c r="H138" s="206" cm="1">
        <f t="array" ref="H138">_xlfn.LET(_xlpm.u,B138,_xlpm.myCnt,COUNTIFS(Application_Status_May!I$2:I$3000,_xlpm.u,Application_Status_May!E$2:E$3000,"App*")+COUNTIFS(Application_Status_May!I$2:I$3000,_xlpm.u,Application_Status_May!E$2:E$3000,"Lease*"),IF(_xlpm.myCnt&gt;0,INDEX(_xlfn._xlws.FILTER(Application_Status_May!J$2:J$3000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46084</v>
      </c>
      <c r="I138" s="206" cm="1">
        <f t="array" ref="I138">_xlfn.LET(_xlpm.u,B138,_xlpm.myCnt,COUNTIFS(Application_Status_May!I$2:I$3000,_xlpm.u,Application_Status_May!E$2:E$3000,"App*")+COUNTIFS(Application_Status_May!I$2:I$3000,_xlpm.u,Application_Status_May!E$2:E$3000,"Lease*"),IF(_xlpm.myCnt&gt;0,INDEX(_xlfn._xlws.FILTER(Application_Status_May!L$2:L$3000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0</v>
      </c>
      <c r="J138" s="206">
        <f>IF(E138&lt;&gt;"Cancelled/Denied","—",_xlfn.LET(_xlpm.u,B138,_xlpm.myC,_xlfn.MAXIFS(Application_Status_May!R$2:R$3000,Application_Status_May!I$2:I$3000,_xlpm.u),_xlpm.myD,_xlfn.MAXIFS(Application_Status_May!S$2:S$3000,Application_Status_May!I$2:I$3000,_xlpm.u),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myC,_xlpm.myD,_xlpm.aC,_xlpm.aD,_xlpm.mC,_xlpm.mD,_xlpm.fC,_xlpm.fD)))</f>
        <v>46139</v>
      </c>
      <c r="K138" s="205" t="str">
        <f t="shared" si="7"/>
        <v>—</v>
      </c>
    </row>
    <row r="139" spans="2:11" ht="14.1" customHeight="1">
      <c r="B139" s="204" t="str">
        <v>S26-404</v>
      </c>
      <c r="C139" s="204" t="str" cm="1">
        <f t="array" ref="C139">_xlfn.LET(_xlpm.u,B139,_xlpm.myCnt,COUNTIFS(Application_Status_May!I$2:I$3000,_xlpm.u,Application_Status_May!E$2:E$3000,"App*")+COUNTIFS(Application_Status_May!I$2:I$3000,_xlpm.u,Application_Status_May!E$2:E$3000,"Lease*"),IF(_xlpm.myCnt&gt;0,INDEX(_xlfn._xlws.FILTER(Application_Status_May!B$2:B$3000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Teul, Vianei</v>
      </c>
      <c r="D139" s="205" t="str" cm="1">
        <f t="array" ref="D139">_xlfn.LET(_xlpm.u,B139,_xlpm.myCnt,COUNTIFS(Application_Status_May!I$2:I$3000,_xlpm.u,Application_Status_May!E$2:E$3000,"App*")+COUNTIFS(Application_Status_May!I$2:I$3000,_xlpm.u,Application_Status_May!E$2:E$3000,"Lease*"),IF(_xlpm.myCnt&gt;0,INDEX(_xlfn._xlws.FILTER(Application_Status_May!E$2:E$3000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Cancelled</v>
      </c>
      <c r="E139" s="205" t="str">
        <f t="shared" si="6"/>
        <v>Cancelled/Denied</v>
      </c>
      <c r="F139" s="205" t="str" cm="1">
        <f t="array" ref="F139">_xlfn.LET(_xlpm.u,B139,_xlpm.myCnt,COUNTIFS(Application_Status_May!I$2:I$3000,_xlpm.u,Application_Status_May!E$2:E$3000,"App*")+COUNTIFS(Application_Status_May!I$2:I$3000,_xlpm.u,Application_Status_May!E$2:E$3000,"Lease*"),IF(_xlpm.myCnt&gt;0,INDEX(_xlfn._xlws.FILTER(Application_Status_May!F$2:F$3000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Gabehart, Jamey</v>
      </c>
      <c r="G139" s="205" t="str" cm="1">
        <f t="array" ref="G139">_xlfn.LET(_xlpm.u,B139,_xlpm.myCnt,COUNTIFS(Application_Status_May!I$2:I$3000,_xlpm.u,Application_Status_May!E$2:E$3000,"App*")+COUNTIFS(Application_Status_May!I$2:I$3000,_xlpm.u,Application_Status_May!E$2:E$3000,"Lease*"),IF(_xlpm.myCnt&gt;0,INDEX(_xlfn._xlws.FILTER(Application_Status_May!H$2:H$3000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Website</v>
      </c>
      <c r="H139" s="206" cm="1">
        <f t="array" ref="H139">_xlfn.LET(_xlpm.u,B139,_xlpm.myCnt,COUNTIFS(Application_Status_May!I$2:I$3000,_xlpm.u,Application_Status_May!E$2:E$3000,"App*")+COUNTIFS(Application_Status_May!I$2:I$3000,_xlpm.u,Application_Status_May!E$2:E$3000,"Lease*"),IF(_xlpm.myCnt&gt;0,INDEX(_xlfn._xlws.FILTER(Application_Status_May!J$2:J$3000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46112</v>
      </c>
      <c r="I139" s="206" cm="1">
        <f t="array" ref="I139">_xlfn.LET(_xlpm.u,B139,_xlpm.myCnt,COUNTIFS(Application_Status_May!I$2:I$3000,_xlpm.u,Application_Status_May!E$2:E$3000,"App*")+COUNTIFS(Application_Status_May!I$2:I$3000,_xlpm.u,Application_Status_May!E$2:E$3000,"Lease*"),IF(_xlpm.myCnt&gt;0,INDEX(_xlfn._xlws.FILTER(Application_Status_May!L$2:L$3000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46113</v>
      </c>
      <c r="J139" s="206">
        <f>IF(E139&lt;&gt;"Cancelled/Denied","—",_xlfn.LET(_xlpm.u,B139,_xlpm.myC,_xlfn.MAXIFS(Application_Status_May!R$2:R$3000,Application_Status_May!I$2:I$3000,_xlpm.u),_xlpm.myD,_xlfn.MAXIFS(Application_Status_May!S$2:S$3000,Application_Status_May!I$2:I$3000,_xlpm.u),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myC,_xlpm.myD,_xlpm.aC,_xlpm.aD,_xlpm.mC,_xlpm.mD,_xlpm.fC,_xlpm.fD)))</f>
        <v>46120</v>
      </c>
      <c r="K139" s="205" t="str">
        <f t="shared" si="7"/>
        <v>—</v>
      </c>
    </row>
    <row r="140" spans="2:11" ht="14.1" customHeight="1">
      <c r="B140" s="204" t="str">
        <v>S26-407</v>
      </c>
      <c r="C140" s="204" t="str" cm="1">
        <f t="array" ref="C140">_xlfn.LET(_xlpm.u,B140,_xlpm.myCnt,COUNTIFS(Application_Status_May!I$2:I$3000,_xlpm.u,Application_Status_May!E$2:E$3000,"App*")+COUNTIFS(Application_Status_May!I$2:I$3000,_xlpm.u,Application_Status_May!E$2:E$3000,"Lease*"),IF(_xlpm.myCnt&gt;0,INDEX(_xlfn._xlws.FILTER(Application_Status_May!B$2:B$3000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Teul, Vianei</v>
      </c>
      <c r="D140" s="205" t="str" cm="1">
        <f t="array" ref="D140">_xlfn.LET(_xlpm.u,B140,_xlpm.myCnt,COUNTIFS(Application_Status_May!I$2:I$3000,_xlpm.u,Application_Status_May!E$2:E$3000,"App*")+COUNTIFS(Application_Status_May!I$2:I$3000,_xlpm.u,Application_Status_May!E$2:E$3000,"Lease*"),IF(_xlpm.myCnt&gt;0,INDEX(_xlfn._xlws.FILTER(Application_Status_May!E$2:E$3000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Cancelled</v>
      </c>
      <c r="E140" s="205" t="str">
        <f t="shared" si="6"/>
        <v>Cancelled/Denied</v>
      </c>
      <c r="F140" s="205" t="str" cm="1">
        <f t="array" ref="F140">_xlfn.LET(_xlpm.u,B140,_xlpm.myCnt,COUNTIFS(Application_Status_May!I$2:I$3000,_xlpm.u,Application_Status_May!E$2:E$3000,"App*")+COUNTIFS(Application_Status_May!I$2:I$3000,_xlpm.u,Application_Status_May!E$2:E$3000,"Lease*"),IF(_xlpm.myCnt&gt;0,INDEX(_xlfn._xlws.FILTER(Application_Status_May!F$2:F$3000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Gabehart, Jamey</v>
      </c>
      <c r="G140" s="205" t="str" cm="1">
        <f t="array" ref="G140">_xlfn.LET(_xlpm.u,B140,_xlpm.myCnt,COUNTIFS(Application_Status_May!I$2:I$3000,_xlpm.u,Application_Status_May!E$2:E$3000,"App*")+COUNTIFS(Application_Status_May!I$2:I$3000,_xlpm.u,Application_Status_May!E$2:E$3000,"Lease*"),IF(_xlpm.myCnt&gt;0,INDEX(_xlfn._xlws.FILTER(Application_Status_May!H$2:H$3000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Website</v>
      </c>
      <c r="H140" s="206" cm="1">
        <f t="array" ref="H140">_xlfn.LET(_xlpm.u,B140,_xlpm.myCnt,COUNTIFS(Application_Status_May!I$2:I$3000,_xlpm.u,Application_Status_May!E$2:E$3000,"App*")+COUNTIFS(Application_Status_May!I$2:I$3000,_xlpm.u,Application_Status_May!E$2:E$3000,"Lease*"),IF(_xlpm.myCnt&gt;0,INDEX(_xlfn._xlws.FILTER(Application_Status_May!J$2:J$3000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46113</v>
      </c>
      <c r="I140" s="206" cm="1">
        <f t="array" ref="I140">_xlfn.LET(_xlpm.u,B140,_xlpm.myCnt,COUNTIFS(Application_Status_May!I$2:I$3000,_xlpm.u,Application_Status_May!E$2:E$3000,"App*")+COUNTIFS(Application_Status_May!I$2:I$3000,_xlpm.u,Application_Status_May!E$2:E$3000,"Lease*"),IF(_xlpm.myCnt&gt;0,INDEX(_xlfn._xlws.FILTER(Application_Status_May!L$2:L$3000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0</v>
      </c>
      <c r="J140" s="206">
        <f>IF(E140&lt;&gt;"Cancelled/Denied","—",_xlfn.LET(_xlpm.u,B140,_xlpm.myC,_xlfn.MAXIFS(Application_Status_May!R$2:R$3000,Application_Status_May!I$2:I$3000,_xlpm.u),_xlpm.myD,_xlfn.MAXIFS(Application_Status_May!S$2:S$3000,Application_Status_May!I$2:I$3000,_xlpm.u),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myC,_xlpm.myD,_xlpm.aC,_xlpm.aD,_xlpm.mC,_xlpm.mD,_xlpm.fC,_xlpm.fD)))</f>
        <v>46142</v>
      </c>
      <c r="K140" s="205" t="str">
        <f t="shared" si="7"/>
        <v>—</v>
      </c>
    </row>
    <row r="141" spans="2:11" ht="14.1" customHeight="1">
      <c r="B141" s="204" t="str">
        <v>S26-408</v>
      </c>
      <c r="C141" s="204" t="str" cm="1">
        <f t="array" ref="C141">_xlfn.LET(_xlpm.u,B141,_xlpm.myCnt,COUNTIFS(Application_Status_May!I$2:I$3000,_xlpm.u,Application_Status_May!E$2:E$3000,"App*")+COUNTIFS(Application_Status_May!I$2:I$3000,_xlpm.u,Application_Status_May!E$2:E$3000,"Lease*"),IF(_xlpm.myCnt&gt;0,INDEX(_xlfn._xlws.FILTER(Application_Status_May!B$2:B$3000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Hayes, Lejai</v>
      </c>
      <c r="D141" s="205" t="str" cm="1">
        <f t="array" ref="D141">_xlfn.LET(_xlpm.u,B141,_xlpm.myCnt,COUNTIFS(Application_Status_May!I$2:I$3000,_xlpm.u,Application_Status_May!E$2:E$3000,"App*")+COUNTIFS(Application_Status_May!I$2:I$3000,_xlpm.u,Application_Status_May!E$2:E$3000,"Lease*"),IF(_xlpm.myCnt&gt;0,INDEX(_xlfn._xlws.FILTER(Application_Status_May!E$2:E$3000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Cancelled</v>
      </c>
      <c r="E141" s="205" t="str">
        <f t="shared" si="6"/>
        <v>Cancelled/Denied</v>
      </c>
      <c r="F141" s="205" t="str" cm="1">
        <f t="array" ref="F141">_xlfn.LET(_xlpm.u,B141,_xlpm.myCnt,COUNTIFS(Application_Status_May!I$2:I$3000,_xlpm.u,Application_Status_May!E$2:E$3000,"App*")+COUNTIFS(Application_Status_May!I$2:I$3000,_xlpm.u,Application_Status_May!E$2:E$3000,"Lease*"),IF(_xlpm.myCnt&gt;0,INDEX(_xlfn._xlws.FILTER(Application_Status_May!F$2:F$3000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Elise, Meet</v>
      </c>
      <c r="G141" s="205" t="str" cm="1">
        <f t="array" ref="G141">_xlfn.LET(_xlpm.u,B141,_xlpm.myCnt,COUNTIFS(Application_Status_May!I$2:I$3000,_xlpm.u,Application_Status_May!E$2:E$3000,"App*")+COUNTIFS(Application_Status_May!I$2:I$3000,_xlpm.u,Application_Status_May!E$2:E$3000,"Lease*"),IF(_xlpm.myCnt&gt;0,INDEX(_xlfn._xlws.FILTER(Application_Status_May!H$2:H$3000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UMOVEFREE</v>
      </c>
      <c r="H141" s="206" cm="1">
        <f t="array" ref="H141">_xlfn.LET(_xlpm.u,B141,_xlpm.myCnt,COUNTIFS(Application_Status_May!I$2:I$3000,_xlpm.u,Application_Status_May!E$2:E$3000,"App*")+COUNTIFS(Application_Status_May!I$2:I$3000,_xlpm.u,Application_Status_May!E$2:E$3000,"Lease*"),IF(_xlpm.myCnt&gt;0,INDEX(_xlfn._xlws.FILTER(Application_Status_May!J$2:J$3000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46094</v>
      </c>
      <c r="I141" s="206" cm="1">
        <f t="array" ref="I141">_xlfn.LET(_xlpm.u,B141,_xlpm.myCnt,COUNTIFS(Application_Status_May!I$2:I$3000,_xlpm.u,Application_Status_May!E$2:E$3000,"App*")+COUNTIFS(Application_Status_May!I$2:I$3000,_xlpm.u,Application_Status_May!E$2:E$3000,"Lease*"),IF(_xlpm.myCnt&gt;0,INDEX(_xlfn._xlws.FILTER(Application_Status_May!L$2:L$3000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0</v>
      </c>
      <c r="J141" s="206">
        <f>IF(E141&lt;&gt;"Cancelled/Denied","—",_xlfn.LET(_xlpm.u,B141,_xlpm.myC,_xlfn.MAXIFS(Application_Status_May!R$2:R$3000,Application_Status_May!I$2:I$3000,_xlpm.u),_xlpm.myD,_xlfn.MAXIFS(Application_Status_May!S$2:S$3000,Application_Status_May!I$2:I$3000,_xlpm.u),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myC,_xlpm.myD,_xlpm.aC,_xlpm.aD,_xlpm.mC,_xlpm.mD,_xlpm.fC,_xlpm.fD)))</f>
        <v>46114</v>
      </c>
      <c r="K141" s="205" t="str">
        <f t="shared" si="7"/>
        <v>—</v>
      </c>
    </row>
    <row r="142" spans="2:11" ht="14.1" customHeight="1">
      <c r="B142" s="204" t="str">
        <v>S26-415</v>
      </c>
      <c r="C142" s="204" t="str" cm="1">
        <f t="array" ref="C142">_xlfn.LET(_xlpm.u,B142,_xlpm.myCnt,COUNTIFS(Application_Status_May!I$2:I$3000,_xlpm.u,Application_Status_May!E$2:E$3000,"App*")+COUNTIFS(Application_Status_May!I$2:I$3000,_xlpm.u,Application_Status_May!E$2:E$3000,"Lease*"),IF(_xlpm.myCnt&gt;0,INDEX(_xlfn._xlws.FILTER(Application_Status_May!B$2:B$3000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Mitchell, Melody</v>
      </c>
      <c r="D142" s="205" t="str" cm="1">
        <f t="array" ref="D142">_xlfn.LET(_xlpm.u,B142,_xlpm.myCnt,COUNTIFS(Application_Status_May!I$2:I$3000,_xlpm.u,Application_Status_May!E$2:E$3000,"App*")+COUNTIFS(Application_Status_May!I$2:I$3000,_xlpm.u,Application_Status_May!E$2:E$3000,"Lease*"),IF(_xlpm.myCnt&gt;0,INDEX(_xlfn._xlws.FILTER(Application_Status_May!E$2:E$3000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Cancelled</v>
      </c>
      <c r="E142" s="205" t="str">
        <f t="shared" si="6"/>
        <v>Cancelled/Denied</v>
      </c>
      <c r="F142" s="205" t="str" cm="1">
        <f t="array" ref="F142">_xlfn.LET(_xlpm.u,B142,_xlpm.myCnt,COUNTIFS(Application_Status_May!I$2:I$3000,_xlpm.u,Application_Status_May!E$2:E$3000,"App*")+COUNTIFS(Application_Status_May!I$2:I$3000,_xlpm.u,Application_Status_May!E$2:E$3000,"Lease*"),IF(_xlpm.myCnt&gt;0,INDEX(_xlfn._xlws.FILTER(Application_Status_May!F$2:F$3000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Martinez, Briana</v>
      </c>
      <c r="G142" s="205" t="str" cm="1">
        <f t="array" ref="G142">_xlfn.LET(_xlpm.u,B142,_xlpm.myCnt,COUNTIFS(Application_Status_May!I$2:I$3000,_xlpm.u,Application_Status_May!E$2:E$3000,"App*")+COUNTIFS(Application_Status_May!I$2:I$3000,_xlpm.u,Application_Status_May!E$2:E$3000,"Lease*"),IF(_xlpm.myCnt&gt;0,INDEX(_xlfn._xlws.FILTER(Application_Status_May!H$2:H$3000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Website</v>
      </c>
      <c r="H142" s="206" cm="1">
        <f t="array" ref="H142">_xlfn.LET(_xlpm.u,B142,_xlpm.myCnt,COUNTIFS(Application_Status_May!I$2:I$3000,_xlpm.u,Application_Status_May!E$2:E$3000,"App*")+COUNTIFS(Application_Status_May!I$2:I$3000,_xlpm.u,Application_Status_May!E$2:E$3000,"Lease*"),IF(_xlpm.myCnt&gt;0,INDEX(_xlfn._xlws.FILTER(Application_Status_May!J$2:J$3000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46065</v>
      </c>
      <c r="I142" s="206" cm="1">
        <f t="array" ref="I142">_xlfn.LET(_xlpm.u,B142,_xlpm.myCnt,COUNTIFS(Application_Status_May!I$2:I$3000,_xlpm.u,Application_Status_May!E$2:E$3000,"App*")+COUNTIFS(Application_Status_May!I$2:I$3000,_xlpm.u,Application_Status_May!E$2:E$3000,"Lease*"),IF(_xlpm.myCnt&gt;0,INDEX(_xlfn._xlws.FILTER(Application_Status_May!L$2:L$3000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46065</v>
      </c>
      <c r="J142" s="206">
        <f>IF(E142&lt;&gt;"Cancelled/Denied","—",_xlfn.LET(_xlpm.u,B142,_xlpm.myC,_xlfn.MAXIFS(Application_Status_May!R$2:R$3000,Application_Status_May!I$2:I$3000,_xlpm.u),_xlpm.myD,_xlfn.MAXIFS(Application_Status_May!S$2:S$3000,Application_Status_May!I$2:I$3000,_xlpm.u),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myC,_xlpm.myD,_xlpm.aC,_xlpm.aD,_xlpm.mC,_xlpm.mD,_xlpm.fC,_xlpm.fD)))</f>
        <v>46082</v>
      </c>
      <c r="K142" s="205" t="str">
        <f t="shared" si="7"/>
        <v>—</v>
      </c>
    </row>
    <row r="143" spans="2:11" ht="14.1" customHeight="1">
      <c r="B143" s="204" t="str">
        <v>S26-416</v>
      </c>
      <c r="C143" s="204" t="str" cm="1">
        <f t="array" ref="C143">_xlfn.LET(_xlpm.u,B143,_xlpm.myCnt,COUNTIFS(Application_Status_May!I$2:I$3000,_xlpm.u,Application_Status_May!E$2:E$3000,"App*")+COUNTIFS(Application_Status_May!I$2:I$3000,_xlpm.u,Application_Status_May!E$2:E$3000,"Lease*"),IF(_xlpm.myCnt&gt;0,INDEX(_xlfn._xlws.FILTER(Application_Status_May!B$2:B$3000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Price, Kamyron</v>
      </c>
      <c r="D143" s="205" t="str" cm="1">
        <f t="array" ref="D143">_xlfn.LET(_xlpm.u,B143,_xlpm.myCnt,COUNTIFS(Application_Status_May!I$2:I$3000,_xlpm.u,Application_Status_May!E$2:E$3000,"App*")+COUNTIFS(Application_Status_May!I$2:I$3000,_xlpm.u,Application_Status_May!E$2:E$3000,"Lease*"),IF(_xlpm.myCnt&gt;0,INDEX(_xlfn._xlws.FILTER(Application_Status_May!E$2:E$3000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Completed</v>
      </c>
      <c r="E143" s="205" t="str">
        <f t="shared" si="6"/>
        <v>In Review</v>
      </c>
      <c r="F143" s="205" t="str" cm="1">
        <f t="array" ref="F143">_xlfn.LET(_xlpm.u,B143,_xlpm.myCnt,COUNTIFS(Application_Status_May!I$2:I$3000,_xlpm.u,Application_Status_May!E$2:E$3000,"App*")+COUNTIFS(Application_Status_May!I$2:I$3000,_xlpm.u,Application_Status_May!E$2:E$3000,"Lease*"),IF(_xlpm.myCnt&gt;0,INDEX(_xlfn._xlws.FILTER(Application_Status_May!F$2:F$3000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HOUSE, HOUSE</v>
      </c>
      <c r="G143" s="205" t="str" cm="1">
        <f t="array" ref="G143">_xlfn.LET(_xlpm.u,B143,_xlpm.myCnt,COUNTIFS(Application_Status_May!I$2:I$3000,_xlpm.u,Application_Status_May!E$2:E$3000,"App*")+COUNTIFS(Application_Status_May!I$2:I$3000,_xlpm.u,Application_Status_May!E$2:E$3000,"Lease*"),IF(_xlpm.myCnt&gt;0,INDEX(_xlfn._xlws.FILTER(Application_Status_May!H$2:H$3000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Website</v>
      </c>
      <c r="H143" s="206" cm="1">
        <f t="array" ref="H143">_xlfn.LET(_xlpm.u,B143,_xlpm.myCnt,COUNTIFS(Application_Status_May!I$2:I$3000,_xlpm.u,Application_Status_May!E$2:E$3000,"App*")+COUNTIFS(Application_Status_May!I$2:I$3000,_xlpm.u,Application_Status_May!E$2:E$3000,"Lease*"),IF(_xlpm.myCnt&gt;0,INDEX(_xlfn._xlws.FILTER(Application_Status_May!J$2:J$3000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46170</v>
      </c>
      <c r="I143" s="206" cm="1">
        <f t="array" ref="I143">_xlfn.LET(_xlpm.u,B143,_xlpm.myCnt,COUNTIFS(Application_Status_May!I$2:I$3000,_xlpm.u,Application_Status_May!E$2:E$3000,"App*")+COUNTIFS(Application_Status_May!I$2:I$3000,_xlpm.u,Application_Status_May!E$2:E$3000,"Lease*"),IF(_xlpm.myCnt&gt;0,INDEX(_xlfn._xlws.FILTER(Application_Status_May!L$2:L$3000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46170</v>
      </c>
      <c r="J143" s="206" t="str">
        <f>IF(E143&lt;&gt;"Cancelled/Denied","—",_xlfn.LET(_xlpm.u,B143,_xlpm.myC,_xlfn.MAXIFS(Application_Status_May!R$2:R$3000,Application_Status_May!I$2:I$3000,_xlpm.u),_xlpm.myD,_xlfn.MAXIFS(Application_Status_May!S$2:S$3000,Application_Status_May!I$2:I$3000,_xlpm.u),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myC,_xlpm.myD,_xlpm.aC,_xlpm.aD,_xlpm.mC,_xlpm.mD,_xlpm.fC,_xlpm.fD)))</f>
        <v>—</v>
      </c>
      <c r="K143" s="205">
        <f t="shared" si="7"/>
        <v>74</v>
      </c>
    </row>
    <row r="144" spans="2:11" ht="14.1" customHeight="1">
      <c r="B144" s="204" t="str">
        <v>S27-421</v>
      </c>
      <c r="C144" s="204" t="str" cm="1">
        <f t="array" ref="C144">_xlfn.LET(_xlpm.u,B144,_xlpm.myCnt,COUNTIFS(Application_Status_May!I$2:I$3000,_xlpm.u,Application_Status_May!E$2:E$3000,"App*")+COUNTIFS(Application_Status_May!I$2:I$3000,_xlpm.u,Application_Status_May!E$2:E$3000,"Lease*"),IF(_xlpm.myCnt&gt;0,INDEX(_xlfn._xlws.FILTER(Application_Status_May!B$2:B$3000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Gertsen Jr, Gary</v>
      </c>
      <c r="D144" s="205" t="str" cm="1">
        <f t="array" ref="D144">_xlfn.LET(_xlpm.u,B144,_xlpm.myCnt,COUNTIFS(Application_Status_May!I$2:I$3000,_xlpm.u,Application_Status_May!E$2:E$3000,"App*")+COUNTIFS(Application_Status_May!I$2:I$3000,_xlpm.u,Application_Status_May!E$2:E$3000,"Lease*"),IF(_xlpm.myCnt&gt;0,INDEX(_xlfn._xlws.FILTER(Application_Status_May!E$2:E$3000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Lease: Approved</v>
      </c>
      <c r="E144" s="205" t="str">
        <f t="shared" si="6"/>
        <v>Converted</v>
      </c>
      <c r="F144" s="205" t="str" cm="1">
        <f t="array" ref="F144">_xlfn.LET(_xlpm.u,B144,_xlpm.myCnt,COUNTIFS(Application_Status_May!I$2:I$3000,_xlpm.u,Application_Status_May!E$2:E$3000,"App*")+COUNTIFS(Application_Status_May!I$2:I$3000,_xlpm.u,Application_Status_May!E$2:E$3000,"Lease*"),IF(_xlpm.myCnt&gt;0,INDEX(_xlfn._xlws.FILTER(Application_Status_May!F$2:F$3000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Martinez, Emily</v>
      </c>
      <c r="G144" s="205" t="str" cm="1">
        <f t="array" ref="G144">_xlfn.LET(_xlpm.u,B144,_xlpm.myCnt,COUNTIFS(Application_Status_May!I$2:I$3000,_xlpm.u,Application_Status_May!E$2:E$3000,"App*")+COUNTIFS(Application_Status_May!I$2:I$3000,_xlpm.u,Application_Status_May!E$2:E$3000,"Lease*"),IF(_xlpm.myCnt&gt;0,INDEX(_xlfn._xlws.FILTER(Application_Status_May!H$2:H$3000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Google</v>
      </c>
      <c r="H144" s="206" cm="1">
        <f t="array" ref="H144">_xlfn.LET(_xlpm.u,B144,_xlpm.myCnt,COUNTIFS(Application_Status_May!I$2:I$3000,_xlpm.u,Application_Status_May!E$2:E$3000,"App*")+COUNTIFS(Application_Status_May!I$2:I$3000,_xlpm.u,Application_Status_May!E$2:E$3000,"Lease*"),IF(_xlpm.myCnt&gt;0,INDEX(_xlfn._xlws.FILTER(Application_Status_May!J$2:J$3000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46070</v>
      </c>
      <c r="I144" s="206" cm="1">
        <f t="array" ref="I144">_xlfn.LET(_xlpm.u,B144,_xlpm.myCnt,COUNTIFS(Application_Status_May!I$2:I$3000,_xlpm.u,Application_Status_May!E$2:E$3000,"App*")+COUNTIFS(Application_Status_May!I$2:I$3000,_xlpm.u,Application_Status_May!E$2:E$3000,"Lease*"),IF(_xlpm.myCnt&gt;0,INDEX(_xlfn._xlws.FILTER(Application_Status_May!L$2:L$3000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46070</v>
      </c>
      <c r="J144" s="206" t="str">
        <f>IF(E144&lt;&gt;"Cancelled/Denied","—",_xlfn.LET(_xlpm.u,B144,_xlpm.myC,_xlfn.MAXIFS(Application_Status_May!R$2:R$3000,Application_Status_May!I$2:I$3000,_xlpm.u),_xlpm.myD,_xlfn.MAXIFS(Application_Status_May!S$2:S$3000,Application_Status_May!I$2:I$3000,_xlpm.u),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myC,_xlpm.myD,_xlpm.aC,_xlpm.aD,_xlpm.mC,_xlpm.mD,_xlpm.fC,_xlpm.fD)))</f>
        <v>—</v>
      </c>
      <c r="K144" s="205" t="str">
        <f t="shared" si="7"/>
        <v>—</v>
      </c>
    </row>
    <row r="145" spans="2:11" ht="14.1" customHeight="1">
      <c r="B145" s="204" t="str">
        <v>S27-422</v>
      </c>
      <c r="C145" s="204" t="str" cm="1">
        <f t="array" ref="C145">_xlfn.LET(_xlpm.u,B145,_xlpm.myCnt,COUNTIFS(Application_Status_May!I$2:I$3000,_xlpm.u,Application_Status_May!E$2:E$3000,"App*")+COUNTIFS(Application_Status_May!I$2:I$3000,_xlpm.u,Application_Status_May!E$2:E$3000,"Lease*"),IF(_xlpm.myCnt&gt;0,INDEX(_xlfn._xlws.FILTER(Application_Status_May!B$2:B$3000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Drissi-Messaly, Adam</v>
      </c>
      <c r="D145" s="205" t="str" cm="1">
        <f t="array" ref="D145">_xlfn.LET(_xlpm.u,B145,_xlpm.myCnt,COUNTIFS(Application_Status_May!I$2:I$3000,_xlpm.u,Application_Status_May!E$2:E$3000,"App*")+COUNTIFS(Application_Status_May!I$2:I$3000,_xlpm.u,Application_Status_May!E$2:E$3000,"Lease*"),IF(_xlpm.myCnt&gt;0,INDEX(_xlfn._xlws.FILTER(Application_Status_May!E$2:E$3000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Completed</v>
      </c>
      <c r="E145" s="205" t="str">
        <f t="shared" si="6"/>
        <v>In Review</v>
      </c>
      <c r="F145" s="205" t="str" cm="1">
        <f t="array" ref="F145">_xlfn.LET(_xlpm.u,B145,_xlpm.myCnt,COUNTIFS(Application_Status_May!I$2:I$3000,_xlpm.u,Application_Status_May!E$2:E$3000,"App*")+COUNTIFS(Application_Status_May!I$2:I$3000,_xlpm.u,Application_Status_May!E$2:E$3000,"Lease*"),IF(_xlpm.myCnt&gt;0,INDEX(_xlfn._xlws.FILTER(Application_Status_May!F$2:F$3000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Gabehart, Jamey</v>
      </c>
      <c r="G145" s="205" t="str" cm="1">
        <f t="array" ref="G145">_xlfn.LET(_xlpm.u,B145,_xlpm.myCnt,COUNTIFS(Application_Status_May!I$2:I$3000,_xlpm.u,Application_Status_May!E$2:E$3000,"App*")+COUNTIFS(Application_Status_May!I$2:I$3000,_xlpm.u,Application_Status_May!E$2:E$3000,"Lease*"),IF(_xlpm.myCnt&gt;0,INDEX(_xlfn._xlws.FILTER(Application_Status_May!H$2:H$3000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Website</v>
      </c>
      <c r="H145" s="206" cm="1">
        <f t="array" ref="H145">_xlfn.LET(_xlpm.u,B145,_xlpm.myCnt,COUNTIFS(Application_Status_May!I$2:I$3000,_xlpm.u,Application_Status_May!E$2:E$3000,"App*")+COUNTIFS(Application_Status_May!I$2:I$3000,_xlpm.u,Application_Status_May!E$2:E$3000,"Lease*"),IF(_xlpm.myCnt&gt;0,INDEX(_xlfn._xlws.FILTER(Application_Status_May!J$2:J$3000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46108</v>
      </c>
      <c r="I145" s="206" cm="1">
        <f t="array" ref="I145">_xlfn.LET(_xlpm.u,B145,_xlpm.myCnt,COUNTIFS(Application_Status_May!I$2:I$3000,_xlpm.u,Application_Status_May!E$2:E$3000,"App*")+COUNTIFS(Application_Status_May!I$2:I$3000,_xlpm.u,Application_Status_May!E$2:E$3000,"Lease*"),IF(_xlpm.myCnt&gt;0,INDEX(_xlfn._xlws.FILTER(Application_Status_May!L$2:L$3000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46108</v>
      </c>
      <c r="J145" s="206" t="str">
        <f>IF(E145&lt;&gt;"Cancelled/Denied","—",_xlfn.LET(_xlpm.u,B145,_xlpm.myC,_xlfn.MAXIFS(Application_Status_May!R$2:R$3000,Application_Status_May!I$2:I$3000,_xlpm.u),_xlpm.myD,_xlfn.MAXIFS(Application_Status_May!S$2:S$3000,Application_Status_May!I$2:I$3000,_xlpm.u),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myC,_xlpm.myD,_xlpm.aC,_xlpm.aD,_xlpm.mC,_xlpm.mD,_xlpm.fC,_xlpm.fD)))</f>
        <v>—</v>
      </c>
      <c r="K145" s="205">
        <f t="shared" si="7"/>
        <v>136</v>
      </c>
    </row>
    <row r="146" spans="2:11" ht="14.1" customHeight="1">
      <c r="B146" s="204" t="str">
        <v>S28-101</v>
      </c>
      <c r="C146" s="204" t="str" cm="1">
        <f t="array" ref="C146">_xlfn.LET(_xlpm.u,B146,_xlpm.myCnt,COUNTIFS(Application_Status_May!I$2:I$3000,_xlpm.u,Application_Status_May!E$2:E$3000,"App*")+COUNTIFS(Application_Status_May!I$2:I$3000,_xlpm.u,Application_Status_May!E$2:E$3000,"Lease*"),IF(_xlpm.myCnt&gt;0,INDEX(_xlfn._xlws.FILTER(Application_Status_May!B$2:B$3000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Kelly, Treveon</v>
      </c>
      <c r="D146" s="205" t="str" cm="1">
        <f t="array" ref="D146">_xlfn.LET(_xlpm.u,B146,_xlpm.myCnt,COUNTIFS(Application_Status_May!I$2:I$3000,_xlpm.u,Application_Status_May!E$2:E$3000,"App*")+COUNTIFS(Application_Status_May!I$2:I$3000,_xlpm.u,Application_Status_May!E$2:E$3000,"Lease*"),IF(_xlpm.myCnt&gt;0,INDEX(_xlfn._xlws.FILTER(Application_Status_May!E$2:E$3000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Started</v>
      </c>
      <c r="E146" s="205" t="str">
        <f t="shared" si="6"/>
        <v>Incomplete</v>
      </c>
      <c r="F146" s="205" t="str" cm="1">
        <f t="array" ref="F146">_xlfn.LET(_xlpm.u,B146,_xlpm.myCnt,COUNTIFS(Application_Status_May!I$2:I$3000,_xlpm.u,Application_Status_May!E$2:E$3000,"App*")+COUNTIFS(Application_Status_May!I$2:I$3000,_xlpm.u,Application_Status_May!E$2:E$3000,"Lease*"),IF(_xlpm.myCnt&gt;0,INDEX(_xlfn._xlws.FILTER(Application_Status_May!F$2:F$3000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Elise, Meet</v>
      </c>
      <c r="G146" s="205" t="str" cm="1">
        <f t="array" ref="G146">_xlfn.LET(_xlpm.u,B146,_xlpm.myCnt,COUNTIFS(Application_Status_May!I$2:I$3000,_xlpm.u,Application_Status_May!E$2:E$3000,"App*")+COUNTIFS(Application_Status_May!I$2:I$3000,_xlpm.u,Application_Status_May!E$2:E$3000,"Lease*"),IF(_xlpm.myCnt&gt;0,INDEX(_xlfn._xlws.FILTER(Application_Status_May!H$2:H$3000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Website</v>
      </c>
      <c r="H146" s="206" cm="1">
        <f t="array" ref="H146">_xlfn.LET(_xlpm.u,B146,_xlpm.myCnt,COUNTIFS(Application_Status_May!I$2:I$3000,_xlpm.u,Application_Status_May!E$2:E$3000,"App*")+COUNTIFS(Application_Status_May!I$2:I$3000,_xlpm.u,Application_Status_May!E$2:E$3000,"Lease*"),IF(_xlpm.myCnt&gt;0,INDEX(_xlfn._xlws.FILTER(Application_Status_May!J$2:J$3000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46163</v>
      </c>
      <c r="I146" s="206" cm="1">
        <f t="array" ref="I146">_xlfn.LET(_xlpm.u,B146,_xlpm.myCnt,COUNTIFS(Application_Status_May!I$2:I$3000,_xlpm.u,Application_Status_May!E$2:E$3000,"App*")+COUNTIFS(Application_Status_May!I$2:I$3000,_xlpm.u,Application_Status_May!E$2:E$3000,"Lease*"),IF(_xlpm.myCnt&gt;0,INDEX(_xlfn._xlws.FILTER(Application_Status_May!L$2:L$3000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0</v>
      </c>
      <c r="J146" s="206" t="str">
        <f>IF(E146&lt;&gt;"Cancelled/Denied","—",_xlfn.LET(_xlpm.u,B146,_xlpm.myC,_xlfn.MAXIFS(Application_Status_May!R$2:R$3000,Application_Status_May!I$2:I$3000,_xlpm.u),_xlpm.myD,_xlfn.MAXIFS(Application_Status_May!S$2:S$3000,Application_Status_May!I$2:I$3000,_xlpm.u),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myC,_xlpm.myD,_xlpm.aC,_xlpm.aD,_xlpm.mC,_xlpm.mD,_xlpm.fC,_xlpm.fD)))</f>
        <v>—</v>
      </c>
      <c r="K146" s="205">
        <f t="shared" si="7"/>
        <v>81</v>
      </c>
    </row>
    <row r="147" spans="2:11" ht="14.1" customHeight="1">
      <c r="B147" s="204" t="str">
        <v>S28-104</v>
      </c>
      <c r="C147" s="204" t="str" cm="1">
        <f t="array" ref="C147">_xlfn.LET(_xlpm.u,B147,_xlpm.myCnt,COUNTIFS(Application_Status_May!I$2:I$3000,_xlpm.u,Application_Status_May!E$2:E$3000,"App*")+COUNTIFS(Application_Status_May!I$2:I$3000,_xlpm.u,Application_Status_May!E$2:E$3000,"Lease*"),IF(_xlpm.myCnt&gt;0,INDEX(_xlfn._xlws.FILTER(Application_Status_May!B$2:B$3000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Lane, John</v>
      </c>
      <c r="D147" s="205" t="str" cm="1">
        <f t="array" ref="D147">_xlfn.LET(_xlpm.u,B147,_xlpm.myCnt,COUNTIFS(Application_Status_May!I$2:I$3000,_xlpm.u,Application_Status_May!E$2:E$3000,"App*")+COUNTIFS(Application_Status_May!I$2:I$3000,_xlpm.u,Application_Status_May!E$2:E$3000,"Lease*"),IF(_xlpm.myCnt&gt;0,INDEX(_xlfn._xlws.FILTER(Application_Status_May!E$2:E$3000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Completed</v>
      </c>
      <c r="E147" s="205" t="str">
        <f t="shared" si="6"/>
        <v>In Review</v>
      </c>
      <c r="F147" s="205" t="str" cm="1">
        <f t="array" ref="F147">_xlfn.LET(_xlpm.u,B147,_xlpm.myCnt,COUNTIFS(Application_Status_May!I$2:I$3000,_xlpm.u,Application_Status_May!E$2:E$3000,"App*")+COUNTIFS(Application_Status_May!I$2:I$3000,_xlpm.u,Application_Status_May!E$2:E$3000,"Lease*"),IF(_xlpm.myCnt&gt;0,INDEX(_xlfn._xlws.FILTER(Application_Status_May!F$2:F$3000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Vazquez, Norma</v>
      </c>
      <c r="G147" s="205" t="str" cm="1">
        <f t="array" ref="G147">_xlfn.LET(_xlpm.u,B147,_xlpm.myCnt,COUNTIFS(Application_Status_May!I$2:I$3000,_xlpm.u,Application_Status_May!E$2:E$3000,"App*")+COUNTIFS(Application_Status_May!I$2:I$3000,_xlpm.u,Application_Status_May!E$2:E$3000,"Lease*"),IF(_xlpm.myCnt&gt;0,INDEX(_xlfn._xlws.FILTER(Application_Status_May!H$2:H$3000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Website</v>
      </c>
      <c r="H147" s="206" cm="1">
        <f t="array" ref="H147">_xlfn.LET(_xlpm.u,B147,_xlpm.myCnt,COUNTIFS(Application_Status_May!I$2:I$3000,_xlpm.u,Application_Status_May!E$2:E$3000,"App*")+COUNTIFS(Application_Status_May!I$2:I$3000,_xlpm.u,Application_Status_May!E$2:E$3000,"Lease*"),IF(_xlpm.myCnt&gt;0,INDEX(_xlfn._xlws.FILTER(Application_Status_May!J$2:J$3000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46163</v>
      </c>
      <c r="I147" s="206" cm="1">
        <f t="array" ref="I147">_xlfn.LET(_xlpm.u,B147,_xlpm.myCnt,COUNTIFS(Application_Status_May!I$2:I$3000,_xlpm.u,Application_Status_May!E$2:E$3000,"App*")+COUNTIFS(Application_Status_May!I$2:I$3000,_xlpm.u,Application_Status_May!E$2:E$3000,"Lease*"),IF(_xlpm.myCnt&gt;0,INDEX(_xlfn._xlws.FILTER(Application_Status_May!L$2:L$3000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46164</v>
      </c>
      <c r="J147" s="206" t="str">
        <f>IF(E147&lt;&gt;"Cancelled/Denied","—",_xlfn.LET(_xlpm.u,B147,_xlpm.myC,_xlfn.MAXIFS(Application_Status_May!R$2:R$3000,Application_Status_May!I$2:I$3000,_xlpm.u),_xlpm.myD,_xlfn.MAXIFS(Application_Status_May!S$2:S$3000,Application_Status_May!I$2:I$3000,_xlpm.u),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myC,_xlpm.myD,_xlpm.aC,_xlpm.aD,_xlpm.mC,_xlpm.mD,_xlpm.fC,_xlpm.fD)))</f>
        <v>—</v>
      </c>
      <c r="K147" s="205">
        <f t="shared" si="7"/>
        <v>81</v>
      </c>
    </row>
    <row r="148" spans="2:11" ht="14.1" customHeight="1">
      <c r="B148" s="204" t="str">
        <v>S28-107</v>
      </c>
      <c r="C148" s="204" t="str" cm="1">
        <f t="array" ref="C148">_xlfn.LET(_xlpm.u,B148,_xlpm.myCnt,COUNTIFS(Application_Status_May!I$2:I$3000,_xlpm.u,Application_Status_May!E$2:E$3000,"App*")+COUNTIFS(Application_Status_May!I$2:I$3000,_xlpm.u,Application_Status_May!E$2:E$3000,"Lease*"),IF(_xlpm.myCnt&gt;0,INDEX(_xlfn._xlws.FILTER(Application_Status_May!B$2:B$3000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Jordan, Stephen</v>
      </c>
      <c r="D148" s="205" t="str" cm="1">
        <f t="array" ref="D148">_xlfn.LET(_xlpm.u,B148,_xlpm.myCnt,COUNTIFS(Application_Status_May!I$2:I$3000,_xlpm.u,Application_Status_May!E$2:E$3000,"App*")+COUNTIFS(Application_Status_May!I$2:I$3000,_xlpm.u,Application_Status_May!E$2:E$3000,"Lease*"),IF(_xlpm.myCnt&gt;0,INDEX(_xlfn._xlws.FILTER(Application_Status_May!E$2:E$3000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Started</v>
      </c>
      <c r="E148" s="205" t="str">
        <f t="shared" si="6"/>
        <v>Incomplete</v>
      </c>
      <c r="F148" s="205" t="str" cm="1">
        <f t="array" ref="F148">_xlfn.LET(_xlpm.u,B148,_xlpm.myCnt,COUNTIFS(Application_Status_May!I$2:I$3000,_xlpm.u,Application_Status_May!E$2:E$3000,"App*")+COUNTIFS(Application_Status_May!I$2:I$3000,_xlpm.u,Application_Status_May!E$2:E$3000,"Lease*"),IF(_xlpm.myCnt&gt;0,INDEX(_xlfn._xlws.FILTER(Application_Status_May!F$2:F$3000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Elise, Meet</v>
      </c>
      <c r="G148" s="205" t="str" cm="1">
        <f t="array" ref="G148">_xlfn.LET(_xlpm.u,B148,_xlpm.myCnt,COUNTIFS(Application_Status_May!I$2:I$3000,_xlpm.u,Application_Status_May!E$2:E$3000,"App*")+COUNTIFS(Application_Status_May!I$2:I$3000,_xlpm.u,Application_Status_May!E$2:E$3000,"Lease*"),IF(_xlpm.myCnt&gt;0,INDEX(_xlfn._xlws.FILTER(Application_Status_May!H$2:H$3000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Website</v>
      </c>
      <c r="H148" s="206" cm="1">
        <f t="array" ref="H148">_xlfn.LET(_xlpm.u,B148,_xlpm.myCnt,COUNTIFS(Application_Status_May!I$2:I$3000,_xlpm.u,Application_Status_May!E$2:E$3000,"App*")+COUNTIFS(Application_Status_May!I$2:I$3000,_xlpm.u,Application_Status_May!E$2:E$3000,"Lease*"),IF(_xlpm.myCnt&gt;0,INDEX(_xlfn._xlws.FILTER(Application_Status_May!J$2:J$3000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46143</v>
      </c>
      <c r="I148" s="206" cm="1">
        <f t="array" ref="I148">_xlfn.LET(_xlpm.u,B148,_xlpm.myCnt,COUNTIFS(Application_Status_May!I$2:I$3000,_xlpm.u,Application_Status_May!E$2:E$3000,"App*")+COUNTIFS(Application_Status_May!I$2:I$3000,_xlpm.u,Application_Status_May!E$2:E$3000,"Lease*"),IF(_xlpm.myCnt&gt;0,INDEX(_xlfn._xlws.FILTER(Application_Status_May!L$2:L$3000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0</v>
      </c>
      <c r="J148" s="206" t="str">
        <f>IF(E148&lt;&gt;"Cancelled/Denied","—",_xlfn.LET(_xlpm.u,B148,_xlpm.myC,_xlfn.MAXIFS(Application_Status_May!R$2:R$3000,Application_Status_May!I$2:I$3000,_xlpm.u),_xlpm.myD,_xlfn.MAXIFS(Application_Status_May!S$2:S$3000,Application_Status_May!I$2:I$3000,_xlpm.u),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myC,_xlpm.myD,_xlpm.aC,_xlpm.aD,_xlpm.mC,_xlpm.mD,_xlpm.fC,_xlpm.fD)))</f>
        <v>—</v>
      </c>
      <c r="K148" s="205">
        <f t="shared" si="7"/>
        <v>101</v>
      </c>
    </row>
    <row r="149" spans="2:11" ht="14.1" customHeight="1">
      <c r="B149" s="204" t="str">
        <v>S29-215</v>
      </c>
      <c r="C149" s="204" t="str" cm="1">
        <f t="array" ref="C149">_xlfn.LET(_xlpm.u,B149,_xlpm.myCnt,COUNTIFS(Application_Status_May!I$2:I$3000,_xlpm.u,Application_Status_May!E$2:E$3000,"App*")+COUNTIFS(Application_Status_May!I$2:I$3000,_xlpm.u,Application_Status_May!E$2:E$3000,"Lease*"),IF(_xlpm.myCnt&gt;0,INDEX(_xlfn._xlws.FILTER(Application_Status_May!B$2:B$3000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Arnold, Maureen</v>
      </c>
      <c r="D149" s="205" t="str" cm="1">
        <f t="array" ref="D149">_xlfn.LET(_xlpm.u,B149,_xlpm.myCnt,COUNTIFS(Application_Status_May!I$2:I$3000,_xlpm.u,Application_Status_May!E$2:E$3000,"App*")+COUNTIFS(Application_Status_May!I$2:I$3000,_xlpm.u,Application_Status_May!E$2:E$3000,"Lease*"),IF(_xlpm.myCnt&gt;0,INDEX(_xlfn._xlws.FILTER(Application_Status_May!E$2:E$3000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Lease: Approved</v>
      </c>
      <c r="E149" s="205" t="str">
        <f t="shared" si="6"/>
        <v>Converted</v>
      </c>
      <c r="F149" s="205" t="str" cm="1">
        <f t="array" ref="F149">_xlfn.LET(_xlpm.u,B149,_xlpm.myCnt,COUNTIFS(Application_Status_May!I$2:I$3000,_xlpm.u,Application_Status_May!E$2:E$3000,"App*")+COUNTIFS(Application_Status_May!I$2:I$3000,_xlpm.u,Application_Status_May!E$2:E$3000,"Lease*"),IF(_xlpm.myCnt&gt;0,INDEX(_xlfn._xlws.FILTER(Application_Status_May!F$2:F$3000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Rodriguez, Jennifer</v>
      </c>
      <c r="G149" s="205" t="str" cm="1">
        <f t="array" ref="G149">_xlfn.LET(_xlpm.u,B149,_xlpm.myCnt,COUNTIFS(Application_Status_May!I$2:I$3000,_xlpm.u,Application_Status_May!E$2:E$3000,"App*")+COUNTIFS(Application_Status_May!I$2:I$3000,_xlpm.u,Application_Status_May!E$2:E$3000,"Lease*"),IF(_xlpm.myCnt&gt;0,INDEX(_xlfn._xlws.FILTER(Application_Status_May!H$2:H$3000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Apartment List</v>
      </c>
      <c r="H149" s="206" cm="1">
        <f t="array" ref="H149">_xlfn.LET(_xlpm.u,B149,_xlpm.myCnt,COUNTIFS(Application_Status_May!I$2:I$3000,_xlpm.u,Application_Status_May!E$2:E$3000,"App*")+COUNTIFS(Application_Status_May!I$2:I$3000,_xlpm.u,Application_Status_May!E$2:E$3000,"Lease*"),IF(_xlpm.myCnt&gt;0,INDEX(_xlfn._xlws.FILTER(Application_Status_May!J$2:J$3000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46149</v>
      </c>
      <c r="I149" s="206" cm="1">
        <f t="array" ref="I149">_xlfn.LET(_xlpm.u,B149,_xlpm.myCnt,COUNTIFS(Application_Status_May!I$2:I$3000,_xlpm.u,Application_Status_May!E$2:E$3000,"App*")+COUNTIFS(Application_Status_May!I$2:I$3000,_xlpm.u,Application_Status_May!E$2:E$3000,"Lease*"),IF(_xlpm.myCnt&gt;0,INDEX(_xlfn._xlws.FILTER(Application_Status_May!L$2:L$3000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46149</v>
      </c>
      <c r="J149" s="206" t="str">
        <f>IF(E149&lt;&gt;"Cancelled/Denied","—",_xlfn.LET(_xlpm.u,B149,_xlpm.myC,_xlfn.MAXIFS(Application_Status_May!R$2:R$3000,Application_Status_May!I$2:I$3000,_xlpm.u),_xlpm.myD,_xlfn.MAXIFS(Application_Status_May!S$2:S$3000,Application_Status_May!I$2:I$3000,_xlpm.u),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myC,_xlpm.myD,_xlpm.aC,_xlpm.aD,_xlpm.mC,_xlpm.mD,_xlpm.fC,_xlpm.fD)))</f>
        <v>—</v>
      </c>
      <c r="K149" s="205" t="str">
        <f t="shared" si="7"/>
        <v>—</v>
      </c>
    </row>
    <row r="150" spans="2:11" ht="14.1" customHeight="1">
      <c r="B150" s="204" t="str">
        <v>S30-124</v>
      </c>
      <c r="C150" s="204" t="str" cm="1">
        <f t="array" ref="C150">_xlfn.LET(_xlpm.u,B150,_xlpm.myCnt,COUNTIFS(Application_Status_May!I$2:I$3000,_xlpm.u,Application_Status_May!E$2:E$3000,"App*")+COUNTIFS(Application_Status_May!I$2:I$3000,_xlpm.u,Application_Status_May!E$2:E$3000,"Lease*"),IF(_xlpm.myCnt&gt;0,INDEX(_xlfn._xlws.FILTER(Application_Status_May!B$2:B$3000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Torres, Daniel</v>
      </c>
      <c r="D150" s="205" t="str" cm="1">
        <f t="array" ref="D150">_xlfn.LET(_xlpm.u,B150,_xlpm.myCnt,COUNTIFS(Application_Status_May!I$2:I$3000,_xlpm.u,Application_Status_May!E$2:E$3000,"App*")+COUNTIFS(Application_Status_May!I$2:I$3000,_xlpm.u,Application_Status_May!E$2:E$3000,"Lease*"),IF(_xlpm.myCnt&gt;0,INDEX(_xlfn._xlws.FILTER(Application_Status_May!E$2:E$3000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Partially Completed</v>
      </c>
      <c r="E150" s="205" t="str">
        <f t="shared" si="6"/>
        <v>In Review</v>
      </c>
      <c r="F150" s="205" t="str" cm="1">
        <f t="array" ref="F150">_xlfn.LET(_xlpm.u,B150,_xlpm.myCnt,COUNTIFS(Application_Status_May!I$2:I$3000,_xlpm.u,Application_Status_May!E$2:E$3000,"App*")+COUNTIFS(Application_Status_May!I$2:I$3000,_xlpm.u,Application_Status_May!E$2:E$3000,"Lease*"),IF(_xlpm.myCnt&gt;0,INDEX(_xlfn._xlws.FILTER(Application_Status_May!F$2:F$3000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Gabehart, Jamey</v>
      </c>
      <c r="G150" s="205" t="str" cm="1">
        <f t="array" ref="G150">_xlfn.LET(_xlpm.u,B150,_xlpm.myCnt,COUNTIFS(Application_Status_May!I$2:I$3000,_xlpm.u,Application_Status_May!E$2:E$3000,"App*")+COUNTIFS(Application_Status_May!I$2:I$3000,_xlpm.u,Application_Status_May!E$2:E$3000,"Lease*"),IF(_xlpm.myCnt&gt;0,INDEX(_xlfn._xlws.FILTER(Application_Status_May!H$2:H$3000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Website</v>
      </c>
      <c r="H150" s="206" cm="1">
        <f t="array" ref="H150">_xlfn.LET(_xlpm.u,B150,_xlpm.myCnt,COUNTIFS(Application_Status_May!I$2:I$3000,_xlpm.u,Application_Status_May!E$2:E$3000,"App*")+COUNTIFS(Application_Status_May!I$2:I$3000,_xlpm.u,Application_Status_May!E$2:E$3000,"Lease*"),IF(_xlpm.myCnt&gt;0,INDEX(_xlfn._xlws.FILTER(Application_Status_May!J$2:J$3000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46171</v>
      </c>
      <c r="I150" s="206" cm="1">
        <f t="array" ref="I150">_xlfn.LET(_xlpm.u,B150,_xlpm.myCnt,COUNTIFS(Application_Status_May!I$2:I$3000,_xlpm.u,Application_Status_May!E$2:E$3000,"App*")+COUNTIFS(Application_Status_May!I$2:I$3000,_xlpm.u,Application_Status_May!E$2:E$3000,"Lease*"),IF(_xlpm.myCnt&gt;0,INDEX(_xlfn._xlws.FILTER(Application_Status_May!L$2:L$3000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46173</v>
      </c>
      <c r="J150" s="206" t="str">
        <f>IF(E150&lt;&gt;"Cancelled/Denied","—",_xlfn.LET(_xlpm.u,B150,_xlpm.myC,_xlfn.MAXIFS(Application_Status_May!R$2:R$3000,Application_Status_May!I$2:I$3000,_xlpm.u),_xlpm.myD,_xlfn.MAXIFS(Application_Status_May!S$2:S$3000,Application_Status_May!I$2:I$3000,_xlpm.u),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myC,_xlpm.myD,_xlpm.aC,_xlpm.aD,_xlpm.mC,_xlpm.mD,_xlpm.fC,_xlpm.fD)))</f>
        <v>—</v>
      </c>
      <c r="K150" s="205">
        <f t="shared" si="7"/>
        <v>73</v>
      </c>
    </row>
    <row r="151" spans="2:11" ht="14.1" customHeight="1">
      <c r="B151" s="204" t="str">
        <v>S30-221</v>
      </c>
      <c r="C151" s="204" t="str" cm="1">
        <f t="array" ref="C151">_xlfn.LET(_xlpm.u,B151,_xlpm.myCnt,COUNTIFS(Application_Status_May!I$2:I$3000,_xlpm.u,Application_Status_May!E$2:E$3000,"App*")+COUNTIFS(Application_Status_May!I$2:I$3000,_xlpm.u,Application_Status_May!E$2:E$3000,"Lease*"),IF(_xlpm.myCnt&gt;0,INDEX(_xlfn._xlws.FILTER(Application_Status_May!B$2:B$3000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Zaldivar, Lurvin</v>
      </c>
      <c r="D151" s="205" t="str" cm="1">
        <f t="array" ref="D151">_xlfn.LET(_xlpm.u,B151,_xlpm.myCnt,COUNTIFS(Application_Status_May!I$2:I$3000,_xlpm.u,Application_Status_May!E$2:E$3000,"App*")+COUNTIFS(Application_Status_May!I$2:I$3000,_xlpm.u,Application_Status_May!E$2:E$3000,"Lease*"),IF(_xlpm.myCnt&gt;0,INDEX(_xlfn._xlws.FILTER(Application_Status_May!E$2:E$3000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Started</v>
      </c>
      <c r="E151" s="205" t="str">
        <f t="shared" si="6"/>
        <v>Incomplete</v>
      </c>
      <c r="F151" s="205" t="str" cm="1">
        <f t="array" ref="F151">_xlfn.LET(_xlpm.u,B151,_xlpm.myCnt,COUNTIFS(Application_Status_May!I$2:I$3000,_xlpm.u,Application_Status_May!E$2:E$3000,"App*")+COUNTIFS(Application_Status_May!I$2:I$3000,_xlpm.u,Application_Status_May!E$2:E$3000,"Lease*"),IF(_xlpm.myCnt&gt;0,INDEX(_xlfn._xlws.FILTER(Application_Status_May!F$2:F$3000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Not Assigned</v>
      </c>
      <c r="G151" s="205" t="str" cm="1">
        <f t="array" ref="G151">_xlfn.LET(_xlpm.u,B151,_xlpm.myCnt,COUNTIFS(Application_Status_May!I$2:I$3000,_xlpm.u,Application_Status_May!E$2:E$3000,"App*")+COUNTIFS(Application_Status_May!I$2:I$3000,_xlpm.u,Application_Status_May!E$2:E$3000,"Lease*"),IF(_xlpm.myCnt&gt;0,INDEX(_xlfn._xlws.FILTER(Application_Status_May!H$2:H$3000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Google</v>
      </c>
      <c r="H151" s="206" cm="1">
        <f t="array" ref="H151">_xlfn.LET(_xlpm.u,B151,_xlpm.myCnt,COUNTIFS(Application_Status_May!I$2:I$3000,_xlpm.u,Application_Status_May!E$2:E$3000,"App*")+COUNTIFS(Application_Status_May!I$2:I$3000,_xlpm.u,Application_Status_May!E$2:E$3000,"Lease*"),IF(_xlpm.myCnt&gt;0,INDEX(_xlfn._xlws.FILTER(Application_Status_May!J$2:J$3000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46144</v>
      </c>
      <c r="I151" s="206" cm="1">
        <f t="array" ref="I151">_xlfn.LET(_xlpm.u,B151,_xlpm.myCnt,COUNTIFS(Application_Status_May!I$2:I$3000,_xlpm.u,Application_Status_May!E$2:E$3000,"App*")+COUNTIFS(Application_Status_May!I$2:I$3000,_xlpm.u,Application_Status_May!E$2:E$3000,"Lease*"),IF(_xlpm.myCnt&gt;0,INDEX(_xlfn._xlws.FILTER(Application_Status_May!L$2:L$3000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0</v>
      </c>
      <c r="J151" s="206" t="str">
        <f>IF(E151&lt;&gt;"Cancelled/Denied","—",_xlfn.LET(_xlpm.u,B151,_xlpm.myC,_xlfn.MAXIFS(Application_Status_May!R$2:R$3000,Application_Status_May!I$2:I$3000,_xlpm.u),_xlpm.myD,_xlfn.MAXIFS(Application_Status_May!S$2:S$3000,Application_Status_May!I$2:I$3000,_xlpm.u),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myC,_xlpm.myD,_xlpm.aC,_xlpm.aD,_xlpm.mC,_xlpm.mD,_xlpm.fC,_xlpm.fD)))</f>
        <v>—</v>
      </c>
      <c r="K151" s="205">
        <f t="shared" si="7"/>
        <v>100</v>
      </c>
    </row>
    <row r="152" spans="2:11" ht="14.1" customHeight="1">
      <c r="B152" s="204" t="str">
        <v>S30-223</v>
      </c>
      <c r="C152" s="204" t="str" cm="1">
        <f t="array" ref="C152">_xlfn.LET(_xlpm.u,B152,_xlpm.myCnt,COUNTIFS(Application_Status_May!I$2:I$3000,_xlpm.u,Application_Status_May!E$2:E$3000,"App*")+COUNTIFS(Application_Status_May!I$2:I$3000,_xlpm.u,Application_Status_May!E$2:E$3000,"Lease*"),IF(_xlpm.myCnt&gt;0,INDEX(_xlfn._xlws.FILTER(Application_Status_May!B$2:B$3000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Jones, Jada</v>
      </c>
      <c r="D152" s="205" t="str" cm="1">
        <f t="array" ref="D152">_xlfn.LET(_xlpm.u,B152,_xlpm.myCnt,COUNTIFS(Application_Status_May!I$2:I$3000,_xlpm.u,Application_Status_May!E$2:E$3000,"App*")+COUNTIFS(Application_Status_May!I$2:I$3000,_xlpm.u,Application_Status_May!E$2:E$3000,"Lease*"),IF(_xlpm.myCnt&gt;0,INDEX(_xlfn._xlws.FILTER(Application_Status_May!E$2:E$3000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Cancelled</v>
      </c>
      <c r="E152" s="205" t="str">
        <f t="shared" si="6"/>
        <v>Cancelled/Denied</v>
      </c>
      <c r="F152" s="205" t="str" cm="1">
        <f t="array" ref="F152">_xlfn.LET(_xlpm.u,B152,_xlpm.myCnt,COUNTIFS(Application_Status_May!I$2:I$3000,_xlpm.u,Application_Status_May!E$2:E$3000,"App*")+COUNTIFS(Application_Status_May!I$2:I$3000,_xlpm.u,Application_Status_May!E$2:E$3000,"Lease*"),IF(_xlpm.myCnt&gt;0,INDEX(_xlfn._xlws.FILTER(Application_Status_May!F$2:F$3000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Martinez, Briana</v>
      </c>
      <c r="G152" s="205" t="str" cm="1">
        <f t="array" ref="G152">_xlfn.LET(_xlpm.u,B152,_xlpm.myCnt,COUNTIFS(Application_Status_May!I$2:I$3000,_xlpm.u,Application_Status_May!E$2:E$3000,"App*")+COUNTIFS(Application_Status_May!I$2:I$3000,_xlpm.u,Application_Status_May!E$2:E$3000,"Lease*"),IF(_xlpm.myCnt&gt;0,INDEX(_xlfn._xlws.FILTER(Application_Status_May!H$2:H$3000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UMOVEFREE</v>
      </c>
      <c r="H152" s="206" cm="1">
        <f t="array" ref="H152">_xlfn.LET(_xlpm.u,B152,_xlpm.myCnt,COUNTIFS(Application_Status_May!I$2:I$3000,_xlpm.u,Application_Status_May!E$2:E$3000,"App*")+COUNTIFS(Application_Status_May!I$2:I$3000,_xlpm.u,Application_Status_May!E$2:E$3000,"Lease*"),IF(_xlpm.myCnt&gt;0,INDEX(_xlfn._xlws.FILTER(Application_Status_May!J$2:J$3000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46109</v>
      </c>
      <c r="I152" s="206" cm="1">
        <f t="array" ref="I152">_xlfn.LET(_xlpm.u,B152,_xlpm.myCnt,COUNTIFS(Application_Status_May!I$2:I$3000,_xlpm.u,Application_Status_May!E$2:E$3000,"App*")+COUNTIFS(Application_Status_May!I$2:I$3000,_xlpm.u,Application_Status_May!E$2:E$3000,"Lease*"),IF(_xlpm.myCnt&gt;0,INDEX(_xlfn._xlws.FILTER(Application_Status_May!L$2:L$3000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0</v>
      </c>
      <c r="J152" s="206">
        <f>IF(E152&lt;&gt;"Cancelled/Denied","—",_xlfn.LET(_xlpm.u,B152,_xlpm.myC,_xlfn.MAXIFS(Application_Status_May!R$2:R$3000,Application_Status_May!I$2:I$3000,_xlpm.u),_xlpm.myD,_xlfn.MAXIFS(Application_Status_May!S$2:S$3000,Application_Status_May!I$2:I$3000,_xlpm.u),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myC,_xlpm.myD,_xlpm.aC,_xlpm.aD,_xlpm.mC,_xlpm.mD,_xlpm.fC,_xlpm.fD)))</f>
        <v>46146</v>
      </c>
      <c r="K152" s="205" t="str">
        <f t="shared" si="7"/>
        <v>—</v>
      </c>
    </row>
    <row r="153" spans="2:11" ht="14.1" customHeight="1">
      <c r="B153" s="204" t="str">
        <v>S30-224</v>
      </c>
      <c r="C153" s="204" t="str" cm="1">
        <f t="array" ref="C153">_xlfn.LET(_xlpm.u,B153,_xlpm.myCnt,COUNTIFS(Application_Status_May!I$2:I$3000,_xlpm.u,Application_Status_May!E$2:E$3000,"App*")+COUNTIFS(Application_Status_May!I$2:I$3000,_xlpm.u,Application_Status_May!E$2:E$3000,"Lease*"),IF(_xlpm.myCnt&gt;0,INDEX(_xlfn._xlws.FILTER(Application_Status_May!B$2:B$3000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pineda, mirelda</v>
      </c>
      <c r="D153" s="205" t="str" cm="1">
        <f t="array" ref="D153">_xlfn.LET(_xlpm.u,B153,_xlpm.myCnt,COUNTIFS(Application_Status_May!I$2:I$3000,_xlpm.u,Application_Status_May!E$2:E$3000,"App*")+COUNTIFS(Application_Status_May!I$2:I$3000,_xlpm.u,Application_Status_May!E$2:E$3000,"Lease*"),IF(_xlpm.myCnt&gt;0,INDEX(_xlfn._xlws.FILTER(Application_Status_May!E$2:E$3000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Lease: Approved</v>
      </c>
      <c r="E153" s="205" t="str">
        <f t="shared" si="6"/>
        <v>Converted</v>
      </c>
      <c r="F153" s="205" t="str" cm="1">
        <f t="array" ref="F153">_xlfn.LET(_xlpm.u,B153,_xlpm.myCnt,COUNTIFS(Application_Status_May!I$2:I$3000,_xlpm.u,Application_Status_May!E$2:E$3000,"App*")+COUNTIFS(Application_Status_May!I$2:I$3000,_xlpm.u,Application_Status_May!E$2:E$3000,"Lease*"),IF(_xlpm.myCnt&gt;0,INDEX(_xlfn._xlws.FILTER(Application_Status_May!F$2:F$3000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Elise, Meet</v>
      </c>
      <c r="G153" s="205" t="str" cm="1">
        <f t="array" ref="G153">_xlfn.LET(_xlpm.u,B153,_xlpm.myCnt,COUNTIFS(Application_Status_May!I$2:I$3000,_xlpm.u,Application_Status_May!E$2:E$3000,"App*")+COUNTIFS(Application_Status_May!I$2:I$3000,_xlpm.u,Application_Status_May!E$2:E$3000,"Lease*"),IF(_xlpm.myCnt&gt;0,INDEX(_xlfn._xlws.FILTER(Application_Status_May!H$2:H$3000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Resident Referral</v>
      </c>
      <c r="H153" s="206" cm="1">
        <f t="array" ref="H153">_xlfn.LET(_xlpm.u,B153,_xlpm.myCnt,COUNTIFS(Application_Status_May!I$2:I$3000,_xlpm.u,Application_Status_May!E$2:E$3000,"App*")+COUNTIFS(Application_Status_May!I$2:I$3000,_xlpm.u,Application_Status_May!E$2:E$3000,"Lease*"),IF(_xlpm.myCnt&gt;0,INDEX(_xlfn._xlws.FILTER(Application_Status_May!J$2:J$3000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46155</v>
      </c>
      <c r="I153" s="206" cm="1">
        <f t="array" ref="I153">_xlfn.LET(_xlpm.u,B153,_xlpm.myCnt,COUNTIFS(Application_Status_May!I$2:I$3000,_xlpm.u,Application_Status_May!E$2:E$3000,"App*")+COUNTIFS(Application_Status_May!I$2:I$3000,_xlpm.u,Application_Status_May!E$2:E$3000,"Lease*"),IF(_xlpm.myCnt&gt;0,INDEX(_xlfn._xlws.FILTER(Application_Status_May!L$2:L$3000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46155</v>
      </c>
      <c r="J153" s="206" t="str">
        <f>IF(E153&lt;&gt;"Cancelled/Denied","—",_xlfn.LET(_xlpm.u,B153,_xlpm.myC,_xlfn.MAXIFS(Application_Status_May!R$2:R$3000,Application_Status_May!I$2:I$3000,_xlpm.u),_xlpm.myD,_xlfn.MAXIFS(Application_Status_May!S$2:S$3000,Application_Status_May!I$2:I$3000,_xlpm.u),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myC,_xlpm.myD,_xlpm.aC,_xlpm.aD,_xlpm.mC,_xlpm.mD,_xlpm.fC,_xlpm.fD)))</f>
        <v>—</v>
      </c>
      <c r="K153" s="205" t="str">
        <f t="shared" si="7"/>
        <v>—</v>
      </c>
    </row>
    <row r="154" spans="2:11" ht="14.1" customHeight="1">
      <c r="B154" s="204" t="str">
        <v>S31-118</v>
      </c>
      <c r="C154" s="204" t="str" cm="1">
        <f t="array" ref="C154">_xlfn.LET(_xlpm.u,B154,_xlpm.myCnt,COUNTIFS(Application_Status_May!I$2:I$3000,_xlpm.u,Application_Status_May!E$2:E$3000,"App*")+COUNTIFS(Application_Status_May!I$2:I$3000,_xlpm.u,Application_Status_May!E$2:E$3000,"Lease*"),IF(_xlpm.myCnt&gt;0,INDEX(_xlfn._xlws.FILTER(Application_Status_May!B$2:B$3000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MORGAN, PEMETRIA</v>
      </c>
      <c r="D154" s="205" t="str" cm="1">
        <f t="array" ref="D154">_xlfn.LET(_xlpm.u,B154,_xlpm.myCnt,COUNTIFS(Application_Status_May!I$2:I$3000,_xlpm.u,Application_Status_May!E$2:E$3000,"App*")+COUNTIFS(Application_Status_May!I$2:I$3000,_xlpm.u,Application_Status_May!E$2:E$3000,"Lease*"),IF(_xlpm.myCnt&gt;0,INDEX(_xlfn._xlws.FILTER(Application_Status_May!E$2:E$3000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Lease: Approved</v>
      </c>
      <c r="E154" s="205" t="str">
        <f t="shared" si="6"/>
        <v>Converted</v>
      </c>
      <c r="F154" s="205" t="str" cm="1">
        <f t="array" ref="F154">_xlfn.LET(_xlpm.u,B154,_xlpm.myCnt,COUNTIFS(Application_Status_May!I$2:I$3000,_xlpm.u,Application_Status_May!E$2:E$3000,"App*")+COUNTIFS(Application_Status_May!I$2:I$3000,_xlpm.u,Application_Status_May!E$2:E$3000,"Lease*"),IF(_xlpm.myCnt&gt;0,INDEX(_xlfn._xlws.FILTER(Application_Status_May!F$2:F$3000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Vazquez, Norma</v>
      </c>
      <c r="G154" s="205" t="str" cm="1">
        <f t="array" ref="G154">_xlfn.LET(_xlpm.u,B154,_xlpm.myCnt,COUNTIFS(Application_Status_May!I$2:I$3000,_xlpm.u,Application_Status_May!E$2:E$3000,"App*")+COUNTIFS(Application_Status_May!I$2:I$3000,_xlpm.u,Application_Status_May!E$2:E$3000,"Lease*"),IF(_xlpm.myCnt&gt;0,INDEX(_xlfn._xlws.FILTER(Application_Status_May!H$2:H$3000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Drive By</v>
      </c>
      <c r="H154" s="206" cm="1">
        <f t="array" ref="H154">_xlfn.LET(_xlpm.u,B154,_xlpm.myCnt,COUNTIFS(Application_Status_May!I$2:I$3000,_xlpm.u,Application_Status_May!E$2:E$3000,"App*")+COUNTIFS(Application_Status_May!I$2:I$3000,_xlpm.u,Application_Status_May!E$2:E$3000,"Lease*"),IF(_xlpm.myCnt&gt;0,INDEX(_xlfn._xlws.FILTER(Application_Status_May!J$2:J$3000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46086</v>
      </c>
      <c r="I154" s="206" cm="1">
        <f t="array" ref="I154">_xlfn.LET(_xlpm.u,B154,_xlpm.myCnt,COUNTIFS(Application_Status_May!I$2:I$3000,_xlpm.u,Application_Status_May!E$2:E$3000,"App*")+COUNTIFS(Application_Status_May!I$2:I$3000,_xlpm.u,Application_Status_May!E$2:E$3000,"Lease*"),IF(_xlpm.myCnt&gt;0,INDEX(_xlfn._xlws.FILTER(Application_Status_May!L$2:L$3000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46121</v>
      </c>
      <c r="J154" s="206" t="str">
        <f>IF(E154&lt;&gt;"Cancelled/Denied","—",_xlfn.LET(_xlpm.u,B154,_xlpm.myC,_xlfn.MAXIFS(Application_Status_May!R$2:R$3000,Application_Status_May!I$2:I$3000,_xlpm.u),_xlpm.myD,_xlfn.MAXIFS(Application_Status_May!S$2:S$3000,Application_Status_May!I$2:I$3000,_xlpm.u),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myC,_xlpm.myD,_xlpm.aC,_xlpm.aD,_xlpm.mC,_xlpm.mD,_xlpm.fC,_xlpm.fD)))</f>
        <v>—</v>
      </c>
      <c r="K154" s="205" t="str">
        <f t="shared" si="7"/>
        <v>—</v>
      </c>
    </row>
    <row r="155" spans="2:11" ht="14.1" customHeight="1">
      <c r="B155" s="341" t="str">
        <v>S31-119</v>
      </c>
      <c r="C155" s="204" t="str" cm="1">
        <f t="array" ref="C155">_xlfn.LET(_xlpm.u,B155,_xlpm.myCnt,COUNTIFS(Application_Status_May!I$2:I$3000,_xlpm.u,Application_Status_May!E$2:E$3000,"App*")+COUNTIFS(Application_Status_May!I$2:I$3000,_xlpm.u,Application_Status_May!E$2:E$3000,"Lease*"),IF(_xlpm.myCnt&gt;0,INDEX(_xlfn._xlws.FILTER(Application_Status_May!B$2:B$3000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Garcia, Claudia</v>
      </c>
      <c r="D155" s="205" t="str" cm="1">
        <f t="array" ref="D155">_xlfn.LET(_xlpm.u,B155,_xlpm.myCnt,COUNTIFS(Application_Status_May!I$2:I$3000,_xlpm.u,Application_Status_May!E$2:E$3000,"App*")+COUNTIFS(Application_Status_May!I$2:I$3000,_xlpm.u,Application_Status_May!E$2:E$3000,"Lease*"),IF(_xlpm.myCnt&gt;0,INDEX(_xlfn._xlws.FILTER(Application_Status_May!E$2:E$3000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Cancelled</v>
      </c>
      <c r="E155" s="205" t="str">
        <f t="shared" si="6"/>
        <v>Cancelled/Denied</v>
      </c>
      <c r="F155" s="205" t="str" cm="1">
        <f t="array" ref="F155">_xlfn.LET(_xlpm.u,B155,_xlpm.myCnt,COUNTIFS(Application_Status_May!I$2:I$3000,_xlpm.u,Application_Status_May!E$2:E$3000,"App*")+COUNTIFS(Application_Status_May!I$2:I$3000,_xlpm.u,Application_Status_May!E$2:E$3000,"Lease*"),IF(_xlpm.myCnt&gt;0,INDEX(_xlfn._xlws.FILTER(Application_Status_May!F$2:F$3000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Martinez, Briana</v>
      </c>
      <c r="G155" s="205" t="str" cm="1">
        <f t="array" ref="G155">_xlfn.LET(_xlpm.u,B155,_xlpm.myCnt,COUNTIFS(Application_Status_May!I$2:I$3000,_xlpm.u,Application_Status_May!E$2:E$3000,"App*")+COUNTIFS(Application_Status_May!I$2:I$3000,_xlpm.u,Application_Status_May!E$2:E$3000,"Lease*"),IF(_xlpm.myCnt&gt;0,INDEX(_xlfn._xlws.FILTER(Application_Status_May!H$2:H$3000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Drive By</v>
      </c>
      <c r="H155" s="206" cm="1">
        <f t="array" ref="H155">_xlfn.LET(_xlpm.u,B155,_xlpm.myCnt,COUNTIFS(Application_Status_May!I$2:I$3000,_xlpm.u,Application_Status_May!E$2:E$3000,"App*")+COUNTIFS(Application_Status_May!I$2:I$3000,_xlpm.u,Application_Status_May!E$2:E$3000,"Lease*"),IF(_xlpm.myCnt&gt;0,INDEX(_xlfn._xlws.FILTER(Application_Status_May!J$2:J$3000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46074</v>
      </c>
      <c r="I155" s="206" cm="1">
        <f t="array" ref="I155">_xlfn.LET(_xlpm.u,B155,_xlpm.myCnt,COUNTIFS(Application_Status_May!I$2:I$3000,_xlpm.u,Application_Status_May!E$2:E$3000,"App*")+COUNTIFS(Application_Status_May!I$2:I$3000,_xlpm.u,Application_Status_May!E$2:E$3000,"Lease*"),IF(_xlpm.myCnt&gt;0,INDEX(_xlfn._xlws.FILTER(Application_Status_May!L$2:L$3000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0</v>
      </c>
      <c r="J155" s="206">
        <f>IF(E155&lt;&gt;"Cancelled/Denied","—",_xlfn.LET(_xlpm.u,B155,_xlpm.myC,_xlfn.MAXIFS(Application_Status_May!R$2:R$3000,Application_Status_May!I$2:I$3000,_xlpm.u),_xlpm.myD,_xlfn.MAXIFS(Application_Status_May!S$2:S$3000,Application_Status_May!I$2:I$3000,_xlpm.u),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myC,_xlpm.myD,_xlpm.aC,_xlpm.aD,_xlpm.mC,_xlpm.mD,_xlpm.fC,_xlpm.fD)))</f>
        <v>46114</v>
      </c>
      <c r="K155" s="205" t="str">
        <f t="shared" si="7"/>
        <v>—</v>
      </c>
    </row>
    <row r="156" spans="2:11">
      <c r="B156" s="645" t="str">
        <v>S32-430</v>
      </c>
      <c r="C156" s="204" t="str" cm="1">
        <f t="array" ref="C156">_xlfn.LET(_xlpm.u,B156,_xlpm.myCnt,COUNTIFS(Application_Status_May!I$2:I$3000,_xlpm.u,Application_Status_May!E$2:E$3000,"App*")+COUNTIFS(Application_Status_May!I$2:I$3000,_xlpm.u,Application_Status_May!E$2:E$3000,"Lease*"),IF(_xlpm.myCnt&gt;0,INDEX(_xlfn._xlws.FILTER(Application_Status_May!B$2:B$3000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teniente, Liliana</v>
      </c>
      <c r="D156" s="205" t="str" cm="1">
        <f t="array" ref="D156">_xlfn.LET(_xlpm.u,B156,_xlpm.myCnt,COUNTIFS(Application_Status_May!I$2:I$3000,_xlpm.u,Application_Status_May!E$2:E$3000,"App*")+COUNTIFS(Application_Status_May!I$2:I$3000,_xlpm.u,Application_Status_May!E$2:E$3000,"Lease*"),IF(_xlpm.myCnt&gt;0,INDEX(_xlfn._xlws.FILTER(Application_Status_May!E$2:E$3000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Cancelled</v>
      </c>
      <c r="E156" s="205" t="str">
        <f t="shared" si="6"/>
        <v>Cancelled/Denied</v>
      </c>
      <c r="F156" s="205" t="str" cm="1">
        <f t="array" ref="F156">_xlfn.LET(_xlpm.u,B156,_xlpm.myCnt,COUNTIFS(Application_Status_May!I$2:I$3000,_xlpm.u,Application_Status_May!E$2:E$3000,"App*")+COUNTIFS(Application_Status_May!I$2:I$3000,_xlpm.u,Application_Status_May!E$2:E$3000,"Lease*"),IF(_xlpm.myCnt&gt;0,INDEX(_xlfn._xlws.FILTER(Application_Status_May!F$2:F$3000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Martinez, Emily</v>
      </c>
      <c r="G156" s="205" t="str" cm="1">
        <f t="array" ref="G156">_xlfn.LET(_xlpm.u,B156,_xlpm.myCnt,COUNTIFS(Application_Status_May!I$2:I$3000,_xlpm.u,Application_Status_May!E$2:E$3000,"App*")+COUNTIFS(Application_Status_May!I$2:I$3000,_xlpm.u,Application_Status_May!E$2:E$3000,"Lease*"),IF(_xlpm.myCnt&gt;0,INDEX(_xlfn._xlws.FILTER(Application_Status_May!H$2:H$3000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Apartments.com</v>
      </c>
      <c r="H156" s="206" cm="1">
        <f t="array" ref="H156">_xlfn.LET(_xlpm.u,B156,_xlpm.myCnt,COUNTIFS(Application_Status_May!I$2:I$3000,_xlpm.u,Application_Status_May!E$2:E$3000,"App*")+COUNTIFS(Application_Status_May!I$2:I$3000,_xlpm.u,Application_Status_May!E$2:E$3000,"Lease*"),IF(_xlpm.myCnt&gt;0,INDEX(_xlfn._xlws.FILTER(Application_Status_May!J$2:J$3000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46111</v>
      </c>
      <c r="I156" s="206" cm="1">
        <f t="array" ref="I156">_xlfn.LET(_xlpm.u,B156,_xlpm.myCnt,COUNTIFS(Application_Status_May!I$2:I$3000,_xlpm.u,Application_Status_May!E$2:E$3000,"App*")+COUNTIFS(Application_Status_May!I$2:I$3000,_xlpm.u,Application_Status_May!E$2:E$3000,"Lease*"),IF(_xlpm.myCnt&gt;0,INDEX(_xlfn._xlws.FILTER(Application_Status_May!L$2:L$3000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0</v>
      </c>
      <c r="J156" s="206">
        <f>IF(E156&lt;&gt;"Cancelled/Denied","—",_xlfn.LET(_xlpm.u,B156,_xlpm.myC,_xlfn.MAXIFS(Application_Status_May!R$2:R$3000,Application_Status_May!I$2:I$3000,_xlpm.u),_xlpm.myD,_xlfn.MAXIFS(Application_Status_May!S$2:S$3000,Application_Status_May!I$2:I$3000,_xlpm.u),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myC,_xlpm.myD,_xlpm.aC,_xlpm.aD,_xlpm.mC,_xlpm.mD,_xlpm.fC,_xlpm.fD)))</f>
        <v>46164</v>
      </c>
      <c r="K156" s="205" t="str">
        <f t="shared" si="7"/>
        <v>—</v>
      </c>
    </row>
    <row r="157" spans="2:11">
      <c r="B157" s="632" t="str">
        <v>S32-431</v>
      </c>
      <c r="C157" s="204" t="str" cm="1">
        <f t="array" ref="C157">_xlfn.LET(_xlpm.u,B157,_xlpm.myCnt,COUNTIFS(Application_Status_May!I$2:I$3000,_xlpm.u,Application_Status_May!E$2:E$3000,"App*")+COUNTIFS(Application_Status_May!I$2:I$3000,_xlpm.u,Application_Status_May!E$2:E$3000,"Lease*"),IF(_xlpm.myCnt&gt;0,INDEX(_xlfn._xlws.FILTER(Application_Status_May!B$2:B$3000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Patel, Kausha</v>
      </c>
      <c r="D157" s="205" t="str" cm="1">
        <f t="array" ref="D157">_xlfn.LET(_xlpm.u,B157,_xlpm.myCnt,COUNTIFS(Application_Status_May!I$2:I$3000,_xlpm.u,Application_Status_May!E$2:E$3000,"App*")+COUNTIFS(Application_Status_May!I$2:I$3000,_xlpm.u,Application_Status_May!E$2:E$3000,"Lease*"),IF(_xlpm.myCnt&gt;0,INDEX(_xlfn._xlws.FILTER(Application_Status_May!E$2:E$3000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Cancelled</v>
      </c>
      <c r="E157" s="205" t="str">
        <f t="shared" si="6"/>
        <v>Cancelled/Denied</v>
      </c>
      <c r="F157" s="205" t="str" cm="1">
        <f t="array" ref="F157">_xlfn.LET(_xlpm.u,B157,_xlpm.myCnt,COUNTIFS(Application_Status_May!I$2:I$3000,_xlpm.u,Application_Status_May!E$2:E$3000,"App*")+COUNTIFS(Application_Status_May!I$2:I$3000,_xlpm.u,Application_Status_May!E$2:E$3000,"Lease*"),IF(_xlpm.myCnt&gt;0,INDEX(_xlfn._xlws.FILTER(Application_Status_May!F$2:F$3000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Reyes, Josie</v>
      </c>
      <c r="G157" s="205" t="str" cm="1">
        <f t="array" ref="G157">_xlfn.LET(_xlpm.u,B157,_xlpm.myCnt,COUNTIFS(Application_Status_May!I$2:I$3000,_xlpm.u,Application_Status_May!E$2:E$3000,"App*")+COUNTIFS(Application_Status_May!I$2:I$3000,_xlpm.u,Application_Status_May!E$2:E$3000,"Lease*"),IF(_xlpm.myCnt&gt;0,INDEX(_xlfn._xlws.FILTER(Application_Status_May!H$2:H$3000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Website</v>
      </c>
      <c r="H157" s="206" cm="1">
        <f t="array" ref="H157">_xlfn.LET(_xlpm.u,B157,_xlpm.myCnt,COUNTIFS(Application_Status_May!I$2:I$3000,_xlpm.u,Application_Status_May!E$2:E$3000,"App*")+COUNTIFS(Application_Status_May!I$2:I$3000,_xlpm.u,Application_Status_May!E$2:E$3000,"Lease*"),IF(_xlpm.myCnt&gt;0,INDEX(_xlfn._xlws.FILTER(Application_Status_May!J$2:J$3000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46020</v>
      </c>
      <c r="I157" s="206" cm="1">
        <f t="array" ref="I157">_xlfn.LET(_xlpm.u,B157,_xlpm.myCnt,COUNTIFS(Application_Status_May!I$2:I$3000,_xlpm.u,Application_Status_May!E$2:E$3000,"App*")+COUNTIFS(Application_Status_May!I$2:I$3000,_xlpm.u,Application_Status_May!E$2:E$3000,"Lease*"),IF(_xlpm.myCnt&gt;0,INDEX(_xlfn._xlws.FILTER(Application_Status_May!L$2:L$3000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0</v>
      </c>
      <c r="J157" s="206">
        <f>IF(E157&lt;&gt;"Cancelled/Denied","—",_xlfn.LET(_xlpm.u,B157,_xlpm.myC,_xlfn.MAXIFS(Application_Status_May!R$2:R$3000,Application_Status_May!I$2:I$3000,_xlpm.u),_xlpm.myD,_xlfn.MAXIFS(Application_Status_May!S$2:S$3000,Application_Status_May!I$2:I$3000,_xlpm.u),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myC,_xlpm.myD,_xlpm.aC,_xlpm.aD,_xlpm.mC,_xlpm.mD,_xlpm.fC,_xlpm.fD)))</f>
        <v>46114</v>
      </c>
      <c r="K157" s="205" t="str">
        <f t="shared" si="7"/>
        <v>—</v>
      </c>
    </row>
    <row r="158" spans="2:11">
      <c r="B158" s="645" t="str">
        <v>S34-141</v>
      </c>
      <c r="C158" s="204" t="str" cm="1">
        <f t="array" ref="C158">_xlfn.LET(_xlpm.u,B158,_xlpm.myCnt,COUNTIFS(Application_Status_May!I$2:I$3000,_xlpm.u,Application_Status_May!E$2:E$3000,"App*")+COUNTIFS(Application_Status_May!I$2:I$3000,_xlpm.u,Application_Status_May!E$2:E$3000,"Lease*"),IF(_xlpm.myCnt&gt;0,INDEX(_xlfn._xlws.FILTER(Application_Status_May!B$2:B$3000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Mejia, Christina</v>
      </c>
      <c r="D158" s="205" t="str" cm="1">
        <f t="array" ref="D158">_xlfn.LET(_xlpm.u,B158,_xlpm.myCnt,COUNTIFS(Application_Status_May!I$2:I$3000,_xlpm.u,Application_Status_May!E$2:E$3000,"App*")+COUNTIFS(Application_Status_May!I$2:I$3000,_xlpm.u,Application_Status_May!E$2:E$3000,"Lease*"),IF(_xlpm.myCnt&gt;0,INDEX(_xlfn._xlws.FILTER(Application_Status_May!E$2:E$3000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Lease: Approved</v>
      </c>
      <c r="E158" s="205" t="str">
        <f t="shared" si="6"/>
        <v>Converted</v>
      </c>
      <c r="F158" s="205" t="str" cm="1">
        <f t="array" ref="F158">_xlfn.LET(_xlpm.u,B158,_xlpm.myCnt,COUNTIFS(Application_Status_May!I$2:I$3000,_xlpm.u,Application_Status_May!E$2:E$3000,"App*")+COUNTIFS(Application_Status_May!I$2:I$3000,_xlpm.u,Application_Status_May!E$2:E$3000,"Lease*"),IF(_xlpm.myCnt&gt;0,INDEX(_xlfn._xlws.FILTER(Application_Status_May!F$2:F$3000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Martinez, Briana</v>
      </c>
      <c r="G158" s="205" t="str" cm="1">
        <f t="array" ref="G158">_xlfn.LET(_xlpm.u,B158,_xlpm.myCnt,COUNTIFS(Application_Status_May!I$2:I$3000,_xlpm.u,Application_Status_May!E$2:E$3000,"App*")+COUNTIFS(Application_Status_May!I$2:I$3000,_xlpm.u,Application_Status_May!E$2:E$3000,"Lease*"),IF(_xlpm.myCnt&gt;0,INDEX(_xlfn._xlws.FILTER(Application_Status_May!H$2:H$3000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Zillow</v>
      </c>
      <c r="H158" s="206" cm="1">
        <f t="array" ref="H158">_xlfn.LET(_xlpm.u,B158,_xlpm.myCnt,COUNTIFS(Application_Status_May!I$2:I$3000,_xlpm.u,Application_Status_May!E$2:E$3000,"App*")+COUNTIFS(Application_Status_May!I$2:I$3000,_xlpm.u,Application_Status_May!E$2:E$3000,"Lease*"),IF(_xlpm.myCnt&gt;0,INDEX(_xlfn._xlws.FILTER(Application_Status_May!J$2:J$3000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46100</v>
      </c>
      <c r="I158" s="206" cm="1">
        <f t="array" ref="I158">_xlfn.LET(_xlpm.u,B158,_xlpm.myCnt,COUNTIFS(Application_Status_May!I$2:I$3000,_xlpm.u,Application_Status_May!E$2:E$3000,"App*")+COUNTIFS(Application_Status_May!I$2:I$3000,_xlpm.u,Application_Status_May!E$2:E$3000,"Lease*"),IF(_xlpm.myCnt&gt;0,INDEX(_xlfn._xlws.FILTER(Application_Status_May!L$2:L$3000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46100</v>
      </c>
      <c r="J158" s="206" t="str">
        <f>IF(E158&lt;&gt;"Cancelled/Denied","—",_xlfn.LET(_xlpm.u,B158,_xlpm.myC,_xlfn.MAXIFS(Application_Status_May!R$2:R$3000,Application_Status_May!I$2:I$3000,_xlpm.u),_xlpm.myD,_xlfn.MAXIFS(Application_Status_May!S$2:S$3000,Application_Status_May!I$2:I$3000,_xlpm.u),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myC,_xlpm.myD,_xlpm.aC,_xlpm.aD,_xlpm.mC,_xlpm.mD,_xlpm.fC,_xlpm.fD)))</f>
        <v>—</v>
      </c>
      <c r="K158" s="205" t="str">
        <f t="shared" si="7"/>
        <v>—</v>
      </c>
    </row>
    <row r="159" spans="2:11">
      <c r="B159" s="647" t="str">
        <v>S34-242</v>
      </c>
      <c r="C159" s="204" t="str" cm="1">
        <f t="array" ref="C159">_xlfn.LET(_xlpm.u,B159,_xlpm.myCnt,COUNTIFS(Application_Status_May!I$2:I$3000,_xlpm.u,Application_Status_May!E$2:E$3000,"App*")+COUNTIFS(Application_Status_May!I$2:I$3000,_xlpm.u,Application_Status_May!E$2:E$3000,"Lease*"),IF(_xlpm.myCnt&gt;0,INDEX(_xlfn._xlws.FILTER(Application_Status_May!B$2:B$3000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Stogner, Lydia</v>
      </c>
      <c r="D159" s="205" t="str" cm="1">
        <f t="array" ref="D159">_xlfn.LET(_xlpm.u,B159,_xlpm.myCnt,COUNTIFS(Application_Status_May!I$2:I$3000,_xlpm.u,Application_Status_May!E$2:E$3000,"App*")+COUNTIFS(Application_Status_May!I$2:I$3000,_xlpm.u,Application_Status_May!E$2:E$3000,"Lease*"),IF(_xlpm.myCnt&gt;0,INDEX(_xlfn._xlws.FILTER(Application_Status_May!E$2:E$3000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Lease: Approved</v>
      </c>
      <c r="E159" s="205" t="str">
        <f t="shared" si="6"/>
        <v>Converted</v>
      </c>
      <c r="F159" s="205" t="str" cm="1">
        <f t="array" ref="F159">_xlfn.LET(_xlpm.u,B159,_xlpm.myCnt,COUNTIFS(Application_Status_May!I$2:I$3000,_xlpm.u,Application_Status_May!E$2:E$3000,"App*")+COUNTIFS(Application_Status_May!I$2:I$3000,_xlpm.u,Application_Status_May!E$2:E$3000,"Lease*"),IF(_xlpm.myCnt&gt;0,INDEX(_xlfn._xlws.FILTER(Application_Status_May!F$2:F$3000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Rodriguez, Jennifer</v>
      </c>
      <c r="G159" s="205" t="str" cm="1">
        <f t="array" ref="G159">_xlfn.LET(_xlpm.u,B159,_xlpm.myCnt,COUNTIFS(Application_Status_May!I$2:I$3000,_xlpm.u,Application_Status_May!E$2:E$3000,"App*")+COUNTIFS(Application_Status_May!I$2:I$3000,_xlpm.u,Application_Status_May!E$2:E$3000,"Lease*"),IF(_xlpm.myCnt&gt;0,INDEX(_xlfn._xlws.FILTER(Application_Status_May!H$2:H$3000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Apartments.com</v>
      </c>
      <c r="H159" s="206" cm="1">
        <f t="array" ref="H159">_xlfn.LET(_xlpm.u,B159,_xlpm.myCnt,COUNTIFS(Application_Status_May!I$2:I$3000,_xlpm.u,Application_Status_May!E$2:E$3000,"App*")+COUNTIFS(Application_Status_May!I$2:I$3000,_xlpm.u,Application_Status_May!E$2:E$3000,"Lease*"),IF(_xlpm.myCnt&gt;0,INDEX(_xlfn._xlws.FILTER(Application_Status_May!J$2:J$3000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46072</v>
      </c>
      <c r="I159" s="206" cm="1">
        <f t="array" ref="I159">_xlfn.LET(_xlpm.u,B159,_xlpm.myCnt,COUNTIFS(Application_Status_May!I$2:I$3000,_xlpm.u,Application_Status_May!E$2:E$3000,"App*")+COUNTIFS(Application_Status_May!I$2:I$3000,_xlpm.u,Application_Status_May!E$2:E$3000,"Lease*"),IF(_xlpm.myCnt&gt;0,INDEX(_xlfn._xlws.FILTER(Application_Status_May!L$2:L$3000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46072</v>
      </c>
      <c r="J159" s="206" t="str">
        <f>IF(E159&lt;&gt;"Cancelled/Denied","—",_xlfn.LET(_xlpm.u,B159,_xlpm.myC,_xlfn.MAXIFS(Application_Status_May!R$2:R$3000,Application_Status_May!I$2:I$3000,_xlpm.u),_xlpm.myD,_xlfn.MAXIFS(Application_Status_May!S$2:S$3000,Application_Status_May!I$2:I$3000,_xlpm.u),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myC,_xlpm.myD,_xlpm.aC,_xlpm.aD,_xlpm.mC,_xlpm.mD,_xlpm.fC,_xlpm.fD)))</f>
        <v>—</v>
      </c>
      <c r="K159" s="205" t="str">
        <f t="shared" si="7"/>
        <v>—</v>
      </c>
    </row>
    <row r="160" spans="2:11">
      <c r="B160" s="648" t="str">
        <v>S34-244</v>
      </c>
      <c r="C160" s="204" t="str" cm="1">
        <f t="array" ref="C160">_xlfn.LET(_xlpm.u,B160,_xlpm.myCnt,COUNTIFS(Application_Status_May!I$2:I$3000,_xlpm.u,Application_Status_May!E$2:E$3000,"App*")+COUNTIFS(Application_Status_May!I$2:I$3000,_xlpm.u,Application_Status_May!E$2:E$3000,"Lease*"),IF(_xlpm.myCnt&gt;0,INDEX(_xlfn._xlws.FILTER(Application_Status_May!B$2:B$3000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Keyes, Lametria</v>
      </c>
      <c r="D160" s="205" t="str" cm="1">
        <f t="array" ref="D160">_xlfn.LET(_xlpm.u,B160,_xlpm.myCnt,COUNTIFS(Application_Status_May!I$2:I$3000,_xlpm.u,Application_Status_May!E$2:E$3000,"App*")+COUNTIFS(Application_Status_May!I$2:I$3000,_xlpm.u,Application_Status_May!E$2:E$3000,"Lease*"),IF(_xlpm.myCnt&gt;0,INDEX(_xlfn._xlws.FILTER(Application_Status_May!E$2:E$3000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Cancelled</v>
      </c>
      <c r="E160" s="205" t="str">
        <f t="shared" si="6"/>
        <v>Cancelled/Denied</v>
      </c>
      <c r="F160" s="205" t="str" cm="1">
        <f t="array" ref="F160">_xlfn.LET(_xlpm.u,B160,_xlpm.myCnt,COUNTIFS(Application_Status_May!I$2:I$3000,_xlpm.u,Application_Status_May!E$2:E$3000,"App*")+COUNTIFS(Application_Status_May!I$2:I$3000,_xlpm.u,Application_Status_May!E$2:E$3000,"Lease*"),IF(_xlpm.myCnt&gt;0,INDEX(_xlfn._xlws.FILTER(Application_Status_May!F$2:F$3000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Gabehart, Jamey</v>
      </c>
      <c r="G160" s="205" t="str" cm="1">
        <f t="array" ref="G160">_xlfn.LET(_xlpm.u,B160,_xlpm.myCnt,COUNTIFS(Application_Status_May!I$2:I$3000,_xlpm.u,Application_Status_May!E$2:E$3000,"App*")+COUNTIFS(Application_Status_May!I$2:I$3000,_xlpm.u,Application_Status_May!E$2:E$3000,"Lease*"),IF(_xlpm.myCnt&gt;0,INDEX(_xlfn._xlws.FILTER(Application_Status_May!H$2:H$3000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Website</v>
      </c>
      <c r="H160" s="206" cm="1">
        <f t="array" ref="H160">_xlfn.LET(_xlpm.u,B160,_xlpm.myCnt,COUNTIFS(Application_Status_May!I$2:I$3000,_xlpm.u,Application_Status_May!E$2:E$3000,"App*")+COUNTIFS(Application_Status_May!I$2:I$3000,_xlpm.u,Application_Status_May!E$2:E$3000,"Lease*"),IF(_xlpm.myCnt&gt;0,INDEX(_xlfn._xlws.FILTER(Application_Status_May!J$2:J$3000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46137</v>
      </c>
      <c r="I160" s="206" cm="1">
        <f t="array" ref="I160">_xlfn.LET(_xlpm.u,B160,_xlpm.myCnt,COUNTIFS(Application_Status_May!I$2:I$3000,_xlpm.u,Application_Status_May!E$2:E$3000,"App*")+COUNTIFS(Application_Status_May!I$2:I$3000,_xlpm.u,Application_Status_May!E$2:E$3000,"Lease*"),IF(_xlpm.myCnt&gt;0,INDEX(_xlfn._xlws.FILTER(Application_Status_May!L$2:L$3000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46137</v>
      </c>
      <c r="J160" s="206">
        <f>IF(E160&lt;&gt;"Cancelled/Denied","—",_xlfn.LET(_xlpm.u,B160,_xlpm.myC,_xlfn.MAXIFS(Application_Status_May!R$2:R$3000,Application_Status_May!I$2:I$3000,_xlpm.u),_xlpm.myD,_xlfn.MAXIFS(Application_Status_May!S$2:S$3000,Application_Status_May!I$2:I$3000,_xlpm.u),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myC,_xlpm.myD,_xlpm.aC,_xlpm.aD,_xlpm.mC,_xlpm.mD,_xlpm.fC,_xlpm.fD)))</f>
        <v>46147</v>
      </c>
      <c r="K160" s="205" t="str">
        <f t="shared" si="7"/>
        <v>—</v>
      </c>
    </row>
    <row r="161" spans="2:11">
      <c r="B161" s="632" t="str">
        <v>S35-147</v>
      </c>
      <c r="C161" s="204" t="str" cm="1">
        <f t="array" ref="C161">_xlfn.LET(_xlpm.u,B161,_xlpm.myCnt,COUNTIFS(Application_Status_May!I$2:I$3000,_xlpm.u,Application_Status_May!E$2:E$3000,"App*")+COUNTIFS(Application_Status_May!I$2:I$3000,_xlpm.u,Application_Status_May!E$2:E$3000,"Lease*"),IF(_xlpm.myCnt&gt;0,INDEX(_xlfn._xlws.FILTER(Application_Status_May!B$2:B$3000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Brown, Rebecca</v>
      </c>
      <c r="D161" s="205" t="str" cm="1">
        <f t="array" ref="D161">_xlfn.LET(_xlpm.u,B161,_xlpm.myCnt,COUNTIFS(Application_Status_May!I$2:I$3000,_xlpm.u,Application_Status_May!E$2:E$3000,"App*")+COUNTIFS(Application_Status_May!I$2:I$3000,_xlpm.u,Application_Status_May!E$2:E$3000,"Lease*"),IF(_xlpm.myCnt&gt;0,INDEX(_xlfn._xlws.FILTER(Application_Status_May!E$2:E$3000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Lease: Approved</v>
      </c>
      <c r="E161" s="205" t="str">
        <f t="shared" si="6"/>
        <v>Converted</v>
      </c>
      <c r="F161" s="205" t="str" cm="1">
        <f t="array" ref="F161">_xlfn.LET(_xlpm.u,B161,_xlpm.myCnt,COUNTIFS(Application_Status_May!I$2:I$3000,_xlpm.u,Application_Status_May!E$2:E$3000,"App*")+COUNTIFS(Application_Status_May!I$2:I$3000,_xlpm.u,Application_Status_May!E$2:E$3000,"Lease*"),IF(_xlpm.myCnt&gt;0,INDEX(_xlfn._xlws.FILTER(Application_Status_May!F$2:F$3000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Reyes, Josie</v>
      </c>
      <c r="G161" s="205" t="str" cm="1">
        <f t="array" ref="G161">_xlfn.LET(_xlpm.u,B161,_xlpm.myCnt,COUNTIFS(Application_Status_May!I$2:I$3000,_xlpm.u,Application_Status_May!E$2:E$3000,"App*")+COUNTIFS(Application_Status_May!I$2:I$3000,_xlpm.u,Application_Status_May!E$2:E$3000,"Lease*"),IF(_xlpm.myCnt&gt;0,INDEX(_xlfn._xlws.FILTER(Application_Status_May!H$2:H$3000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RentVision Website</v>
      </c>
      <c r="H161" s="206" cm="1">
        <f t="array" ref="H161">_xlfn.LET(_xlpm.u,B161,_xlpm.myCnt,COUNTIFS(Application_Status_May!I$2:I$3000,_xlpm.u,Application_Status_May!E$2:E$3000,"App*")+COUNTIFS(Application_Status_May!I$2:I$3000,_xlpm.u,Application_Status_May!E$2:E$3000,"Lease*"),IF(_xlpm.myCnt&gt;0,INDEX(_xlfn._xlws.FILTER(Application_Status_May!J$2:J$3000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46118</v>
      </c>
      <c r="I161" s="206" cm="1">
        <f t="array" ref="I161">_xlfn.LET(_xlpm.u,B161,_xlpm.myCnt,COUNTIFS(Application_Status_May!I$2:I$3000,_xlpm.u,Application_Status_May!E$2:E$3000,"App*")+COUNTIFS(Application_Status_May!I$2:I$3000,_xlpm.u,Application_Status_May!E$2:E$3000,"Lease*"),IF(_xlpm.myCnt&gt;0,INDEX(_xlfn._xlws.FILTER(Application_Status_May!L$2:L$3000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46122</v>
      </c>
      <c r="J161" s="206" t="str">
        <f>IF(E161&lt;&gt;"Cancelled/Denied","—",_xlfn.LET(_xlpm.u,B161,_xlpm.myC,_xlfn.MAXIFS(Application_Status_May!R$2:R$3000,Application_Status_May!I$2:I$3000,_xlpm.u),_xlpm.myD,_xlfn.MAXIFS(Application_Status_May!S$2:S$3000,Application_Status_May!I$2:I$3000,_xlpm.u),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myC,_xlpm.myD,_xlpm.aC,_xlpm.aD,_xlpm.mC,_xlpm.mD,_xlpm.fC,_xlpm.fD)))</f>
        <v>—</v>
      </c>
      <c r="K161" s="205" t="str">
        <f t="shared" si="7"/>
        <v>—</v>
      </c>
    </row>
    <row r="162" spans="2:11">
      <c r="B162" s="628" t="str">
        <v>S35-245</v>
      </c>
      <c r="C162" s="204" t="str" cm="1">
        <f t="array" ref="C162">_xlfn.LET(_xlpm.u,B162,_xlpm.myCnt,COUNTIFS(Application_Status_May!I$2:I$3000,_xlpm.u,Application_Status_May!E$2:E$3000,"App*")+COUNTIFS(Application_Status_May!I$2:I$3000,_xlpm.u,Application_Status_May!E$2:E$3000,"Lease*"),IF(_xlpm.myCnt&gt;0,INDEX(_xlfn._xlws.FILTER(Application_Status_May!B$2:B$3000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Zaldivar, Lurvin</v>
      </c>
      <c r="D162" s="205" t="str" cm="1">
        <f t="array" ref="D162">_xlfn.LET(_xlpm.u,B162,_xlpm.myCnt,COUNTIFS(Application_Status_May!I$2:I$3000,_xlpm.u,Application_Status_May!E$2:E$3000,"App*")+COUNTIFS(Application_Status_May!I$2:I$3000,_xlpm.u,Application_Status_May!E$2:E$3000,"Lease*"),IF(_xlpm.myCnt&gt;0,INDEX(_xlfn._xlws.FILTER(Application_Status_May!E$2:E$3000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Lease: Approved</v>
      </c>
      <c r="E162" s="205" t="str">
        <f t="shared" si="6"/>
        <v>Converted</v>
      </c>
      <c r="F162" s="205" t="str" cm="1">
        <f t="array" ref="F162">_xlfn.LET(_xlpm.u,B162,_xlpm.myCnt,COUNTIFS(Application_Status_May!I$2:I$3000,_xlpm.u,Application_Status_May!E$2:E$3000,"App*")+COUNTIFS(Application_Status_May!I$2:I$3000,_xlpm.u,Application_Status_May!E$2:E$3000,"Lease*"),IF(_xlpm.myCnt&gt;0,INDEX(_xlfn._xlws.FILTER(Application_Status_May!F$2:F$3000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Martinez, Emily</v>
      </c>
      <c r="G162" s="205" t="str" cm="1">
        <f t="array" ref="G162">_xlfn.LET(_xlpm.u,B162,_xlpm.myCnt,COUNTIFS(Application_Status_May!I$2:I$3000,_xlpm.u,Application_Status_May!E$2:E$3000,"App*")+COUNTIFS(Application_Status_May!I$2:I$3000,_xlpm.u,Application_Status_May!E$2:E$3000,"Lease*"),IF(_xlpm.myCnt&gt;0,INDEX(_xlfn._xlws.FILTER(Application_Status_May!H$2:H$3000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Website</v>
      </c>
      <c r="H162" s="206" cm="1">
        <f t="array" ref="H162">_xlfn.LET(_xlpm.u,B162,_xlpm.myCnt,COUNTIFS(Application_Status_May!I$2:I$3000,_xlpm.u,Application_Status_May!E$2:E$3000,"App*")+COUNTIFS(Application_Status_May!I$2:I$3000,_xlpm.u,Application_Status_May!E$2:E$3000,"Lease*"),IF(_xlpm.myCnt&gt;0,INDEX(_xlfn._xlws.FILTER(Application_Status_May!J$2:J$3000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46147</v>
      </c>
      <c r="I162" s="206" cm="1">
        <f t="array" ref="I162">_xlfn.LET(_xlpm.u,B162,_xlpm.myCnt,COUNTIFS(Application_Status_May!I$2:I$3000,_xlpm.u,Application_Status_May!E$2:E$3000,"App*")+COUNTIFS(Application_Status_May!I$2:I$3000,_xlpm.u,Application_Status_May!E$2:E$3000,"Lease*"),IF(_xlpm.myCnt&gt;0,INDEX(_xlfn._xlws.FILTER(Application_Status_May!L$2:L$3000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46148</v>
      </c>
      <c r="J162" s="206" t="str">
        <f>IF(E162&lt;&gt;"Cancelled/Denied","—",_xlfn.LET(_xlpm.u,B162,_xlpm.myC,_xlfn.MAXIFS(Application_Status_May!R$2:R$3000,Application_Status_May!I$2:I$3000,_xlpm.u),_xlpm.myD,_xlfn.MAXIFS(Application_Status_May!S$2:S$3000,Application_Status_May!I$2:I$3000,_xlpm.u),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myC,_xlpm.myD,_xlpm.aC,_xlpm.aD,_xlpm.mC,_xlpm.mD,_xlpm.fC,_xlpm.fD)))</f>
        <v>—</v>
      </c>
      <c r="K162" s="205" t="str">
        <f t="shared" si="7"/>
        <v>—</v>
      </c>
    </row>
    <row r="163" spans="2:11">
      <c r="B163" s="632" t="str">
        <v>S35-247</v>
      </c>
      <c r="C163" s="204" t="str" cm="1">
        <f t="array" ref="C163">_xlfn.LET(_xlpm.u,B163,_xlpm.myCnt,COUNTIFS(Application_Status_May!I$2:I$3000,_xlpm.u,Application_Status_May!E$2:E$3000,"App*")+COUNTIFS(Application_Status_May!I$2:I$3000,_xlpm.u,Application_Status_May!E$2:E$3000,"Lease*"),IF(_xlpm.myCnt&gt;0,INDEX(_xlfn._xlws.FILTER(Application_Status_May!B$2:B$3000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Martinez, Maresa</v>
      </c>
      <c r="D163" s="205" t="str" cm="1">
        <f t="array" ref="D163">_xlfn.LET(_xlpm.u,B163,_xlpm.myCnt,COUNTIFS(Application_Status_May!I$2:I$3000,_xlpm.u,Application_Status_May!E$2:E$3000,"App*")+COUNTIFS(Application_Status_May!I$2:I$3000,_xlpm.u,Application_Status_May!E$2:E$3000,"Lease*"),IF(_xlpm.myCnt&gt;0,INDEX(_xlfn._xlws.FILTER(Application_Status_May!E$2:E$3000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Lease: Approved</v>
      </c>
      <c r="E163" s="205" t="str">
        <f t="shared" si="6"/>
        <v>Converted</v>
      </c>
      <c r="F163" s="205" t="str" cm="1">
        <f t="array" ref="F163">_xlfn.LET(_xlpm.u,B163,_xlpm.myCnt,COUNTIFS(Application_Status_May!I$2:I$3000,_xlpm.u,Application_Status_May!E$2:E$3000,"App*")+COUNTIFS(Application_Status_May!I$2:I$3000,_xlpm.u,Application_Status_May!E$2:E$3000,"Lease*"),IF(_xlpm.myCnt&gt;0,INDEX(_xlfn._xlws.FILTER(Application_Status_May!F$2:F$3000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Rodriguez, Jennifer</v>
      </c>
      <c r="G163" s="205" t="str" cm="1">
        <f t="array" ref="G163">_xlfn.LET(_xlpm.u,B163,_xlpm.myCnt,COUNTIFS(Application_Status_May!I$2:I$3000,_xlpm.u,Application_Status_May!E$2:E$3000,"App*")+COUNTIFS(Application_Status_May!I$2:I$3000,_xlpm.u,Application_Status_May!E$2:E$3000,"Lease*"),IF(_xlpm.myCnt&gt;0,INDEX(_xlfn._xlws.FILTER(Application_Status_May!H$2:H$3000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Apartments.com</v>
      </c>
      <c r="H163" s="206" cm="1">
        <f t="array" ref="H163">_xlfn.LET(_xlpm.u,B163,_xlpm.myCnt,COUNTIFS(Application_Status_May!I$2:I$3000,_xlpm.u,Application_Status_May!E$2:E$3000,"App*")+COUNTIFS(Application_Status_May!I$2:I$3000,_xlpm.u,Application_Status_May!E$2:E$3000,"Lease*"),IF(_xlpm.myCnt&gt;0,INDEX(_xlfn._xlws.FILTER(Application_Status_May!J$2:J$3000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46064</v>
      </c>
      <c r="I163" s="206" cm="1">
        <f t="array" ref="I163">_xlfn.LET(_xlpm.u,B163,_xlpm.myCnt,COUNTIFS(Application_Status_May!I$2:I$3000,_xlpm.u,Application_Status_May!E$2:E$3000,"App*")+COUNTIFS(Application_Status_May!I$2:I$3000,_xlpm.u,Application_Status_May!E$2:E$3000,"Lease*"),IF(_xlpm.myCnt&gt;0,INDEX(_xlfn._xlws.FILTER(Application_Status_May!L$2:L$3000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46065</v>
      </c>
      <c r="J163" s="206" t="str">
        <f>IF(E163&lt;&gt;"Cancelled/Denied","—",_xlfn.LET(_xlpm.u,B163,_xlpm.myC,_xlfn.MAXIFS(Application_Status_May!R$2:R$3000,Application_Status_May!I$2:I$3000,_xlpm.u),_xlpm.myD,_xlfn.MAXIFS(Application_Status_May!S$2:S$3000,Application_Status_May!I$2:I$3000,_xlpm.u),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myC,_xlpm.myD,_xlpm.aC,_xlpm.aD,_xlpm.mC,_xlpm.mD,_xlpm.fC,_xlpm.fD)))</f>
        <v>—</v>
      </c>
      <c r="K163" s="205" t="str">
        <f t="shared" si="7"/>
        <v>—</v>
      </c>
    </row>
    <row r="164" spans="2:11">
      <c r="B164" s="648" t="str">
        <v>S35-248</v>
      </c>
      <c r="C164" s="204" t="str" cm="1">
        <f t="array" ref="C164">_xlfn.LET(_xlpm.u,B164,_xlpm.myCnt,COUNTIFS(Application_Status_May!I$2:I$3000,_xlpm.u,Application_Status_May!E$2:E$3000,"App*")+COUNTIFS(Application_Status_May!I$2:I$3000,_xlpm.u,Application_Status_May!E$2:E$3000,"Lease*"),IF(_xlpm.myCnt&gt;0,INDEX(_xlfn._xlws.FILTER(Application_Status_May!B$2:B$3000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Johnson-Blair, Makayla</v>
      </c>
      <c r="D164" s="205" t="str" cm="1">
        <f t="array" ref="D164">_xlfn.LET(_xlpm.u,B164,_xlpm.myCnt,COUNTIFS(Application_Status_May!I$2:I$3000,_xlpm.u,Application_Status_May!E$2:E$3000,"App*")+COUNTIFS(Application_Status_May!I$2:I$3000,_xlpm.u,Application_Status_May!E$2:E$3000,"Lease*"),IF(_xlpm.myCnt&gt;0,INDEX(_xlfn._xlws.FILTER(Application_Status_May!E$2:E$3000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Started</v>
      </c>
      <c r="E164" s="205" t="str">
        <f t="shared" si="6"/>
        <v>Incomplete</v>
      </c>
      <c r="F164" s="205" t="str" cm="1">
        <f t="array" ref="F164">_xlfn.LET(_xlpm.u,B164,_xlpm.myCnt,COUNTIFS(Application_Status_May!I$2:I$3000,_xlpm.u,Application_Status_May!E$2:E$3000,"App*")+COUNTIFS(Application_Status_May!I$2:I$3000,_xlpm.u,Application_Status_May!E$2:E$3000,"Lease*"),IF(_xlpm.myCnt&gt;0,INDEX(_xlfn._xlws.FILTER(Application_Status_May!F$2:F$3000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Gabehart, Jamey</v>
      </c>
      <c r="G164" s="205" t="str" cm="1">
        <f t="array" ref="G164">_xlfn.LET(_xlpm.u,B164,_xlpm.myCnt,COUNTIFS(Application_Status_May!I$2:I$3000,_xlpm.u,Application_Status_May!E$2:E$3000,"App*")+COUNTIFS(Application_Status_May!I$2:I$3000,_xlpm.u,Application_Status_May!E$2:E$3000,"Lease*"),IF(_xlpm.myCnt&gt;0,INDEX(_xlfn._xlws.FILTER(Application_Status_May!H$2:H$3000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Website</v>
      </c>
      <c r="H164" s="206" cm="1">
        <f t="array" ref="H164">_xlfn.LET(_xlpm.u,B164,_xlpm.myCnt,COUNTIFS(Application_Status_May!I$2:I$3000,_xlpm.u,Application_Status_May!E$2:E$3000,"App*")+COUNTIFS(Application_Status_May!I$2:I$3000,_xlpm.u,Application_Status_May!E$2:E$3000,"Lease*"),IF(_xlpm.myCnt&gt;0,INDEX(_xlfn._xlws.FILTER(Application_Status_May!J$2:J$3000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46166</v>
      </c>
      <c r="I164" s="206" cm="1">
        <f t="array" ref="I164">_xlfn.LET(_xlpm.u,B164,_xlpm.myCnt,COUNTIFS(Application_Status_May!I$2:I$3000,_xlpm.u,Application_Status_May!E$2:E$3000,"App*")+COUNTIFS(Application_Status_May!I$2:I$3000,_xlpm.u,Application_Status_May!E$2:E$3000,"Lease*"),IF(_xlpm.myCnt&gt;0,INDEX(_xlfn._xlws.FILTER(Application_Status_May!L$2:L$3000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0</v>
      </c>
      <c r="J164" s="206" t="str">
        <f>IF(E164&lt;&gt;"Cancelled/Denied","—",_xlfn.LET(_xlpm.u,B164,_xlpm.myC,_xlfn.MAXIFS(Application_Status_May!R$2:R$3000,Application_Status_May!I$2:I$3000,_xlpm.u),_xlpm.myD,_xlfn.MAXIFS(Application_Status_May!S$2:S$3000,Application_Status_May!I$2:I$3000,_xlpm.u),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myC,_xlpm.myD,_xlpm.aC,_xlpm.aD,_xlpm.mC,_xlpm.mD,_xlpm.fC,_xlpm.fD)))</f>
        <v>—</v>
      </c>
      <c r="K164" s="205">
        <f t="shared" si="7"/>
        <v>78</v>
      </c>
    </row>
    <row r="165" spans="2:11">
      <c r="B165" s="632" t="str">
        <v>S36-433</v>
      </c>
      <c r="C165" s="204" t="str" cm="1">
        <f t="array" ref="C165">_xlfn.LET(_xlpm.u,B165,_xlpm.myCnt,COUNTIFS(Application_Status_May!I$2:I$3000,_xlpm.u,Application_Status_May!E$2:E$3000,"App*")+COUNTIFS(Application_Status_May!I$2:I$3000,_xlpm.u,Application_Status_May!E$2:E$3000,"Lease*"),IF(_xlpm.myCnt&gt;0,INDEX(_xlfn._xlws.FILTER(Application_Status_May!B$2:B$3000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Titilayo, Aminu</v>
      </c>
      <c r="D165" s="205" t="str" cm="1">
        <f t="array" ref="D165">_xlfn.LET(_xlpm.u,B165,_xlpm.myCnt,COUNTIFS(Application_Status_May!I$2:I$3000,_xlpm.u,Application_Status_May!E$2:E$3000,"App*")+COUNTIFS(Application_Status_May!I$2:I$3000,_xlpm.u,Application_Status_May!E$2:E$3000,"Lease*"),IF(_xlpm.myCnt&gt;0,INDEX(_xlfn._xlws.FILTER(Application_Status_May!E$2:E$3000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Lease: Approved</v>
      </c>
      <c r="E165" s="205" t="str">
        <f t="shared" si="6"/>
        <v>Converted</v>
      </c>
      <c r="F165" s="205" t="str" cm="1">
        <f t="array" ref="F165">_xlfn.LET(_xlpm.u,B165,_xlpm.myCnt,COUNTIFS(Application_Status_May!I$2:I$3000,_xlpm.u,Application_Status_May!E$2:E$3000,"App*")+COUNTIFS(Application_Status_May!I$2:I$3000,_xlpm.u,Application_Status_May!E$2:E$3000,"Lease*"),IF(_xlpm.myCnt&gt;0,INDEX(_xlfn._xlws.FILTER(Application_Status_May!F$2:F$3000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Gabehart, Jamey</v>
      </c>
      <c r="G165" s="205" t="str" cm="1">
        <f t="array" ref="G165">_xlfn.LET(_xlpm.u,B165,_xlpm.myCnt,COUNTIFS(Application_Status_May!I$2:I$3000,_xlpm.u,Application_Status_May!E$2:E$3000,"App*")+COUNTIFS(Application_Status_May!I$2:I$3000,_xlpm.u,Application_Status_May!E$2:E$3000,"Lease*"),IF(_xlpm.myCnt&gt;0,INDEX(_xlfn._xlws.FILTER(Application_Status_May!H$2:H$3000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Website</v>
      </c>
      <c r="H165" s="206" cm="1">
        <f t="array" ref="H165">_xlfn.LET(_xlpm.u,B165,_xlpm.myCnt,COUNTIFS(Application_Status_May!I$2:I$3000,_xlpm.u,Application_Status_May!E$2:E$3000,"App*")+COUNTIFS(Application_Status_May!I$2:I$3000,_xlpm.u,Application_Status_May!E$2:E$3000,"Lease*"),IF(_xlpm.myCnt&gt;0,INDEX(_xlfn._xlws.FILTER(Application_Status_May!J$2:J$3000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46127</v>
      </c>
      <c r="I165" s="206" cm="1">
        <f t="array" ref="I165">_xlfn.LET(_xlpm.u,B165,_xlpm.myCnt,COUNTIFS(Application_Status_May!I$2:I$3000,_xlpm.u,Application_Status_May!E$2:E$3000,"App*")+COUNTIFS(Application_Status_May!I$2:I$3000,_xlpm.u,Application_Status_May!E$2:E$3000,"Lease*"),IF(_xlpm.myCnt&gt;0,INDEX(_xlfn._xlws.FILTER(Application_Status_May!L$2:L$3000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46134</v>
      </c>
      <c r="J165" s="206" t="str">
        <f>IF(E165&lt;&gt;"Cancelled/Denied","—",_xlfn.LET(_xlpm.u,B165,_xlpm.myC,_xlfn.MAXIFS(Application_Status_May!R$2:R$3000,Application_Status_May!I$2:I$3000,_xlpm.u),_xlpm.myD,_xlfn.MAXIFS(Application_Status_May!S$2:S$3000,Application_Status_May!I$2:I$3000,_xlpm.u),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myC,_xlpm.myD,_xlpm.aC,_xlpm.aD,_xlpm.mC,_xlpm.mD,_xlpm.fC,_xlpm.fD)))</f>
        <v>—</v>
      </c>
      <c r="K165" s="205" t="str">
        <f t="shared" si="7"/>
        <v>—</v>
      </c>
    </row>
    <row r="166" spans="2:11">
      <c r="B166" s="628" t="str">
        <v>S36-436</v>
      </c>
      <c r="C166" s="204" t="str" cm="1">
        <f t="array" ref="C166">_xlfn.LET(_xlpm.u,B166,_xlpm.myCnt,COUNTIFS(Application_Status_May!I$2:I$3000,_xlpm.u,Application_Status_May!E$2:E$3000,"App*")+COUNTIFS(Application_Status_May!I$2:I$3000,_xlpm.u,Application_Status_May!E$2:E$3000,"Lease*"),IF(_xlpm.myCnt&gt;0,INDEX(_xlfn._xlws.FILTER(Application_Status_May!B$2:B$3000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Said, Djallel</v>
      </c>
      <c r="D166" s="205" t="str" cm="1">
        <f t="array" ref="D166">_xlfn.LET(_xlpm.u,B166,_xlpm.myCnt,COUNTIFS(Application_Status_May!I$2:I$3000,_xlpm.u,Application_Status_May!E$2:E$3000,"App*")+COUNTIFS(Application_Status_May!I$2:I$3000,_xlpm.u,Application_Status_May!E$2:E$3000,"Lease*"),IF(_xlpm.myCnt&gt;0,INDEX(_xlfn._xlws.FILTER(Application_Status_May!E$2:E$3000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Lease: Approved</v>
      </c>
      <c r="E166" s="205" t="str">
        <f t="shared" si="6"/>
        <v>Converted</v>
      </c>
      <c r="F166" s="205" t="str" cm="1">
        <f t="array" ref="F166">_xlfn.LET(_xlpm.u,B166,_xlpm.myCnt,COUNTIFS(Application_Status_May!I$2:I$3000,_xlpm.u,Application_Status_May!E$2:E$3000,"App*")+COUNTIFS(Application_Status_May!I$2:I$3000,_xlpm.u,Application_Status_May!E$2:E$3000,"Lease*"),IF(_xlpm.myCnt&gt;0,INDEX(_xlfn._xlws.FILTER(Application_Status_May!F$2:F$3000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Rodriguez, Jennifer</v>
      </c>
      <c r="G166" s="205" t="str" cm="1">
        <f t="array" ref="G166">_xlfn.LET(_xlpm.u,B166,_xlpm.myCnt,COUNTIFS(Application_Status_May!I$2:I$3000,_xlpm.u,Application_Status_May!E$2:E$3000,"App*")+COUNTIFS(Application_Status_May!I$2:I$3000,_xlpm.u,Application_Status_May!E$2:E$3000,"Lease*"),IF(_xlpm.myCnt&gt;0,INDEX(_xlfn._xlws.FILTER(Application_Status_May!H$2:H$3000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Migrated Resident</v>
      </c>
      <c r="H166" s="206" cm="1">
        <f t="array" ref="H166">_xlfn.LET(_xlpm.u,B166,_xlpm.myCnt,COUNTIFS(Application_Status_May!I$2:I$3000,_xlpm.u,Application_Status_May!E$2:E$3000,"App*")+COUNTIFS(Application_Status_May!I$2:I$3000,_xlpm.u,Application_Status_May!E$2:E$3000,"Lease*"),IF(_xlpm.myCnt&gt;0,INDEX(_xlfn._xlws.FILTER(Application_Status_May!J$2:J$3000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46084</v>
      </c>
      <c r="I166" s="206" cm="1">
        <f t="array" ref="I166">_xlfn.LET(_xlpm.u,B166,_xlpm.myCnt,COUNTIFS(Application_Status_May!I$2:I$3000,_xlpm.u,Application_Status_May!E$2:E$3000,"App*")+COUNTIFS(Application_Status_May!I$2:I$3000,_xlpm.u,Application_Status_May!E$2:E$3000,"Lease*"),IF(_xlpm.myCnt&gt;0,INDEX(_xlfn._xlws.FILTER(Application_Status_May!L$2:L$3000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46084</v>
      </c>
      <c r="J166" s="206" t="str">
        <f>IF(E166&lt;&gt;"Cancelled/Denied","—",_xlfn.LET(_xlpm.u,B166,_xlpm.myC,_xlfn.MAXIFS(Application_Status_May!R$2:R$3000,Application_Status_May!I$2:I$3000,_xlpm.u),_xlpm.myD,_xlfn.MAXIFS(Application_Status_May!S$2:S$3000,Application_Status_May!I$2:I$3000,_xlpm.u),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myC,_xlpm.myD,_xlpm.aC,_xlpm.aD,_xlpm.mC,_xlpm.mD,_xlpm.fC,_xlpm.fD)))</f>
        <v>—</v>
      </c>
      <c r="K166" s="205" t="str">
        <f t="shared" si="7"/>
        <v>—</v>
      </c>
    </row>
    <row r="167" spans="2:11">
      <c r="B167" s="645" t="str">
        <v>S38-352</v>
      </c>
      <c r="C167" s="204" t="str" cm="1">
        <f t="array" ref="C167">_xlfn.LET(_xlpm.u,B167,_xlpm.myCnt,COUNTIFS(Application_Status_May!I$2:I$3000,_xlpm.u,Application_Status_May!E$2:E$3000,"App*")+COUNTIFS(Application_Status_May!I$2:I$3000,_xlpm.u,Application_Status_May!E$2:E$3000,"Lease*"),IF(_xlpm.myCnt&gt;0,INDEX(_xlfn._xlws.FILTER(Application_Status_May!B$2:B$3000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Lane, John</v>
      </c>
      <c r="D167" s="205" t="str" cm="1">
        <f t="array" ref="D167">_xlfn.LET(_xlpm.u,B167,_xlpm.myCnt,COUNTIFS(Application_Status_May!I$2:I$3000,_xlpm.u,Application_Status_May!E$2:E$3000,"App*")+COUNTIFS(Application_Status_May!I$2:I$3000,_xlpm.u,Application_Status_May!E$2:E$3000,"Lease*"),IF(_xlpm.myCnt&gt;0,INDEX(_xlfn._xlws.FILTER(Application_Status_May!E$2:E$3000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Started</v>
      </c>
      <c r="E167" s="205" t="str">
        <f t="shared" si="6"/>
        <v>Incomplete</v>
      </c>
      <c r="F167" s="205" t="str" cm="1">
        <f t="array" ref="F167">_xlfn.LET(_xlpm.u,B167,_xlpm.myCnt,COUNTIFS(Application_Status_May!I$2:I$3000,_xlpm.u,Application_Status_May!E$2:E$3000,"App*")+COUNTIFS(Application_Status_May!I$2:I$3000,_xlpm.u,Application_Status_May!E$2:E$3000,"Lease*"),IF(_xlpm.myCnt&gt;0,INDEX(_xlfn._xlws.FILTER(Application_Status_May!F$2:F$3000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HOUSE, HOUSE</v>
      </c>
      <c r="G167" s="205" t="str" cm="1">
        <f t="array" ref="G167">_xlfn.LET(_xlpm.u,B167,_xlpm.myCnt,COUNTIFS(Application_Status_May!I$2:I$3000,_xlpm.u,Application_Status_May!E$2:E$3000,"App*")+COUNTIFS(Application_Status_May!I$2:I$3000,_xlpm.u,Application_Status_May!E$2:E$3000,"Lease*"),IF(_xlpm.myCnt&gt;0,INDEX(_xlfn._xlws.FILTER(Application_Status_May!H$2:H$3000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Website</v>
      </c>
      <c r="H167" s="206" cm="1">
        <f t="array" ref="H167">_xlfn.LET(_xlpm.u,B167,_xlpm.myCnt,COUNTIFS(Application_Status_May!I$2:I$3000,_xlpm.u,Application_Status_May!E$2:E$3000,"App*")+COUNTIFS(Application_Status_May!I$2:I$3000,_xlpm.u,Application_Status_May!E$2:E$3000,"Lease*"),IF(_xlpm.myCnt&gt;0,INDEX(_xlfn._xlws.FILTER(Application_Status_May!J$2:J$3000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46167</v>
      </c>
      <c r="I167" s="206" cm="1">
        <f t="array" ref="I167">_xlfn.LET(_xlpm.u,B167,_xlpm.myCnt,COUNTIFS(Application_Status_May!I$2:I$3000,_xlpm.u,Application_Status_May!E$2:E$3000,"App*")+COUNTIFS(Application_Status_May!I$2:I$3000,_xlpm.u,Application_Status_May!E$2:E$3000,"Lease*"),IF(_xlpm.myCnt&gt;0,INDEX(_xlfn._xlws.FILTER(Application_Status_May!L$2:L$3000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0</v>
      </c>
      <c r="J167" s="206" t="str">
        <f>IF(E167&lt;&gt;"Cancelled/Denied","—",_xlfn.LET(_xlpm.u,B167,_xlpm.myC,_xlfn.MAXIFS(Application_Status_May!R$2:R$3000,Application_Status_May!I$2:I$3000,_xlpm.u),_xlpm.myD,_xlfn.MAXIFS(Application_Status_May!S$2:S$3000,Application_Status_May!I$2:I$3000,_xlpm.u),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myC,_xlpm.myD,_xlpm.aC,_xlpm.aD,_xlpm.mC,_xlpm.mD,_xlpm.fC,_xlpm.fD)))</f>
        <v>—</v>
      </c>
      <c r="K167" s="205">
        <f t="shared" si="7"/>
        <v>77</v>
      </c>
    </row>
    <row r="168" spans="2:11">
      <c r="B168" s="630" t="str">
        <v>S39-155</v>
      </c>
      <c r="C168" s="204" t="str" cm="1">
        <f t="array" ref="C168">_xlfn.LET(_xlpm.u,B168,_xlpm.myCnt,COUNTIFS(Application_Status_May!I$2:I$3000,_xlpm.u,Application_Status_May!E$2:E$3000,"App*")+COUNTIFS(Application_Status_May!I$2:I$3000,_xlpm.u,Application_Status_May!E$2:E$3000,"Lease*"),IF(_xlpm.myCnt&gt;0,INDEX(_xlfn._xlws.FILTER(Application_Status_May!B$2:B$3000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Wilkes, Shaniqua</v>
      </c>
      <c r="D168" s="205" t="str" cm="1">
        <f t="array" ref="D168">_xlfn.LET(_xlpm.u,B168,_xlpm.myCnt,COUNTIFS(Application_Status_May!I$2:I$3000,_xlpm.u,Application_Status_May!E$2:E$3000,"App*")+COUNTIFS(Application_Status_May!I$2:I$3000,_xlpm.u,Application_Status_May!E$2:E$3000,"Lease*"),IF(_xlpm.myCnt&gt;0,INDEX(_xlfn._xlws.FILTER(Application_Status_May!E$2:E$3000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Lease: Approved</v>
      </c>
      <c r="E168" s="205" t="str">
        <f t="shared" si="6"/>
        <v>Converted</v>
      </c>
      <c r="F168" s="205" t="str" cm="1">
        <f t="array" ref="F168">_xlfn.LET(_xlpm.u,B168,_xlpm.myCnt,COUNTIFS(Application_Status_May!I$2:I$3000,_xlpm.u,Application_Status_May!E$2:E$3000,"App*")+COUNTIFS(Application_Status_May!I$2:I$3000,_xlpm.u,Application_Status_May!E$2:E$3000,"Lease*"),IF(_xlpm.myCnt&gt;0,INDEX(_xlfn._xlws.FILTER(Application_Status_May!F$2:F$3000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Rodriguez, Jennifer</v>
      </c>
      <c r="G168" s="205" t="str" cm="1">
        <f t="array" ref="G168">_xlfn.LET(_xlpm.u,B168,_xlpm.myCnt,COUNTIFS(Application_Status_May!I$2:I$3000,_xlpm.u,Application_Status_May!E$2:E$3000,"App*")+COUNTIFS(Application_Status_May!I$2:I$3000,_xlpm.u,Application_Status_May!E$2:E$3000,"Lease*"),IF(_xlpm.myCnt&gt;0,INDEX(_xlfn._xlws.FILTER(Application_Status_May!H$2:H$3000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Apartment List</v>
      </c>
      <c r="H168" s="206" cm="1">
        <f t="array" ref="H168">_xlfn.LET(_xlpm.u,B168,_xlpm.myCnt,COUNTIFS(Application_Status_May!I$2:I$3000,_xlpm.u,Application_Status_May!E$2:E$3000,"App*")+COUNTIFS(Application_Status_May!I$2:I$3000,_xlpm.u,Application_Status_May!E$2:E$3000,"Lease*"),IF(_xlpm.myCnt&gt;0,INDEX(_xlfn._xlws.FILTER(Application_Status_May!J$2:J$3000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46140</v>
      </c>
      <c r="I168" s="206" cm="1">
        <f t="array" ref="I168">_xlfn.LET(_xlpm.u,B168,_xlpm.myCnt,COUNTIFS(Application_Status_May!I$2:I$3000,_xlpm.u,Application_Status_May!E$2:E$3000,"App*")+COUNTIFS(Application_Status_May!I$2:I$3000,_xlpm.u,Application_Status_May!E$2:E$3000,"Lease*"),IF(_xlpm.myCnt&gt;0,INDEX(_xlfn._xlws.FILTER(Application_Status_May!L$2:L$3000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46165</v>
      </c>
      <c r="J168" s="206" t="str">
        <f>IF(E168&lt;&gt;"Cancelled/Denied","—",_xlfn.LET(_xlpm.u,B168,_xlpm.myC,_xlfn.MAXIFS(Application_Status_May!R$2:R$3000,Application_Status_May!I$2:I$3000,_xlpm.u),_xlpm.myD,_xlfn.MAXIFS(Application_Status_May!S$2:S$3000,Application_Status_May!I$2:I$3000,_xlpm.u),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myC,_xlpm.myD,_xlpm.aC,_xlpm.aD,_xlpm.mC,_xlpm.mD,_xlpm.fC,_xlpm.fD)))</f>
        <v>—</v>
      </c>
      <c r="K168" s="205" t="str">
        <f t="shared" si="7"/>
        <v>—</v>
      </c>
    </row>
    <row r="169" spans="2:11">
      <c r="B169" s="630" t="str">
        <v>S39-256</v>
      </c>
      <c r="C169" s="204" t="str" cm="1">
        <f t="array" ref="C169">_xlfn.LET(_xlpm.u,B169,_xlpm.myCnt,COUNTIFS(Application_Status_May!I$2:I$3000,_xlpm.u,Application_Status_May!E$2:E$3000,"App*")+COUNTIFS(Application_Status_May!I$2:I$3000,_xlpm.u,Application_Status_May!E$2:E$3000,"Lease*"),IF(_xlpm.myCnt&gt;0,INDEX(_xlfn._xlws.FILTER(Application_Status_May!B$2:B$3000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Williams, Celetta</v>
      </c>
      <c r="D169" s="205" t="str" cm="1">
        <f t="array" ref="D169">_xlfn.LET(_xlpm.u,B169,_xlpm.myCnt,COUNTIFS(Application_Status_May!I$2:I$3000,_xlpm.u,Application_Status_May!E$2:E$3000,"App*")+COUNTIFS(Application_Status_May!I$2:I$3000,_xlpm.u,Application_Status_May!E$2:E$3000,"Lease*"),IF(_xlpm.myCnt&gt;0,INDEX(_xlfn._xlws.FILTER(Application_Status_May!E$2:E$3000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Started</v>
      </c>
      <c r="E169" s="205" t="str">
        <f t="shared" si="6"/>
        <v>Incomplete</v>
      </c>
      <c r="F169" s="205" t="str" cm="1">
        <f t="array" ref="F169">_xlfn.LET(_xlpm.u,B169,_xlpm.myCnt,COUNTIFS(Application_Status_May!I$2:I$3000,_xlpm.u,Application_Status_May!E$2:E$3000,"App*")+COUNTIFS(Application_Status_May!I$2:I$3000,_xlpm.u,Application_Status_May!E$2:E$3000,"Lease*"),IF(_xlpm.myCnt&gt;0,INDEX(_xlfn._xlws.FILTER(Application_Status_May!F$2:F$3000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HOUSE, HOUSE</v>
      </c>
      <c r="G169" s="205" t="str" cm="1">
        <f t="array" ref="G169">_xlfn.LET(_xlpm.u,B169,_xlpm.myCnt,COUNTIFS(Application_Status_May!I$2:I$3000,_xlpm.u,Application_Status_May!E$2:E$3000,"App*")+COUNTIFS(Application_Status_May!I$2:I$3000,_xlpm.u,Application_Status_May!E$2:E$3000,"Lease*"),IF(_xlpm.myCnt&gt;0,INDEX(_xlfn._xlws.FILTER(Application_Status_May!H$2:H$3000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Website</v>
      </c>
      <c r="H169" s="206" cm="1">
        <f t="array" ref="H169">_xlfn.LET(_xlpm.u,B169,_xlpm.myCnt,COUNTIFS(Application_Status_May!I$2:I$3000,_xlpm.u,Application_Status_May!E$2:E$3000,"App*")+COUNTIFS(Application_Status_May!I$2:I$3000,_xlpm.u,Application_Status_May!E$2:E$3000,"Lease*"),IF(_xlpm.myCnt&gt;0,INDEX(_xlfn._xlws.FILTER(Application_Status_May!J$2:J$3000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46125</v>
      </c>
      <c r="I169" s="206" cm="1">
        <f t="array" ref="I169">_xlfn.LET(_xlpm.u,B169,_xlpm.myCnt,COUNTIFS(Application_Status_May!I$2:I$3000,_xlpm.u,Application_Status_May!E$2:E$3000,"App*")+COUNTIFS(Application_Status_May!I$2:I$3000,_xlpm.u,Application_Status_May!E$2:E$3000,"Lease*"),IF(_xlpm.myCnt&gt;0,INDEX(_xlfn._xlws.FILTER(Application_Status_May!L$2:L$3000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0</v>
      </c>
      <c r="J169" s="206" t="str">
        <f>IF(E169&lt;&gt;"Cancelled/Denied","—",_xlfn.LET(_xlpm.u,B169,_xlpm.myC,_xlfn.MAXIFS(Application_Status_May!R$2:R$3000,Application_Status_May!I$2:I$3000,_xlpm.u),_xlpm.myD,_xlfn.MAXIFS(Application_Status_May!S$2:S$3000,Application_Status_May!I$2:I$3000,_xlpm.u),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myC,_xlpm.myD,_xlpm.aC,_xlpm.aD,_xlpm.mC,_xlpm.mD,_xlpm.fC,_xlpm.fD)))</f>
        <v>—</v>
      </c>
      <c r="K169" s="205">
        <f t="shared" si="7"/>
        <v>119</v>
      </c>
    </row>
    <row r="170" spans="2:11">
      <c r="B170" s="632" t="str">
        <v>S40-361</v>
      </c>
      <c r="C170" s="204" t="str" cm="1">
        <f t="array" ref="C170">_xlfn.LET(_xlpm.u,B170,_xlpm.myCnt,COUNTIFS(Application_Status_May!I$2:I$3000,_xlpm.u,Application_Status_May!E$2:E$3000,"App*")+COUNTIFS(Application_Status_May!I$2:I$3000,_xlpm.u,Application_Status_May!E$2:E$3000,"Lease*"),IF(_xlpm.myCnt&gt;0,INDEX(_xlfn._xlws.FILTER(Application_Status_May!B$2:B$3000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Greer, Lexis</v>
      </c>
      <c r="D170" s="205" t="str" cm="1">
        <f t="array" ref="D170">_xlfn.LET(_xlpm.u,B170,_xlpm.myCnt,COUNTIFS(Application_Status_May!I$2:I$3000,_xlpm.u,Application_Status_May!E$2:E$3000,"App*")+COUNTIFS(Application_Status_May!I$2:I$3000,_xlpm.u,Application_Status_May!E$2:E$3000,"Lease*"),IF(_xlpm.myCnt&gt;0,INDEX(_xlfn._xlws.FILTER(Application_Status_May!E$2:E$3000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Partially Completed</v>
      </c>
      <c r="E170" s="205" t="str">
        <f t="shared" si="6"/>
        <v>In Review</v>
      </c>
      <c r="F170" s="205" t="str" cm="1">
        <f t="array" ref="F170">_xlfn.LET(_xlpm.u,B170,_xlpm.myCnt,COUNTIFS(Application_Status_May!I$2:I$3000,_xlpm.u,Application_Status_May!E$2:E$3000,"App*")+COUNTIFS(Application_Status_May!I$2:I$3000,_xlpm.u,Application_Status_May!E$2:E$3000,"Lease*"),IF(_xlpm.myCnt&gt;0,INDEX(_xlfn._xlws.FILTER(Application_Status_May!F$2:F$3000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Martinez, Briana</v>
      </c>
      <c r="G170" s="205" t="str" cm="1">
        <f t="array" ref="G170">_xlfn.LET(_xlpm.u,B170,_xlpm.myCnt,COUNTIFS(Application_Status_May!I$2:I$3000,_xlpm.u,Application_Status_May!E$2:E$3000,"App*")+COUNTIFS(Application_Status_May!I$2:I$3000,_xlpm.u,Application_Status_May!E$2:E$3000,"Lease*"),IF(_xlpm.myCnt&gt;0,INDEX(_xlfn._xlws.FILTER(Application_Status_May!H$2:H$3000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Apartments.com</v>
      </c>
      <c r="H170" s="206" cm="1">
        <f t="array" ref="H170">_xlfn.LET(_xlpm.u,B170,_xlpm.myCnt,COUNTIFS(Application_Status_May!I$2:I$3000,_xlpm.u,Application_Status_May!E$2:E$3000,"App*")+COUNTIFS(Application_Status_May!I$2:I$3000,_xlpm.u,Application_Status_May!E$2:E$3000,"Lease*"),IF(_xlpm.myCnt&gt;0,INDEX(_xlfn._xlws.FILTER(Application_Status_May!J$2:J$3000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46139</v>
      </c>
      <c r="I170" s="206" cm="1">
        <f t="array" ref="I170">_xlfn.LET(_xlpm.u,B170,_xlpm.myCnt,COUNTIFS(Application_Status_May!I$2:I$3000,_xlpm.u,Application_Status_May!E$2:E$3000,"App*")+COUNTIFS(Application_Status_May!I$2:I$3000,_xlpm.u,Application_Status_May!E$2:E$3000,"Lease*"),IF(_xlpm.myCnt&gt;0,INDEX(_xlfn._xlws.FILTER(Application_Status_May!L$2:L$3000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46173</v>
      </c>
      <c r="J170" s="206" t="str">
        <f>IF(E170&lt;&gt;"Cancelled/Denied","—",_xlfn.LET(_xlpm.u,B170,_xlpm.myC,_xlfn.MAXIFS(Application_Status_May!R$2:R$3000,Application_Status_May!I$2:I$3000,_xlpm.u),_xlpm.myD,_xlfn.MAXIFS(Application_Status_May!S$2:S$3000,Application_Status_May!I$2:I$3000,_xlpm.u),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myC,_xlpm.myD,_xlpm.aC,_xlpm.aD,_xlpm.mC,_xlpm.mD,_xlpm.fC,_xlpm.fD)))</f>
        <v>—</v>
      </c>
      <c r="K170" s="205">
        <f t="shared" si="7"/>
        <v>105</v>
      </c>
    </row>
    <row r="171" spans="2:11">
      <c r="B171" s="635" t="str">
        <v>S40-362</v>
      </c>
      <c r="C171" s="204" t="str" cm="1">
        <f t="array" ref="C171">_xlfn.LET(_xlpm.u,B171,_xlpm.myCnt,COUNTIFS(Application_Status_May!I$2:I$3000,_xlpm.u,Application_Status_May!E$2:E$3000,"App*")+COUNTIFS(Application_Status_May!I$2:I$3000,_xlpm.u,Application_Status_May!E$2:E$3000,"Lease*"),IF(_xlpm.myCnt&gt;0,INDEX(_xlfn._xlws.FILTER(Application_Status_May!B$2:B$3000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McMullen, Roneisha</v>
      </c>
      <c r="D171" s="205" t="str" cm="1">
        <f t="array" ref="D171">_xlfn.LET(_xlpm.u,B171,_xlpm.myCnt,COUNTIFS(Application_Status_May!I$2:I$3000,_xlpm.u,Application_Status_May!E$2:E$3000,"App*")+COUNTIFS(Application_Status_May!I$2:I$3000,_xlpm.u,Application_Status_May!E$2:E$3000,"Lease*"),IF(_xlpm.myCnt&gt;0,INDEX(_xlfn._xlws.FILTER(Application_Status_May!E$2:E$3000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Cancelled</v>
      </c>
      <c r="E171" s="205" t="str">
        <f t="shared" si="6"/>
        <v>Cancelled/Denied</v>
      </c>
      <c r="F171" s="205" t="str" cm="1">
        <f t="array" ref="F171">_xlfn.LET(_xlpm.u,B171,_xlpm.myCnt,COUNTIFS(Application_Status_May!I$2:I$3000,_xlpm.u,Application_Status_May!E$2:E$3000,"App*")+COUNTIFS(Application_Status_May!I$2:I$3000,_xlpm.u,Application_Status_May!E$2:E$3000,"Lease*"),IF(_xlpm.myCnt&gt;0,INDEX(_xlfn._xlws.FILTER(Application_Status_May!F$2:F$3000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Elise, Meet</v>
      </c>
      <c r="G171" s="205" t="str" cm="1">
        <f t="array" ref="G171">_xlfn.LET(_xlpm.u,B171,_xlpm.myCnt,COUNTIFS(Application_Status_May!I$2:I$3000,_xlpm.u,Application_Status_May!E$2:E$3000,"App*")+COUNTIFS(Application_Status_May!I$2:I$3000,_xlpm.u,Application_Status_May!E$2:E$3000,"Lease*"),IF(_xlpm.myCnt&gt;0,INDEX(_xlfn._xlws.FILTER(Application_Status_May!H$2:H$3000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Website</v>
      </c>
      <c r="H171" s="206" cm="1">
        <f t="array" ref="H171">_xlfn.LET(_xlpm.u,B171,_xlpm.myCnt,COUNTIFS(Application_Status_May!I$2:I$3000,_xlpm.u,Application_Status_May!E$2:E$3000,"App*")+COUNTIFS(Application_Status_May!I$2:I$3000,_xlpm.u,Application_Status_May!E$2:E$3000,"Lease*"),IF(_xlpm.myCnt&gt;0,INDEX(_xlfn._xlws.FILTER(Application_Status_May!J$2:J$3000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46164</v>
      </c>
      <c r="I171" s="206" cm="1">
        <f t="array" ref="I171">_xlfn.LET(_xlpm.u,B171,_xlpm.myCnt,COUNTIFS(Application_Status_May!I$2:I$3000,_xlpm.u,Application_Status_May!E$2:E$3000,"App*")+COUNTIFS(Application_Status_May!I$2:I$3000,_xlpm.u,Application_Status_May!E$2:E$3000,"Lease*"),IF(_xlpm.myCnt&gt;0,INDEX(_xlfn._xlws.FILTER(Application_Status_May!L$2:L$3000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46164</v>
      </c>
      <c r="J171" s="206">
        <f>IF(E171&lt;&gt;"Cancelled/Denied","—",_xlfn.LET(_xlpm.u,B171,_xlpm.myC,_xlfn.MAXIFS(Application_Status_May!R$2:R$3000,Application_Status_May!I$2:I$3000,_xlpm.u),_xlpm.myD,_xlfn.MAXIFS(Application_Status_May!S$2:S$3000,Application_Status_May!I$2:I$3000,_xlpm.u),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myC,_xlpm.myD,_xlpm.aC,_xlpm.aD,_xlpm.mC,_xlpm.mD,_xlpm.fC,_xlpm.fD)))</f>
        <v>46168</v>
      </c>
      <c r="K171" s="205" t="str">
        <f t="shared" si="7"/>
        <v>—</v>
      </c>
    </row>
    <row r="172" spans="2:11">
      <c r="B172" s="630" t="str">
        <v>S42-169</v>
      </c>
      <c r="C172" s="204" t="str" cm="1">
        <f t="array" ref="C172">_xlfn.LET(_xlpm.u,B172,_xlpm.myCnt,COUNTIFS(Application_Status_May!I$2:I$3000,_xlpm.u,Application_Status_May!E$2:E$3000,"App*")+COUNTIFS(Application_Status_May!I$2:I$3000,_xlpm.u,Application_Status_May!E$2:E$3000,"Lease*"),IF(_xlpm.myCnt&gt;0,INDEX(_xlfn._xlws.FILTER(Application_Status_May!B$2:B$3000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Johnson, Datriona</v>
      </c>
      <c r="D172" s="205" t="str" cm="1">
        <f t="array" ref="D172">_xlfn.LET(_xlpm.u,B172,_xlpm.myCnt,COUNTIFS(Application_Status_May!I$2:I$3000,_xlpm.u,Application_Status_May!E$2:E$3000,"App*")+COUNTIFS(Application_Status_May!I$2:I$3000,_xlpm.u,Application_Status_May!E$2:E$3000,"Lease*"),IF(_xlpm.myCnt&gt;0,INDEX(_xlfn._xlws.FILTER(Application_Status_May!E$2:E$3000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Lease: Approved</v>
      </c>
      <c r="E172" s="205" t="str">
        <f t="shared" si="6"/>
        <v>Converted</v>
      </c>
      <c r="F172" s="205" t="str" cm="1">
        <f t="array" ref="F172">_xlfn.LET(_xlpm.u,B172,_xlpm.myCnt,COUNTIFS(Application_Status_May!I$2:I$3000,_xlpm.u,Application_Status_May!E$2:E$3000,"App*")+COUNTIFS(Application_Status_May!I$2:I$3000,_xlpm.u,Application_Status_May!E$2:E$3000,"Lease*"),IF(_xlpm.myCnt&gt;0,INDEX(_xlfn._xlws.FILTER(Application_Status_May!F$2:F$3000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Gabehart, Jamey</v>
      </c>
      <c r="G172" s="205" t="str" cm="1">
        <f t="array" ref="G172">_xlfn.LET(_xlpm.u,B172,_xlpm.myCnt,COUNTIFS(Application_Status_May!I$2:I$3000,_xlpm.u,Application_Status_May!E$2:E$3000,"App*")+COUNTIFS(Application_Status_May!I$2:I$3000,_xlpm.u,Application_Status_May!E$2:E$3000,"Lease*"),IF(_xlpm.myCnt&gt;0,INDEX(_xlfn._xlws.FILTER(Application_Status_May!H$2:H$3000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Website</v>
      </c>
      <c r="H172" s="206" cm="1">
        <f t="array" ref="H172">_xlfn.LET(_xlpm.u,B172,_xlpm.myCnt,COUNTIFS(Application_Status_May!I$2:I$3000,_xlpm.u,Application_Status_May!E$2:E$3000,"App*")+COUNTIFS(Application_Status_May!I$2:I$3000,_xlpm.u,Application_Status_May!E$2:E$3000,"Lease*"),IF(_xlpm.myCnt&gt;0,INDEX(_xlfn._xlws.FILTER(Application_Status_May!J$2:J$3000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46135</v>
      </c>
      <c r="I172" s="206" cm="1">
        <f t="array" ref="I172">_xlfn.LET(_xlpm.u,B172,_xlpm.myCnt,COUNTIFS(Application_Status_May!I$2:I$3000,_xlpm.u,Application_Status_May!E$2:E$3000,"App*")+COUNTIFS(Application_Status_May!I$2:I$3000,_xlpm.u,Application_Status_May!E$2:E$3000,"Lease*"),IF(_xlpm.myCnt&gt;0,INDEX(_xlfn._xlws.FILTER(Application_Status_May!L$2:L$3000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46137</v>
      </c>
      <c r="J172" s="206" t="str">
        <f>IF(E172&lt;&gt;"Cancelled/Denied","—",_xlfn.LET(_xlpm.u,B172,_xlpm.myC,_xlfn.MAXIFS(Application_Status_May!R$2:R$3000,Application_Status_May!I$2:I$3000,_xlpm.u),_xlpm.myD,_xlfn.MAXIFS(Application_Status_May!S$2:S$3000,Application_Status_May!I$2:I$3000,_xlpm.u),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myC,_xlpm.myD,_xlpm.aC,_xlpm.aD,_xlpm.mC,_xlpm.mD,_xlpm.fC,_xlpm.fD)))</f>
        <v>—</v>
      </c>
      <c r="K172" s="205" t="str">
        <f t="shared" si="7"/>
        <v>—</v>
      </c>
    </row>
    <row r="173" spans="2:11">
      <c r="B173" s="633" t="str">
        <v>S42-274</v>
      </c>
      <c r="C173" s="204" t="str" cm="1">
        <f t="array" ref="C173">_xlfn.LET(_xlpm.u,B173,_xlpm.myCnt,COUNTIFS(Application_Status_May!I$2:I$3000,_xlpm.u,Application_Status_May!E$2:E$3000,"App*")+COUNTIFS(Application_Status_May!I$2:I$3000,_xlpm.u,Application_Status_May!E$2:E$3000,"Lease*"),IF(_xlpm.myCnt&gt;0,INDEX(_xlfn._xlws.FILTER(Application_Status_May!B$2:B$3000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Pisanan Bravo, Victor</v>
      </c>
      <c r="D173" s="205" t="str" cm="1">
        <f t="array" ref="D173">_xlfn.LET(_xlpm.u,B173,_xlpm.myCnt,COUNTIFS(Application_Status_May!I$2:I$3000,_xlpm.u,Application_Status_May!E$2:E$3000,"App*")+COUNTIFS(Application_Status_May!I$2:I$3000,_xlpm.u,Application_Status_May!E$2:E$3000,"Lease*"),IF(_xlpm.myCnt&gt;0,INDEX(_xlfn._xlws.FILTER(Application_Status_May!E$2:E$3000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Cancelled</v>
      </c>
      <c r="E173" s="205" t="str">
        <f t="shared" si="6"/>
        <v>Cancelled/Denied</v>
      </c>
      <c r="F173" s="205" t="str" cm="1">
        <f t="array" ref="F173">_xlfn.LET(_xlpm.u,B173,_xlpm.myCnt,COUNTIFS(Application_Status_May!I$2:I$3000,_xlpm.u,Application_Status_May!E$2:E$3000,"App*")+COUNTIFS(Application_Status_May!I$2:I$3000,_xlpm.u,Application_Status_May!E$2:E$3000,"Lease*"),IF(_xlpm.myCnt&gt;0,INDEX(_xlfn._xlws.FILTER(Application_Status_May!F$2:F$3000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Rodriguez, Jennifer</v>
      </c>
      <c r="G173" s="205" t="str" cm="1">
        <f t="array" ref="G173">_xlfn.LET(_xlpm.u,B173,_xlpm.myCnt,COUNTIFS(Application_Status_May!I$2:I$3000,_xlpm.u,Application_Status_May!E$2:E$3000,"App*")+COUNTIFS(Application_Status_May!I$2:I$3000,_xlpm.u,Application_Status_May!E$2:E$3000,"Lease*"),IF(_xlpm.myCnt&gt;0,INDEX(_xlfn._xlws.FILTER(Application_Status_May!H$2:H$3000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Resident Referral</v>
      </c>
      <c r="H173" s="206" cm="1">
        <f t="array" ref="H173">_xlfn.LET(_xlpm.u,B173,_xlpm.myCnt,COUNTIFS(Application_Status_May!I$2:I$3000,_xlpm.u,Application_Status_May!E$2:E$3000,"App*")+COUNTIFS(Application_Status_May!I$2:I$3000,_xlpm.u,Application_Status_May!E$2:E$3000,"Lease*"),IF(_xlpm.myCnt&gt;0,INDEX(_xlfn._xlws.FILTER(Application_Status_May!J$2:J$3000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46154</v>
      </c>
      <c r="I173" s="206" cm="1">
        <f t="array" ref="I173">_xlfn.LET(_xlpm.u,B173,_xlpm.myCnt,COUNTIFS(Application_Status_May!I$2:I$3000,_xlpm.u,Application_Status_May!E$2:E$3000,"App*")+COUNTIFS(Application_Status_May!I$2:I$3000,_xlpm.u,Application_Status_May!E$2:E$3000,"Lease*"),IF(_xlpm.myCnt&gt;0,INDEX(_xlfn._xlws.FILTER(Application_Status_May!L$2:L$3000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46154</v>
      </c>
      <c r="J173" s="206">
        <f>IF(E173&lt;&gt;"Cancelled/Denied","—",_xlfn.LET(_xlpm.u,B173,_xlpm.myC,_xlfn.MAXIFS(Application_Status_May!R$2:R$3000,Application_Status_May!I$2:I$3000,_xlpm.u),_xlpm.myD,_xlfn.MAXIFS(Application_Status_May!S$2:S$3000,Application_Status_May!I$2:I$3000,_xlpm.u),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myC,_xlpm.myD,_xlpm.aC,_xlpm.aD,_xlpm.mC,_xlpm.mD,_xlpm.fC,_xlpm.fD)))</f>
        <v>46164</v>
      </c>
      <c r="K173" s="205" t="str">
        <f t="shared" si="7"/>
        <v>—</v>
      </c>
    </row>
    <row r="174" spans="2:11">
      <c r="B174" s="633" t="str">
        <v>W01-1-0101</v>
      </c>
      <c r="C174" s="204" t="str" cm="1">
        <f t="array" ref="C174">_xlfn.LET(_xlpm.u,B174,_xlpm.myCnt,COUNTIFS(Application_Status_May!I$2:I$3000,_xlpm.u,Application_Status_May!E$2:E$3000,"App*")+COUNTIFS(Application_Status_May!I$2:I$3000,_xlpm.u,Application_Status_May!E$2:E$3000,"Lease*"),IF(_xlpm.myCnt&gt;0,INDEX(_xlfn._xlws.FILTER(Application_Status_May!B$2:B$3000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Ofili, Bukunmi</v>
      </c>
      <c r="D174" s="205" t="str" cm="1">
        <f t="array" ref="D174">_xlfn.LET(_xlpm.u,B174,_xlpm.myCnt,COUNTIFS(Application_Status_May!I$2:I$3000,_xlpm.u,Application_Status_May!E$2:E$3000,"App*")+COUNTIFS(Application_Status_May!I$2:I$3000,_xlpm.u,Application_Status_May!E$2:E$3000,"Lease*"),IF(_xlpm.myCnt&gt;0,INDEX(_xlfn._xlws.FILTER(Application_Status_May!E$2:E$3000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Cancelled</v>
      </c>
      <c r="E174" s="205" t="str">
        <f t="shared" si="6"/>
        <v>Cancelled/Denied</v>
      </c>
      <c r="F174" s="205" t="str" cm="1">
        <f t="array" ref="F174">_xlfn.LET(_xlpm.u,B174,_xlpm.myCnt,COUNTIFS(Application_Status_May!I$2:I$3000,_xlpm.u,Application_Status_May!E$2:E$3000,"App*")+COUNTIFS(Application_Status_May!I$2:I$3000,_xlpm.u,Application_Status_May!E$2:E$3000,"Lease*"),IF(_xlpm.myCnt&gt;0,INDEX(_xlfn._xlws.FILTER(Application_Status_May!F$2:F$3000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Elise, Meet</v>
      </c>
      <c r="G174" s="205" t="str" cm="1">
        <f t="array" ref="G174">_xlfn.LET(_xlpm.u,B174,_xlpm.myCnt,COUNTIFS(Application_Status_May!I$2:I$3000,_xlpm.u,Application_Status_May!E$2:E$3000,"App*")+COUNTIFS(Application_Status_May!I$2:I$3000,_xlpm.u,Application_Status_May!E$2:E$3000,"Lease*"),IF(_xlpm.myCnt&gt;0,INDEX(_xlfn._xlws.FILTER(Application_Status_May!H$2:H$3000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Resident Referral</v>
      </c>
      <c r="H174" s="206" cm="1">
        <f t="array" ref="H174">_xlfn.LET(_xlpm.u,B174,_xlpm.myCnt,COUNTIFS(Application_Status_May!I$2:I$3000,_xlpm.u,Application_Status_May!E$2:E$3000,"App*")+COUNTIFS(Application_Status_May!I$2:I$3000,_xlpm.u,Application_Status_May!E$2:E$3000,"Lease*"),IF(_xlpm.myCnt&gt;0,INDEX(_xlfn._xlws.FILTER(Application_Status_May!J$2:J$3000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46065</v>
      </c>
      <c r="I174" s="206" cm="1">
        <f t="array" ref="I174">_xlfn.LET(_xlpm.u,B174,_xlpm.myCnt,COUNTIFS(Application_Status_May!I$2:I$3000,_xlpm.u,Application_Status_May!E$2:E$3000,"App*")+COUNTIFS(Application_Status_May!I$2:I$3000,_xlpm.u,Application_Status_May!E$2:E$3000,"Lease*"),IF(_xlpm.myCnt&gt;0,INDEX(_xlfn._xlws.FILTER(Application_Status_May!L$2:L$3000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0</v>
      </c>
      <c r="J174" s="206">
        <f>IF(E174&lt;&gt;"Cancelled/Denied","—",_xlfn.LET(_xlpm.u,B174,_xlpm.myC,_xlfn.MAXIFS(Application_Status_May!R$2:R$3000,Application_Status_May!I$2:I$3000,_xlpm.u),_xlpm.myD,_xlfn.MAXIFS(Application_Status_May!S$2:S$3000,Application_Status_May!I$2:I$3000,_xlpm.u),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myC,_xlpm.myD,_xlpm.aC,_xlpm.aD,_xlpm.mC,_xlpm.mD,_xlpm.fC,_xlpm.fD)))</f>
        <v>46093</v>
      </c>
      <c r="K174" s="205" t="str">
        <f t="shared" si="7"/>
        <v>—</v>
      </c>
    </row>
    <row r="175" spans="2:11">
      <c r="B175" s="633" t="str">
        <v>W01-1-0110</v>
      </c>
      <c r="C175" s="204" t="str" cm="1">
        <f t="array" ref="C175">_xlfn.LET(_xlpm.u,B175,_xlpm.myCnt,COUNTIFS(Application_Status_May!I$2:I$3000,_xlpm.u,Application_Status_May!E$2:E$3000,"App*")+COUNTIFS(Application_Status_May!I$2:I$3000,_xlpm.u,Application_Status_May!E$2:E$3000,"Lease*"),IF(_xlpm.myCnt&gt;0,INDEX(_xlfn._xlws.FILTER(Application_Status_May!B$2:B$3000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Seman, Hannia</v>
      </c>
      <c r="D175" s="205" t="str" cm="1">
        <f t="array" ref="D175">_xlfn.LET(_xlpm.u,B175,_xlpm.myCnt,COUNTIFS(Application_Status_May!I$2:I$3000,_xlpm.u,Application_Status_May!E$2:E$3000,"App*")+COUNTIFS(Application_Status_May!I$2:I$3000,_xlpm.u,Application_Status_May!E$2:E$3000,"Lease*"),IF(_xlpm.myCnt&gt;0,INDEX(_xlfn._xlws.FILTER(Application_Status_May!E$2:E$3000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Completed</v>
      </c>
      <c r="E175" s="205" t="str">
        <f t="shared" si="6"/>
        <v>In Review</v>
      </c>
      <c r="F175" s="205" t="str" cm="1">
        <f t="array" ref="F175">_xlfn.LET(_xlpm.u,B175,_xlpm.myCnt,COUNTIFS(Application_Status_May!I$2:I$3000,_xlpm.u,Application_Status_May!E$2:E$3000,"App*")+COUNTIFS(Application_Status_May!I$2:I$3000,_xlpm.u,Application_Status_May!E$2:E$3000,"Lease*"),IF(_xlpm.myCnt&gt;0,INDEX(_xlfn._xlws.FILTER(Application_Status_May!F$2:F$3000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Vazquez, Norma</v>
      </c>
      <c r="G175" s="205" t="str" cm="1">
        <f t="array" ref="G175">_xlfn.LET(_xlpm.u,B175,_xlpm.myCnt,COUNTIFS(Application_Status_May!I$2:I$3000,_xlpm.u,Application_Status_May!E$2:E$3000,"App*")+COUNTIFS(Application_Status_May!I$2:I$3000,_xlpm.u,Application_Status_May!E$2:E$3000,"Lease*"),IF(_xlpm.myCnt&gt;0,INDEX(_xlfn._xlws.FILTER(Application_Status_May!H$2:H$3000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Website</v>
      </c>
      <c r="H175" s="206" cm="1">
        <f t="array" ref="H175">_xlfn.LET(_xlpm.u,B175,_xlpm.myCnt,COUNTIFS(Application_Status_May!I$2:I$3000,_xlpm.u,Application_Status_May!E$2:E$3000,"App*")+COUNTIFS(Application_Status_May!I$2:I$3000,_xlpm.u,Application_Status_May!E$2:E$3000,"Lease*"),IF(_xlpm.myCnt&gt;0,INDEX(_xlfn._xlws.FILTER(Application_Status_May!J$2:J$3000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46146</v>
      </c>
      <c r="I175" s="206" cm="1">
        <f t="array" ref="I175">_xlfn.LET(_xlpm.u,B175,_xlpm.myCnt,COUNTIFS(Application_Status_May!I$2:I$3000,_xlpm.u,Application_Status_May!E$2:E$3000,"App*")+COUNTIFS(Application_Status_May!I$2:I$3000,_xlpm.u,Application_Status_May!E$2:E$3000,"Lease*"),IF(_xlpm.myCnt&gt;0,INDEX(_xlfn._xlws.FILTER(Application_Status_May!L$2:L$3000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46163</v>
      </c>
      <c r="J175" s="206" t="str">
        <f>IF(E175&lt;&gt;"Cancelled/Denied","—",_xlfn.LET(_xlpm.u,B175,_xlpm.myC,_xlfn.MAXIFS(Application_Status_May!R$2:R$3000,Application_Status_May!I$2:I$3000,_xlpm.u),_xlpm.myD,_xlfn.MAXIFS(Application_Status_May!S$2:S$3000,Application_Status_May!I$2:I$3000,_xlpm.u),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myC,_xlpm.myD,_xlpm.aC,_xlpm.aD,_xlpm.mC,_xlpm.mD,_xlpm.fC,_xlpm.fD)))</f>
        <v>—</v>
      </c>
      <c r="K175" s="205">
        <f t="shared" si="7"/>
        <v>98</v>
      </c>
    </row>
    <row r="176" spans="2:11">
      <c r="B176" s="633" t="str">
        <v>W01-1-0111</v>
      </c>
      <c r="C176" s="204" t="str" cm="1">
        <f t="array" ref="C176">_xlfn.LET(_xlpm.u,B176,_xlpm.myCnt,COUNTIFS(Application_Status_May!I$2:I$3000,_xlpm.u,Application_Status_May!E$2:E$3000,"App*")+COUNTIFS(Application_Status_May!I$2:I$3000,_xlpm.u,Application_Status_May!E$2:E$3000,"Lease*"),IF(_xlpm.myCnt&gt;0,INDEX(_xlfn._xlws.FILTER(Application_Status_May!B$2:B$3000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Viard, Michael</v>
      </c>
      <c r="D176" s="205" t="str" cm="1">
        <f t="array" ref="D176">_xlfn.LET(_xlpm.u,B176,_xlpm.myCnt,COUNTIFS(Application_Status_May!I$2:I$3000,_xlpm.u,Application_Status_May!E$2:E$3000,"App*")+COUNTIFS(Application_Status_May!I$2:I$3000,_xlpm.u,Application_Status_May!E$2:E$3000,"Lease*"),IF(_xlpm.myCnt&gt;0,INDEX(_xlfn._xlws.FILTER(Application_Status_May!E$2:E$3000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Cancelled</v>
      </c>
      <c r="E176" s="205" t="str">
        <f t="shared" si="6"/>
        <v>Cancelled/Denied</v>
      </c>
      <c r="F176" s="205" t="str" cm="1">
        <f t="array" ref="F176">_xlfn.LET(_xlpm.u,B176,_xlpm.myCnt,COUNTIFS(Application_Status_May!I$2:I$3000,_xlpm.u,Application_Status_May!E$2:E$3000,"App*")+COUNTIFS(Application_Status_May!I$2:I$3000,_xlpm.u,Application_Status_May!E$2:E$3000,"Lease*"),IF(_xlpm.myCnt&gt;0,INDEX(_xlfn._xlws.FILTER(Application_Status_May!F$2:F$3000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Not Assigned</v>
      </c>
      <c r="G176" s="205" t="str" cm="1">
        <f t="array" ref="G176">_xlfn.LET(_xlpm.u,B176,_xlpm.myCnt,COUNTIFS(Application_Status_May!I$2:I$3000,_xlpm.u,Application_Status_May!E$2:E$3000,"App*")+COUNTIFS(Application_Status_May!I$2:I$3000,_xlpm.u,Application_Status_May!E$2:E$3000,"Lease*"),IF(_xlpm.myCnt&gt;0,INDEX(_xlfn._xlws.FILTER(Application_Status_May!H$2:H$3000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Website</v>
      </c>
      <c r="H176" s="206" cm="1">
        <f t="array" ref="H176">_xlfn.LET(_xlpm.u,B176,_xlpm.myCnt,COUNTIFS(Application_Status_May!I$2:I$3000,_xlpm.u,Application_Status_May!E$2:E$3000,"App*")+COUNTIFS(Application_Status_May!I$2:I$3000,_xlpm.u,Application_Status_May!E$2:E$3000,"Lease*"),IF(_xlpm.myCnt&gt;0,INDEX(_xlfn._xlws.FILTER(Application_Status_May!J$2:J$3000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46086</v>
      </c>
      <c r="I176" s="206" cm="1">
        <f t="array" ref="I176">_xlfn.LET(_xlpm.u,B176,_xlpm.myCnt,COUNTIFS(Application_Status_May!I$2:I$3000,_xlpm.u,Application_Status_May!E$2:E$3000,"App*")+COUNTIFS(Application_Status_May!I$2:I$3000,_xlpm.u,Application_Status_May!E$2:E$3000,"Lease*"),IF(_xlpm.myCnt&gt;0,INDEX(_xlfn._xlws.FILTER(Application_Status_May!L$2:L$3000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0</v>
      </c>
      <c r="J176" s="206">
        <f>IF(E176&lt;&gt;"Cancelled/Denied","—",_xlfn.LET(_xlpm.u,B176,_xlpm.myC,_xlfn.MAXIFS(Application_Status_May!R$2:R$3000,Application_Status_May!I$2:I$3000,_xlpm.u),_xlpm.myD,_xlfn.MAXIFS(Application_Status_May!S$2:S$3000,Application_Status_May!I$2:I$3000,_xlpm.u),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myC,_xlpm.myD,_xlpm.aC,_xlpm.aD,_xlpm.mC,_xlpm.mD,_xlpm.fC,_xlpm.fD)))</f>
        <v>46137</v>
      </c>
      <c r="K176" s="205" t="str">
        <f t="shared" si="7"/>
        <v>—</v>
      </c>
    </row>
    <row r="177" spans="2:11">
      <c r="B177" s="633" t="str">
        <v>W01-1-0116</v>
      </c>
      <c r="C177" s="204" t="str" cm="1">
        <f t="array" ref="C177">_xlfn.LET(_xlpm.u,B177,_xlpm.myCnt,COUNTIFS(Application_Status_May!I$2:I$3000,_xlpm.u,Application_Status_May!E$2:E$3000,"App*")+COUNTIFS(Application_Status_May!I$2:I$3000,_xlpm.u,Application_Status_May!E$2:E$3000,"Lease*"),IF(_xlpm.myCnt&gt;0,INDEX(_xlfn._xlws.FILTER(Application_Status_May!B$2:B$3000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Knighten, Lushonia</v>
      </c>
      <c r="D177" s="205" t="str" cm="1">
        <f t="array" ref="D177">_xlfn.LET(_xlpm.u,B177,_xlpm.myCnt,COUNTIFS(Application_Status_May!I$2:I$3000,_xlpm.u,Application_Status_May!E$2:E$3000,"App*")+COUNTIFS(Application_Status_May!I$2:I$3000,_xlpm.u,Application_Status_May!E$2:E$3000,"Lease*"),IF(_xlpm.myCnt&gt;0,INDEX(_xlfn._xlws.FILTER(Application_Status_May!E$2:E$3000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Started</v>
      </c>
      <c r="E177" s="205" t="str">
        <f t="shared" si="6"/>
        <v>Incomplete</v>
      </c>
      <c r="F177" s="205" t="str" cm="1">
        <f t="array" ref="F177">_xlfn.LET(_xlpm.u,B177,_xlpm.myCnt,COUNTIFS(Application_Status_May!I$2:I$3000,_xlpm.u,Application_Status_May!E$2:E$3000,"App*")+COUNTIFS(Application_Status_May!I$2:I$3000,_xlpm.u,Application_Status_May!E$2:E$3000,"Lease*"),IF(_xlpm.myCnt&gt;0,INDEX(_xlfn._xlws.FILTER(Application_Status_May!F$2:F$3000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Martinez, Briana</v>
      </c>
      <c r="G177" s="205" t="str" cm="1">
        <f t="array" ref="G177">_xlfn.LET(_xlpm.u,B177,_xlpm.myCnt,COUNTIFS(Application_Status_May!I$2:I$3000,_xlpm.u,Application_Status_May!E$2:E$3000,"App*")+COUNTIFS(Application_Status_May!I$2:I$3000,_xlpm.u,Application_Status_May!E$2:E$3000,"Lease*"),IF(_xlpm.myCnt&gt;0,INDEX(_xlfn._xlws.FILTER(Application_Status_May!H$2:H$3000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Website</v>
      </c>
      <c r="H177" s="206" cm="1">
        <f t="array" ref="H177">_xlfn.LET(_xlpm.u,B177,_xlpm.myCnt,COUNTIFS(Application_Status_May!I$2:I$3000,_xlpm.u,Application_Status_May!E$2:E$3000,"App*")+COUNTIFS(Application_Status_May!I$2:I$3000,_xlpm.u,Application_Status_May!E$2:E$3000,"Lease*"),IF(_xlpm.myCnt&gt;0,INDEX(_xlfn._xlws.FILTER(Application_Status_May!J$2:J$3000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46158</v>
      </c>
      <c r="I177" s="206" cm="1">
        <f t="array" ref="I177">_xlfn.LET(_xlpm.u,B177,_xlpm.myCnt,COUNTIFS(Application_Status_May!I$2:I$3000,_xlpm.u,Application_Status_May!E$2:E$3000,"App*")+COUNTIFS(Application_Status_May!I$2:I$3000,_xlpm.u,Application_Status_May!E$2:E$3000,"Lease*"),IF(_xlpm.myCnt&gt;0,INDEX(_xlfn._xlws.FILTER(Application_Status_May!L$2:L$3000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0</v>
      </c>
      <c r="J177" s="206" t="str">
        <f>IF(E177&lt;&gt;"Cancelled/Denied","—",_xlfn.LET(_xlpm.u,B177,_xlpm.myC,_xlfn.MAXIFS(Application_Status_May!R$2:R$3000,Application_Status_May!I$2:I$3000,_xlpm.u),_xlpm.myD,_xlfn.MAXIFS(Application_Status_May!S$2:S$3000,Application_Status_May!I$2:I$3000,_xlpm.u),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myC,_xlpm.myD,_xlpm.aC,_xlpm.aD,_xlpm.mC,_xlpm.mD,_xlpm.fC,_xlpm.fD)))</f>
        <v>—</v>
      </c>
      <c r="K177" s="205">
        <f t="shared" si="7"/>
        <v>86</v>
      </c>
    </row>
    <row r="178" spans="2:11">
      <c r="B178" s="632" t="str">
        <v>W02-1-0207</v>
      </c>
      <c r="C178" s="204" t="str" cm="1">
        <f t="array" ref="C178">_xlfn.LET(_xlpm.u,B178,_xlpm.myCnt,COUNTIFS(Application_Status_May!I$2:I$3000,_xlpm.u,Application_Status_May!E$2:E$3000,"App*")+COUNTIFS(Application_Status_May!I$2:I$3000,_xlpm.u,Application_Status_May!E$2:E$3000,"Lease*"),IF(_xlpm.myCnt&gt;0,INDEX(_xlfn._xlws.FILTER(Application_Status_May!B$2:B$3000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Mays, Chyra</v>
      </c>
      <c r="D178" s="205" t="str" cm="1">
        <f t="array" ref="D178">_xlfn.LET(_xlpm.u,B178,_xlpm.myCnt,COUNTIFS(Application_Status_May!I$2:I$3000,_xlpm.u,Application_Status_May!E$2:E$3000,"App*")+COUNTIFS(Application_Status_May!I$2:I$3000,_xlpm.u,Application_Status_May!E$2:E$3000,"Lease*"),IF(_xlpm.myCnt&gt;0,INDEX(_xlfn._xlws.FILTER(Application_Status_May!E$2:E$3000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Cancelled</v>
      </c>
      <c r="E178" s="205" t="str">
        <f t="shared" si="6"/>
        <v>Cancelled/Denied</v>
      </c>
      <c r="F178" s="205" t="str" cm="1">
        <f t="array" ref="F178">_xlfn.LET(_xlpm.u,B178,_xlpm.myCnt,COUNTIFS(Application_Status_May!I$2:I$3000,_xlpm.u,Application_Status_May!E$2:E$3000,"App*")+COUNTIFS(Application_Status_May!I$2:I$3000,_xlpm.u,Application_Status_May!E$2:E$3000,"Lease*"),IF(_xlpm.myCnt&gt;0,INDEX(_xlfn._xlws.FILTER(Application_Status_May!F$2:F$3000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Rodriguez, Jennifer</v>
      </c>
      <c r="G178" s="205" t="str" cm="1">
        <f t="array" ref="G178">_xlfn.LET(_xlpm.u,B178,_xlpm.myCnt,COUNTIFS(Application_Status_May!I$2:I$3000,_xlpm.u,Application_Status_May!E$2:E$3000,"App*")+COUNTIFS(Application_Status_May!I$2:I$3000,_xlpm.u,Application_Status_May!E$2:E$3000,"Lease*"),IF(_xlpm.myCnt&gt;0,INDEX(_xlfn._xlws.FILTER(Application_Status_May!H$2:H$3000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Website</v>
      </c>
      <c r="H178" s="206" cm="1">
        <f t="array" ref="H178">_xlfn.LET(_xlpm.u,B178,_xlpm.myCnt,COUNTIFS(Application_Status_May!I$2:I$3000,_xlpm.u,Application_Status_May!E$2:E$3000,"App*")+COUNTIFS(Application_Status_May!I$2:I$3000,_xlpm.u,Application_Status_May!E$2:E$3000,"Lease*"),IF(_xlpm.myCnt&gt;0,INDEX(_xlfn._xlws.FILTER(Application_Status_May!J$2:J$3000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46015</v>
      </c>
      <c r="I178" s="206" cm="1">
        <f t="array" ref="I178">_xlfn.LET(_xlpm.u,B178,_xlpm.myCnt,COUNTIFS(Application_Status_May!I$2:I$3000,_xlpm.u,Application_Status_May!E$2:E$3000,"App*")+COUNTIFS(Application_Status_May!I$2:I$3000,_xlpm.u,Application_Status_May!E$2:E$3000,"Lease*"),IF(_xlpm.myCnt&gt;0,INDEX(_xlfn._xlws.FILTER(Application_Status_May!L$2:L$3000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0</v>
      </c>
      <c r="J178" s="206">
        <f>IF(E178&lt;&gt;"Cancelled/Denied","—",_xlfn.LET(_xlpm.u,B178,_xlpm.myC,_xlfn.MAXIFS(Application_Status_May!R$2:R$3000,Application_Status_May!I$2:I$3000,_xlpm.u),_xlpm.myD,_xlfn.MAXIFS(Application_Status_May!S$2:S$3000,Application_Status_May!I$2:I$3000,_xlpm.u),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myC,_xlpm.myD,_xlpm.aC,_xlpm.aD,_xlpm.mC,_xlpm.mD,_xlpm.fC,_xlpm.fD)))</f>
        <v>46114</v>
      </c>
      <c r="K178" s="205" t="str">
        <f t="shared" si="7"/>
        <v>—</v>
      </c>
    </row>
    <row r="179" spans="2:11">
      <c r="B179" s="635" t="str">
        <v>W02-1-0215</v>
      </c>
      <c r="C179" s="204" t="str" cm="1">
        <f t="array" ref="C179">_xlfn.LET(_xlpm.u,B179,_xlpm.myCnt,COUNTIFS(Application_Status_May!I$2:I$3000,_xlpm.u,Application_Status_May!E$2:E$3000,"App*")+COUNTIFS(Application_Status_May!I$2:I$3000,_xlpm.u,Application_Status_May!E$2:E$3000,"Lease*"),IF(_xlpm.myCnt&gt;0,INDEX(_xlfn._xlws.FILTER(Application_Status_May!B$2:B$3000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Young, Mekayla</v>
      </c>
      <c r="D179" s="205" t="str" cm="1">
        <f t="array" ref="D179">_xlfn.LET(_xlpm.u,B179,_xlpm.myCnt,COUNTIFS(Application_Status_May!I$2:I$3000,_xlpm.u,Application_Status_May!E$2:E$3000,"App*")+COUNTIFS(Application_Status_May!I$2:I$3000,_xlpm.u,Application_Status_May!E$2:E$3000,"Lease*"),IF(_xlpm.myCnt&gt;0,INDEX(_xlfn._xlws.FILTER(Application_Status_May!E$2:E$3000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Started</v>
      </c>
      <c r="E179" s="205" t="str">
        <f t="shared" si="6"/>
        <v>Incomplete</v>
      </c>
      <c r="F179" s="205" t="str" cm="1">
        <f t="array" ref="F179">_xlfn.LET(_xlpm.u,B179,_xlpm.myCnt,COUNTIFS(Application_Status_May!I$2:I$3000,_xlpm.u,Application_Status_May!E$2:E$3000,"App*")+COUNTIFS(Application_Status_May!I$2:I$3000,_xlpm.u,Application_Status_May!E$2:E$3000,"Lease*"),IF(_xlpm.myCnt&gt;0,INDEX(_xlfn._xlws.FILTER(Application_Status_May!F$2:F$3000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Elise, Meet</v>
      </c>
      <c r="G179" s="205" t="str" cm="1">
        <f t="array" ref="G179">_xlfn.LET(_xlpm.u,B179,_xlpm.myCnt,COUNTIFS(Application_Status_May!I$2:I$3000,_xlpm.u,Application_Status_May!E$2:E$3000,"App*")+COUNTIFS(Application_Status_May!I$2:I$3000,_xlpm.u,Application_Status_May!E$2:E$3000,"Lease*"),IF(_xlpm.myCnt&gt;0,INDEX(_xlfn._xlws.FILTER(Application_Status_May!H$2:H$3000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Website</v>
      </c>
      <c r="H179" s="206" cm="1">
        <f t="array" ref="H179">_xlfn.LET(_xlpm.u,B179,_xlpm.myCnt,COUNTIFS(Application_Status_May!I$2:I$3000,_xlpm.u,Application_Status_May!E$2:E$3000,"App*")+COUNTIFS(Application_Status_May!I$2:I$3000,_xlpm.u,Application_Status_May!E$2:E$3000,"Lease*"),IF(_xlpm.myCnt&gt;0,INDEX(_xlfn._xlws.FILTER(Application_Status_May!J$2:J$3000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46145</v>
      </c>
      <c r="I179" s="206" cm="1">
        <f t="array" ref="I179">_xlfn.LET(_xlpm.u,B179,_xlpm.myCnt,COUNTIFS(Application_Status_May!I$2:I$3000,_xlpm.u,Application_Status_May!E$2:E$3000,"App*")+COUNTIFS(Application_Status_May!I$2:I$3000,_xlpm.u,Application_Status_May!E$2:E$3000,"Lease*"),IF(_xlpm.myCnt&gt;0,INDEX(_xlfn._xlws.FILTER(Application_Status_May!L$2:L$3000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0</v>
      </c>
      <c r="J179" s="206" t="str">
        <f>IF(E179&lt;&gt;"Cancelled/Denied","—",_xlfn.LET(_xlpm.u,B179,_xlpm.myC,_xlfn.MAXIFS(Application_Status_May!R$2:R$3000,Application_Status_May!I$2:I$3000,_xlpm.u),_xlpm.myD,_xlfn.MAXIFS(Application_Status_May!S$2:S$3000,Application_Status_May!I$2:I$3000,_xlpm.u),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myC,_xlpm.myD,_xlpm.aC,_xlpm.aD,_xlpm.mC,_xlpm.mD,_xlpm.fC,_xlpm.fD)))</f>
        <v>—</v>
      </c>
      <c r="K179" s="205">
        <f t="shared" si="7"/>
        <v>99</v>
      </c>
    </row>
    <row r="180" spans="2:11">
      <c r="B180" s="630" t="str">
        <v>W03-1-0301</v>
      </c>
      <c r="C180" s="204" t="str" cm="1">
        <f t="array" ref="C180">_xlfn.LET(_xlpm.u,B180,_xlpm.myCnt,COUNTIFS(Application_Status_May!I$2:I$3000,_xlpm.u,Application_Status_May!E$2:E$3000,"App*")+COUNTIFS(Application_Status_May!I$2:I$3000,_xlpm.u,Application_Status_May!E$2:E$3000,"Lease*"),IF(_xlpm.myCnt&gt;0,INDEX(_xlfn._xlws.FILTER(Application_Status_May!B$2:B$3000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Nwabunor, Stanley</v>
      </c>
      <c r="D180" s="205" t="str" cm="1">
        <f t="array" ref="D180">_xlfn.LET(_xlpm.u,B180,_xlpm.myCnt,COUNTIFS(Application_Status_May!I$2:I$3000,_xlpm.u,Application_Status_May!E$2:E$3000,"App*")+COUNTIFS(Application_Status_May!I$2:I$3000,_xlpm.u,Application_Status_May!E$2:E$3000,"Lease*"),IF(_xlpm.myCnt&gt;0,INDEX(_xlfn._xlws.FILTER(Application_Status_May!E$2:E$3000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Lease: Approved</v>
      </c>
      <c r="E180" s="205" t="str">
        <f t="shared" si="6"/>
        <v>Converted</v>
      </c>
      <c r="F180" s="205" t="str" cm="1">
        <f t="array" ref="F180">_xlfn.LET(_xlpm.u,B180,_xlpm.myCnt,COUNTIFS(Application_Status_May!I$2:I$3000,_xlpm.u,Application_Status_May!E$2:E$3000,"App*")+COUNTIFS(Application_Status_May!I$2:I$3000,_xlpm.u,Application_Status_May!E$2:E$3000,"Lease*"),IF(_xlpm.myCnt&gt;0,INDEX(_xlfn._xlws.FILTER(Application_Status_May!F$2:F$3000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Portillo, Nussly</v>
      </c>
      <c r="G180" s="205" t="str" cm="1">
        <f t="array" ref="G180">_xlfn.LET(_xlpm.u,B180,_xlpm.myCnt,COUNTIFS(Application_Status_May!I$2:I$3000,_xlpm.u,Application_Status_May!E$2:E$3000,"App*")+COUNTIFS(Application_Status_May!I$2:I$3000,_xlpm.u,Application_Status_May!E$2:E$3000,"Lease*"),IF(_xlpm.myCnt&gt;0,INDEX(_xlfn._xlws.FILTER(Application_Status_May!H$2:H$3000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Website</v>
      </c>
      <c r="H180" s="206" cm="1">
        <f t="array" ref="H180">_xlfn.LET(_xlpm.u,B180,_xlpm.myCnt,COUNTIFS(Application_Status_May!I$2:I$3000,_xlpm.u,Application_Status_May!E$2:E$3000,"App*")+COUNTIFS(Application_Status_May!I$2:I$3000,_xlpm.u,Application_Status_May!E$2:E$3000,"Lease*"),IF(_xlpm.myCnt&gt;0,INDEX(_xlfn._xlws.FILTER(Application_Status_May!J$2:J$3000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46146</v>
      </c>
      <c r="I180" s="206" cm="1">
        <f t="array" ref="I180">_xlfn.LET(_xlpm.u,B180,_xlpm.myCnt,COUNTIFS(Application_Status_May!I$2:I$3000,_xlpm.u,Application_Status_May!E$2:E$3000,"App*")+COUNTIFS(Application_Status_May!I$2:I$3000,_xlpm.u,Application_Status_May!E$2:E$3000,"Lease*"),IF(_xlpm.myCnt&gt;0,INDEX(_xlfn._xlws.FILTER(Application_Status_May!L$2:L$3000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46172</v>
      </c>
      <c r="J180" s="206" t="str">
        <f>IF(E180&lt;&gt;"Cancelled/Denied","—",_xlfn.LET(_xlpm.u,B180,_xlpm.myC,_xlfn.MAXIFS(Application_Status_May!R$2:R$3000,Application_Status_May!I$2:I$3000,_xlpm.u),_xlpm.myD,_xlfn.MAXIFS(Application_Status_May!S$2:S$3000,Application_Status_May!I$2:I$3000,_xlpm.u),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myC,_xlpm.myD,_xlpm.aC,_xlpm.aD,_xlpm.mC,_xlpm.mD,_xlpm.fC,_xlpm.fD)))</f>
        <v>—</v>
      </c>
      <c r="K180" s="205" t="str">
        <f t="shared" si="7"/>
        <v>—</v>
      </c>
    </row>
    <row r="181" spans="2:11">
      <c r="B181" s="633" t="str">
        <v>W03-1-0303</v>
      </c>
      <c r="C181" s="204" t="str" cm="1">
        <f t="array" ref="C181">_xlfn.LET(_xlpm.u,B181,_xlpm.myCnt,COUNTIFS(Application_Status_May!I$2:I$3000,_xlpm.u,Application_Status_May!E$2:E$3000,"App*")+COUNTIFS(Application_Status_May!I$2:I$3000,_xlpm.u,Application_Status_May!E$2:E$3000,"Lease*"),IF(_xlpm.myCnt&gt;0,INDEX(_xlfn._xlws.FILTER(Application_Status_May!B$2:B$3000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Lee, Caitlyn</v>
      </c>
      <c r="D181" s="205" t="str" cm="1">
        <f t="array" ref="D181">_xlfn.LET(_xlpm.u,B181,_xlpm.myCnt,COUNTIFS(Application_Status_May!I$2:I$3000,_xlpm.u,Application_Status_May!E$2:E$3000,"App*")+COUNTIFS(Application_Status_May!I$2:I$3000,_xlpm.u,Application_Status_May!E$2:E$3000,"Lease*"),IF(_xlpm.myCnt&gt;0,INDEX(_xlfn._xlws.FILTER(Application_Status_May!E$2:E$3000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Completed</v>
      </c>
      <c r="E181" s="205" t="str">
        <f t="shared" si="6"/>
        <v>In Review</v>
      </c>
      <c r="F181" s="205" t="str" cm="1">
        <f t="array" ref="F181">_xlfn.LET(_xlpm.u,B181,_xlpm.myCnt,COUNTIFS(Application_Status_May!I$2:I$3000,_xlpm.u,Application_Status_May!E$2:E$3000,"App*")+COUNTIFS(Application_Status_May!I$2:I$3000,_xlpm.u,Application_Status_May!E$2:E$3000,"Lease*"),IF(_xlpm.myCnt&gt;0,INDEX(_xlfn._xlws.FILTER(Application_Status_May!F$2:F$3000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Vazquez, Norma</v>
      </c>
      <c r="G181" s="205" t="str" cm="1">
        <f t="array" ref="G181">_xlfn.LET(_xlpm.u,B181,_xlpm.myCnt,COUNTIFS(Application_Status_May!I$2:I$3000,_xlpm.u,Application_Status_May!E$2:E$3000,"App*")+COUNTIFS(Application_Status_May!I$2:I$3000,_xlpm.u,Application_Status_May!E$2:E$3000,"Lease*"),IF(_xlpm.myCnt&gt;0,INDEX(_xlfn._xlws.FILTER(Application_Status_May!H$2:H$3000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Apartments.com</v>
      </c>
      <c r="H181" s="206" cm="1">
        <f t="array" ref="H181">_xlfn.LET(_xlpm.u,B181,_xlpm.myCnt,COUNTIFS(Application_Status_May!I$2:I$3000,_xlpm.u,Application_Status_May!E$2:E$3000,"App*")+COUNTIFS(Application_Status_May!I$2:I$3000,_xlpm.u,Application_Status_May!E$2:E$3000,"Lease*"),IF(_xlpm.myCnt&gt;0,INDEX(_xlfn._xlws.FILTER(Application_Status_May!J$2:J$3000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46170</v>
      </c>
      <c r="I181" s="206" cm="1">
        <f t="array" ref="I181">_xlfn.LET(_xlpm.u,B181,_xlpm.myCnt,COUNTIFS(Application_Status_May!I$2:I$3000,_xlpm.u,Application_Status_May!E$2:E$3000,"App*")+COUNTIFS(Application_Status_May!I$2:I$3000,_xlpm.u,Application_Status_May!E$2:E$3000,"Lease*"),IF(_xlpm.myCnt&gt;0,INDEX(_xlfn._xlws.FILTER(Application_Status_May!L$2:L$3000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46171</v>
      </c>
      <c r="J181" s="206" t="str">
        <f>IF(E181&lt;&gt;"Cancelled/Denied","—",_xlfn.LET(_xlpm.u,B181,_xlpm.myC,_xlfn.MAXIFS(Application_Status_May!R$2:R$3000,Application_Status_May!I$2:I$3000,_xlpm.u),_xlpm.myD,_xlfn.MAXIFS(Application_Status_May!S$2:S$3000,Application_Status_May!I$2:I$3000,_xlpm.u),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myC,_xlpm.myD,_xlpm.aC,_xlpm.aD,_xlpm.mC,_xlpm.mD,_xlpm.fC,_xlpm.fD)))</f>
        <v>—</v>
      </c>
      <c r="K181" s="205">
        <f t="shared" si="7"/>
        <v>74</v>
      </c>
    </row>
    <row r="182" spans="2:11">
      <c r="B182" s="632" t="str">
        <v>W03-1-0310</v>
      </c>
      <c r="C182" s="204" t="str" cm="1">
        <f t="array" ref="C182">_xlfn.LET(_xlpm.u,B182,_xlpm.myCnt,COUNTIFS(Application_Status_May!I$2:I$3000,_xlpm.u,Application_Status_May!E$2:E$3000,"App*")+COUNTIFS(Application_Status_May!I$2:I$3000,_xlpm.u,Application_Status_May!E$2:E$3000,"Lease*"),IF(_xlpm.myCnt&gt;0,INDEX(_xlfn._xlws.FILTER(Application_Status_May!B$2:B$3000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White, Jamelia</v>
      </c>
      <c r="D182" s="205" t="str" cm="1">
        <f t="array" ref="D182">_xlfn.LET(_xlpm.u,B182,_xlpm.myCnt,COUNTIFS(Application_Status_May!I$2:I$3000,_xlpm.u,Application_Status_May!E$2:E$3000,"App*")+COUNTIFS(Application_Status_May!I$2:I$3000,_xlpm.u,Application_Status_May!E$2:E$3000,"Lease*"),IF(_xlpm.myCnt&gt;0,INDEX(_xlfn._xlws.FILTER(Application_Status_May!E$2:E$3000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Cancelled</v>
      </c>
      <c r="E182" s="205" t="str">
        <f t="shared" si="6"/>
        <v>Cancelled/Denied</v>
      </c>
      <c r="F182" s="205" t="str" cm="1">
        <f t="array" ref="F182">_xlfn.LET(_xlpm.u,B182,_xlpm.myCnt,COUNTIFS(Application_Status_May!I$2:I$3000,_xlpm.u,Application_Status_May!E$2:E$3000,"App*")+COUNTIFS(Application_Status_May!I$2:I$3000,_xlpm.u,Application_Status_May!E$2:E$3000,"Lease*"),IF(_xlpm.myCnt&gt;0,INDEX(_xlfn._xlws.FILTER(Application_Status_May!F$2:F$3000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Elise, Meet</v>
      </c>
      <c r="G182" s="205" t="str" cm="1">
        <f t="array" ref="G182">_xlfn.LET(_xlpm.u,B182,_xlpm.myCnt,COUNTIFS(Application_Status_May!I$2:I$3000,_xlpm.u,Application_Status_May!E$2:E$3000,"App*")+COUNTIFS(Application_Status_May!I$2:I$3000,_xlpm.u,Application_Status_May!E$2:E$3000,"Lease*"),IF(_xlpm.myCnt&gt;0,INDEX(_xlfn._xlws.FILTER(Application_Status_May!H$2:H$3000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Website</v>
      </c>
      <c r="H182" s="206" cm="1">
        <f t="array" ref="H182">_xlfn.LET(_xlpm.u,B182,_xlpm.myCnt,COUNTIFS(Application_Status_May!I$2:I$3000,_xlpm.u,Application_Status_May!E$2:E$3000,"App*")+COUNTIFS(Application_Status_May!I$2:I$3000,_xlpm.u,Application_Status_May!E$2:E$3000,"Lease*"),IF(_xlpm.myCnt&gt;0,INDEX(_xlfn._xlws.FILTER(Application_Status_May!J$2:J$3000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46105</v>
      </c>
      <c r="I182" s="206" cm="1">
        <f t="array" ref="I182">_xlfn.LET(_xlpm.u,B182,_xlpm.myCnt,COUNTIFS(Application_Status_May!I$2:I$3000,_xlpm.u,Application_Status_May!E$2:E$3000,"App*")+COUNTIFS(Application_Status_May!I$2:I$3000,_xlpm.u,Application_Status_May!E$2:E$3000,"Lease*"),IF(_xlpm.myCnt&gt;0,INDEX(_xlfn._xlws.FILTER(Application_Status_May!L$2:L$3000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0</v>
      </c>
      <c r="J182" s="206">
        <f>IF(E182&lt;&gt;"Cancelled/Denied","—",_xlfn.LET(_xlpm.u,B182,_xlpm.myC,_xlfn.MAXIFS(Application_Status_May!R$2:R$3000,Application_Status_May!I$2:I$3000,_xlpm.u),_xlpm.myD,_xlfn.MAXIFS(Application_Status_May!S$2:S$3000,Application_Status_May!I$2:I$3000,_xlpm.u),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myC,_xlpm.myD,_xlpm.aC,_xlpm.aD,_xlpm.mC,_xlpm.mD,_xlpm.fC,_xlpm.fD)))</f>
        <v>46151</v>
      </c>
      <c r="K182" s="205" t="str">
        <f t="shared" si="7"/>
        <v>—</v>
      </c>
    </row>
    <row r="183" spans="2:11">
      <c r="B183" s="635" t="str">
        <v>W03-1-0320</v>
      </c>
      <c r="C183" s="204" t="str" cm="1">
        <f t="array" ref="C183">_xlfn.LET(_xlpm.u,B183,_xlpm.myCnt,COUNTIFS(Application_Status_May!I$2:I$3000,_xlpm.u,Application_Status_May!E$2:E$3000,"App*")+COUNTIFS(Application_Status_May!I$2:I$3000,_xlpm.u,Application_Status_May!E$2:E$3000,"Lease*"),IF(_xlpm.myCnt&gt;0,INDEX(_xlfn._xlws.FILTER(Application_Status_May!B$2:B$3000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Nizeyimana, David</v>
      </c>
      <c r="D183" s="205" t="str" cm="1">
        <f t="array" ref="D183">_xlfn.LET(_xlpm.u,B183,_xlpm.myCnt,COUNTIFS(Application_Status_May!I$2:I$3000,_xlpm.u,Application_Status_May!E$2:E$3000,"App*")+COUNTIFS(Application_Status_May!I$2:I$3000,_xlpm.u,Application_Status_May!E$2:E$3000,"Lease*"),IF(_xlpm.myCnt&gt;0,INDEX(_xlfn._xlws.FILTER(Application_Status_May!E$2:E$3000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Started</v>
      </c>
      <c r="E183" s="205" t="str">
        <f t="shared" si="6"/>
        <v>Incomplete</v>
      </c>
      <c r="F183" s="205" t="str" cm="1">
        <f t="array" ref="F183">_xlfn.LET(_xlpm.u,B183,_xlpm.myCnt,COUNTIFS(Application_Status_May!I$2:I$3000,_xlpm.u,Application_Status_May!E$2:E$3000,"App*")+COUNTIFS(Application_Status_May!I$2:I$3000,_xlpm.u,Application_Status_May!E$2:E$3000,"Lease*"),IF(_xlpm.myCnt&gt;0,INDEX(_xlfn._xlws.FILTER(Application_Status_May!F$2:F$3000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Martinez, Emily</v>
      </c>
      <c r="G183" s="205" t="str" cm="1">
        <f t="array" ref="G183">_xlfn.LET(_xlpm.u,B183,_xlpm.myCnt,COUNTIFS(Application_Status_May!I$2:I$3000,_xlpm.u,Application_Status_May!E$2:E$3000,"App*")+COUNTIFS(Application_Status_May!I$2:I$3000,_xlpm.u,Application_Status_May!E$2:E$3000,"Lease*"),IF(_xlpm.myCnt&gt;0,INDEX(_xlfn._xlws.FILTER(Application_Status_May!H$2:H$3000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Google</v>
      </c>
      <c r="H183" s="206" cm="1">
        <f t="array" ref="H183">_xlfn.LET(_xlpm.u,B183,_xlpm.myCnt,COUNTIFS(Application_Status_May!I$2:I$3000,_xlpm.u,Application_Status_May!E$2:E$3000,"App*")+COUNTIFS(Application_Status_May!I$2:I$3000,_xlpm.u,Application_Status_May!E$2:E$3000,"Lease*"),IF(_xlpm.myCnt&gt;0,INDEX(_xlfn._xlws.FILTER(Application_Status_May!J$2:J$3000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46146</v>
      </c>
      <c r="I183" s="206" cm="1">
        <f t="array" ref="I183">_xlfn.LET(_xlpm.u,B183,_xlpm.myCnt,COUNTIFS(Application_Status_May!I$2:I$3000,_xlpm.u,Application_Status_May!E$2:E$3000,"App*")+COUNTIFS(Application_Status_May!I$2:I$3000,_xlpm.u,Application_Status_May!E$2:E$3000,"Lease*"),IF(_xlpm.myCnt&gt;0,INDEX(_xlfn._xlws.FILTER(Application_Status_May!L$2:L$3000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0</v>
      </c>
      <c r="J183" s="206" t="str">
        <f>IF(E183&lt;&gt;"Cancelled/Denied","—",_xlfn.LET(_xlpm.u,B183,_xlpm.myC,_xlfn.MAXIFS(Application_Status_May!R$2:R$3000,Application_Status_May!I$2:I$3000,_xlpm.u),_xlpm.myD,_xlfn.MAXIFS(Application_Status_May!S$2:S$3000,Application_Status_May!I$2:I$3000,_xlpm.u),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myC,_xlpm.myD,_xlpm.aC,_xlpm.aD,_xlpm.mC,_xlpm.mD,_xlpm.fC,_xlpm.fD)))</f>
        <v>—</v>
      </c>
      <c r="K183" s="205">
        <f t="shared" si="7"/>
        <v>98</v>
      </c>
    </row>
    <row r="184" spans="2:11">
      <c r="B184" s="632" t="str">
        <v>W04-1-0403</v>
      </c>
      <c r="C184" s="204" t="str" cm="1">
        <f t="array" ref="C184">_xlfn.LET(_xlpm.u,B184,_xlpm.myCnt,COUNTIFS(Application_Status_May!I$2:I$3000,_xlpm.u,Application_Status_May!E$2:E$3000,"App*")+COUNTIFS(Application_Status_May!I$2:I$3000,_xlpm.u,Application_Status_May!E$2:E$3000,"Lease*"),IF(_xlpm.myCnt&gt;0,INDEX(_xlfn._xlws.FILTER(Application_Status_May!B$2:B$3000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Chatman, Vivian</v>
      </c>
      <c r="D184" s="205" t="str" cm="1">
        <f t="array" ref="D184">_xlfn.LET(_xlpm.u,B184,_xlpm.myCnt,COUNTIFS(Application_Status_May!I$2:I$3000,_xlpm.u,Application_Status_May!E$2:E$3000,"App*")+COUNTIFS(Application_Status_May!I$2:I$3000,_xlpm.u,Application_Status_May!E$2:E$3000,"Lease*"),IF(_xlpm.myCnt&gt;0,INDEX(_xlfn._xlws.FILTER(Application_Status_May!E$2:E$3000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Completed</v>
      </c>
      <c r="E184" s="205" t="str">
        <f t="shared" si="6"/>
        <v>In Review</v>
      </c>
      <c r="F184" s="205" t="str" cm="1">
        <f t="array" ref="F184">_xlfn.LET(_xlpm.u,B184,_xlpm.myCnt,COUNTIFS(Application_Status_May!I$2:I$3000,_xlpm.u,Application_Status_May!E$2:E$3000,"App*")+COUNTIFS(Application_Status_May!I$2:I$3000,_xlpm.u,Application_Status_May!E$2:E$3000,"Lease*"),IF(_xlpm.myCnt&gt;0,INDEX(_xlfn._xlws.FILTER(Application_Status_May!F$2:F$3000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Elise, Meet</v>
      </c>
      <c r="G184" s="205" t="str" cm="1">
        <f t="array" ref="G184">_xlfn.LET(_xlpm.u,B184,_xlpm.myCnt,COUNTIFS(Application_Status_May!I$2:I$3000,_xlpm.u,Application_Status_May!E$2:E$3000,"App*")+COUNTIFS(Application_Status_May!I$2:I$3000,_xlpm.u,Application_Status_May!E$2:E$3000,"Lease*"),IF(_xlpm.myCnt&gt;0,INDEX(_xlfn._xlws.FILTER(Application_Status_May!H$2:H$3000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Website</v>
      </c>
      <c r="H184" s="206" cm="1">
        <f t="array" ref="H184">_xlfn.LET(_xlpm.u,B184,_xlpm.myCnt,COUNTIFS(Application_Status_May!I$2:I$3000,_xlpm.u,Application_Status_May!E$2:E$3000,"App*")+COUNTIFS(Application_Status_May!I$2:I$3000,_xlpm.u,Application_Status_May!E$2:E$3000,"Lease*"),IF(_xlpm.myCnt&gt;0,INDEX(_xlfn._xlws.FILTER(Application_Status_May!J$2:J$3000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46168</v>
      </c>
      <c r="I184" s="206" cm="1">
        <f t="array" ref="I184">_xlfn.LET(_xlpm.u,B184,_xlpm.myCnt,COUNTIFS(Application_Status_May!I$2:I$3000,_xlpm.u,Application_Status_May!E$2:E$3000,"App*")+COUNTIFS(Application_Status_May!I$2:I$3000,_xlpm.u,Application_Status_May!E$2:E$3000,"Lease*"),IF(_xlpm.myCnt&gt;0,INDEX(_xlfn._xlws.FILTER(Application_Status_May!L$2:L$3000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46169</v>
      </c>
      <c r="J184" s="206" t="str">
        <f>IF(E184&lt;&gt;"Cancelled/Denied","—",_xlfn.LET(_xlpm.u,B184,_xlpm.myC,_xlfn.MAXIFS(Application_Status_May!R$2:R$3000,Application_Status_May!I$2:I$3000,_xlpm.u),_xlpm.myD,_xlfn.MAXIFS(Application_Status_May!S$2:S$3000,Application_Status_May!I$2:I$3000,_xlpm.u),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myC,_xlpm.myD,_xlpm.aC,_xlpm.aD,_xlpm.mC,_xlpm.mD,_xlpm.fC,_xlpm.fD)))</f>
        <v>—</v>
      </c>
      <c r="K184" s="205">
        <f t="shared" si="7"/>
        <v>76</v>
      </c>
    </row>
    <row r="185" spans="2:11">
      <c r="B185" s="635" t="str">
        <v>W04-1-0406</v>
      </c>
      <c r="C185" s="204" t="str" cm="1">
        <f t="array" ref="C185">_xlfn.LET(_xlpm.u,B185,_xlpm.myCnt,COUNTIFS(Application_Status_May!I$2:I$3000,_xlpm.u,Application_Status_May!E$2:E$3000,"App*")+COUNTIFS(Application_Status_May!I$2:I$3000,_xlpm.u,Application_Status_May!E$2:E$3000,"Lease*"),IF(_xlpm.myCnt&gt;0,INDEX(_xlfn._xlws.FILTER(Application_Status_May!B$2:B$3000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Martin, Addison</v>
      </c>
      <c r="D185" s="205" t="str" cm="1">
        <f t="array" ref="D185">_xlfn.LET(_xlpm.u,B185,_xlpm.myCnt,COUNTIFS(Application_Status_May!I$2:I$3000,_xlpm.u,Application_Status_May!E$2:E$3000,"App*")+COUNTIFS(Application_Status_May!I$2:I$3000,_xlpm.u,Application_Status_May!E$2:E$3000,"Lease*"),IF(_xlpm.myCnt&gt;0,INDEX(_xlfn._xlws.FILTER(Application_Status_May!E$2:E$3000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Lease: Approved</v>
      </c>
      <c r="E185" s="205" t="str">
        <f t="shared" si="6"/>
        <v>Converted</v>
      </c>
      <c r="F185" s="205" t="str" cm="1">
        <f t="array" ref="F185">_xlfn.LET(_xlpm.u,B185,_xlpm.myCnt,COUNTIFS(Application_Status_May!I$2:I$3000,_xlpm.u,Application_Status_May!E$2:E$3000,"App*")+COUNTIFS(Application_Status_May!I$2:I$3000,_xlpm.u,Application_Status_May!E$2:E$3000,"Lease*"),IF(_xlpm.myCnt&gt;0,INDEX(_xlfn._xlws.FILTER(Application_Status_May!F$2:F$3000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Reyes, Josie</v>
      </c>
      <c r="G185" s="205" t="str" cm="1">
        <f t="array" ref="G185">_xlfn.LET(_xlpm.u,B185,_xlpm.myCnt,COUNTIFS(Application_Status_May!I$2:I$3000,_xlpm.u,Application_Status_May!E$2:E$3000,"App*")+COUNTIFS(Application_Status_May!I$2:I$3000,_xlpm.u,Application_Status_May!E$2:E$3000,"Lease*"),IF(_xlpm.myCnt&gt;0,INDEX(_xlfn._xlws.FILTER(Application_Status_May!H$2:H$3000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Website</v>
      </c>
      <c r="H185" s="206" cm="1">
        <f t="array" ref="H185">_xlfn.LET(_xlpm.u,B185,_xlpm.myCnt,COUNTIFS(Application_Status_May!I$2:I$3000,_xlpm.u,Application_Status_May!E$2:E$3000,"App*")+COUNTIFS(Application_Status_May!I$2:I$3000,_xlpm.u,Application_Status_May!E$2:E$3000,"Lease*"),IF(_xlpm.myCnt&gt;0,INDEX(_xlfn._xlws.FILTER(Application_Status_May!J$2:J$3000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46078</v>
      </c>
      <c r="I185" s="206" cm="1">
        <f t="array" ref="I185">_xlfn.LET(_xlpm.u,B185,_xlpm.myCnt,COUNTIFS(Application_Status_May!I$2:I$3000,_xlpm.u,Application_Status_May!E$2:E$3000,"App*")+COUNTIFS(Application_Status_May!I$2:I$3000,_xlpm.u,Application_Status_May!E$2:E$3000,"Lease*"),IF(_xlpm.myCnt&gt;0,INDEX(_xlfn._xlws.FILTER(Application_Status_May!L$2:L$3000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46091</v>
      </c>
      <c r="J185" s="206" t="str">
        <f>IF(E185&lt;&gt;"Cancelled/Denied","—",_xlfn.LET(_xlpm.u,B185,_xlpm.myC,_xlfn.MAXIFS(Application_Status_May!R$2:R$3000,Application_Status_May!I$2:I$3000,_xlpm.u),_xlpm.myD,_xlfn.MAXIFS(Application_Status_May!S$2:S$3000,Application_Status_May!I$2:I$3000,_xlpm.u),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myC,_xlpm.myD,_xlpm.aC,_xlpm.aD,_xlpm.mC,_xlpm.mD,_xlpm.fC,_xlpm.fD)))</f>
        <v>—</v>
      </c>
      <c r="K185" s="205" t="str">
        <f t="shared" si="7"/>
        <v>—</v>
      </c>
    </row>
    <row r="186" spans="2:11">
      <c r="B186" s="632" t="str">
        <v>W04-1-0415</v>
      </c>
      <c r="C186" s="204" t="str" cm="1">
        <f t="array" ref="C186">_xlfn.LET(_xlpm.u,B186,_xlpm.myCnt,COUNTIFS(Application_Status_May!I$2:I$3000,_xlpm.u,Application_Status_May!E$2:E$3000,"App*")+COUNTIFS(Application_Status_May!I$2:I$3000,_xlpm.u,Application_Status_May!E$2:E$3000,"Lease*"),IF(_xlpm.myCnt&gt;0,INDEX(_xlfn._xlws.FILTER(Application_Status_May!B$2:B$3000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Diaz Becerra, Victor</v>
      </c>
      <c r="D186" s="205" t="str" cm="1">
        <f t="array" ref="D186">_xlfn.LET(_xlpm.u,B186,_xlpm.myCnt,COUNTIFS(Application_Status_May!I$2:I$3000,_xlpm.u,Application_Status_May!E$2:E$3000,"App*")+COUNTIFS(Application_Status_May!I$2:I$3000,_xlpm.u,Application_Status_May!E$2:E$3000,"Lease*"),IF(_xlpm.myCnt&gt;0,INDEX(_xlfn._xlws.FILTER(Application_Status_May!E$2:E$3000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Lease: Approved</v>
      </c>
      <c r="E186" s="205" t="str">
        <f t="shared" si="6"/>
        <v>Converted</v>
      </c>
      <c r="F186" s="205" t="str" cm="1">
        <f t="array" ref="F186">_xlfn.LET(_xlpm.u,B186,_xlpm.myCnt,COUNTIFS(Application_Status_May!I$2:I$3000,_xlpm.u,Application_Status_May!E$2:E$3000,"App*")+COUNTIFS(Application_Status_May!I$2:I$3000,_xlpm.u,Application_Status_May!E$2:E$3000,"Lease*"),IF(_xlpm.myCnt&gt;0,INDEX(_xlfn._xlws.FILTER(Application_Status_May!F$2:F$3000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Gabehart, Jamey</v>
      </c>
      <c r="G186" s="205" t="str" cm="1">
        <f t="array" ref="G186">_xlfn.LET(_xlpm.u,B186,_xlpm.myCnt,COUNTIFS(Application_Status_May!I$2:I$3000,_xlpm.u,Application_Status_May!E$2:E$3000,"App*")+COUNTIFS(Application_Status_May!I$2:I$3000,_xlpm.u,Application_Status_May!E$2:E$3000,"Lease*"),IF(_xlpm.myCnt&gt;0,INDEX(_xlfn._xlws.FILTER(Application_Status_May!H$2:H$3000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Drive By</v>
      </c>
      <c r="H186" s="206" cm="1">
        <f t="array" ref="H186">_xlfn.LET(_xlpm.u,B186,_xlpm.myCnt,COUNTIFS(Application_Status_May!I$2:I$3000,_xlpm.u,Application_Status_May!E$2:E$3000,"App*")+COUNTIFS(Application_Status_May!I$2:I$3000,_xlpm.u,Application_Status_May!E$2:E$3000,"Lease*"),IF(_xlpm.myCnt&gt;0,INDEX(_xlfn._xlws.FILTER(Application_Status_May!J$2:J$3000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46092</v>
      </c>
      <c r="I186" s="206" cm="1">
        <f t="array" ref="I186">_xlfn.LET(_xlpm.u,B186,_xlpm.myCnt,COUNTIFS(Application_Status_May!I$2:I$3000,_xlpm.u,Application_Status_May!E$2:E$3000,"App*")+COUNTIFS(Application_Status_May!I$2:I$3000,_xlpm.u,Application_Status_May!E$2:E$3000,"Lease*"),IF(_xlpm.myCnt&gt;0,INDEX(_xlfn._xlws.FILTER(Application_Status_May!L$2:L$3000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46093</v>
      </c>
      <c r="J186" s="206" t="str">
        <f>IF(E186&lt;&gt;"Cancelled/Denied","—",_xlfn.LET(_xlpm.u,B186,_xlpm.myC,_xlfn.MAXIFS(Application_Status_May!R$2:R$3000,Application_Status_May!I$2:I$3000,_xlpm.u),_xlpm.myD,_xlfn.MAXIFS(Application_Status_May!S$2:S$3000,Application_Status_May!I$2:I$3000,_xlpm.u),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myC,_xlpm.myD,_xlpm.aC,_xlpm.aD,_xlpm.mC,_xlpm.mD,_xlpm.fC,_xlpm.fD)))</f>
        <v>—</v>
      </c>
      <c r="K186" s="205" t="str">
        <f t="shared" si="7"/>
        <v>—</v>
      </c>
    </row>
    <row r="187" spans="2:11">
      <c r="B187" s="635" t="str">
        <v>W04-1-0416</v>
      </c>
      <c r="C187" s="204" t="str" cm="1">
        <f t="array" ref="C187">_xlfn.LET(_xlpm.u,B187,_xlpm.myCnt,COUNTIFS(Application_Status_May!I$2:I$3000,_xlpm.u,Application_Status_May!E$2:E$3000,"App*")+COUNTIFS(Application_Status_May!I$2:I$3000,_xlpm.u,Application_Status_May!E$2:E$3000,"Lease*"),IF(_xlpm.myCnt&gt;0,INDEX(_xlfn._xlws.FILTER(Application_Status_May!B$2:B$3000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Creeks, Matreka</v>
      </c>
      <c r="D187" s="205" t="str" cm="1">
        <f t="array" ref="D187">_xlfn.LET(_xlpm.u,B187,_xlpm.myCnt,COUNTIFS(Application_Status_May!I$2:I$3000,_xlpm.u,Application_Status_May!E$2:E$3000,"App*")+COUNTIFS(Application_Status_May!I$2:I$3000,_xlpm.u,Application_Status_May!E$2:E$3000,"Lease*"),IF(_xlpm.myCnt&gt;0,INDEX(_xlfn._xlws.FILTER(Application_Status_May!E$2:E$3000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Cancelled</v>
      </c>
      <c r="E187" s="205" t="str">
        <f t="shared" si="6"/>
        <v>Cancelled/Denied</v>
      </c>
      <c r="F187" s="205" t="str" cm="1">
        <f t="array" ref="F187">_xlfn.LET(_xlpm.u,B187,_xlpm.myCnt,COUNTIFS(Application_Status_May!I$2:I$3000,_xlpm.u,Application_Status_May!E$2:E$3000,"App*")+COUNTIFS(Application_Status_May!I$2:I$3000,_xlpm.u,Application_Status_May!E$2:E$3000,"Lease*"),IF(_xlpm.myCnt&gt;0,INDEX(_xlfn._xlws.FILTER(Application_Status_May!F$2:F$3000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Martinez, Briana</v>
      </c>
      <c r="G187" s="205" t="str" cm="1">
        <f t="array" ref="G187">_xlfn.LET(_xlpm.u,B187,_xlpm.myCnt,COUNTIFS(Application_Status_May!I$2:I$3000,_xlpm.u,Application_Status_May!E$2:E$3000,"App*")+COUNTIFS(Application_Status_May!I$2:I$3000,_xlpm.u,Application_Status_May!E$2:E$3000,"Lease*"),IF(_xlpm.myCnt&gt;0,INDEX(_xlfn._xlws.FILTER(Application_Status_May!H$2:H$3000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Website</v>
      </c>
      <c r="H187" s="206" cm="1">
        <f t="array" ref="H187">_xlfn.LET(_xlpm.u,B187,_xlpm.myCnt,COUNTIFS(Application_Status_May!I$2:I$3000,_xlpm.u,Application_Status_May!E$2:E$3000,"App*")+COUNTIFS(Application_Status_May!I$2:I$3000,_xlpm.u,Application_Status_May!E$2:E$3000,"Lease*"),IF(_xlpm.myCnt&gt;0,INDEX(_xlfn._xlws.FILTER(Application_Status_May!J$2:J$3000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46057</v>
      </c>
      <c r="I187" s="206" cm="1">
        <f t="array" ref="I187">_xlfn.LET(_xlpm.u,B187,_xlpm.myCnt,COUNTIFS(Application_Status_May!I$2:I$3000,_xlpm.u,Application_Status_May!E$2:E$3000,"App*")+COUNTIFS(Application_Status_May!I$2:I$3000,_xlpm.u,Application_Status_May!E$2:E$3000,"Lease*"),IF(_xlpm.myCnt&gt;0,INDEX(_xlfn._xlws.FILTER(Application_Status_May!L$2:L$3000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46057</v>
      </c>
      <c r="J187" s="206">
        <f>IF(E187&lt;&gt;"Cancelled/Denied","—",_xlfn.LET(_xlpm.u,B187,_xlpm.myC,_xlfn.MAXIFS(Application_Status_May!R$2:R$3000,Application_Status_May!I$2:I$3000,_xlpm.u),_xlpm.myD,_xlfn.MAXIFS(Application_Status_May!S$2:S$3000,Application_Status_May!I$2:I$3000,_xlpm.u),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myC,_xlpm.myD,_xlpm.aC,_xlpm.aD,_xlpm.mC,_xlpm.mD,_xlpm.fC,_xlpm.fD)))</f>
        <v>46164</v>
      </c>
      <c r="K187" s="205" t="str">
        <f t="shared" si="7"/>
        <v>—</v>
      </c>
    </row>
    <row r="188" spans="2:11">
      <c r="B188" s="632" t="str">
        <v>W05-1-0501</v>
      </c>
      <c r="C188" s="204" t="str" cm="1">
        <f t="array" ref="C188">_xlfn.LET(_xlpm.u,B188,_xlpm.myCnt,COUNTIFS(Application_Status_May!I$2:I$3000,_xlpm.u,Application_Status_May!E$2:E$3000,"App*")+COUNTIFS(Application_Status_May!I$2:I$3000,_xlpm.u,Application_Status_May!E$2:E$3000,"Lease*"),IF(_xlpm.myCnt&gt;0,INDEX(_xlfn._xlws.FILTER(Application_Status_May!B$2:B$3000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Woods, Kelsee</v>
      </c>
      <c r="D188" s="205" t="str" cm="1">
        <f t="array" ref="D188">_xlfn.LET(_xlpm.u,B188,_xlpm.myCnt,COUNTIFS(Application_Status_May!I$2:I$3000,_xlpm.u,Application_Status_May!E$2:E$3000,"App*")+COUNTIFS(Application_Status_May!I$2:I$3000,_xlpm.u,Application_Status_May!E$2:E$3000,"Lease*"),IF(_xlpm.myCnt&gt;0,INDEX(_xlfn._xlws.FILTER(Application_Status_May!E$2:E$3000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Cancelled</v>
      </c>
      <c r="E188" s="205" t="str">
        <f t="shared" si="6"/>
        <v>Cancelled/Denied</v>
      </c>
      <c r="F188" s="205" t="str" cm="1">
        <f t="array" ref="F188">_xlfn.LET(_xlpm.u,B188,_xlpm.myCnt,COUNTIFS(Application_Status_May!I$2:I$3000,_xlpm.u,Application_Status_May!E$2:E$3000,"App*")+COUNTIFS(Application_Status_May!I$2:I$3000,_xlpm.u,Application_Status_May!E$2:E$3000,"Lease*"),IF(_xlpm.myCnt&gt;0,INDEX(_xlfn._xlws.FILTER(Application_Status_May!F$2:F$3000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Rodriguez, Jennifer</v>
      </c>
      <c r="G188" s="205" t="str" cm="1">
        <f t="array" ref="G188">_xlfn.LET(_xlpm.u,B188,_xlpm.myCnt,COUNTIFS(Application_Status_May!I$2:I$3000,_xlpm.u,Application_Status_May!E$2:E$3000,"App*")+COUNTIFS(Application_Status_May!I$2:I$3000,_xlpm.u,Application_Status_May!E$2:E$3000,"Lease*"),IF(_xlpm.myCnt&gt;0,INDEX(_xlfn._xlws.FILTER(Application_Status_May!H$2:H$3000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RentVision Website</v>
      </c>
      <c r="H188" s="206" cm="1">
        <f t="array" ref="H188">_xlfn.LET(_xlpm.u,B188,_xlpm.myCnt,COUNTIFS(Application_Status_May!I$2:I$3000,_xlpm.u,Application_Status_May!E$2:E$3000,"App*")+COUNTIFS(Application_Status_May!I$2:I$3000,_xlpm.u,Application_Status_May!E$2:E$3000,"Lease*"),IF(_xlpm.myCnt&gt;0,INDEX(_xlfn._xlws.FILTER(Application_Status_May!J$2:J$3000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46130</v>
      </c>
      <c r="I188" s="206" cm="1">
        <f t="array" ref="I188">_xlfn.LET(_xlpm.u,B188,_xlpm.myCnt,COUNTIFS(Application_Status_May!I$2:I$3000,_xlpm.u,Application_Status_May!E$2:E$3000,"App*")+COUNTIFS(Application_Status_May!I$2:I$3000,_xlpm.u,Application_Status_May!E$2:E$3000,"Lease*"),IF(_xlpm.myCnt&gt;0,INDEX(_xlfn._xlws.FILTER(Application_Status_May!L$2:L$3000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46133</v>
      </c>
      <c r="J188" s="206">
        <f>IF(E188&lt;&gt;"Cancelled/Denied","—",_xlfn.LET(_xlpm.u,B188,_xlpm.myC,_xlfn.MAXIFS(Application_Status_May!R$2:R$3000,Application_Status_May!I$2:I$3000,_xlpm.u),_xlpm.myD,_xlfn.MAXIFS(Application_Status_May!S$2:S$3000,Application_Status_May!I$2:I$3000,_xlpm.u),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myC,_xlpm.myD,_xlpm.aC,_xlpm.aD,_xlpm.mC,_xlpm.mD,_xlpm.fC,_xlpm.fD)))</f>
        <v>46146</v>
      </c>
      <c r="K188" s="205" t="str">
        <f t="shared" si="7"/>
        <v>—</v>
      </c>
    </row>
    <row r="189" spans="2:11">
      <c r="B189" s="635" t="str">
        <v>W05-1-0504</v>
      </c>
      <c r="C189" s="204" t="str" cm="1">
        <f t="array" ref="C189">_xlfn.LET(_xlpm.u,B189,_xlpm.myCnt,COUNTIFS(Application_Status_May!I$2:I$3000,_xlpm.u,Application_Status_May!E$2:E$3000,"App*")+COUNTIFS(Application_Status_May!I$2:I$3000,_xlpm.u,Application_Status_May!E$2:E$3000,"Lease*"),IF(_xlpm.myCnt&gt;0,INDEX(_xlfn._xlws.FILTER(Application_Status_May!B$2:B$3000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Smith, Kylah</v>
      </c>
      <c r="D189" s="205" t="str" cm="1">
        <f t="array" ref="D189">_xlfn.LET(_xlpm.u,B189,_xlpm.myCnt,COUNTIFS(Application_Status_May!I$2:I$3000,_xlpm.u,Application_Status_May!E$2:E$3000,"App*")+COUNTIFS(Application_Status_May!I$2:I$3000,_xlpm.u,Application_Status_May!E$2:E$3000,"Lease*"),IF(_xlpm.myCnt&gt;0,INDEX(_xlfn._xlws.FILTER(Application_Status_May!E$2:E$3000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Started</v>
      </c>
      <c r="E189" s="205" t="str">
        <f t="shared" si="6"/>
        <v>Incomplete</v>
      </c>
      <c r="F189" s="205" t="str" cm="1">
        <f t="array" ref="F189">_xlfn.LET(_xlpm.u,B189,_xlpm.myCnt,COUNTIFS(Application_Status_May!I$2:I$3000,_xlpm.u,Application_Status_May!E$2:E$3000,"App*")+COUNTIFS(Application_Status_May!I$2:I$3000,_xlpm.u,Application_Status_May!E$2:E$3000,"Lease*"),IF(_xlpm.myCnt&gt;0,INDEX(_xlfn._xlws.FILTER(Application_Status_May!F$2:F$3000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Not Assigned</v>
      </c>
      <c r="G189" s="205" t="str" cm="1">
        <f t="array" ref="G189">_xlfn.LET(_xlpm.u,B189,_xlpm.myCnt,COUNTIFS(Application_Status_May!I$2:I$3000,_xlpm.u,Application_Status_May!E$2:E$3000,"App*")+COUNTIFS(Application_Status_May!I$2:I$3000,_xlpm.u,Application_Status_May!E$2:E$3000,"Lease*"),IF(_xlpm.myCnt&gt;0,INDEX(_xlfn._xlws.FILTER(Application_Status_May!H$2:H$3000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Website</v>
      </c>
      <c r="H189" s="206" cm="1">
        <f t="array" ref="H189">_xlfn.LET(_xlpm.u,B189,_xlpm.myCnt,COUNTIFS(Application_Status_May!I$2:I$3000,_xlpm.u,Application_Status_May!E$2:E$3000,"App*")+COUNTIFS(Application_Status_May!I$2:I$3000,_xlpm.u,Application_Status_May!E$2:E$3000,"Lease*"),IF(_xlpm.myCnt&gt;0,INDEX(_xlfn._xlws.FILTER(Application_Status_May!J$2:J$3000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46151</v>
      </c>
      <c r="I189" s="206" cm="1">
        <f t="array" ref="I189">_xlfn.LET(_xlpm.u,B189,_xlpm.myCnt,COUNTIFS(Application_Status_May!I$2:I$3000,_xlpm.u,Application_Status_May!E$2:E$3000,"App*")+COUNTIFS(Application_Status_May!I$2:I$3000,_xlpm.u,Application_Status_May!E$2:E$3000,"Lease*"),IF(_xlpm.myCnt&gt;0,INDEX(_xlfn._xlws.FILTER(Application_Status_May!L$2:L$3000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0</v>
      </c>
      <c r="J189" s="206" t="str">
        <f>IF(E189&lt;&gt;"Cancelled/Denied","—",_xlfn.LET(_xlpm.u,B189,_xlpm.myC,_xlfn.MAXIFS(Application_Status_May!R$2:R$3000,Application_Status_May!I$2:I$3000,_xlpm.u),_xlpm.myD,_xlfn.MAXIFS(Application_Status_May!S$2:S$3000,Application_Status_May!I$2:I$3000,_xlpm.u),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myC,_xlpm.myD,_xlpm.aC,_xlpm.aD,_xlpm.mC,_xlpm.mD,_xlpm.fC,_xlpm.fD)))</f>
        <v>—</v>
      </c>
      <c r="K189" s="205">
        <f t="shared" si="7"/>
        <v>93</v>
      </c>
    </row>
    <row r="190" spans="2:11">
      <c r="B190" s="632" t="str">
        <v>W05-1-0510</v>
      </c>
      <c r="C190" s="204" t="str" cm="1">
        <f t="array" ref="C190">_xlfn.LET(_xlpm.u,B190,_xlpm.myCnt,COUNTIFS(Application_Status_May!I$2:I$3000,_xlpm.u,Application_Status_May!E$2:E$3000,"App*")+COUNTIFS(Application_Status_May!I$2:I$3000,_xlpm.u,Application_Status_May!E$2:E$3000,"Lease*"),IF(_xlpm.myCnt&gt;0,INDEX(_xlfn._xlws.FILTER(Application_Status_May!B$2:B$3000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Thomas, Cori</v>
      </c>
      <c r="D190" s="205" t="str" cm="1">
        <f t="array" ref="D190">_xlfn.LET(_xlpm.u,B190,_xlpm.myCnt,COUNTIFS(Application_Status_May!I$2:I$3000,_xlpm.u,Application_Status_May!E$2:E$3000,"App*")+COUNTIFS(Application_Status_May!I$2:I$3000,_xlpm.u,Application_Status_May!E$2:E$3000,"Lease*"),IF(_xlpm.myCnt&gt;0,INDEX(_xlfn._xlws.FILTER(Application_Status_May!E$2:E$3000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Lease: Approved</v>
      </c>
      <c r="E190" s="205" t="str">
        <f t="shared" si="6"/>
        <v>Converted</v>
      </c>
      <c r="F190" s="205" t="str" cm="1">
        <f t="array" ref="F190">_xlfn.LET(_xlpm.u,B190,_xlpm.myCnt,COUNTIFS(Application_Status_May!I$2:I$3000,_xlpm.u,Application_Status_May!E$2:E$3000,"App*")+COUNTIFS(Application_Status_May!I$2:I$3000,_xlpm.u,Application_Status_May!E$2:E$3000,"Lease*"),IF(_xlpm.myCnt&gt;0,INDEX(_xlfn._xlws.FILTER(Application_Status_May!F$2:F$3000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Elise, Meet</v>
      </c>
      <c r="G190" s="205" t="str" cm="1">
        <f t="array" ref="G190">_xlfn.LET(_xlpm.u,B190,_xlpm.myCnt,COUNTIFS(Application_Status_May!I$2:I$3000,_xlpm.u,Application_Status_May!E$2:E$3000,"App*")+COUNTIFS(Application_Status_May!I$2:I$3000,_xlpm.u,Application_Status_May!E$2:E$3000,"Lease*"),IF(_xlpm.myCnt&gt;0,INDEX(_xlfn._xlws.FILTER(Application_Status_May!H$2:H$3000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Website</v>
      </c>
      <c r="H190" s="206" cm="1">
        <f t="array" ref="H190">_xlfn.LET(_xlpm.u,B190,_xlpm.myCnt,COUNTIFS(Application_Status_May!I$2:I$3000,_xlpm.u,Application_Status_May!E$2:E$3000,"App*")+COUNTIFS(Application_Status_May!I$2:I$3000,_xlpm.u,Application_Status_May!E$2:E$3000,"Lease*"),IF(_xlpm.myCnt&gt;0,INDEX(_xlfn._xlws.FILTER(Application_Status_May!J$2:J$3000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46122</v>
      </c>
      <c r="I190" s="206" cm="1">
        <f t="array" ref="I190">_xlfn.LET(_xlpm.u,B190,_xlpm.myCnt,COUNTIFS(Application_Status_May!I$2:I$3000,_xlpm.u,Application_Status_May!E$2:E$3000,"App*")+COUNTIFS(Application_Status_May!I$2:I$3000,_xlpm.u,Application_Status_May!E$2:E$3000,"Lease*"),IF(_xlpm.myCnt&gt;0,INDEX(_xlfn._xlws.FILTER(Application_Status_May!L$2:L$3000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46122</v>
      </c>
      <c r="J190" s="206" t="str">
        <f>IF(E190&lt;&gt;"Cancelled/Denied","—",_xlfn.LET(_xlpm.u,B190,_xlpm.myC,_xlfn.MAXIFS(Application_Status_May!R$2:R$3000,Application_Status_May!I$2:I$3000,_xlpm.u),_xlpm.myD,_xlfn.MAXIFS(Application_Status_May!S$2:S$3000,Application_Status_May!I$2:I$3000,_xlpm.u),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myC,_xlpm.myD,_xlpm.aC,_xlpm.aD,_xlpm.mC,_xlpm.mD,_xlpm.fC,_xlpm.fD)))</f>
        <v>—</v>
      </c>
      <c r="K190" s="205" t="str">
        <f t="shared" si="7"/>
        <v>—</v>
      </c>
    </row>
    <row r="191" spans="2:11">
      <c r="B191" s="635" t="str">
        <v>W05-1-0514</v>
      </c>
      <c r="C191" s="204" t="str" cm="1">
        <f t="array" ref="C191">_xlfn.LET(_xlpm.u,B191,_xlpm.myCnt,COUNTIFS(Application_Status_May!I$2:I$3000,_xlpm.u,Application_Status_May!E$2:E$3000,"App*")+COUNTIFS(Application_Status_May!I$2:I$3000,_xlpm.u,Application_Status_May!E$2:E$3000,"Lease*"),IF(_xlpm.myCnt&gt;0,INDEX(_xlfn._xlws.FILTER(Application_Status_May!B$2:B$3000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Zapata, Patricia</v>
      </c>
      <c r="D191" s="205" t="str" cm="1">
        <f t="array" ref="D191">_xlfn.LET(_xlpm.u,B191,_xlpm.myCnt,COUNTIFS(Application_Status_May!I$2:I$3000,_xlpm.u,Application_Status_May!E$2:E$3000,"App*")+COUNTIFS(Application_Status_May!I$2:I$3000,_xlpm.u,Application_Status_May!E$2:E$3000,"Lease*"),IF(_xlpm.myCnt&gt;0,INDEX(_xlfn._xlws.FILTER(Application_Status_May!E$2:E$3000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Cancelled</v>
      </c>
      <c r="E191" s="205" t="str">
        <f t="shared" si="6"/>
        <v>Cancelled/Denied</v>
      </c>
      <c r="F191" s="205" t="str" cm="1">
        <f t="array" ref="F191">_xlfn.LET(_xlpm.u,B191,_xlpm.myCnt,COUNTIFS(Application_Status_May!I$2:I$3000,_xlpm.u,Application_Status_May!E$2:E$3000,"App*")+COUNTIFS(Application_Status_May!I$2:I$3000,_xlpm.u,Application_Status_May!E$2:E$3000,"Lease*"),IF(_xlpm.myCnt&gt;0,INDEX(_xlfn._xlws.FILTER(Application_Status_May!F$2:F$3000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Martinez, Emily</v>
      </c>
      <c r="G191" s="205" t="str" cm="1">
        <f t="array" ref="G191">_xlfn.LET(_xlpm.u,B191,_xlpm.myCnt,COUNTIFS(Application_Status_May!I$2:I$3000,_xlpm.u,Application_Status_May!E$2:E$3000,"App*")+COUNTIFS(Application_Status_May!I$2:I$3000,_xlpm.u,Application_Status_May!E$2:E$3000,"Lease*"),IF(_xlpm.myCnt&gt;0,INDEX(_xlfn._xlws.FILTER(Application_Status_May!H$2:H$3000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Apartments.com</v>
      </c>
      <c r="H191" s="206" cm="1">
        <f t="array" ref="H191">_xlfn.LET(_xlpm.u,B191,_xlpm.myCnt,COUNTIFS(Application_Status_May!I$2:I$3000,_xlpm.u,Application_Status_May!E$2:E$3000,"App*")+COUNTIFS(Application_Status_May!I$2:I$3000,_xlpm.u,Application_Status_May!E$2:E$3000,"Lease*"),IF(_xlpm.myCnt&gt;0,INDEX(_xlfn._xlws.FILTER(Application_Status_May!J$2:J$3000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46077</v>
      </c>
      <c r="I191" s="206" cm="1">
        <f t="array" ref="I191">_xlfn.LET(_xlpm.u,B191,_xlpm.myCnt,COUNTIFS(Application_Status_May!I$2:I$3000,_xlpm.u,Application_Status_May!E$2:E$3000,"App*")+COUNTIFS(Application_Status_May!I$2:I$3000,_xlpm.u,Application_Status_May!E$2:E$3000,"Lease*"),IF(_xlpm.myCnt&gt;0,INDEX(_xlfn._xlws.FILTER(Application_Status_May!L$2:L$3000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46077</v>
      </c>
      <c r="J191" s="206">
        <f>IF(E191&lt;&gt;"Cancelled/Denied","—",_xlfn.LET(_xlpm.u,B191,_xlpm.myC,_xlfn.MAXIFS(Application_Status_May!R$2:R$3000,Application_Status_May!I$2:I$3000,_xlpm.u),_xlpm.myD,_xlfn.MAXIFS(Application_Status_May!S$2:S$3000,Application_Status_May!I$2:I$3000,_xlpm.u),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myC,_xlpm.myD,_xlpm.aC,_xlpm.aD,_xlpm.mC,_xlpm.mD,_xlpm.fC,_xlpm.fD)))</f>
        <v>46114</v>
      </c>
      <c r="K191" s="205" t="str">
        <f t="shared" si="7"/>
        <v>—</v>
      </c>
    </row>
    <row r="192" spans="2:11">
      <c r="B192" s="887" t="str">
        <v>W05-1-0518</v>
      </c>
      <c r="C192" s="204" t="str" cm="1">
        <f t="array" ref="C192">_xlfn.LET(_xlpm.u,B192,_xlpm.myCnt,COUNTIFS(Application_Status_May!I$2:I$3000,_xlpm.u,Application_Status_May!E$2:E$3000,"App*")+COUNTIFS(Application_Status_May!I$2:I$3000,_xlpm.u,Application_Status_May!E$2:E$3000,"Lease*"),IF(_xlpm.myCnt&gt;0,INDEX(_xlfn._xlws.FILTER(Application_Status_May!B$2:B$3000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Mcgowan, Deashia</v>
      </c>
      <c r="D192" s="205" t="str" cm="1">
        <f t="array" ref="D192">_xlfn.LET(_xlpm.u,B192,_xlpm.myCnt,COUNTIFS(Application_Status_May!I$2:I$3000,_xlpm.u,Application_Status_May!E$2:E$3000,"App*")+COUNTIFS(Application_Status_May!I$2:I$3000,_xlpm.u,Application_Status_May!E$2:E$3000,"Lease*"),IF(_xlpm.myCnt&gt;0,INDEX(_xlfn._xlws.FILTER(Application_Status_May!E$2:E$3000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Started</v>
      </c>
      <c r="E192" s="205" t="str">
        <f t="shared" si="6"/>
        <v>Incomplete</v>
      </c>
      <c r="F192" s="205" t="str" cm="1">
        <f t="array" ref="F192">_xlfn.LET(_xlpm.u,B192,_xlpm.myCnt,COUNTIFS(Application_Status_May!I$2:I$3000,_xlpm.u,Application_Status_May!E$2:E$3000,"App*")+COUNTIFS(Application_Status_May!I$2:I$3000,_xlpm.u,Application_Status_May!E$2:E$3000,"Lease*"),IF(_xlpm.myCnt&gt;0,INDEX(_xlfn._xlws.FILTER(Application_Status_May!F$2:F$3000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Not Assigned</v>
      </c>
      <c r="G192" s="205" t="str" cm="1">
        <f t="array" ref="G192">_xlfn.LET(_xlpm.u,B192,_xlpm.myCnt,COUNTIFS(Application_Status_May!I$2:I$3000,_xlpm.u,Application_Status_May!E$2:E$3000,"App*")+COUNTIFS(Application_Status_May!I$2:I$3000,_xlpm.u,Application_Status_May!E$2:E$3000,"Lease*"),IF(_xlpm.myCnt&gt;0,INDEX(_xlfn._xlws.FILTER(Application_Status_May!H$2:H$3000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Website</v>
      </c>
      <c r="H192" s="206" cm="1">
        <f t="array" ref="H192">_xlfn.LET(_xlpm.u,B192,_xlpm.myCnt,COUNTIFS(Application_Status_May!I$2:I$3000,_xlpm.u,Application_Status_May!E$2:E$3000,"App*")+COUNTIFS(Application_Status_May!I$2:I$3000,_xlpm.u,Application_Status_May!E$2:E$3000,"Lease*"),IF(_xlpm.myCnt&gt;0,INDEX(_xlfn._xlws.FILTER(Application_Status_May!J$2:J$3000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46146</v>
      </c>
      <c r="I192" s="206" cm="1">
        <f t="array" ref="I192">_xlfn.LET(_xlpm.u,B192,_xlpm.myCnt,COUNTIFS(Application_Status_May!I$2:I$3000,_xlpm.u,Application_Status_May!E$2:E$3000,"App*")+COUNTIFS(Application_Status_May!I$2:I$3000,_xlpm.u,Application_Status_May!E$2:E$3000,"Lease*"),IF(_xlpm.myCnt&gt;0,INDEX(_xlfn._xlws.FILTER(Application_Status_May!L$2:L$3000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0</v>
      </c>
      <c r="J192" s="206" t="str">
        <f>IF(E192&lt;&gt;"Cancelled/Denied","—",_xlfn.LET(_xlpm.u,B192,_xlpm.myC,_xlfn.MAXIFS(Application_Status_May!R$2:R$3000,Application_Status_May!I$2:I$3000,_xlpm.u),_xlpm.myD,_xlfn.MAXIFS(Application_Status_May!S$2:S$3000,Application_Status_May!I$2:I$3000,_xlpm.u),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myC,_xlpm.myD,_xlpm.aC,_xlpm.aD,_xlpm.mC,_xlpm.mD,_xlpm.fC,_xlpm.fD)))</f>
        <v>—</v>
      </c>
      <c r="K192" s="205">
        <f t="shared" si="7"/>
        <v>98</v>
      </c>
    </row>
    <row r="193" spans="2:11">
      <c r="B193" s="887" t="str">
        <v>W05-1-0522</v>
      </c>
      <c r="C193" s="204" t="str" cm="1">
        <f t="array" ref="C193">_xlfn.LET(_xlpm.u,B193,_xlpm.myCnt,COUNTIFS(Application_Status_May!I$2:I$3000,_xlpm.u,Application_Status_May!E$2:E$3000,"App*")+COUNTIFS(Application_Status_May!I$2:I$3000,_xlpm.u,Application_Status_May!E$2:E$3000,"Lease*"),IF(_xlpm.myCnt&gt;0,INDEX(_xlfn._xlws.FILTER(Application_Status_May!B$2:B$3000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Woods, Kelsee</v>
      </c>
      <c r="D193" s="205" t="str" cm="1">
        <f t="array" ref="D193">_xlfn.LET(_xlpm.u,B193,_xlpm.myCnt,COUNTIFS(Application_Status_May!I$2:I$3000,_xlpm.u,Application_Status_May!E$2:E$3000,"App*")+COUNTIFS(Application_Status_May!I$2:I$3000,_xlpm.u,Application_Status_May!E$2:E$3000,"Lease*"),IF(_xlpm.myCnt&gt;0,INDEX(_xlfn._xlws.FILTER(Application_Status_May!E$2:E$3000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Cancelled</v>
      </c>
      <c r="E193" s="205" t="str">
        <f t="shared" si="6"/>
        <v>Cancelled/Denied</v>
      </c>
      <c r="F193" s="205" t="str" cm="1">
        <f t="array" ref="F193">_xlfn.LET(_xlpm.u,B193,_xlpm.myCnt,COUNTIFS(Application_Status_May!I$2:I$3000,_xlpm.u,Application_Status_May!E$2:E$3000,"App*")+COUNTIFS(Application_Status_May!I$2:I$3000,_xlpm.u,Application_Status_May!E$2:E$3000,"Lease*"),IF(_xlpm.myCnt&gt;0,INDEX(_xlfn._xlws.FILTER(Application_Status_May!F$2:F$3000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Reyes, Josie</v>
      </c>
      <c r="G193" s="205" t="str" cm="1">
        <f t="array" ref="G193">_xlfn.LET(_xlpm.u,B193,_xlpm.myCnt,COUNTIFS(Application_Status_May!I$2:I$3000,_xlpm.u,Application_Status_May!E$2:E$3000,"App*")+COUNTIFS(Application_Status_May!I$2:I$3000,_xlpm.u,Application_Status_May!E$2:E$3000,"Lease*"),IF(_xlpm.myCnt&gt;0,INDEX(_xlfn._xlws.FILTER(Application_Status_May!H$2:H$3000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Website</v>
      </c>
      <c r="H193" s="206" cm="1">
        <f t="array" ref="H193">_xlfn.LET(_xlpm.u,B193,_xlpm.myCnt,COUNTIFS(Application_Status_May!I$2:I$3000,_xlpm.u,Application_Status_May!E$2:E$3000,"App*")+COUNTIFS(Application_Status_May!I$2:I$3000,_xlpm.u,Application_Status_May!E$2:E$3000,"Lease*"),IF(_xlpm.myCnt&gt;0,INDEX(_xlfn._xlws.FILTER(Application_Status_May!J$2:J$3000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46132</v>
      </c>
      <c r="I193" s="206" cm="1">
        <f t="array" ref="I193">_xlfn.LET(_xlpm.u,B193,_xlpm.myCnt,COUNTIFS(Application_Status_May!I$2:I$3000,_xlpm.u,Application_Status_May!E$2:E$3000,"App*")+COUNTIFS(Application_Status_May!I$2:I$3000,_xlpm.u,Application_Status_May!E$2:E$3000,"Lease*"),IF(_xlpm.myCnt&gt;0,INDEX(_xlfn._xlws.FILTER(Application_Status_May!L$2:L$3000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0</v>
      </c>
      <c r="J193" s="206">
        <f>IF(E193&lt;&gt;"Cancelled/Denied","—",_xlfn.LET(_xlpm.u,B193,_xlpm.myC,_xlfn.MAXIFS(Application_Status_May!R$2:R$3000,Application_Status_May!I$2:I$3000,_xlpm.u),_xlpm.myD,_xlfn.MAXIFS(Application_Status_May!S$2:S$3000,Application_Status_May!I$2:I$3000,_xlpm.u),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myC,_xlpm.myD,_xlpm.aC,_xlpm.aD,_xlpm.mC,_xlpm.mD,_xlpm.fC,_xlpm.fD)))</f>
        <v>46135</v>
      </c>
      <c r="K193" s="205" t="str">
        <f t="shared" si="7"/>
        <v>—</v>
      </c>
    </row>
    <row r="194" spans="2:11">
      <c r="B194" s="887" t="str">
        <v>W06-1-0613</v>
      </c>
      <c r="C194" s="204" t="str" cm="1">
        <f t="array" ref="C194">_xlfn.LET(_xlpm.u,B194,_xlpm.myCnt,COUNTIFS(Application_Status_May!I$2:I$3000,_xlpm.u,Application_Status_May!E$2:E$3000,"App*")+COUNTIFS(Application_Status_May!I$2:I$3000,_xlpm.u,Application_Status_May!E$2:E$3000,"Lease*"),IF(_xlpm.myCnt&gt;0,INDEX(_xlfn._xlws.FILTER(Application_Status_May!B$2:B$3000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HEMPSTEAD, ASHLEE</v>
      </c>
      <c r="D194" s="205" t="str" cm="1">
        <f t="array" ref="D194">_xlfn.LET(_xlpm.u,B194,_xlpm.myCnt,COUNTIFS(Application_Status_May!I$2:I$3000,_xlpm.u,Application_Status_May!E$2:E$3000,"App*")+COUNTIFS(Application_Status_May!I$2:I$3000,_xlpm.u,Application_Status_May!E$2:E$3000,"Lease*"),IF(_xlpm.myCnt&gt;0,INDEX(_xlfn._xlws.FILTER(Application_Status_May!E$2:E$3000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Started</v>
      </c>
      <c r="E194" s="205" t="str">
        <f t="shared" ref="E194:E246" si="8">IF(D194="Not Found","No Record",IF(OR(ISNUMBER(SEARCH("Cancelled",D194)),ISNUMBER(SEARCH("Denied",D194))),"Cancelled/Denied",IF(ISNUMBER(SEARCH("Lease",D194)),"Converted",IF(ISNUMBER(SEARCH("Completed",D194)),"In Review",IF(ISNUMBER(SEARCH("Started",D194)),"Incomplete","Other")))))</f>
        <v>Incomplete</v>
      </c>
      <c r="F194" s="205" t="str" cm="1">
        <f t="array" ref="F194">_xlfn.LET(_xlpm.u,B194,_xlpm.myCnt,COUNTIFS(Application_Status_May!I$2:I$3000,_xlpm.u,Application_Status_May!E$2:E$3000,"App*")+COUNTIFS(Application_Status_May!I$2:I$3000,_xlpm.u,Application_Status_May!E$2:E$3000,"Lease*"),IF(_xlpm.myCnt&gt;0,INDEX(_xlfn._xlws.FILTER(Application_Status_May!F$2:F$3000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Martinez, Emily</v>
      </c>
      <c r="G194" s="205" t="str" cm="1">
        <f t="array" ref="G194">_xlfn.LET(_xlpm.u,B194,_xlpm.myCnt,COUNTIFS(Application_Status_May!I$2:I$3000,_xlpm.u,Application_Status_May!E$2:E$3000,"App*")+COUNTIFS(Application_Status_May!I$2:I$3000,_xlpm.u,Application_Status_May!E$2:E$3000,"Lease*"),IF(_xlpm.myCnt&gt;0,INDEX(_xlfn._xlws.FILTER(Application_Status_May!H$2:H$3000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Website</v>
      </c>
      <c r="H194" s="206" cm="1">
        <f t="array" ref="H194">_xlfn.LET(_xlpm.u,B194,_xlpm.myCnt,COUNTIFS(Application_Status_May!I$2:I$3000,_xlpm.u,Application_Status_May!E$2:E$3000,"App*")+COUNTIFS(Application_Status_May!I$2:I$3000,_xlpm.u,Application_Status_May!E$2:E$3000,"Lease*"),IF(_xlpm.myCnt&gt;0,INDEX(_xlfn._xlws.FILTER(Application_Status_May!J$2:J$3000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46150</v>
      </c>
      <c r="I194" s="206" cm="1">
        <f t="array" ref="I194">_xlfn.LET(_xlpm.u,B194,_xlpm.myCnt,COUNTIFS(Application_Status_May!I$2:I$3000,_xlpm.u,Application_Status_May!E$2:E$3000,"App*")+COUNTIFS(Application_Status_May!I$2:I$3000,_xlpm.u,Application_Status_May!E$2:E$3000,"Lease*"),IF(_xlpm.myCnt&gt;0,INDEX(_xlfn._xlws.FILTER(Application_Status_May!L$2:L$3000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0</v>
      </c>
      <c r="J194" s="206" t="str">
        <f>IF(E194&lt;&gt;"Cancelled/Denied","—",_xlfn.LET(_xlpm.u,B194,_xlpm.myC,_xlfn.MAXIFS(Application_Status_May!R$2:R$3000,Application_Status_May!I$2:I$3000,_xlpm.u),_xlpm.myD,_xlfn.MAXIFS(Application_Status_May!S$2:S$3000,Application_Status_May!I$2:I$3000,_xlpm.u),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myC,_xlpm.myD,_xlpm.aC,_xlpm.aD,_xlpm.mC,_xlpm.mD,_xlpm.fC,_xlpm.fD)))</f>
        <v>—</v>
      </c>
      <c r="K194" s="205">
        <f t="shared" ref="K194:K246" si="9">IF(OR(E194="Cancelled/Denied",E194="Converted",E194="No Record",C194="NO RECORD"),"—",IF(ISNUMBER(H194),$C$3-H194,"—"))</f>
        <v>94</v>
      </c>
    </row>
    <row r="195" spans="2:11">
      <c r="B195" s="887" t="str">
        <v>W07-1-0703</v>
      </c>
      <c r="C195" s="204" t="str" cm="1">
        <f t="array" ref="C195">_xlfn.LET(_xlpm.u,B195,_xlpm.myCnt,COUNTIFS(Application_Status_May!I$2:I$3000,_xlpm.u,Application_Status_May!E$2:E$3000,"App*")+COUNTIFS(Application_Status_May!I$2:I$3000,_xlpm.u,Application_Status_May!E$2:E$3000,"Lease*"),IF(_xlpm.myCnt&gt;0,INDEX(_xlfn._xlws.FILTER(Application_Status_May!B$2:B$3000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Mezgebe, Filmon</v>
      </c>
      <c r="D195" s="205" t="str" cm="1">
        <f t="array" ref="D195">_xlfn.LET(_xlpm.u,B195,_xlpm.myCnt,COUNTIFS(Application_Status_May!I$2:I$3000,_xlpm.u,Application_Status_May!E$2:E$3000,"App*")+COUNTIFS(Application_Status_May!I$2:I$3000,_xlpm.u,Application_Status_May!E$2:E$3000,"Lease*"),IF(_xlpm.myCnt&gt;0,INDEX(_xlfn._xlws.FILTER(Application_Status_May!E$2:E$3000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Lease: Approved</v>
      </c>
      <c r="E195" s="205" t="str">
        <f t="shared" si="8"/>
        <v>Converted</v>
      </c>
      <c r="F195" s="205" t="str" cm="1">
        <f t="array" ref="F195">_xlfn.LET(_xlpm.u,B195,_xlpm.myCnt,COUNTIFS(Application_Status_May!I$2:I$3000,_xlpm.u,Application_Status_May!E$2:E$3000,"App*")+COUNTIFS(Application_Status_May!I$2:I$3000,_xlpm.u,Application_Status_May!E$2:E$3000,"Lease*"),IF(_xlpm.myCnt&gt;0,INDEX(_xlfn._xlws.FILTER(Application_Status_May!F$2:F$3000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Martinez, Briana</v>
      </c>
      <c r="G195" s="205" t="str" cm="1">
        <f t="array" ref="G195">_xlfn.LET(_xlpm.u,B195,_xlpm.myCnt,COUNTIFS(Application_Status_May!I$2:I$3000,_xlpm.u,Application_Status_May!E$2:E$3000,"App*")+COUNTIFS(Application_Status_May!I$2:I$3000,_xlpm.u,Application_Status_May!E$2:E$3000,"Lease*"),IF(_xlpm.myCnt&gt;0,INDEX(_xlfn._xlws.FILTER(Application_Status_May!H$2:H$3000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Website</v>
      </c>
      <c r="H195" s="206" cm="1">
        <f t="array" ref="H195">_xlfn.LET(_xlpm.u,B195,_xlpm.myCnt,COUNTIFS(Application_Status_May!I$2:I$3000,_xlpm.u,Application_Status_May!E$2:E$3000,"App*")+COUNTIFS(Application_Status_May!I$2:I$3000,_xlpm.u,Application_Status_May!E$2:E$3000,"Lease*"),IF(_xlpm.myCnt&gt;0,INDEX(_xlfn._xlws.FILTER(Application_Status_May!J$2:J$3000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46160</v>
      </c>
      <c r="I195" s="206" cm="1">
        <f t="array" ref="I195">_xlfn.LET(_xlpm.u,B195,_xlpm.myCnt,COUNTIFS(Application_Status_May!I$2:I$3000,_xlpm.u,Application_Status_May!E$2:E$3000,"App*")+COUNTIFS(Application_Status_May!I$2:I$3000,_xlpm.u,Application_Status_May!E$2:E$3000,"Lease*"),IF(_xlpm.myCnt&gt;0,INDEX(_xlfn._xlws.FILTER(Application_Status_May!L$2:L$3000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46160</v>
      </c>
      <c r="J195" s="206" t="str">
        <f>IF(E195&lt;&gt;"Cancelled/Denied","—",_xlfn.LET(_xlpm.u,B195,_xlpm.myC,_xlfn.MAXIFS(Application_Status_May!R$2:R$3000,Application_Status_May!I$2:I$3000,_xlpm.u),_xlpm.myD,_xlfn.MAXIFS(Application_Status_May!S$2:S$3000,Application_Status_May!I$2:I$3000,_xlpm.u),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myC,_xlpm.myD,_xlpm.aC,_xlpm.aD,_xlpm.mC,_xlpm.mD,_xlpm.fC,_xlpm.fD)))</f>
        <v>—</v>
      </c>
      <c r="K195" s="205" t="str">
        <f t="shared" si="9"/>
        <v>—</v>
      </c>
    </row>
    <row r="196" spans="2:11">
      <c r="B196" s="887" t="str">
        <v>W07-1-0708</v>
      </c>
      <c r="C196" s="204" t="str" cm="1">
        <f t="array" ref="C196">_xlfn.LET(_xlpm.u,B196,_xlpm.myCnt,COUNTIFS(Application_Status_May!I$2:I$3000,_xlpm.u,Application_Status_May!E$2:E$3000,"App*")+COUNTIFS(Application_Status_May!I$2:I$3000,_xlpm.u,Application_Status_May!E$2:E$3000,"Lease*"),IF(_xlpm.myCnt&gt;0,INDEX(_xlfn._xlws.FILTER(Application_Status_May!B$2:B$3000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Williams, Makaila</v>
      </c>
      <c r="D196" s="205" t="str" cm="1">
        <f t="array" ref="D196">_xlfn.LET(_xlpm.u,B196,_xlpm.myCnt,COUNTIFS(Application_Status_May!I$2:I$3000,_xlpm.u,Application_Status_May!E$2:E$3000,"App*")+COUNTIFS(Application_Status_May!I$2:I$3000,_xlpm.u,Application_Status_May!E$2:E$3000,"Lease*"),IF(_xlpm.myCnt&gt;0,INDEX(_xlfn._xlws.FILTER(Application_Status_May!E$2:E$3000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Cancelled</v>
      </c>
      <c r="E196" s="205" t="str">
        <f t="shared" si="8"/>
        <v>Cancelled/Denied</v>
      </c>
      <c r="F196" s="205" t="str" cm="1">
        <f t="array" ref="F196">_xlfn.LET(_xlpm.u,B196,_xlpm.myCnt,COUNTIFS(Application_Status_May!I$2:I$3000,_xlpm.u,Application_Status_May!E$2:E$3000,"App*")+COUNTIFS(Application_Status_May!I$2:I$3000,_xlpm.u,Application_Status_May!E$2:E$3000,"Lease*"),IF(_xlpm.myCnt&gt;0,INDEX(_xlfn._xlws.FILTER(Application_Status_May!F$2:F$3000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Martinez, Briana</v>
      </c>
      <c r="G196" s="205" t="str" cm="1">
        <f t="array" ref="G196">_xlfn.LET(_xlpm.u,B196,_xlpm.myCnt,COUNTIFS(Application_Status_May!I$2:I$3000,_xlpm.u,Application_Status_May!E$2:E$3000,"App*")+COUNTIFS(Application_Status_May!I$2:I$3000,_xlpm.u,Application_Status_May!E$2:E$3000,"Lease*"),IF(_xlpm.myCnt&gt;0,INDEX(_xlfn._xlws.FILTER(Application_Status_May!H$2:H$3000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Website</v>
      </c>
      <c r="H196" s="206" cm="1">
        <f t="array" ref="H196">_xlfn.LET(_xlpm.u,B196,_xlpm.myCnt,COUNTIFS(Application_Status_May!I$2:I$3000,_xlpm.u,Application_Status_May!E$2:E$3000,"App*")+COUNTIFS(Application_Status_May!I$2:I$3000,_xlpm.u,Application_Status_May!E$2:E$3000,"Lease*"),IF(_xlpm.myCnt&gt;0,INDEX(_xlfn._xlws.FILTER(Application_Status_May!J$2:J$3000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46058</v>
      </c>
      <c r="I196" s="206" cm="1">
        <f t="array" ref="I196">_xlfn.LET(_xlpm.u,B196,_xlpm.myCnt,COUNTIFS(Application_Status_May!I$2:I$3000,_xlpm.u,Application_Status_May!E$2:E$3000,"App*")+COUNTIFS(Application_Status_May!I$2:I$3000,_xlpm.u,Application_Status_May!E$2:E$3000,"Lease*"),IF(_xlpm.myCnt&gt;0,INDEX(_xlfn._xlws.FILTER(Application_Status_May!L$2:L$3000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46058</v>
      </c>
      <c r="J196" s="206">
        <f>IF(E196&lt;&gt;"Cancelled/Denied","—",_xlfn.LET(_xlpm.u,B196,_xlpm.myC,_xlfn.MAXIFS(Application_Status_May!R$2:R$3000,Application_Status_May!I$2:I$3000,_xlpm.u),_xlpm.myD,_xlfn.MAXIFS(Application_Status_May!S$2:S$3000,Application_Status_May!I$2:I$3000,_xlpm.u),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myC,_xlpm.myD,_xlpm.aC,_xlpm.aD,_xlpm.mC,_xlpm.mD,_xlpm.fC,_xlpm.fD)))</f>
        <v>46114</v>
      </c>
      <c r="K196" s="205" t="str">
        <f t="shared" si="9"/>
        <v>—</v>
      </c>
    </row>
    <row r="197" spans="2:11">
      <c r="B197" s="887" t="str">
        <v>W07-1-0717</v>
      </c>
      <c r="C197" s="204" t="str" cm="1">
        <f t="array" ref="C197">_xlfn.LET(_xlpm.u,B197,_xlpm.myCnt,COUNTIFS(Application_Status_May!I$2:I$3000,_xlpm.u,Application_Status_May!E$2:E$3000,"App*")+COUNTIFS(Application_Status_May!I$2:I$3000,_xlpm.u,Application_Status_May!E$2:E$3000,"Lease*"),IF(_xlpm.myCnt&gt;0,INDEX(_xlfn._xlws.FILTER(Application_Status_May!B$2:B$3000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Ameh, Agnes</v>
      </c>
      <c r="D197" s="205" t="str" cm="1">
        <f t="array" ref="D197">_xlfn.LET(_xlpm.u,B197,_xlpm.myCnt,COUNTIFS(Application_Status_May!I$2:I$3000,_xlpm.u,Application_Status_May!E$2:E$3000,"App*")+COUNTIFS(Application_Status_May!I$2:I$3000,_xlpm.u,Application_Status_May!E$2:E$3000,"Lease*"),IF(_xlpm.myCnt&gt;0,INDEX(_xlfn._xlws.FILTER(Application_Status_May!E$2:E$3000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Lease: Approved</v>
      </c>
      <c r="E197" s="205" t="str">
        <f t="shared" si="8"/>
        <v>Converted</v>
      </c>
      <c r="F197" s="205" t="str" cm="1">
        <f t="array" ref="F197">_xlfn.LET(_xlpm.u,B197,_xlpm.myCnt,COUNTIFS(Application_Status_May!I$2:I$3000,_xlpm.u,Application_Status_May!E$2:E$3000,"App*")+COUNTIFS(Application_Status_May!I$2:I$3000,_xlpm.u,Application_Status_May!E$2:E$3000,"Lease*"),IF(_xlpm.myCnt&gt;0,INDEX(_xlfn._xlws.FILTER(Application_Status_May!F$2:F$3000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Martinez, Briana</v>
      </c>
      <c r="G197" s="205" t="str" cm="1">
        <f t="array" ref="G197">_xlfn.LET(_xlpm.u,B197,_xlpm.myCnt,COUNTIFS(Application_Status_May!I$2:I$3000,_xlpm.u,Application_Status_May!E$2:E$3000,"App*")+COUNTIFS(Application_Status_May!I$2:I$3000,_xlpm.u,Application_Status_May!E$2:E$3000,"Lease*"),IF(_xlpm.myCnt&gt;0,INDEX(_xlfn._xlws.FILTER(Application_Status_May!H$2:H$3000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Drive By</v>
      </c>
      <c r="H197" s="206" cm="1">
        <f t="array" ref="H197">_xlfn.LET(_xlpm.u,B197,_xlpm.myCnt,COUNTIFS(Application_Status_May!I$2:I$3000,_xlpm.u,Application_Status_May!E$2:E$3000,"App*")+COUNTIFS(Application_Status_May!I$2:I$3000,_xlpm.u,Application_Status_May!E$2:E$3000,"Lease*"),IF(_xlpm.myCnt&gt;0,INDEX(_xlfn._xlws.FILTER(Application_Status_May!J$2:J$3000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46062</v>
      </c>
      <c r="I197" s="206" cm="1">
        <f t="array" ref="I197">_xlfn.LET(_xlpm.u,B197,_xlpm.myCnt,COUNTIFS(Application_Status_May!I$2:I$3000,_xlpm.u,Application_Status_May!E$2:E$3000,"App*")+COUNTIFS(Application_Status_May!I$2:I$3000,_xlpm.u,Application_Status_May!E$2:E$3000,"Lease*"),IF(_xlpm.myCnt&gt;0,INDEX(_xlfn._xlws.FILTER(Application_Status_May!L$2:L$3000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46104</v>
      </c>
      <c r="J197" s="206" t="str">
        <f>IF(E197&lt;&gt;"Cancelled/Denied","—",_xlfn.LET(_xlpm.u,B197,_xlpm.myC,_xlfn.MAXIFS(Application_Status_May!R$2:R$3000,Application_Status_May!I$2:I$3000,_xlpm.u),_xlpm.myD,_xlfn.MAXIFS(Application_Status_May!S$2:S$3000,Application_Status_May!I$2:I$3000,_xlpm.u),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myC,_xlpm.myD,_xlpm.aC,_xlpm.aD,_xlpm.mC,_xlpm.mD,_xlpm.fC,_xlpm.fD)))</f>
        <v>—</v>
      </c>
      <c r="K197" s="205" t="str">
        <f t="shared" si="9"/>
        <v>—</v>
      </c>
    </row>
    <row r="198" spans="2:11">
      <c r="B198" s="887" t="str">
        <v>W07-1-0723</v>
      </c>
      <c r="C198" s="204" t="str" cm="1">
        <f t="array" ref="C198">_xlfn.LET(_xlpm.u,B198,_xlpm.myCnt,COUNTIFS(Application_Status_May!I$2:I$3000,_xlpm.u,Application_Status_May!E$2:E$3000,"App*")+COUNTIFS(Application_Status_May!I$2:I$3000,_xlpm.u,Application_Status_May!E$2:E$3000,"Lease*"),IF(_xlpm.myCnt&gt;0,INDEX(_xlfn._xlws.FILTER(Application_Status_May!B$2:B$3000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De Leon, Jesse</v>
      </c>
      <c r="D198" s="205" t="str" cm="1">
        <f t="array" ref="D198">_xlfn.LET(_xlpm.u,B198,_xlpm.myCnt,COUNTIFS(Application_Status_May!I$2:I$3000,_xlpm.u,Application_Status_May!E$2:E$3000,"App*")+COUNTIFS(Application_Status_May!I$2:I$3000,_xlpm.u,Application_Status_May!E$2:E$3000,"Lease*"),IF(_xlpm.myCnt&gt;0,INDEX(_xlfn._xlws.FILTER(Application_Status_May!E$2:E$3000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Completed</v>
      </c>
      <c r="E198" s="205" t="str">
        <f t="shared" si="8"/>
        <v>In Review</v>
      </c>
      <c r="F198" s="205" t="str" cm="1">
        <f t="array" ref="F198">_xlfn.LET(_xlpm.u,B198,_xlpm.myCnt,COUNTIFS(Application_Status_May!I$2:I$3000,_xlpm.u,Application_Status_May!E$2:E$3000,"App*")+COUNTIFS(Application_Status_May!I$2:I$3000,_xlpm.u,Application_Status_May!E$2:E$3000,"Lease*"),IF(_xlpm.myCnt&gt;0,INDEX(_xlfn._xlws.FILTER(Application_Status_May!F$2:F$3000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Vazquez, Norma</v>
      </c>
      <c r="G198" s="205" t="str" cm="1">
        <f t="array" ref="G198">_xlfn.LET(_xlpm.u,B198,_xlpm.myCnt,COUNTIFS(Application_Status_May!I$2:I$3000,_xlpm.u,Application_Status_May!E$2:E$3000,"App*")+COUNTIFS(Application_Status_May!I$2:I$3000,_xlpm.u,Application_Status_May!E$2:E$3000,"Lease*"),IF(_xlpm.myCnt&gt;0,INDEX(_xlfn._xlws.FILTER(Application_Status_May!H$2:H$3000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Apartments.com</v>
      </c>
      <c r="H198" s="206" cm="1">
        <f t="array" ref="H198">_xlfn.LET(_xlpm.u,B198,_xlpm.myCnt,COUNTIFS(Application_Status_May!I$2:I$3000,_xlpm.u,Application_Status_May!E$2:E$3000,"App*")+COUNTIFS(Application_Status_May!I$2:I$3000,_xlpm.u,Application_Status_May!E$2:E$3000,"Lease*"),IF(_xlpm.myCnt&gt;0,INDEX(_xlfn._xlws.FILTER(Application_Status_May!J$2:J$3000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46164</v>
      </c>
      <c r="I198" s="206" cm="1">
        <f t="array" ref="I198">_xlfn.LET(_xlpm.u,B198,_xlpm.myCnt,COUNTIFS(Application_Status_May!I$2:I$3000,_xlpm.u,Application_Status_May!E$2:E$3000,"App*")+COUNTIFS(Application_Status_May!I$2:I$3000,_xlpm.u,Application_Status_May!E$2:E$3000,"Lease*"),IF(_xlpm.myCnt&gt;0,INDEX(_xlfn._xlws.FILTER(Application_Status_May!L$2:L$3000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46167</v>
      </c>
      <c r="J198" s="206" t="str">
        <f>IF(E198&lt;&gt;"Cancelled/Denied","—",_xlfn.LET(_xlpm.u,B198,_xlpm.myC,_xlfn.MAXIFS(Application_Status_May!R$2:R$3000,Application_Status_May!I$2:I$3000,_xlpm.u),_xlpm.myD,_xlfn.MAXIFS(Application_Status_May!S$2:S$3000,Application_Status_May!I$2:I$3000,_xlpm.u),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myC,_xlpm.myD,_xlpm.aC,_xlpm.aD,_xlpm.mC,_xlpm.mD,_xlpm.fC,_xlpm.fD)))</f>
        <v>—</v>
      </c>
      <c r="K198" s="205">
        <f t="shared" si="9"/>
        <v>80</v>
      </c>
    </row>
    <row r="199" spans="2:11">
      <c r="B199" s="887" t="str">
        <v>W07-1-0724</v>
      </c>
      <c r="C199" s="204" t="str" cm="1">
        <f t="array" ref="C199">_xlfn.LET(_xlpm.u,B199,_xlpm.myCnt,COUNTIFS(Application_Status_May!I$2:I$3000,_xlpm.u,Application_Status_May!E$2:E$3000,"App*")+COUNTIFS(Application_Status_May!I$2:I$3000,_xlpm.u,Application_Status_May!E$2:E$3000,"Lease*"),IF(_xlpm.myCnt&gt;0,INDEX(_xlfn._xlws.FILTER(Application_Status_May!B$2:B$3000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Wilkin, Robert</v>
      </c>
      <c r="D199" s="205" t="str" cm="1">
        <f t="array" ref="D199">_xlfn.LET(_xlpm.u,B199,_xlpm.myCnt,COUNTIFS(Application_Status_May!I$2:I$3000,_xlpm.u,Application_Status_May!E$2:E$3000,"App*")+COUNTIFS(Application_Status_May!I$2:I$3000,_xlpm.u,Application_Status_May!E$2:E$3000,"Lease*"),IF(_xlpm.myCnt&gt;0,INDEX(_xlfn._xlws.FILTER(Application_Status_May!E$2:E$3000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Started</v>
      </c>
      <c r="E199" s="205" t="str">
        <f t="shared" si="8"/>
        <v>Incomplete</v>
      </c>
      <c r="F199" s="205" t="str" cm="1">
        <f t="array" ref="F199">_xlfn.LET(_xlpm.u,B199,_xlpm.myCnt,COUNTIFS(Application_Status_May!I$2:I$3000,_xlpm.u,Application_Status_May!E$2:E$3000,"App*")+COUNTIFS(Application_Status_May!I$2:I$3000,_xlpm.u,Application_Status_May!E$2:E$3000,"Lease*"),IF(_xlpm.myCnt&gt;0,INDEX(_xlfn._xlws.FILTER(Application_Status_May!F$2:F$3000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Elise, Meet</v>
      </c>
      <c r="G199" s="205" t="str" cm="1">
        <f t="array" ref="G199">_xlfn.LET(_xlpm.u,B199,_xlpm.myCnt,COUNTIFS(Application_Status_May!I$2:I$3000,_xlpm.u,Application_Status_May!E$2:E$3000,"App*")+COUNTIFS(Application_Status_May!I$2:I$3000,_xlpm.u,Application_Status_May!E$2:E$3000,"Lease*"),IF(_xlpm.myCnt&gt;0,INDEX(_xlfn._xlws.FILTER(Application_Status_May!H$2:H$3000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Website</v>
      </c>
      <c r="H199" s="206" cm="1">
        <f t="array" ref="H199">_xlfn.LET(_xlpm.u,B199,_xlpm.myCnt,COUNTIFS(Application_Status_May!I$2:I$3000,_xlpm.u,Application_Status_May!E$2:E$3000,"App*")+COUNTIFS(Application_Status_May!I$2:I$3000,_xlpm.u,Application_Status_May!E$2:E$3000,"Lease*"),IF(_xlpm.myCnt&gt;0,INDEX(_xlfn._xlws.FILTER(Application_Status_May!J$2:J$3000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46162</v>
      </c>
      <c r="I199" s="206" cm="1">
        <f t="array" ref="I199">_xlfn.LET(_xlpm.u,B199,_xlpm.myCnt,COUNTIFS(Application_Status_May!I$2:I$3000,_xlpm.u,Application_Status_May!E$2:E$3000,"App*")+COUNTIFS(Application_Status_May!I$2:I$3000,_xlpm.u,Application_Status_May!E$2:E$3000,"Lease*"),IF(_xlpm.myCnt&gt;0,INDEX(_xlfn._xlws.FILTER(Application_Status_May!L$2:L$3000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0</v>
      </c>
      <c r="J199" s="206" t="str">
        <f>IF(E199&lt;&gt;"Cancelled/Denied","—",_xlfn.LET(_xlpm.u,B199,_xlpm.myC,_xlfn.MAXIFS(Application_Status_May!R$2:R$3000,Application_Status_May!I$2:I$3000,_xlpm.u),_xlpm.myD,_xlfn.MAXIFS(Application_Status_May!S$2:S$3000,Application_Status_May!I$2:I$3000,_xlpm.u),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myC,_xlpm.myD,_xlpm.aC,_xlpm.aD,_xlpm.mC,_xlpm.mD,_xlpm.fC,_xlpm.fD)))</f>
        <v>—</v>
      </c>
      <c r="K199" s="205">
        <f t="shared" si="9"/>
        <v>82</v>
      </c>
    </row>
    <row r="200" spans="2:11">
      <c r="B200" s="887" t="str">
        <v>W08-1-0807</v>
      </c>
      <c r="C200" s="204" t="str" cm="1">
        <f t="array" ref="C200">_xlfn.LET(_xlpm.u,B200,_xlpm.myCnt,COUNTIFS(Application_Status_May!I$2:I$3000,_xlpm.u,Application_Status_May!E$2:E$3000,"App*")+COUNTIFS(Application_Status_May!I$2:I$3000,_xlpm.u,Application_Status_May!E$2:E$3000,"Lease*"),IF(_xlpm.myCnt&gt;0,INDEX(_xlfn._xlws.FILTER(Application_Status_May!B$2:B$3000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Adevu, Makafui</v>
      </c>
      <c r="D200" s="205" t="str" cm="1">
        <f t="array" ref="D200">_xlfn.LET(_xlpm.u,B200,_xlpm.myCnt,COUNTIFS(Application_Status_May!I$2:I$3000,_xlpm.u,Application_Status_May!E$2:E$3000,"App*")+COUNTIFS(Application_Status_May!I$2:I$3000,_xlpm.u,Application_Status_May!E$2:E$3000,"Lease*"),IF(_xlpm.myCnt&gt;0,INDEX(_xlfn._xlws.FILTER(Application_Status_May!E$2:E$3000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Lease: Approved</v>
      </c>
      <c r="E200" s="205" t="str">
        <f t="shared" si="8"/>
        <v>Converted</v>
      </c>
      <c r="F200" s="205" t="str" cm="1">
        <f t="array" ref="F200">_xlfn.LET(_xlpm.u,B200,_xlpm.myCnt,COUNTIFS(Application_Status_May!I$2:I$3000,_xlpm.u,Application_Status_May!E$2:E$3000,"App*")+COUNTIFS(Application_Status_May!I$2:I$3000,_xlpm.u,Application_Status_May!E$2:E$3000,"Lease*"),IF(_xlpm.myCnt&gt;0,INDEX(_xlfn._xlws.FILTER(Application_Status_May!F$2:F$3000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Martinez, Emily</v>
      </c>
      <c r="G200" s="205" t="str" cm="1">
        <f t="array" ref="G200">_xlfn.LET(_xlpm.u,B200,_xlpm.myCnt,COUNTIFS(Application_Status_May!I$2:I$3000,_xlpm.u,Application_Status_May!E$2:E$3000,"App*")+COUNTIFS(Application_Status_May!I$2:I$3000,_xlpm.u,Application_Status_May!E$2:E$3000,"Lease*"),IF(_xlpm.myCnt&gt;0,INDEX(_xlfn._xlws.FILTER(Application_Status_May!H$2:H$3000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Resident Referral</v>
      </c>
      <c r="H200" s="206" cm="1">
        <f t="array" ref="H200">_xlfn.LET(_xlpm.u,B200,_xlpm.myCnt,COUNTIFS(Application_Status_May!I$2:I$3000,_xlpm.u,Application_Status_May!E$2:E$3000,"App*")+COUNTIFS(Application_Status_May!I$2:I$3000,_xlpm.u,Application_Status_May!E$2:E$3000,"Lease*"),IF(_xlpm.myCnt&gt;0,INDEX(_xlfn._xlws.FILTER(Application_Status_May!J$2:J$3000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46145</v>
      </c>
      <c r="I200" s="206" cm="1">
        <f t="array" ref="I200">_xlfn.LET(_xlpm.u,B200,_xlpm.myCnt,COUNTIFS(Application_Status_May!I$2:I$3000,_xlpm.u,Application_Status_May!E$2:E$3000,"App*")+COUNTIFS(Application_Status_May!I$2:I$3000,_xlpm.u,Application_Status_May!E$2:E$3000,"Lease*"),IF(_xlpm.myCnt&gt;0,INDEX(_xlfn._xlws.FILTER(Application_Status_May!L$2:L$3000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46151</v>
      </c>
      <c r="J200" s="206" t="str">
        <f>IF(E200&lt;&gt;"Cancelled/Denied","—",_xlfn.LET(_xlpm.u,B200,_xlpm.myC,_xlfn.MAXIFS(Application_Status_May!R$2:R$3000,Application_Status_May!I$2:I$3000,_xlpm.u),_xlpm.myD,_xlfn.MAXIFS(Application_Status_May!S$2:S$3000,Application_Status_May!I$2:I$3000,_xlpm.u),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myC,_xlpm.myD,_xlpm.aC,_xlpm.aD,_xlpm.mC,_xlpm.mD,_xlpm.fC,_xlpm.fD)))</f>
        <v>—</v>
      </c>
      <c r="K200" s="205" t="str">
        <f t="shared" si="9"/>
        <v>—</v>
      </c>
    </row>
    <row r="201" spans="2:11">
      <c r="B201" s="888" t="str">
        <v>W08-1-0816</v>
      </c>
      <c r="C201" s="204" t="str" cm="1">
        <f t="array" ref="C201">_xlfn.LET(_xlpm.u,B201,_xlpm.myCnt,COUNTIFS(Application_Status_May!I$2:I$3000,_xlpm.u,Application_Status_May!E$2:E$3000,"App*")+COUNTIFS(Application_Status_May!I$2:I$3000,_xlpm.u,Application_Status_May!E$2:E$3000,"Lease*"),IF(_xlpm.myCnt&gt;0,INDEX(_xlfn._xlws.FILTER(Application_Status_May!B$2:B$3000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Straughter, Gerald</v>
      </c>
      <c r="D201" s="205" t="str" cm="1">
        <f t="array" ref="D201">_xlfn.LET(_xlpm.u,B201,_xlpm.myCnt,COUNTIFS(Application_Status_May!I$2:I$3000,_xlpm.u,Application_Status_May!E$2:E$3000,"App*")+COUNTIFS(Application_Status_May!I$2:I$3000,_xlpm.u,Application_Status_May!E$2:E$3000,"Lease*"),IF(_xlpm.myCnt&gt;0,INDEX(_xlfn._xlws.FILTER(Application_Status_May!E$2:E$3000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Lease: Approved</v>
      </c>
      <c r="E201" s="205" t="str">
        <f t="shared" si="8"/>
        <v>Converted</v>
      </c>
      <c r="F201" s="205" t="str" cm="1">
        <f t="array" ref="F201">_xlfn.LET(_xlpm.u,B201,_xlpm.myCnt,COUNTIFS(Application_Status_May!I$2:I$3000,_xlpm.u,Application_Status_May!E$2:E$3000,"App*")+COUNTIFS(Application_Status_May!I$2:I$3000,_xlpm.u,Application_Status_May!E$2:E$3000,"Lease*"),IF(_xlpm.myCnt&gt;0,INDEX(_xlfn._xlws.FILTER(Application_Status_May!F$2:F$3000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Rodriguez, Jennifer</v>
      </c>
      <c r="G201" s="205" t="str" cm="1">
        <f t="array" ref="G201">_xlfn.LET(_xlpm.u,B201,_xlpm.myCnt,COUNTIFS(Application_Status_May!I$2:I$3000,_xlpm.u,Application_Status_May!E$2:E$3000,"App*")+COUNTIFS(Application_Status_May!I$2:I$3000,_xlpm.u,Application_Status_May!E$2:E$3000,"Lease*"),IF(_xlpm.myCnt&gt;0,INDEX(_xlfn._xlws.FILTER(Application_Status_May!H$2:H$3000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Apartments.com</v>
      </c>
      <c r="H201" s="206" cm="1">
        <f t="array" ref="H201">_xlfn.LET(_xlpm.u,B201,_xlpm.myCnt,COUNTIFS(Application_Status_May!I$2:I$3000,_xlpm.u,Application_Status_May!E$2:E$3000,"App*")+COUNTIFS(Application_Status_May!I$2:I$3000,_xlpm.u,Application_Status_May!E$2:E$3000,"Lease*"),IF(_xlpm.myCnt&gt;0,INDEX(_xlfn._xlws.FILTER(Application_Status_May!J$2:J$3000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46136</v>
      </c>
      <c r="I201" s="206" cm="1">
        <f t="array" ref="I201">_xlfn.LET(_xlpm.u,B201,_xlpm.myCnt,COUNTIFS(Application_Status_May!I$2:I$3000,_xlpm.u,Application_Status_May!E$2:E$3000,"App*")+COUNTIFS(Application_Status_May!I$2:I$3000,_xlpm.u,Application_Status_May!E$2:E$3000,"Lease*"),IF(_xlpm.myCnt&gt;0,INDEX(_xlfn._xlws.FILTER(Application_Status_May!L$2:L$3000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46141</v>
      </c>
      <c r="J201" s="206" t="str">
        <f>IF(E201&lt;&gt;"Cancelled/Denied","—",_xlfn.LET(_xlpm.u,B201,_xlpm.myC,_xlfn.MAXIFS(Application_Status_May!R$2:R$3000,Application_Status_May!I$2:I$3000,_xlpm.u),_xlpm.myD,_xlfn.MAXIFS(Application_Status_May!S$2:S$3000,Application_Status_May!I$2:I$3000,_xlpm.u),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myC,_xlpm.myD,_xlpm.aC,_xlpm.aD,_xlpm.mC,_xlpm.mD,_xlpm.fC,_xlpm.fD)))</f>
        <v>—</v>
      </c>
      <c r="K201" s="205" t="str">
        <f t="shared" si="9"/>
        <v>—</v>
      </c>
    </row>
    <row r="202" spans="2:11">
      <c r="B202" s="1033" t="str">
        <v>W09-1-0904</v>
      </c>
      <c r="C202" s="204" t="str" cm="1">
        <f t="array" ref="C202">_xlfn.LET(_xlpm.u,B202,_xlpm.myCnt,COUNTIFS(Application_Status_May!I$2:I$3000,_xlpm.u,Application_Status_May!E$2:E$3000,"App*")+COUNTIFS(Application_Status_May!I$2:I$3000,_xlpm.u,Application_Status_May!E$2:E$3000,"Lease*"),IF(_xlpm.myCnt&gt;0,INDEX(_xlfn._xlws.FILTER(Application_Status_May!B$2:B$3000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Samuels, Azariah</v>
      </c>
      <c r="D202" s="205" t="str" cm="1">
        <f t="array" ref="D202">_xlfn.LET(_xlpm.u,B202,_xlpm.myCnt,COUNTIFS(Application_Status_May!I$2:I$3000,_xlpm.u,Application_Status_May!E$2:E$3000,"App*")+COUNTIFS(Application_Status_May!I$2:I$3000,_xlpm.u,Application_Status_May!E$2:E$3000,"Lease*"),IF(_xlpm.myCnt&gt;0,INDEX(_xlfn._xlws.FILTER(Application_Status_May!E$2:E$3000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Started</v>
      </c>
      <c r="E202" s="205" t="str">
        <f t="shared" si="8"/>
        <v>Incomplete</v>
      </c>
      <c r="F202" s="205" t="str" cm="1">
        <f t="array" ref="F202">_xlfn.LET(_xlpm.u,B202,_xlpm.myCnt,COUNTIFS(Application_Status_May!I$2:I$3000,_xlpm.u,Application_Status_May!E$2:E$3000,"App*")+COUNTIFS(Application_Status_May!I$2:I$3000,_xlpm.u,Application_Status_May!E$2:E$3000,"Lease*"),IF(_xlpm.myCnt&gt;0,INDEX(_xlfn._xlws.FILTER(Application_Status_May!F$2:F$3000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Elise, Meet</v>
      </c>
      <c r="G202" s="205" t="str" cm="1">
        <f t="array" ref="G202">_xlfn.LET(_xlpm.u,B202,_xlpm.myCnt,COUNTIFS(Application_Status_May!I$2:I$3000,_xlpm.u,Application_Status_May!E$2:E$3000,"App*")+COUNTIFS(Application_Status_May!I$2:I$3000,_xlpm.u,Application_Status_May!E$2:E$3000,"Lease*"),IF(_xlpm.myCnt&gt;0,INDEX(_xlfn._xlws.FILTER(Application_Status_May!H$2:H$3000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Website</v>
      </c>
      <c r="H202" s="206" cm="1">
        <f t="array" ref="H202">_xlfn.LET(_xlpm.u,B202,_xlpm.myCnt,COUNTIFS(Application_Status_May!I$2:I$3000,_xlpm.u,Application_Status_May!E$2:E$3000,"App*")+COUNTIFS(Application_Status_May!I$2:I$3000,_xlpm.u,Application_Status_May!E$2:E$3000,"Lease*"),IF(_xlpm.myCnt&gt;0,INDEX(_xlfn._xlws.FILTER(Application_Status_May!J$2:J$3000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46158</v>
      </c>
      <c r="I202" s="206" cm="1">
        <f t="array" ref="I202">_xlfn.LET(_xlpm.u,B202,_xlpm.myCnt,COUNTIFS(Application_Status_May!I$2:I$3000,_xlpm.u,Application_Status_May!E$2:E$3000,"App*")+COUNTIFS(Application_Status_May!I$2:I$3000,_xlpm.u,Application_Status_May!E$2:E$3000,"Lease*"),IF(_xlpm.myCnt&gt;0,INDEX(_xlfn._xlws.FILTER(Application_Status_May!L$2:L$3000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0</v>
      </c>
      <c r="J202" s="206" t="str">
        <f>IF(E202&lt;&gt;"Cancelled/Denied","—",_xlfn.LET(_xlpm.u,B202,_xlpm.myC,_xlfn.MAXIFS(Application_Status_May!R$2:R$3000,Application_Status_May!I$2:I$3000,_xlpm.u),_xlpm.myD,_xlfn.MAXIFS(Application_Status_May!S$2:S$3000,Application_Status_May!I$2:I$3000,_xlpm.u),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myC,_xlpm.myD,_xlpm.aC,_xlpm.aD,_xlpm.mC,_xlpm.mD,_xlpm.fC,_xlpm.fD)))</f>
        <v>—</v>
      </c>
      <c r="K202" s="205">
        <f t="shared" si="9"/>
        <v>86</v>
      </c>
    </row>
    <row r="203" spans="2:11">
      <c r="B203" s="1033" t="str">
        <v>W09-1-0910</v>
      </c>
      <c r="C203" s="204" t="str" cm="1">
        <f t="array" ref="C203">_xlfn.LET(_xlpm.u,B203,_xlpm.myCnt,COUNTIFS(Application_Status_May!I$2:I$3000,_xlpm.u,Application_Status_May!E$2:E$3000,"App*")+COUNTIFS(Application_Status_May!I$2:I$3000,_xlpm.u,Application_Status_May!E$2:E$3000,"Lease*"),IF(_xlpm.myCnt&gt;0,INDEX(_xlfn._xlws.FILTER(Application_Status_May!B$2:B$3000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Roberson, Kierston</v>
      </c>
      <c r="D203" s="205" t="str" cm="1">
        <f t="array" ref="D203">_xlfn.LET(_xlpm.u,B203,_xlpm.myCnt,COUNTIFS(Application_Status_May!I$2:I$3000,_xlpm.u,Application_Status_May!E$2:E$3000,"App*")+COUNTIFS(Application_Status_May!I$2:I$3000,_xlpm.u,Application_Status_May!E$2:E$3000,"Lease*"),IF(_xlpm.myCnt&gt;0,INDEX(_xlfn._xlws.FILTER(Application_Status_May!E$2:E$3000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Started</v>
      </c>
      <c r="E203" s="205" t="str">
        <f t="shared" si="8"/>
        <v>Incomplete</v>
      </c>
      <c r="F203" s="205" t="str" cm="1">
        <f t="array" ref="F203">_xlfn.LET(_xlpm.u,B203,_xlpm.myCnt,COUNTIFS(Application_Status_May!I$2:I$3000,_xlpm.u,Application_Status_May!E$2:E$3000,"App*")+COUNTIFS(Application_Status_May!I$2:I$3000,_xlpm.u,Application_Status_May!E$2:E$3000,"Lease*"),IF(_xlpm.myCnt&gt;0,INDEX(_xlfn._xlws.FILTER(Application_Status_May!F$2:F$3000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Not Assigned</v>
      </c>
      <c r="G203" s="205" t="str" cm="1">
        <f t="array" ref="G203">_xlfn.LET(_xlpm.u,B203,_xlpm.myCnt,COUNTIFS(Application_Status_May!I$2:I$3000,_xlpm.u,Application_Status_May!E$2:E$3000,"App*")+COUNTIFS(Application_Status_May!I$2:I$3000,_xlpm.u,Application_Status_May!E$2:E$3000,"Lease*"),IF(_xlpm.myCnt&gt;0,INDEX(_xlfn._xlws.FILTER(Application_Status_May!H$2:H$3000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Website</v>
      </c>
      <c r="H203" s="206" cm="1">
        <f t="array" ref="H203">_xlfn.LET(_xlpm.u,B203,_xlpm.myCnt,COUNTIFS(Application_Status_May!I$2:I$3000,_xlpm.u,Application_Status_May!E$2:E$3000,"App*")+COUNTIFS(Application_Status_May!I$2:I$3000,_xlpm.u,Application_Status_May!E$2:E$3000,"Lease*"),IF(_xlpm.myCnt&gt;0,INDEX(_xlfn._xlws.FILTER(Application_Status_May!J$2:J$3000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46148</v>
      </c>
      <c r="I203" s="206" cm="1">
        <f t="array" ref="I203">_xlfn.LET(_xlpm.u,B203,_xlpm.myCnt,COUNTIFS(Application_Status_May!I$2:I$3000,_xlpm.u,Application_Status_May!E$2:E$3000,"App*")+COUNTIFS(Application_Status_May!I$2:I$3000,_xlpm.u,Application_Status_May!E$2:E$3000,"Lease*"),IF(_xlpm.myCnt&gt;0,INDEX(_xlfn._xlws.FILTER(Application_Status_May!L$2:L$3000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0</v>
      </c>
      <c r="J203" s="206" t="str">
        <f>IF(E203&lt;&gt;"Cancelled/Denied","—",_xlfn.LET(_xlpm.u,B203,_xlpm.myC,_xlfn.MAXIFS(Application_Status_May!R$2:R$3000,Application_Status_May!I$2:I$3000,_xlpm.u),_xlpm.myD,_xlfn.MAXIFS(Application_Status_May!S$2:S$3000,Application_Status_May!I$2:I$3000,_xlpm.u),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myC,_xlpm.myD,_xlpm.aC,_xlpm.aD,_xlpm.mC,_xlpm.mD,_xlpm.fC,_xlpm.fD)))</f>
        <v>—</v>
      </c>
      <c r="K203" s="205">
        <f t="shared" si="9"/>
        <v>96</v>
      </c>
    </row>
    <row r="204" spans="2:11">
      <c r="B204" s="1033" t="str">
        <v>W09-1-0913</v>
      </c>
      <c r="C204" s="204" t="str" cm="1">
        <f t="array" ref="C204">_xlfn.LET(_xlpm.u,B204,_xlpm.myCnt,COUNTIFS(Application_Status_May!I$2:I$3000,_xlpm.u,Application_Status_May!E$2:E$3000,"App*")+COUNTIFS(Application_Status_May!I$2:I$3000,_xlpm.u,Application_Status_May!E$2:E$3000,"Lease*"),IF(_xlpm.myCnt&gt;0,INDEX(_xlfn._xlws.FILTER(Application_Status_May!B$2:B$3000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Potts, Robin</v>
      </c>
      <c r="D204" s="205" t="str" cm="1">
        <f t="array" ref="D204">_xlfn.LET(_xlpm.u,B204,_xlpm.myCnt,COUNTIFS(Application_Status_May!I$2:I$3000,_xlpm.u,Application_Status_May!E$2:E$3000,"App*")+COUNTIFS(Application_Status_May!I$2:I$3000,_xlpm.u,Application_Status_May!E$2:E$3000,"Lease*"),IF(_xlpm.myCnt&gt;0,INDEX(_xlfn._xlws.FILTER(Application_Status_May!E$2:E$3000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Lease: Approved</v>
      </c>
      <c r="E204" s="205" t="str">
        <f t="shared" si="8"/>
        <v>Converted</v>
      </c>
      <c r="F204" s="205" t="str" cm="1">
        <f t="array" ref="F204">_xlfn.LET(_xlpm.u,B204,_xlpm.myCnt,COUNTIFS(Application_Status_May!I$2:I$3000,_xlpm.u,Application_Status_May!E$2:E$3000,"App*")+COUNTIFS(Application_Status_May!I$2:I$3000,_xlpm.u,Application_Status_May!E$2:E$3000,"Lease*"),IF(_xlpm.myCnt&gt;0,INDEX(_xlfn._xlws.FILTER(Application_Status_May!F$2:F$3000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Vazquez, Norma</v>
      </c>
      <c r="G204" s="205" t="str" cm="1">
        <f t="array" ref="G204">_xlfn.LET(_xlpm.u,B204,_xlpm.myCnt,COUNTIFS(Application_Status_May!I$2:I$3000,_xlpm.u,Application_Status_May!E$2:E$3000,"App*")+COUNTIFS(Application_Status_May!I$2:I$3000,_xlpm.u,Application_Status_May!E$2:E$3000,"Lease*"),IF(_xlpm.myCnt&gt;0,INDEX(_xlfn._xlws.FILTER(Application_Status_May!H$2:H$3000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Locator Service</v>
      </c>
      <c r="H204" s="206" cm="1">
        <f t="array" ref="H204">_xlfn.LET(_xlpm.u,B204,_xlpm.myCnt,COUNTIFS(Application_Status_May!I$2:I$3000,_xlpm.u,Application_Status_May!E$2:E$3000,"App*")+COUNTIFS(Application_Status_May!I$2:I$3000,_xlpm.u,Application_Status_May!E$2:E$3000,"Lease*"),IF(_xlpm.myCnt&gt;0,INDEX(_xlfn._xlws.FILTER(Application_Status_May!J$2:J$3000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46091</v>
      </c>
      <c r="I204" s="206" cm="1">
        <f t="array" ref="I204">_xlfn.LET(_xlpm.u,B204,_xlpm.myCnt,COUNTIFS(Application_Status_May!I$2:I$3000,_xlpm.u,Application_Status_May!E$2:E$3000,"App*")+COUNTIFS(Application_Status_May!I$2:I$3000,_xlpm.u,Application_Status_May!E$2:E$3000,"Lease*"),IF(_xlpm.myCnt&gt;0,INDEX(_xlfn._xlws.FILTER(Application_Status_May!L$2:L$3000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46091</v>
      </c>
      <c r="J204" s="206" t="str">
        <f>IF(E204&lt;&gt;"Cancelled/Denied","—",_xlfn.LET(_xlpm.u,B204,_xlpm.myC,_xlfn.MAXIFS(Application_Status_May!R$2:R$3000,Application_Status_May!I$2:I$3000,_xlpm.u),_xlpm.myD,_xlfn.MAXIFS(Application_Status_May!S$2:S$3000,Application_Status_May!I$2:I$3000,_xlpm.u),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myC,_xlpm.myD,_xlpm.aC,_xlpm.aD,_xlpm.mC,_xlpm.mD,_xlpm.fC,_xlpm.fD)))</f>
        <v>—</v>
      </c>
      <c r="K204" s="205" t="str">
        <f t="shared" si="9"/>
        <v>—</v>
      </c>
    </row>
    <row r="205" spans="2:11">
      <c r="B205" s="1033" t="str">
        <v>W09-1-0916</v>
      </c>
      <c r="C205" s="204" t="str" cm="1">
        <f t="array" ref="C205">_xlfn.LET(_xlpm.u,B205,_xlpm.myCnt,COUNTIFS(Application_Status_May!I$2:I$3000,_xlpm.u,Application_Status_May!E$2:E$3000,"App*")+COUNTIFS(Application_Status_May!I$2:I$3000,_xlpm.u,Application_Status_May!E$2:E$3000,"Lease*"),IF(_xlpm.myCnt&gt;0,INDEX(_xlfn._xlws.FILTER(Application_Status_May!B$2:B$3000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Barrios quiroz, Eduardo</v>
      </c>
      <c r="D205" s="205" t="str" cm="1">
        <f t="array" ref="D205">_xlfn.LET(_xlpm.u,B205,_xlpm.myCnt,COUNTIFS(Application_Status_May!I$2:I$3000,_xlpm.u,Application_Status_May!E$2:E$3000,"App*")+COUNTIFS(Application_Status_May!I$2:I$3000,_xlpm.u,Application_Status_May!E$2:E$3000,"Lease*"),IF(_xlpm.myCnt&gt;0,INDEX(_xlfn._xlws.FILTER(Application_Status_May!E$2:E$3000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Cancelled</v>
      </c>
      <c r="E205" s="205" t="str">
        <f t="shared" si="8"/>
        <v>Cancelled/Denied</v>
      </c>
      <c r="F205" s="205" t="str" cm="1">
        <f t="array" ref="F205">_xlfn.LET(_xlpm.u,B205,_xlpm.myCnt,COUNTIFS(Application_Status_May!I$2:I$3000,_xlpm.u,Application_Status_May!E$2:E$3000,"App*")+COUNTIFS(Application_Status_May!I$2:I$3000,_xlpm.u,Application_Status_May!E$2:E$3000,"Lease*"),IF(_xlpm.myCnt&gt;0,INDEX(_xlfn._xlws.FILTER(Application_Status_May!F$2:F$3000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Martinez, Briana</v>
      </c>
      <c r="G205" s="205" t="str" cm="1">
        <f t="array" ref="G205">_xlfn.LET(_xlpm.u,B205,_xlpm.myCnt,COUNTIFS(Application_Status_May!I$2:I$3000,_xlpm.u,Application_Status_May!E$2:E$3000,"App*")+COUNTIFS(Application_Status_May!I$2:I$3000,_xlpm.u,Application_Status_May!E$2:E$3000,"Lease*"),IF(_xlpm.myCnt&gt;0,INDEX(_xlfn._xlws.FILTER(Application_Status_May!H$2:H$3000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Previous Resident Referral</v>
      </c>
      <c r="H205" s="206" cm="1">
        <f t="array" ref="H205">_xlfn.LET(_xlpm.u,B205,_xlpm.myCnt,COUNTIFS(Application_Status_May!I$2:I$3000,_xlpm.u,Application_Status_May!E$2:E$3000,"App*")+COUNTIFS(Application_Status_May!I$2:I$3000,_xlpm.u,Application_Status_May!E$2:E$3000,"Lease*"),IF(_xlpm.myCnt&gt;0,INDEX(_xlfn._xlws.FILTER(Application_Status_May!J$2:J$3000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46055</v>
      </c>
      <c r="I205" s="206" cm="1">
        <f t="array" ref="I205">_xlfn.LET(_xlpm.u,B205,_xlpm.myCnt,COUNTIFS(Application_Status_May!I$2:I$3000,_xlpm.u,Application_Status_May!E$2:E$3000,"App*")+COUNTIFS(Application_Status_May!I$2:I$3000,_xlpm.u,Application_Status_May!E$2:E$3000,"Lease*"),IF(_xlpm.myCnt&gt;0,INDEX(_xlfn._xlws.FILTER(Application_Status_May!L$2:L$3000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46056</v>
      </c>
      <c r="J205" s="206">
        <f>IF(E205&lt;&gt;"Cancelled/Denied","—",_xlfn.LET(_xlpm.u,B205,_xlpm.myC,_xlfn.MAXIFS(Application_Status_May!R$2:R$3000,Application_Status_May!I$2:I$3000,_xlpm.u),_xlpm.myD,_xlfn.MAXIFS(Application_Status_May!S$2:S$3000,Application_Status_May!I$2:I$3000,_xlpm.u),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myC,_xlpm.myD,_xlpm.aC,_xlpm.aD,_xlpm.mC,_xlpm.mD,_xlpm.fC,_xlpm.fD)))</f>
        <v>46078</v>
      </c>
      <c r="K205" s="205" t="str">
        <f t="shared" si="9"/>
        <v>—</v>
      </c>
    </row>
    <row r="206" spans="2:11">
      <c r="B206" s="1033" t="str">
        <v>W10-1-1001</v>
      </c>
      <c r="C206" s="204" t="str" cm="1">
        <f t="array" ref="C206">_xlfn.LET(_xlpm.u,B206,_xlpm.myCnt,COUNTIFS(Application_Status_May!I$2:I$3000,_xlpm.u,Application_Status_May!E$2:E$3000,"App*")+COUNTIFS(Application_Status_May!I$2:I$3000,_xlpm.u,Application_Status_May!E$2:E$3000,"Lease*"),IF(_xlpm.myCnt&gt;0,INDEX(_xlfn._xlws.FILTER(Application_Status_May!B$2:B$3000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Hernandez, Phillip</v>
      </c>
      <c r="D206" s="205" t="str" cm="1">
        <f t="array" ref="D206">_xlfn.LET(_xlpm.u,B206,_xlpm.myCnt,COUNTIFS(Application_Status_May!I$2:I$3000,_xlpm.u,Application_Status_May!E$2:E$3000,"App*")+COUNTIFS(Application_Status_May!I$2:I$3000,_xlpm.u,Application_Status_May!E$2:E$3000,"Lease*"),IF(_xlpm.myCnt&gt;0,INDEX(_xlfn._xlws.FILTER(Application_Status_May!E$2:E$3000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Cancelled</v>
      </c>
      <c r="E206" s="205" t="str">
        <f t="shared" si="8"/>
        <v>Cancelled/Denied</v>
      </c>
      <c r="F206" s="205" t="str" cm="1">
        <f t="array" ref="F206">_xlfn.LET(_xlpm.u,B206,_xlpm.myCnt,COUNTIFS(Application_Status_May!I$2:I$3000,_xlpm.u,Application_Status_May!E$2:E$3000,"App*")+COUNTIFS(Application_Status_May!I$2:I$3000,_xlpm.u,Application_Status_May!E$2:E$3000,"Lease*"),IF(_xlpm.myCnt&gt;0,INDEX(_xlfn._xlws.FILTER(Application_Status_May!F$2:F$3000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Not Assigned</v>
      </c>
      <c r="G206" s="205" t="str" cm="1">
        <f t="array" ref="G206">_xlfn.LET(_xlpm.u,B206,_xlpm.myCnt,COUNTIFS(Application_Status_May!I$2:I$3000,_xlpm.u,Application_Status_May!E$2:E$3000,"App*")+COUNTIFS(Application_Status_May!I$2:I$3000,_xlpm.u,Application_Status_May!E$2:E$3000,"Lease*"),IF(_xlpm.myCnt&gt;0,INDEX(_xlfn._xlws.FILTER(Application_Status_May!H$2:H$3000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Website</v>
      </c>
      <c r="H206" s="206" cm="1">
        <f t="array" ref="H206">_xlfn.LET(_xlpm.u,B206,_xlpm.myCnt,COUNTIFS(Application_Status_May!I$2:I$3000,_xlpm.u,Application_Status_May!E$2:E$3000,"App*")+COUNTIFS(Application_Status_May!I$2:I$3000,_xlpm.u,Application_Status_May!E$2:E$3000,"Lease*"),IF(_xlpm.myCnt&gt;0,INDEX(_xlfn._xlws.FILTER(Application_Status_May!J$2:J$3000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46063</v>
      </c>
      <c r="I206" s="206" cm="1">
        <f t="array" ref="I206">_xlfn.LET(_xlpm.u,B206,_xlpm.myCnt,COUNTIFS(Application_Status_May!I$2:I$3000,_xlpm.u,Application_Status_May!E$2:E$3000,"App*")+COUNTIFS(Application_Status_May!I$2:I$3000,_xlpm.u,Application_Status_May!E$2:E$3000,"Lease*"),IF(_xlpm.myCnt&gt;0,INDEX(_xlfn._xlws.FILTER(Application_Status_May!L$2:L$3000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46063</v>
      </c>
      <c r="J206" s="206">
        <f>IF(E206&lt;&gt;"Cancelled/Denied","—",_xlfn.LET(_xlpm.u,B206,_xlpm.myC,_xlfn.MAXIFS(Application_Status_May!R$2:R$3000,Application_Status_May!I$2:I$3000,_xlpm.u),_xlpm.myD,_xlfn.MAXIFS(Application_Status_May!S$2:S$3000,Application_Status_May!I$2:I$3000,_xlpm.u),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myC,_xlpm.myD,_xlpm.aC,_xlpm.aD,_xlpm.mC,_xlpm.mD,_xlpm.fC,_xlpm.fD)))</f>
        <v>46085</v>
      </c>
      <c r="K206" s="205" t="str">
        <f t="shared" si="9"/>
        <v>—</v>
      </c>
    </row>
    <row r="207" spans="2:11">
      <c r="B207" s="1033" t="str">
        <v>W10-1-1005</v>
      </c>
      <c r="C207" s="204" t="str" cm="1">
        <f t="array" ref="C207">_xlfn.LET(_xlpm.u,B207,_xlpm.myCnt,COUNTIFS(Application_Status_May!I$2:I$3000,_xlpm.u,Application_Status_May!E$2:E$3000,"App*")+COUNTIFS(Application_Status_May!I$2:I$3000,_xlpm.u,Application_Status_May!E$2:E$3000,"Lease*"),IF(_xlpm.myCnt&gt;0,INDEX(_xlfn._xlws.FILTER(Application_Status_May!B$2:B$3000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Manzanares Irias, Dorian</v>
      </c>
      <c r="D207" s="205" t="str" cm="1">
        <f t="array" ref="D207">_xlfn.LET(_xlpm.u,B207,_xlpm.myCnt,COUNTIFS(Application_Status_May!I$2:I$3000,_xlpm.u,Application_Status_May!E$2:E$3000,"App*")+COUNTIFS(Application_Status_May!I$2:I$3000,_xlpm.u,Application_Status_May!E$2:E$3000,"Lease*"),IF(_xlpm.myCnt&gt;0,INDEX(_xlfn._xlws.FILTER(Application_Status_May!E$2:E$3000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Started</v>
      </c>
      <c r="E207" s="205" t="str">
        <f t="shared" si="8"/>
        <v>Incomplete</v>
      </c>
      <c r="F207" s="205" t="str" cm="1">
        <f t="array" ref="F207">_xlfn.LET(_xlpm.u,B207,_xlpm.myCnt,COUNTIFS(Application_Status_May!I$2:I$3000,_xlpm.u,Application_Status_May!E$2:E$3000,"App*")+COUNTIFS(Application_Status_May!I$2:I$3000,_xlpm.u,Application_Status_May!E$2:E$3000,"Lease*"),IF(_xlpm.myCnt&gt;0,INDEX(_xlfn._xlws.FILTER(Application_Status_May!F$2:F$3000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Elise, Meet</v>
      </c>
      <c r="G207" s="205" t="str" cm="1">
        <f t="array" ref="G207">_xlfn.LET(_xlpm.u,B207,_xlpm.myCnt,COUNTIFS(Application_Status_May!I$2:I$3000,_xlpm.u,Application_Status_May!E$2:E$3000,"App*")+COUNTIFS(Application_Status_May!I$2:I$3000,_xlpm.u,Application_Status_May!E$2:E$3000,"Lease*"),IF(_xlpm.myCnt&gt;0,INDEX(_xlfn._xlws.FILTER(Application_Status_May!H$2:H$3000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Apartments.com</v>
      </c>
      <c r="H207" s="206" cm="1">
        <f t="array" ref="H207">_xlfn.LET(_xlpm.u,B207,_xlpm.myCnt,COUNTIFS(Application_Status_May!I$2:I$3000,_xlpm.u,Application_Status_May!E$2:E$3000,"App*")+COUNTIFS(Application_Status_May!I$2:I$3000,_xlpm.u,Application_Status_May!E$2:E$3000,"Lease*"),IF(_xlpm.myCnt&gt;0,INDEX(_xlfn._xlws.FILTER(Application_Status_May!J$2:J$3000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46088</v>
      </c>
      <c r="I207" s="206" cm="1">
        <f t="array" ref="I207">_xlfn.LET(_xlpm.u,B207,_xlpm.myCnt,COUNTIFS(Application_Status_May!I$2:I$3000,_xlpm.u,Application_Status_May!E$2:E$3000,"App*")+COUNTIFS(Application_Status_May!I$2:I$3000,_xlpm.u,Application_Status_May!E$2:E$3000,"Lease*"),IF(_xlpm.myCnt&gt;0,INDEX(_xlfn._xlws.FILTER(Application_Status_May!L$2:L$3000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0</v>
      </c>
      <c r="J207" s="206" t="str">
        <f>IF(E207&lt;&gt;"Cancelled/Denied","—",_xlfn.LET(_xlpm.u,B207,_xlpm.myC,_xlfn.MAXIFS(Application_Status_May!R$2:R$3000,Application_Status_May!I$2:I$3000,_xlpm.u),_xlpm.myD,_xlfn.MAXIFS(Application_Status_May!S$2:S$3000,Application_Status_May!I$2:I$3000,_xlpm.u),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myC,_xlpm.myD,_xlpm.aC,_xlpm.aD,_xlpm.mC,_xlpm.mD,_xlpm.fC,_xlpm.fD)))</f>
        <v>—</v>
      </c>
      <c r="K207" s="205">
        <f t="shared" si="9"/>
        <v>156</v>
      </c>
    </row>
    <row r="208" spans="2:11">
      <c r="B208" s="1033" t="str">
        <v>W11-1-1103</v>
      </c>
      <c r="C208" s="204" t="str" cm="1">
        <f t="array" ref="C208">_xlfn.LET(_xlpm.u,B208,_xlpm.myCnt,COUNTIFS(Application_Status_May!I$2:I$3000,_xlpm.u,Application_Status_May!E$2:E$3000,"App*")+COUNTIFS(Application_Status_May!I$2:I$3000,_xlpm.u,Application_Status_May!E$2:E$3000,"Lease*"),IF(_xlpm.myCnt&gt;0,INDEX(_xlfn._xlws.FILTER(Application_Status_May!B$2:B$3000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Canada, Alvaro</v>
      </c>
      <c r="D208" s="205" t="str" cm="1">
        <f t="array" ref="D208">_xlfn.LET(_xlpm.u,B208,_xlpm.myCnt,COUNTIFS(Application_Status_May!I$2:I$3000,_xlpm.u,Application_Status_May!E$2:E$3000,"App*")+COUNTIFS(Application_Status_May!I$2:I$3000,_xlpm.u,Application_Status_May!E$2:E$3000,"Lease*"),IF(_xlpm.myCnt&gt;0,INDEX(_xlfn._xlws.FILTER(Application_Status_May!E$2:E$3000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Lease: Approved</v>
      </c>
      <c r="E208" s="205" t="str">
        <f t="shared" si="8"/>
        <v>Converted</v>
      </c>
      <c r="F208" s="205" t="str" cm="1">
        <f t="array" ref="F208">_xlfn.LET(_xlpm.u,B208,_xlpm.myCnt,COUNTIFS(Application_Status_May!I$2:I$3000,_xlpm.u,Application_Status_May!E$2:E$3000,"App*")+COUNTIFS(Application_Status_May!I$2:I$3000,_xlpm.u,Application_Status_May!E$2:E$3000,"Lease*"),IF(_xlpm.myCnt&gt;0,INDEX(_xlfn._xlws.FILTER(Application_Status_May!F$2:F$3000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Rodriguez, Jennifer</v>
      </c>
      <c r="G208" s="205" t="str" cm="1">
        <f t="array" ref="G208">_xlfn.LET(_xlpm.u,B208,_xlpm.myCnt,COUNTIFS(Application_Status_May!I$2:I$3000,_xlpm.u,Application_Status_May!E$2:E$3000,"App*")+COUNTIFS(Application_Status_May!I$2:I$3000,_xlpm.u,Application_Status_May!E$2:E$3000,"Lease*"),IF(_xlpm.myCnt&gt;0,INDEX(_xlfn._xlws.FILTER(Application_Status_May!H$2:H$3000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Website</v>
      </c>
      <c r="H208" s="206" cm="1">
        <f t="array" ref="H208">_xlfn.LET(_xlpm.u,B208,_xlpm.myCnt,COUNTIFS(Application_Status_May!I$2:I$3000,_xlpm.u,Application_Status_May!E$2:E$3000,"App*")+COUNTIFS(Application_Status_May!I$2:I$3000,_xlpm.u,Application_Status_May!E$2:E$3000,"Lease*"),IF(_xlpm.myCnt&gt;0,INDEX(_xlfn._xlws.FILTER(Application_Status_May!J$2:J$3000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46148</v>
      </c>
      <c r="I208" s="206" cm="1">
        <f t="array" ref="I208">_xlfn.LET(_xlpm.u,B208,_xlpm.myCnt,COUNTIFS(Application_Status_May!I$2:I$3000,_xlpm.u,Application_Status_May!E$2:E$3000,"App*")+COUNTIFS(Application_Status_May!I$2:I$3000,_xlpm.u,Application_Status_May!E$2:E$3000,"Lease*"),IF(_xlpm.myCnt&gt;0,INDEX(_xlfn._xlws.FILTER(Application_Status_May!L$2:L$3000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46150</v>
      </c>
      <c r="J208" s="206" t="str">
        <f>IF(E208&lt;&gt;"Cancelled/Denied","—",_xlfn.LET(_xlpm.u,B208,_xlpm.myC,_xlfn.MAXIFS(Application_Status_May!R$2:R$3000,Application_Status_May!I$2:I$3000,_xlpm.u),_xlpm.myD,_xlfn.MAXIFS(Application_Status_May!S$2:S$3000,Application_Status_May!I$2:I$3000,_xlpm.u),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myC,_xlpm.myD,_xlpm.aC,_xlpm.aD,_xlpm.mC,_xlpm.mD,_xlpm.fC,_xlpm.fD)))</f>
        <v>—</v>
      </c>
      <c r="K208" s="205" t="str">
        <f t="shared" si="9"/>
        <v>—</v>
      </c>
    </row>
    <row r="209" spans="2:11">
      <c r="B209" s="1034" t="str">
        <v>W11-1-1105</v>
      </c>
      <c r="C209" s="204" t="str" cm="1">
        <f t="array" ref="C209">_xlfn.LET(_xlpm.u,B209,_xlpm.myCnt,COUNTIFS(Application_Status_May!I$2:I$3000,_xlpm.u,Application_Status_May!E$2:E$3000,"App*")+COUNTIFS(Application_Status_May!I$2:I$3000,_xlpm.u,Application_Status_May!E$2:E$3000,"Lease*"),IF(_xlpm.myCnt&gt;0,INDEX(_xlfn._xlws.FILTER(Application_Status_May!B$2:B$3000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Smith, Kylah</v>
      </c>
      <c r="D209" s="205" t="str" cm="1">
        <f t="array" ref="D209">_xlfn.LET(_xlpm.u,B209,_xlpm.myCnt,COUNTIFS(Application_Status_May!I$2:I$3000,_xlpm.u,Application_Status_May!E$2:E$3000,"App*")+COUNTIFS(Application_Status_May!I$2:I$3000,_xlpm.u,Application_Status_May!E$2:E$3000,"Lease*"),IF(_xlpm.myCnt&gt;0,INDEX(_xlfn._xlws.FILTER(Application_Status_May!E$2:E$3000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Completed</v>
      </c>
      <c r="E209" s="205" t="str">
        <f t="shared" si="8"/>
        <v>In Review</v>
      </c>
      <c r="F209" s="205" t="str" cm="1">
        <f t="array" ref="F209">_xlfn.LET(_xlpm.u,B209,_xlpm.myCnt,COUNTIFS(Application_Status_May!I$2:I$3000,_xlpm.u,Application_Status_May!E$2:E$3000,"App*")+COUNTIFS(Application_Status_May!I$2:I$3000,_xlpm.u,Application_Status_May!E$2:E$3000,"Lease*"),IF(_xlpm.myCnt&gt;0,INDEX(_xlfn._xlws.FILTER(Application_Status_May!F$2:F$3000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HOUSE, HOUSE</v>
      </c>
      <c r="G209" s="205" t="str" cm="1">
        <f t="array" ref="G209">_xlfn.LET(_xlpm.u,B209,_xlpm.myCnt,COUNTIFS(Application_Status_May!I$2:I$3000,_xlpm.u,Application_Status_May!E$2:E$3000,"App*")+COUNTIFS(Application_Status_May!I$2:I$3000,_xlpm.u,Application_Status_May!E$2:E$3000,"Lease*"),IF(_xlpm.myCnt&gt;0,INDEX(_xlfn._xlws.FILTER(Application_Status_May!H$2:H$3000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Website</v>
      </c>
      <c r="H209" s="206" cm="1">
        <f t="array" ref="H209">_xlfn.LET(_xlpm.u,B209,_xlpm.myCnt,COUNTIFS(Application_Status_May!I$2:I$3000,_xlpm.u,Application_Status_May!E$2:E$3000,"App*")+COUNTIFS(Application_Status_May!I$2:I$3000,_xlpm.u,Application_Status_May!E$2:E$3000,"Lease*"),IF(_xlpm.myCnt&gt;0,INDEX(_xlfn._xlws.FILTER(Application_Status_May!J$2:J$3000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46159</v>
      </c>
      <c r="I209" s="206" cm="1">
        <f t="array" ref="I209">_xlfn.LET(_xlpm.u,B209,_xlpm.myCnt,COUNTIFS(Application_Status_May!I$2:I$3000,_xlpm.u,Application_Status_May!E$2:E$3000,"App*")+COUNTIFS(Application_Status_May!I$2:I$3000,_xlpm.u,Application_Status_May!E$2:E$3000,"Lease*"),IF(_xlpm.myCnt&gt;0,INDEX(_xlfn._xlws.FILTER(Application_Status_May!L$2:L$3000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46171</v>
      </c>
      <c r="J209" s="206" t="str">
        <f>IF(E209&lt;&gt;"Cancelled/Denied","—",_xlfn.LET(_xlpm.u,B209,_xlpm.myC,_xlfn.MAXIFS(Application_Status_May!R$2:R$3000,Application_Status_May!I$2:I$3000,_xlpm.u),_xlpm.myD,_xlfn.MAXIFS(Application_Status_May!S$2:S$3000,Application_Status_May!I$2:I$3000,_xlpm.u),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myC,_xlpm.myD,_xlpm.aC,_xlpm.aD,_xlpm.mC,_xlpm.mD,_xlpm.fC,_xlpm.fD)))</f>
        <v>—</v>
      </c>
      <c r="K209" s="205">
        <f t="shared" si="9"/>
        <v>85</v>
      </c>
    </row>
    <row r="210" spans="2:11">
      <c r="B210" s="1034" t="str">
        <v>W11-1-1107</v>
      </c>
      <c r="C210" s="204" t="str" cm="1">
        <f t="array" ref="C210">_xlfn.LET(_xlpm.u,B210,_xlpm.myCnt,COUNTIFS(Application_Status_May!I$2:I$3000,_xlpm.u,Application_Status_May!E$2:E$3000,"App*")+COUNTIFS(Application_Status_May!I$2:I$3000,_xlpm.u,Application_Status_May!E$2:E$3000,"Lease*"),IF(_xlpm.myCnt&gt;0,INDEX(_xlfn._xlws.FILTER(Application_Status_May!B$2:B$3000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Miller, Ashley</v>
      </c>
      <c r="D210" s="205" t="str" cm="1">
        <f t="array" ref="D210">_xlfn.LET(_xlpm.u,B210,_xlpm.myCnt,COUNTIFS(Application_Status_May!I$2:I$3000,_xlpm.u,Application_Status_May!E$2:E$3000,"App*")+COUNTIFS(Application_Status_May!I$2:I$3000,_xlpm.u,Application_Status_May!E$2:E$3000,"Lease*"),IF(_xlpm.myCnt&gt;0,INDEX(_xlfn._xlws.FILTER(Application_Status_May!E$2:E$3000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Cancelled</v>
      </c>
      <c r="E210" s="205" t="str">
        <f t="shared" si="8"/>
        <v>Cancelled/Denied</v>
      </c>
      <c r="F210" s="205" t="str" cm="1">
        <f t="array" ref="F210">_xlfn.LET(_xlpm.u,B210,_xlpm.myCnt,COUNTIFS(Application_Status_May!I$2:I$3000,_xlpm.u,Application_Status_May!E$2:E$3000,"App*")+COUNTIFS(Application_Status_May!I$2:I$3000,_xlpm.u,Application_Status_May!E$2:E$3000,"Lease*"),IF(_xlpm.myCnt&gt;0,INDEX(_xlfn._xlws.FILTER(Application_Status_May!F$2:F$3000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Martinez, Emily</v>
      </c>
      <c r="G210" s="205" t="str" cm="1">
        <f t="array" ref="G210">_xlfn.LET(_xlpm.u,B210,_xlpm.myCnt,COUNTIFS(Application_Status_May!I$2:I$3000,_xlpm.u,Application_Status_May!E$2:E$3000,"App*")+COUNTIFS(Application_Status_May!I$2:I$3000,_xlpm.u,Application_Status_May!E$2:E$3000,"Lease*"),IF(_xlpm.myCnt&gt;0,INDEX(_xlfn._xlws.FILTER(Application_Status_May!H$2:H$3000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Apartments.com</v>
      </c>
      <c r="H210" s="206" cm="1">
        <f t="array" ref="H210">_xlfn.LET(_xlpm.u,B210,_xlpm.myCnt,COUNTIFS(Application_Status_May!I$2:I$3000,_xlpm.u,Application_Status_May!E$2:E$3000,"App*")+COUNTIFS(Application_Status_May!I$2:I$3000,_xlpm.u,Application_Status_May!E$2:E$3000,"Lease*"),IF(_xlpm.myCnt&gt;0,INDEX(_xlfn._xlws.FILTER(Application_Status_May!J$2:J$3000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46127</v>
      </c>
      <c r="I210" s="206" cm="1">
        <f t="array" ref="I210">_xlfn.LET(_xlpm.u,B210,_xlpm.myCnt,COUNTIFS(Application_Status_May!I$2:I$3000,_xlpm.u,Application_Status_May!E$2:E$3000,"App*")+COUNTIFS(Application_Status_May!I$2:I$3000,_xlpm.u,Application_Status_May!E$2:E$3000,"Lease*"),IF(_xlpm.myCnt&gt;0,INDEX(_xlfn._xlws.FILTER(Application_Status_May!L$2:L$3000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0</v>
      </c>
      <c r="J210" s="206">
        <f>IF(E210&lt;&gt;"Cancelled/Denied","—",_xlfn.LET(_xlpm.u,B210,_xlpm.myC,_xlfn.MAXIFS(Application_Status_May!R$2:R$3000,Application_Status_May!I$2:I$3000,_xlpm.u),_xlpm.myD,_xlfn.MAXIFS(Application_Status_May!S$2:S$3000,Application_Status_May!I$2:I$3000,_xlpm.u),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myC,_xlpm.myD,_xlpm.aC,_xlpm.aD,_xlpm.mC,_xlpm.mD,_xlpm.fC,_xlpm.fD)))</f>
        <v>46158</v>
      </c>
      <c r="K210" s="205" t="str">
        <f t="shared" si="9"/>
        <v>—</v>
      </c>
    </row>
    <row r="211" spans="2:11">
      <c r="B211" s="1034" t="str">
        <v>W11-1-1112</v>
      </c>
      <c r="C211" s="204" t="str" cm="1">
        <f t="array" ref="C211">_xlfn.LET(_xlpm.u,B211,_xlpm.myCnt,COUNTIFS(Application_Status_May!I$2:I$3000,_xlpm.u,Application_Status_May!E$2:E$3000,"App*")+COUNTIFS(Application_Status_May!I$2:I$3000,_xlpm.u,Application_Status_May!E$2:E$3000,"Lease*"),IF(_xlpm.myCnt&gt;0,INDEX(_xlfn._xlws.FILTER(Application_Status_May!B$2:B$3000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Medina, Kimberly</v>
      </c>
      <c r="D211" s="205" t="str" cm="1">
        <f t="array" ref="D211">_xlfn.LET(_xlpm.u,B211,_xlpm.myCnt,COUNTIFS(Application_Status_May!I$2:I$3000,_xlpm.u,Application_Status_May!E$2:E$3000,"App*")+COUNTIFS(Application_Status_May!I$2:I$3000,_xlpm.u,Application_Status_May!E$2:E$3000,"Lease*"),IF(_xlpm.myCnt&gt;0,INDEX(_xlfn._xlws.FILTER(Application_Status_May!E$2:E$3000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Lease: Approved</v>
      </c>
      <c r="E211" s="205" t="str">
        <f t="shared" si="8"/>
        <v>Converted</v>
      </c>
      <c r="F211" s="205" t="str" cm="1">
        <f t="array" ref="F211">_xlfn.LET(_xlpm.u,B211,_xlpm.myCnt,COUNTIFS(Application_Status_May!I$2:I$3000,_xlpm.u,Application_Status_May!E$2:E$3000,"App*")+COUNTIFS(Application_Status_May!I$2:I$3000,_xlpm.u,Application_Status_May!E$2:E$3000,"Lease*"),IF(_xlpm.myCnt&gt;0,INDEX(_xlfn._xlws.FILTER(Application_Status_May!F$2:F$3000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Vazquez, Norma</v>
      </c>
      <c r="G211" s="205" t="str" cm="1">
        <f t="array" ref="G211">_xlfn.LET(_xlpm.u,B211,_xlpm.myCnt,COUNTIFS(Application_Status_May!I$2:I$3000,_xlpm.u,Application_Status_May!E$2:E$3000,"App*")+COUNTIFS(Application_Status_May!I$2:I$3000,_xlpm.u,Application_Status_May!E$2:E$3000,"Lease*"),IF(_xlpm.myCnt&gt;0,INDEX(_xlfn._xlws.FILTER(Application_Status_May!H$2:H$3000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Website</v>
      </c>
      <c r="H211" s="206" cm="1">
        <f t="array" ref="H211">_xlfn.LET(_xlpm.u,B211,_xlpm.myCnt,COUNTIFS(Application_Status_May!I$2:I$3000,_xlpm.u,Application_Status_May!E$2:E$3000,"App*")+COUNTIFS(Application_Status_May!I$2:I$3000,_xlpm.u,Application_Status_May!E$2:E$3000,"Lease*"),IF(_xlpm.myCnt&gt;0,INDEX(_xlfn._xlws.FILTER(Application_Status_May!J$2:J$3000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46156</v>
      </c>
      <c r="I211" s="206" cm="1">
        <f t="array" ref="I211">_xlfn.LET(_xlpm.u,B211,_xlpm.myCnt,COUNTIFS(Application_Status_May!I$2:I$3000,_xlpm.u,Application_Status_May!E$2:E$3000,"App*")+COUNTIFS(Application_Status_May!I$2:I$3000,_xlpm.u,Application_Status_May!E$2:E$3000,"Lease*"),IF(_xlpm.myCnt&gt;0,INDEX(_xlfn._xlws.FILTER(Application_Status_May!L$2:L$3000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46157</v>
      </c>
      <c r="J211" s="206" t="str">
        <f>IF(E211&lt;&gt;"Cancelled/Denied","—",_xlfn.LET(_xlpm.u,B211,_xlpm.myC,_xlfn.MAXIFS(Application_Status_May!R$2:R$3000,Application_Status_May!I$2:I$3000,_xlpm.u),_xlpm.myD,_xlfn.MAXIFS(Application_Status_May!S$2:S$3000,Application_Status_May!I$2:I$3000,_xlpm.u),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myC,_xlpm.myD,_xlpm.aC,_xlpm.aD,_xlpm.mC,_xlpm.mD,_xlpm.fC,_xlpm.fD)))</f>
        <v>—</v>
      </c>
      <c r="K211" s="205" t="str">
        <f t="shared" si="9"/>
        <v>—</v>
      </c>
    </row>
    <row r="212" spans="2:11">
      <c r="B212" s="1034" t="str">
        <v>W12-1-1213</v>
      </c>
      <c r="C212" s="204" t="str" cm="1">
        <f t="array" ref="C212">_xlfn.LET(_xlpm.u,B212,_xlpm.myCnt,COUNTIFS(Application_Status_May!I$2:I$3000,_xlpm.u,Application_Status_May!E$2:E$3000,"App*")+COUNTIFS(Application_Status_May!I$2:I$3000,_xlpm.u,Application_Status_May!E$2:E$3000,"Lease*"),IF(_xlpm.myCnt&gt;0,INDEX(_xlfn._xlws.FILTER(Application_Status_May!B$2:B$3000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Franklin, Anton</v>
      </c>
      <c r="D212" s="205" t="str" cm="1">
        <f t="array" ref="D212">_xlfn.LET(_xlpm.u,B212,_xlpm.myCnt,COUNTIFS(Application_Status_May!I$2:I$3000,_xlpm.u,Application_Status_May!E$2:E$3000,"App*")+COUNTIFS(Application_Status_May!I$2:I$3000,_xlpm.u,Application_Status_May!E$2:E$3000,"Lease*"),IF(_xlpm.myCnt&gt;0,INDEX(_xlfn._xlws.FILTER(Application_Status_May!E$2:E$3000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Cancelled</v>
      </c>
      <c r="E212" s="205" t="str">
        <f t="shared" si="8"/>
        <v>Cancelled/Denied</v>
      </c>
      <c r="F212" s="205" t="str" cm="1">
        <f t="array" ref="F212">_xlfn.LET(_xlpm.u,B212,_xlpm.myCnt,COUNTIFS(Application_Status_May!I$2:I$3000,_xlpm.u,Application_Status_May!E$2:E$3000,"App*")+COUNTIFS(Application_Status_May!I$2:I$3000,_xlpm.u,Application_Status_May!E$2:E$3000,"Lease*"),IF(_xlpm.myCnt&gt;0,INDEX(_xlfn._xlws.FILTER(Application_Status_May!F$2:F$3000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Rodriguez, Jennifer</v>
      </c>
      <c r="G212" s="205" t="str" cm="1">
        <f t="array" ref="G212">_xlfn.LET(_xlpm.u,B212,_xlpm.myCnt,COUNTIFS(Application_Status_May!I$2:I$3000,_xlpm.u,Application_Status_May!E$2:E$3000,"App*")+COUNTIFS(Application_Status_May!I$2:I$3000,_xlpm.u,Application_Status_May!E$2:E$3000,"Lease*"),IF(_xlpm.myCnt&gt;0,INDEX(_xlfn._xlws.FILTER(Application_Status_May!H$2:H$3000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Resident Referral</v>
      </c>
      <c r="H212" s="206" cm="1">
        <f t="array" ref="H212">_xlfn.LET(_xlpm.u,B212,_xlpm.myCnt,COUNTIFS(Application_Status_May!I$2:I$3000,_xlpm.u,Application_Status_May!E$2:E$3000,"App*")+COUNTIFS(Application_Status_May!I$2:I$3000,_xlpm.u,Application_Status_May!E$2:E$3000,"Lease*"),IF(_xlpm.myCnt&gt;0,INDEX(_xlfn._xlws.FILTER(Application_Status_May!J$2:J$3000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46067</v>
      </c>
      <c r="I212" s="206" cm="1">
        <f t="array" ref="I212">_xlfn.LET(_xlpm.u,B212,_xlpm.myCnt,COUNTIFS(Application_Status_May!I$2:I$3000,_xlpm.u,Application_Status_May!E$2:E$3000,"App*")+COUNTIFS(Application_Status_May!I$2:I$3000,_xlpm.u,Application_Status_May!E$2:E$3000,"Lease*"),IF(_xlpm.myCnt&gt;0,INDEX(_xlfn._xlws.FILTER(Application_Status_May!L$2:L$3000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0</v>
      </c>
      <c r="J212" s="206">
        <f>IF(E212&lt;&gt;"Cancelled/Denied","—",_xlfn.LET(_xlpm.u,B212,_xlpm.myC,_xlfn.MAXIFS(Application_Status_May!R$2:R$3000,Application_Status_May!I$2:I$3000,_xlpm.u),_xlpm.myD,_xlfn.MAXIFS(Application_Status_May!S$2:S$3000,Application_Status_May!I$2:I$3000,_xlpm.u),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myC,_xlpm.myD,_xlpm.aC,_xlpm.aD,_xlpm.mC,_xlpm.mD,_xlpm.fC,_xlpm.fD)))</f>
        <v>46114</v>
      </c>
      <c r="K212" s="205" t="str">
        <f t="shared" si="9"/>
        <v>—</v>
      </c>
    </row>
    <row r="213" spans="2:11">
      <c r="B213" s="1034" t="str">
        <v>W12-1-1220</v>
      </c>
      <c r="C213" s="204" t="str" cm="1">
        <f t="array" ref="C213">_xlfn.LET(_xlpm.u,B213,_xlpm.myCnt,COUNTIFS(Application_Status_May!I$2:I$3000,_xlpm.u,Application_Status_May!E$2:E$3000,"App*")+COUNTIFS(Application_Status_May!I$2:I$3000,_xlpm.u,Application_Status_May!E$2:E$3000,"Lease*"),IF(_xlpm.myCnt&gt;0,INDEX(_xlfn._xlws.FILTER(Application_Status_May!B$2:B$3000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Franklin, Sapphiria</v>
      </c>
      <c r="D213" s="205" t="str" cm="1">
        <f t="array" ref="D213">_xlfn.LET(_xlpm.u,B213,_xlpm.myCnt,COUNTIFS(Application_Status_May!I$2:I$3000,_xlpm.u,Application_Status_May!E$2:E$3000,"App*")+COUNTIFS(Application_Status_May!I$2:I$3000,_xlpm.u,Application_Status_May!E$2:E$3000,"Lease*"),IF(_xlpm.myCnt&gt;0,INDEX(_xlfn._xlws.FILTER(Application_Status_May!E$2:E$3000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Cancelled</v>
      </c>
      <c r="E213" s="205" t="str">
        <f t="shared" si="8"/>
        <v>Cancelled/Denied</v>
      </c>
      <c r="F213" s="205" t="str" cm="1">
        <f t="array" ref="F213">_xlfn.LET(_xlpm.u,B213,_xlpm.myCnt,COUNTIFS(Application_Status_May!I$2:I$3000,_xlpm.u,Application_Status_May!E$2:E$3000,"App*")+COUNTIFS(Application_Status_May!I$2:I$3000,_xlpm.u,Application_Status_May!E$2:E$3000,"Lease*"),IF(_xlpm.myCnt&gt;0,INDEX(_xlfn._xlws.FILTER(Application_Status_May!F$2:F$3000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Elise, Meet</v>
      </c>
      <c r="G213" s="205" t="str" cm="1">
        <f t="array" ref="G213">_xlfn.LET(_xlpm.u,B213,_xlpm.myCnt,COUNTIFS(Application_Status_May!I$2:I$3000,_xlpm.u,Application_Status_May!E$2:E$3000,"App*")+COUNTIFS(Application_Status_May!I$2:I$3000,_xlpm.u,Application_Status_May!E$2:E$3000,"Lease*"),IF(_xlpm.myCnt&gt;0,INDEX(_xlfn._xlws.FILTER(Application_Status_May!H$2:H$3000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Website</v>
      </c>
      <c r="H213" s="206" cm="1">
        <f t="array" ref="H213">_xlfn.LET(_xlpm.u,B213,_xlpm.myCnt,COUNTIFS(Application_Status_May!I$2:I$3000,_xlpm.u,Application_Status_May!E$2:E$3000,"App*")+COUNTIFS(Application_Status_May!I$2:I$3000,_xlpm.u,Application_Status_May!E$2:E$3000,"Lease*"),IF(_xlpm.myCnt&gt;0,INDEX(_xlfn._xlws.FILTER(Application_Status_May!J$2:J$3000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46132</v>
      </c>
      <c r="I213" s="206" cm="1">
        <f t="array" ref="I213">_xlfn.LET(_xlpm.u,B213,_xlpm.myCnt,COUNTIFS(Application_Status_May!I$2:I$3000,_xlpm.u,Application_Status_May!E$2:E$3000,"App*")+COUNTIFS(Application_Status_May!I$2:I$3000,_xlpm.u,Application_Status_May!E$2:E$3000,"Lease*"),IF(_xlpm.myCnt&gt;0,INDEX(_xlfn._xlws.FILTER(Application_Status_May!L$2:L$3000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0</v>
      </c>
      <c r="J213" s="206">
        <f>IF(E213&lt;&gt;"Cancelled/Denied","—",_xlfn.LET(_xlpm.u,B213,_xlpm.myC,_xlfn.MAXIFS(Application_Status_May!R$2:R$3000,Application_Status_May!I$2:I$3000,_xlpm.u),_xlpm.myD,_xlfn.MAXIFS(Application_Status_May!S$2:S$3000,Application_Status_May!I$2:I$3000,_xlpm.u),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myC,_xlpm.myD,_xlpm.aC,_xlpm.aD,_xlpm.mC,_xlpm.mD,_xlpm.fC,_xlpm.fD)))</f>
        <v>46151</v>
      </c>
      <c r="K213" s="205" t="str">
        <f t="shared" si="9"/>
        <v>—</v>
      </c>
    </row>
    <row r="214" spans="2:11">
      <c r="B214" s="1033" t="str">
        <v>W13-1-1302</v>
      </c>
      <c r="C214" s="204" t="str" cm="1">
        <f t="array" ref="C214">_xlfn.LET(_xlpm.u,B214,_xlpm.myCnt,COUNTIFS(Application_Status_May!I$2:I$3000,_xlpm.u,Application_Status_May!E$2:E$3000,"App*")+COUNTIFS(Application_Status_May!I$2:I$3000,_xlpm.u,Application_Status_May!E$2:E$3000,"Lease*"),IF(_xlpm.myCnt&gt;0,INDEX(_xlfn._xlws.FILTER(Application_Status_May!B$2:B$3000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REYNOLDS, STEPHEN</v>
      </c>
      <c r="D214" s="205" t="str" cm="1">
        <f t="array" ref="D214">_xlfn.LET(_xlpm.u,B214,_xlpm.myCnt,COUNTIFS(Application_Status_May!I$2:I$3000,_xlpm.u,Application_Status_May!E$2:E$3000,"App*")+COUNTIFS(Application_Status_May!I$2:I$3000,_xlpm.u,Application_Status_May!E$2:E$3000,"Lease*"),IF(_xlpm.myCnt&gt;0,INDEX(_xlfn._xlws.FILTER(Application_Status_May!E$2:E$3000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Lease: Approved</v>
      </c>
      <c r="E214" s="205" t="str">
        <f t="shared" si="8"/>
        <v>Converted</v>
      </c>
      <c r="F214" s="205" t="str" cm="1">
        <f t="array" ref="F214">_xlfn.LET(_xlpm.u,B214,_xlpm.myCnt,COUNTIFS(Application_Status_May!I$2:I$3000,_xlpm.u,Application_Status_May!E$2:E$3000,"App*")+COUNTIFS(Application_Status_May!I$2:I$3000,_xlpm.u,Application_Status_May!E$2:E$3000,"Lease*"),IF(_xlpm.myCnt&gt;0,INDEX(_xlfn._xlws.FILTER(Application_Status_May!F$2:F$3000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Martinez, Emily</v>
      </c>
      <c r="G214" s="205" t="str" cm="1">
        <f t="array" ref="G214">_xlfn.LET(_xlpm.u,B214,_xlpm.myCnt,COUNTIFS(Application_Status_May!I$2:I$3000,_xlpm.u,Application_Status_May!E$2:E$3000,"App*")+COUNTIFS(Application_Status_May!I$2:I$3000,_xlpm.u,Application_Status_May!E$2:E$3000,"Lease*"),IF(_xlpm.myCnt&gt;0,INDEX(_xlfn._xlws.FILTER(Application_Status_May!H$2:H$3000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Website</v>
      </c>
      <c r="H214" s="206" cm="1">
        <f t="array" ref="H214">_xlfn.LET(_xlpm.u,B214,_xlpm.myCnt,COUNTIFS(Application_Status_May!I$2:I$3000,_xlpm.u,Application_Status_May!E$2:E$3000,"App*")+COUNTIFS(Application_Status_May!I$2:I$3000,_xlpm.u,Application_Status_May!E$2:E$3000,"Lease*"),IF(_xlpm.myCnt&gt;0,INDEX(_xlfn._xlws.FILTER(Application_Status_May!J$2:J$3000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46074</v>
      </c>
      <c r="I214" s="206" cm="1">
        <f t="array" ref="I214">_xlfn.LET(_xlpm.u,B214,_xlpm.myCnt,COUNTIFS(Application_Status_May!I$2:I$3000,_xlpm.u,Application_Status_May!E$2:E$3000,"App*")+COUNTIFS(Application_Status_May!I$2:I$3000,_xlpm.u,Application_Status_May!E$2:E$3000,"Lease*"),IF(_xlpm.myCnt&gt;0,INDEX(_xlfn._xlws.FILTER(Application_Status_May!L$2:L$3000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46074</v>
      </c>
      <c r="J214" s="206" t="str">
        <f>IF(E214&lt;&gt;"Cancelled/Denied","—",_xlfn.LET(_xlpm.u,B214,_xlpm.myC,_xlfn.MAXIFS(Application_Status_May!R$2:R$3000,Application_Status_May!I$2:I$3000,_xlpm.u),_xlpm.myD,_xlfn.MAXIFS(Application_Status_May!S$2:S$3000,Application_Status_May!I$2:I$3000,_xlpm.u),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myC,_xlpm.myD,_xlpm.aC,_xlpm.aD,_xlpm.mC,_xlpm.mD,_xlpm.fC,_xlpm.fD)))</f>
        <v>—</v>
      </c>
      <c r="K214" s="205" t="str">
        <f t="shared" si="9"/>
        <v>—</v>
      </c>
    </row>
    <row r="215" spans="2:11">
      <c r="B215" s="1034" t="str">
        <v>W13-1-1303</v>
      </c>
      <c r="C215" s="204" t="str" cm="1">
        <f t="array" ref="C215">_xlfn.LET(_xlpm.u,B215,_xlpm.myCnt,COUNTIFS(Application_Status_May!I$2:I$3000,_xlpm.u,Application_Status_May!E$2:E$3000,"App*")+COUNTIFS(Application_Status_May!I$2:I$3000,_xlpm.u,Application_Status_May!E$2:E$3000,"Lease*"),IF(_xlpm.myCnt&gt;0,INDEX(_xlfn._xlws.FILTER(Application_Status_May!B$2:B$3000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Palacio, Juan</v>
      </c>
      <c r="D215" s="205" t="str" cm="1">
        <f t="array" ref="D215">_xlfn.LET(_xlpm.u,B215,_xlpm.myCnt,COUNTIFS(Application_Status_May!I$2:I$3000,_xlpm.u,Application_Status_May!E$2:E$3000,"App*")+COUNTIFS(Application_Status_May!I$2:I$3000,_xlpm.u,Application_Status_May!E$2:E$3000,"Lease*"),IF(_xlpm.myCnt&gt;0,INDEX(_xlfn._xlws.FILTER(Application_Status_May!E$2:E$3000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Cancelled</v>
      </c>
      <c r="E215" s="205" t="str">
        <f t="shared" si="8"/>
        <v>Cancelled/Denied</v>
      </c>
      <c r="F215" s="205" t="str" cm="1">
        <f t="array" ref="F215">_xlfn.LET(_xlpm.u,B215,_xlpm.myCnt,COUNTIFS(Application_Status_May!I$2:I$3000,_xlpm.u,Application_Status_May!E$2:E$3000,"App*")+COUNTIFS(Application_Status_May!I$2:I$3000,_xlpm.u,Application_Status_May!E$2:E$3000,"Lease*"),IF(_xlpm.myCnt&gt;0,INDEX(_xlfn._xlws.FILTER(Application_Status_May!F$2:F$3000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Vazquez, Norma</v>
      </c>
      <c r="G215" s="205" t="str" cm="1">
        <f t="array" ref="G215">_xlfn.LET(_xlpm.u,B215,_xlpm.myCnt,COUNTIFS(Application_Status_May!I$2:I$3000,_xlpm.u,Application_Status_May!E$2:E$3000,"App*")+COUNTIFS(Application_Status_May!I$2:I$3000,_xlpm.u,Application_Status_May!E$2:E$3000,"Lease*"),IF(_xlpm.myCnt&gt;0,INDEX(_xlfn._xlws.FILTER(Application_Status_May!H$2:H$3000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Website</v>
      </c>
      <c r="H215" s="206" cm="1">
        <f t="array" ref="H215">_xlfn.LET(_xlpm.u,B215,_xlpm.myCnt,COUNTIFS(Application_Status_May!I$2:I$3000,_xlpm.u,Application_Status_May!E$2:E$3000,"App*")+COUNTIFS(Application_Status_May!I$2:I$3000,_xlpm.u,Application_Status_May!E$2:E$3000,"Lease*"),IF(_xlpm.myCnt&gt;0,INDEX(_xlfn._xlws.FILTER(Application_Status_May!J$2:J$3000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46090</v>
      </c>
      <c r="I215" s="206" cm="1">
        <f t="array" ref="I215">_xlfn.LET(_xlpm.u,B215,_xlpm.myCnt,COUNTIFS(Application_Status_May!I$2:I$3000,_xlpm.u,Application_Status_May!E$2:E$3000,"App*")+COUNTIFS(Application_Status_May!I$2:I$3000,_xlpm.u,Application_Status_May!E$2:E$3000,"Lease*"),IF(_xlpm.myCnt&gt;0,INDEX(_xlfn._xlws.FILTER(Application_Status_May!L$2:L$3000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0</v>
      </c>
      <c r="J215" s="206">
        <f>IF(E215&lt;&gt;"Cancelled/Denied","—",_xlfn.LET(_xlpm.u,B215,_xlpm.myC,_xlfn.MAXIFS(Application_Status_May!R$2:R$3000,Application_Status_May!I$2:I$3000,_xlpm.u),_xlpm.myD,_xlfn.MAXIFS(Application_Status_May!S$2:S$3000,Application_Status_May!I$2:I$3000,_xlpm.u),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myC,_xlpm.myD,_xlpm.aC,_xlpm.aD,_xlpm.mC,_xlpm.mD,_xlpm.fC,_xlpm.fD)))</f>
        <v>46114</v>
      </c>
      <c r="K215" s="205" t="str">
        <f t="shared" si="9"/>
        <v>—</v>
      </c>
    </row>
    <row r="216" spans="2:11">
      <c r="B216" s="1034" t="str">
        <v>W13-1-1306</v>
      </c>
      <c r="C216" s="204" t="str" cm="1">
        <f t="array" ref="C216">_xlfn.LET(_xlpm.u,B216,_xlpm.myCnt,COUNTIFS(Application_Status_May!I$2:I$3000,_xlpm.u,Application_Status_May!E$2:E$3000,"App*")+COUNTIFS(Application_Status_May!I$2:I$3000,_xlpm.u,Application_Status_May!E$2:E$3000,"Lease*"),IF(_xlpm.myCnt&gt;0,INDEX(_xlfn._xlws.FILTER(Application_Status_May!B$2:B$3000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Johnson, Patrick</v>
      </c>
      <c r="D216" s="205" t="str" cm="1">
        <f t="array" ref="D216">_xlfn.LET(_xlpm.u,B216,_xlpm.myCnt,COUNTIFS(Application_Status_May!I$2:I$3000,_xlpm.u,Application_Status_May!E$2:E$3000,"App*")+COUNTIFS(Application_Status_May!I$2:I$3000,_xlpm.u,Application_Status_May!E$2:E$3000,"Lease*"),IF(_xlpm.myCnt&gt;0,INDEX(_xlfn._xlws.FILTER(Application_Status_May!E$2:E$3000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Started</v>
      </c>
      <c r="E216" s="205" t="str">
        <f t="shared" si="8"/>
        <v>Incomplete</v>
      </c>
      <c r="F216" s="205" t="str" cm="1">
        <f t="array" ref="F216">_xlfn.LET(_xlpm.u,B216,_xlpm.myCnt,COUNTIFS(Application_Status_May!I$2:I$3000,_xlpm.u,Application_Status_May!E$2:E$3000,"App*")+COUNTIFS(Application_Status_May!I$2:I$3000,_xlpm.u,Application_Status_May!E$2:E$3000,"Lease*"),IF(_xlpm.myCnt&gt;0,INDEX(_xlfn._xlws.FILTER(Application_Status_May!F$2:F$3000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Rodriguez, Jennifer</v>
      </c>
      <c r="G216" s="205" t="str" cm="1">
        <f t="array" ref="G216">_xlfn.LET(_xlpm.u,B216,_xlpm.myCnt,COUNTIFS(Application_Status_May!I$2:I$3000,_xlpm.u,Application_Status_May!E$2:E$3000,"App*")+COUNTIFS(Application_Status_May!I$2:I$3000,_xlpm.u,Application_Status_May!E$2:E$3000,"Lease*"),IF(_xlpm.myCnt&gt;0,INDEX(_xlfn._xlws.FILTER(Application_Status_May!H$2:H$3000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Apartments.com</v>
      </c>
      <c r="H216" s="206" cm="1">
        <f t="array" ref="H216">_xlfn.LET(_xlpm.u,B216,_xlpm.myCnt,COUNTIFS(Application_Status_May!I$2:I$3000,_xlpm.u,Application_Status_May!E$2:E$3000,"App*")+COUNTIFS(Application_Status_May!I$2:I$3000,_xlpm.u,Application_Status_May!E$2:E$3000,"Lease*"),IF(_xlpm.myCnt&gt;0,INDEX(_xlfn._xlws.FILTER(Application_Status_May!J$2:J$3000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46164</v>
      </c>
      <c r="I216" s="206" cm="1">
        <f t="array" ref="I216">_xlfn.LET(_xlpm.u,B216,_xlpm.myCnt,COUNTIFS(Application_Status_May!I$2:I$3000,_xlpm.u,Application_Status_May!E$2:E$3000,"App*")+COUNTIFS(Application_Status_May!I$2:I$3000,_xlpm.u,Application_Status_May!E$2:E$3000,"Lease*"),IF(_xlpm.myCnt&gt;0,INDEX(_xlfn._xlws.FILTER(Application_Status_May!L$2:L$3000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0</v>
      </c>
      <c r="J216" s="206" t="str">
        <f>IF(E216&lt;&gt;"Cancelled/Denied","—",_xlfn.LET(_xlpm.u,B216,_xlpm.myC,_xlfn.MAXIFS(Application_Status_May!R$2:R$3000,Application_Status_May!I$2:I$3000,_xlpm.u),_xlpm.myD,_xlfn.MAXIFS(Application_Status_May!S$2:S$3000,Application_Status_May!I$2:I$3000,_xlpm.u),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myC,_xlpm.myD,_xlpm.aC,_xlpm.aD,_xlpm.mC,_xlpm.mD,_xlpm.fC,_xlpm.fD)))</f>
        <v>—</v>
      </c>
      <c r="K216" s="205">
        <f t="shared" si="9"/>
        <v>80</v>
      </c>
    </row>
    <row r="217" spans="2:11">
      <c r="B217" s="1033" t="str">
        <v>W13-1-1311</v>
      </c>
      <c r="C217" s="204" t="str" cm="1">
        <f t="array" ref="C217">_xlfn.LET(_xlpm.u,B217,_xlpm.myCnt,COUNTIFS(Application_Status_May!I$2:I$3000,_xlpm.u,Application_Status_May!E$2:E$3000,"App*")+COUNTIFS(Application_Status_May!I$2:I$3000,_xlpm.u,Application_Status_May!E$2:E$3000,"Lease*"),IF(_xlpm.myCnt&gt;0,INDEX(_xlfn._xlws.FILTER(Application_Status_May!B$2:B$3000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Grant, Laci</v>
      </c>
      <c r="D217" s="205" t="str" cm="1">
        <f t="array" ref="D217">_xlfn.LET(_xlpm.u,B217,_xlpm.myCnt,COUNTIFS(Application_Status_May!I$2:I$3000,_xlpm.u,Application_Status_May!E$2:E$3000,"App*")+COUNTIFS(Application_Status_May!I$2:I$3000,_xlpm.u,Application_Status_May!E$2:E$3000,"Lease*"),IF(_xlpm.myCnt&gt;0,INDEX(_xlfn._xlws.FILTER(Application_Status_May!E$2:E$3000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Started</v>
      </c>
      <c r="E217" s="205" t="str">
        <f t="shared" si="8"/>
        <v>Incomplete</v>
      </c>
      <c r="F217" s="205" t="str" cm="1">
        <f t="array" ref="F217">_xlfn.LET(_xlpm.u,B217,_xlpm.myCnt,COUNTIFS(Application_Status_May!I$2:I$3000,_xlpm.u,Application_Status_May!E$2:E$3000,"App*")+COUNTIFS(Application_Status_May!I$2:I$3000,_xlpm.u,Application_Status_May!E$2:E$3000,"Lease*"),IF(_xlpm.myCnt&gt;0,INDEX(_xlfn._xlws.FILTER(Application_Status_May!F$2:F$3000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HOUSE, HOUSE</v>
      </c>
      <c r="G217" s="205" t="str" cm="1">
        <f t="array" ref="G217">_xlfn.LET(_xlpm.u,B217,_xlpm.myCnt,COUNTIFS(Application_Status_May!I$2:I$3000,_xlpm.u,Application_Status_May!E$2:E$3000,"App*")+COUNTIFS(Application_Status_May!I$2:I$3000,_xlpm.u,Application_Status_May!E$2:E$3000,"Lease*"),IF(_xlpm.myCnt&gt;0,INDEX(_xlfn._xlws.FILTER(Application_Status_May!H$2:H$3000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Website</v>
      </c>
      <c r="H217" s="206" cm="1">
        <f t="array" ref="H217">_xlfn.LET(_xlpm.u,B217,_xlpm.myCnt,COUNTIFS(Application_Status_May!I$2:I$3000,_xlpm.u,Application_Status_May!E$2:E$3000,"App*")+COUNTIFS(Application_Status_May!I$2:I$3000,_xlpm.u,Application_Status_May!E$2:E$3000,"Lease*"),IF(_xlpm.myCnt&gt;0,INDEX(_xlfn._xlws.FILTER(Application_Status_May!J$2:J$3000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46164</v>
      </c>
      <c r="I217" s="206" cm="1">
        <f t="array" ref="I217">_xlfn.LET(_xlpm.u,B217,_xlpm.myCnt,COUNTIFS(Application_Status_May!I$2:I$3000,_xlpm.u,Application_Status_May!E$2:E$3000,"App*")+COUNTIFS(Application_Status_May!I$2:I$3000,_xlpm.u,Application_Status_May!E$2:E$3000,"Lease*"),IF(_xlpm.myCnt&gt;0,INDEX(_xlfn._xlws.FILTER(Application_Status_May!L$2:L$3000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0</v>
      </c>
      <c r="J217" s="206" t="str">
        <f>IF(E217&lt;&gt;"Cancelled/Denied","—",_xlfn.LET(_xlpm.u,B217,_xlpm.myC,_xlfn.MAXIFS(Application_Status_May!R$2:R$3000,Application_Status_May!I$2:I$3000,_xlpm.u),_xlpm.myD,_xlfn.MAXIFS(Application_Status_May!S$2:S$3000,Application_Status_May!I$2:I$3000,_xlpm.u),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myC,_xlpm.myD,_xlpm.aC,_xlpm.aD,_xlpm.mC,_xlpm.mD,_xlpm.fC,_xlpm.fD)))</f>
        <v>—</v>
      </c>
      <c r="K217" s="205">
        <f t="shared" si="9"/>
        <v>80</v>
      </c>
    </row>
    <row r="218" spans="2:11">
      <c r="B218" s="1034" t="str">
        <v>W13-1-1318</v>
      </c>
      <c r="C218" s="204" t="str" cm="1">
        <f t="array" ref="C218">_xlfn.LET(_xlpm.u,B218,_xlpm.myCnt,COUNTIFS(Application_Status_May!I$2:I$3000,_xlpm.u,Application_Status_May!E$2:E$3000,"App*")+COUNTIFS(Application_Status_May!I$2:I$3000,_xlpm.u,Application_Status_May!E$2:E$3000,"Lease*"),IF(_xlpm.myCnt&gt;0,INDEX(_xlfn._xlws.FILTER(Application_Status_May!B$2:B$3000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ogunsanya, mopelola</v>
      </c>
      <c r="D218" s="205" t="str" cm="1">
        <f t="array" ref="D218">_xlfn.LET(_xlpm.u,B218,_xlpm.myCnt,COUNTIFS(Application_Status_May!I$2:I$3000,_xlpm.u,Application_Status_May!E$2:E$3000,"App*")+COUNTIFS(Application_Status_May!I$2:I$3000,_xlpm.u,Application_Status_May!E$2:E$3000,"Lease*"),IF(_xlpm.myCnt&gt;0,INDEX(_xlfn._xlws.FILTER(Application_Status_May!E$2:E$3000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Cancelled</v>
      </c>
      <c r="E218" s="205" t="str">
        <f t="shared" si="8"/>
        <v>Cancelled/Denied</v>
      </c>
      <c r="F218" s="205" t="str" cm="1">
        <f t="array" ref="F218">_xlfn.LET(_xlpm.u,B218,_xlpm.myCnt,COUNTIFS(Application_Status_May!I$2:I$3000,_xlpm.u,Application_Status_May!E$2:E$3000,"App*")+COUNTIFS(Application_Status_May!I$2:I$3000,_xlpm.u,Application_Status_May!E$2:E$3000,"Lease*"),IF(_xlpm.myCnt&gt;0,INDEX(_xlfn._xlws.FILTER(Application_Status_May!F$2:F$3000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Martinez, Emily</v>
      </c>
      <c r="G218" s="205" t="str" cm="1">
        <f t="array" ref="G218">_xlfn.LET(_xlpm.u,B218,_xlpm.myCnt,COUNTIFS(Application_Status_May!I$2:I$3000,_xlpm.u,Application_Status_May!E$2:E$3000,"App*")+COUNTIFS(Application_Status_May!I$2:I$3000,_xlpm.u,Application_Status_May!E$2:E$3000,"Lease*"),IF(_xlpm.myCnt&gt;0,INDEX(_xlfn._xlws.FILTER(Application_Status_May!H$2:H$3000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Previous Resident Referral</v>
      </c>
      <c r="H218" s="206" cm="1">
        <f t="array" ref="H218">_xlfn.LET(_xlpm.u,B218,_xlpm.myCnt,COUNTIFS(Application_Status_May!I$2:I$3000,_xlpm.u,Application_Status_May!E$2:E$3000,"App*")+COUNTIFS(Application_Status_May!I$2:I$3000,_xlpm.u,Application_Status_May!E$2:E$3000,"Lease*"),IF(_xlpm.myCnt&gt;0,INDEX(_xlfn._xlws.FILTER(Application_Status_May!J$2:J$3000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46093</v>
      </c>
      <c r="I218" s="206" cm="1">
        <f t="array" ref="I218">_xlfn.LET(_xlpm.u,B218,_xlpm.myCnt,COUNTIFS(Application_Status_May!I$2:I$3000,_xlpm.u,Application_Status_May!E$2:E$3000,"App*")+COUNTIFS(Application_Status_May!I$2:I$3000,_xlpm.u,Application_Status_May!E$2:E$3000,"Lease*"),IF(_xlpm.myCnt&gt;0,INDEX(_xlfn._xlws.FILTER(Application_Status_May!L$2:L$3000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46093</v>
      </c>
      <c r="J218" s="206">
        <f>IF(E218&lt;&gt;"Cancelled/Denied","—",_xlfn.LET(_xlpm.u,B218,_xlpm.myC,_xlfn.MAXIFS(Application_Status_May!R$2:R$3000,Application_Status_May!I$2:I$3000,_xlpm.u),_xlpm.myD,_xlfn.MAXIFS(Application_Status_May!S$2:S$3000,Application_Status_May!I$2:I$3000,_xlpm.u),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myC,_xlpm.myD,_xlpm.aC,_xlpm.aD,_xlpm.mC,_xlpm.mD,_xlpm.fC,_xlpm.fD)))</f>
        <v>46118</v>
      </c>
      <c r="K218" s="205" t="str">
        <f t="shared" si="9"/>
        <v>—</v>
      </c>
    </row>
    <row r="219" spans="2:11">
      <c r="B219" s="1033" t="str">
        <v>W13-1-1319</v>
      </c>
      <c r="C219" s="204" t="str" cm="1">
        <f t="array" ref="C219">_xlfn.LET(_xlpm.u,B219,_xlpm.myCnt,COUNTIFS(Application_Status_May!I$2:I$3000,_xlpm.u,Application_Status_May!E$2:E$3000,"App*")+COUNTIFS(Application_Status_May!I$2:I$3000,_xlpm.u,Application_Status_May!E$2:E$3000,"Lease*"),IF(_xlpm.myCnt&gt;0,INDEX(_xlfn._xlws.FILTER(Application_Status_May!B$2:B$3000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Ramirez, Samantha</v>
      </c>
      <c r="D219" s="205" t="str" cm="1">
        <f t="array" ref="D219">_xlfn.LET(_xlpm.u,B219,_xlpm.myCnt,COUNTIFS(Application_Status_May!I$2:I$3000,_xlpm.u,Application_Status_May!E$2:E$3000,"App*")+COUNTIFS(Application_Status_May!I$2:I$3000,_xlpm.u,Application_Status_May!E$2:E$3000,"Lease*"),IF(_xlpm.myCnt&gt;0,INDEX(_xlfn._xlws.FILTER(Application_Status_May!E$2:E$3000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Completed</v>
      </c>
      <c r="E219" s="205" t="str">
        <f t="shared" si="8"/>
        <v>In Review</v>
      </c>
      <c r="F219" s="205" t="str" cm="1">
        <f t="array" ref="F219">_xlfn.LET(_xlpm.u,B219,_xlpm.myCnt,COUNTIFS(Application_Status_May!I$2:I$3000,_xlpm.u,Application_Status_May!E$2:E$3000,"App*")+COUNTIFS(Application_Status_May!I$2:I$3000,_xlpm.u,Application_Status_May!E$2:E$3000,"Lease*"),IF(_xlpm.myCnt&gt;0,INDEX(_xlfn._xlws.FILTER(Application_Status_May!F$2:F$3000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Martinez, Emily</v>
      </c>
      <c r="G219" s="205" t="str" cm="1">
        <f t="array" ref="G219">_xlfn.LET(_xlpm.u,B219,_xlpm.myCnt,COUNTIFS(Application_Status_May!I$2:I$3000,_xlpm.u,Application_Status_May!E$2:E$3000,"App*")+COUNTIFS(Application_Status_May!I$2:I$3000,_xlpm.u,Application_Status_May!E$2:E$3000,"Lease*"),IF(_xlpm.myCnt&gt;0,INDEX(_xlfn._xlws.FILTER(Application_Status_May!H$2:H$3000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Website</v>
      </c>
      <c r="H219" s="206" cm="1">
        <f t="array" ref="H219">_xlfn.LET(_xlpm.u,B219,_xlpm.myCnt,COUNTIFS(Application_Status_May!I$2:I$3000,_xlpm.u,Application_Status_May!E$2:E$3000,"App*")+COUNTIFS(Application_Status_May!I$2:I$3000,_xlpm.u,Application_Status_May!E$2:E$3000,"Lease*"),IF(_xlpm.myCnt&gt;0,INDEX(_xlfn._xlws.FILTER(Application_Status_May!J$2:J$3000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46164</v>
      </c>
      <c r="I219" s="206" cm="1">
        <f t="array" ref="I219">_xlfn.LET(_xlpm.u,B219,_xlpm.myCnt,COUNTIFS(Application_Status_May!I$2:I$3000,_xlpm.u,Application_Status_May!E$2:E$3000,"App*")+COUNTIFS(Application_Status_May!I$2:I$3000,_xlpm.u,Application_Status_May!E$2:E$3000,"Lease*"),IF(_xlpm.myCnt&gt;0,INDEX(_xlfn._xlws.FILTER(Application_Status_May!L$2:L$3000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46165</v>
      </c>
      <c r="J219" s="206" t="str">
        <f>IF(E219&lt;&gt;"Cancelled/Denied","—",_xlfn.LET(_xlpm.u,B219,_xlpm.myC,_xlfn.MAXIFS(Application_Status_May!R$2:R$3000,Application_Status_May!I$2:I$3000,_xlpm.u),_xlpm.myD,_xlfn.MAXIFS(Application_Status_May!S$2:S$3000,Application_Status_May!I$2:I$3000,_xlpm.u),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myC,_xlpm.myD,_xlpm.aC,_xlpm.aD,_xlpm.mC,_xlpm.mD,_xlpm.fC,_xlpm.fD)))</f>
        <v>—</v>
      </c>
      <c r="K219" s="205">
        <f t="shared" si="9"/>
        <v>80</v>
      </c>
    </row>
    <row r="220" spans="2:11">
      <c r="B220" s="1033" t="str">
        <v>W14-1-1401</v>
      </c>
      <c r="C220" s="204" t="str" cm="1">
        <f t="array" ref="C220">_xlfn.LET(_xlpm.u,B220,_xlpm.myCnt,COUNTIFS(Application_Status_May!I$2:I$3000,_xlpm.u,Application_Status_May!E$2:E$3000,"App*")+COUNTIFS(Application_Status_May!I$2:I$3000,_xlpm.u,Application_Status_May!E$2:E$3000,"Lease*"),IF(_xlpm.myCnt&gt;0,INDEX(_xlfn._xlws.FILTER(Application_Status_May!B$2:B$3000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Zambrano, Weelferth</v>
      </c>
      <c r="D220" s="205" t="str" cm="1">
        <f t="array" ref="D220">_xlfn.LET(_xlpm.u,B220,_xlpm.myCnt,COUNTIFS(Application_Status_May!I$2:I$3000,_xlpm.u,Application_Status_May!E$2:E$3000,"App*")+COUNTIFS(Application_Status_May!I$2:I$3000,_xlpm.u,Application_Status_May!E$2:E$3000,"Lease*"),IF(_xlpm.myCnt&gt;0,INDEX(_xlfn._xlws.FILTER(Application_Status_May!E$2:E$3000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Lease: Approved</v>
      </c>
      <c r="E220" s="205" t="str">
        <f t="shared" si="8"/>
        <v>Converted</v>
      </c>
      <c r="F220" s="205" t="str" cm="1">
        <f t="array" ref="F220">_xlfn.LET(_xlpm.u,B220,_xlpm.myCnt,COUNTIFS(Application_Status_May!I$2:I$3000,_xlpm.u,Application_Status_May!E$2:E$3000,"App*")+COUNTIFS(Application_Status_May!I$2:I$3000,_xlpm.u,Application_Status_May!E$2:E$3000,"Lease*"),IF(_xlpm.myCnt&gt;0,INDEX(_xlfn._xlws.FILTER(Application_Status_May!F$2:F$3000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Reyes, Josie</v>
      </c>
      <c r="G220" s="205" t="str" cm="1">
        <f t="array" ref="G220">_xlfn.LET(_xlpm.u,B220,_xlpm.myCnt,COUNTIFS(Application_Status_May!I$2:I$3000,_xlpm.u,Application_Status_May!E$2:E$3000,"App*")+COUNTIFS(Application_Status_May!I$2:I$3000,_xlpm.u,Application_Status_May!E$2:E$3000,"Lease*"),IF(_xlpm.myCnt&gt;0,INDEX(_xlfn._xlws.FILTER(Application_Status_May!H$2:H$3000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Drive By</v>
      </c>
      <c r="H220" s="206" cm="1">
        <f t="array" ref="H220">_xlfn.LET(_xlpm.u,B220,_xlpm.myCnt,COUNTIFS(Application_Status_May!I$2:I$3000,_xlpm.u,Application_Status_May!E$2:E$3000,"App*")+COUNTIFS(Application_Status_May!I$2:I$3000,_xlpm.u,Application_Status_May!E$2:E$3000,"Lease*"),IF(_xlpm.myCnt&gt;0,INDEX(_xlfn._xlws.FILTER(Application_Status_May!J$2:J$3000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46113</v>
      </c>
      <c r="I220" s="206" cm="1">
        <f t="array" ref="I220">_xlfn.LET(_xlpm.u,B220,_xlpm.myCnt,COUNTIFS(Application_Status_May!I$2:I$3000,_xlpm.u,Application_Status_May!E$2:E$3000,"App*")+COUNTIFS(Application_Status_May!I$2:I$3000,_xlpm.u,Application_Status_May!E$2:E$3000,"Lease*"),IF(_xlpm.myCnt&gt;0,INDEX(_xlfn._xlws.FILTER(Application_Status_May!L$2:L$3000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46113</v>
      </c>
      <c r="J220" s="206" t="str">
        <f>IF(E220&lt;&gt;"Cancelled/Denied","—",_xlfn.LET(_xlpm.u,B220,_xlpm.myC,_xlfn.MAXIFS(Application_Status_May!R$2:R$3000,Application_Status_May!I$2:I$3000,_xlpm.u),_xlpm.myD,_xlfn.MAXIFS(Application_Status_May!S$2:S$3000,Application_Status_May!I$2:I$3000,_xlpm.u),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myC,_xlpm.myD,_xlpm.aC,_xlpm.aD,_xlpm.mC,_xlpm.mD,_xlpm.fC,_xlpm.fD)))</f>
        <v>—</v>
      </c>
      <c r="K220" s="205" t="str">
        <f t="shared" si="9"/>
        <v>—</v>
      </c>
    </row>
    <row r="221" spans="2:11">
      <c r="B221" s="1034" t="str">
        <v>W14-1-1406</v>
      </c>
      <c r="C221" s="204" t="str" cm="1">
        <f t="array" ref="C221">_xlfn.LET(_xlpm.u,B221,_xlpm.myCnt,COUNTIFS(Application_Status_May!I$2:I$3000,_xlpm.u,Application_Status_May!E$2:E$3000,"App*")+COUNTIFS(Application_Status_May!I$2:I$3000,_xlpm.u,Application_Status_May!E$2:E$3000,"Lease*"),IF(_xlpm.myCnt&gt;0,INDEX(_xlfn._xlws.FILTER(Application_Status_May!B$2:B$3000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Luster, Ryan</v>
      </c>
      <c r="D221" s="205" t="str" cm="1">
        <f t="array" ref="D221">_xlfn.LET(_xlpm.u,B221,_xlpm.myCnt,COUNTIFS(Application_Status_May!I$2:I$3000,_xlpm.u,Application_Status_May!E$2:E$3000,"App*")+COUNTIFS(Application_Status_May!I$2:I$3000,_xlpm.u,Application_Status_May!E$2:E$3000,"Lease*"),IF(_xlpm.myCnt&gt;0,INDEX(_xlfn._xlws.FILTER(Application_Status_May!E$2:E$3000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Cancelled</v>
      </c>
      <c r="E221" s="205" t="str">
        <f t="shared" si="8"/>
        <v>Cancelled/Denied</v>
      </c>
      <c r="F221" s="205" t="str" cm="1">
        <f t="array" ref="F221">_xlfn.LET(_xlpm.u,B221,_xlpm.myCnt,COUNTIFS(Application_Status_May!I$2:I$3000,_xlpm.u,Application_Status_May!E$2:E$3000,"App*")+COUNTIFS(Application_Status_May!I$2:I$3000,_xlpm.u,Application_Status_May!E$2:E$3000,"Lease*"),IF(_xlpm.myCnt&gt;0,INDEX(_xlfn._xlws.FILTER(Application_Status_May!F$2:F$3000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Elise, Meet</v>
      </c>
      <c r="G221" s="205" t="str" cm="1">
        <f t="array" ref="G221">_xlfn.LET(_xlpm.u,B221,_xlpm.myCnt,COUNTIFS(Application_Status_May!I$2:I$3000,_xlpm.u,Application_Status_May!E$2:E$3000,"App*")+COUNTIFS(Application_Status_May!I$2:I$3000,_xlpm.u,Application_Status_May!E$2:E$3000,"Lease*"),IF(_xlpm.myCnt&gt;0,INDEX(_xlfn._xlws.FILTER(Application_Status_May!H$2:H$3000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Website</v>
      </c>
      <c r="H221" s="206" cm="1">
        <f t="array" ref="H221">_xlfn.LET(_xlpm.u,B221,_xlpm.myCnt,COUNTIFS(Application_Status_May!I$2:I$3000,_xlpm.u,Application_Status_May!E$2:E$3000,"App*")+COUNTIFS(Application_Status_May!I$2:I$3000,_xlpm.u,Application_Status_May!E$2:E$3000,"Lease*"),IF(_xlpm.myCnt&gt;0,INDEX(_xlfn._xlws.FILTER(Application_Status_May!J$2:J$3000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46132</v>
      </c>
      <c r="I221" s="206" cm="1">
        <f t="array" ref="I221">_xlfn.LET(_xlpm.u,B221,_xlpm.myCnt,COUNTIFS(Application_Status_May!I$2:I$3000,_xlpm.u,Application_Status_May!E$2:E$3000,"App*")+COUNTIFS(Application_Status_May!I$2:I$3000,_xlpm.u,Application_Status_May!E$2:E$3000,"Lease*"),IF(_xlpm.myCnt&gt;0,INDEX(_xlfn._xlws.FILTER(Application_Status_May!L$2:L$3000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0</v>
      </c>
      <c r="J221" s="206">
        <f>IF(E221&lt;&gt;"Cancelled/Denied","—",_xlfn.LET(_xlpm.u,B221,_xlpm.myC,_xlfn.MAXIFS(Application_Status_May!R$2:R$3000,Application_Status_May!I$2:I$3000,_xlpm.u),_xlpm.myD,_xlfn.MAXIFS(Application_Status_May!S$2:S$3000,Application_Status_May!I$2:I$3000,_xlpm.u),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myC,_xlpm.myD,_xlpm.aC,_xlpm.aD,_xlpm.mC,_xlpm.mD,_xlpm.fC,_xlpm.fD)))</f>
        <v>46151</v>
      </c>
      <c r="K221" s="205" t="str">
        <f t="shared" si="9"/>
        <v>—</v>
      </c>
    </row>
    <row r="222" spans="2:11">
      <c r="B222" s="1033" t="str">
        <v>W14-1-1423</v>
      </c>
      <c r="C222" s="204" t="str" cm="1">
        <f t="array" ref="C222">_xlfn.LET(_xlpm.u,B222,_xlpm.myCnt,COUNTIFS(Application_Status_May!I$2:I$3000,_xlpm.u,Application_Status_May!E$2:E$3000,"App*")+COUNTIFS(Application_Status_May!I$2:I$3000,_xlpm.u,Application_Status_May!E$2:E$3000,"Lease*"),IF(_xlpm.myCnt&gt;0,INDEX(_xlfn._xlws.FILTER(Application_Status_May!B$2:B$3000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Land, Charity</v>
      </c>
      <c r="D222" s="205" t="str" cm="1">
        <f t="array" ref="D222">_xlfn.LET(_xlpm.u,B222,_xlpm.myCnt,COUNTIFS(Application_Status_May!I$2:I$3000,_xlpm.u,Application_Status_May!E$2:E$3000,"App*")+COUNTIFS(Application_Status_May!I$2:I$3000,_xlpm.u,Application_Status_May!E$2:E$3000,"Lease*"),IF(_xlpm.myCnt&gt;0,INDEX(_xlfn._xlws.FILTER(Application_Status_May!E$2:E$3000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Started</v>
      </c>
      <c r="E222" s="205" t="str">
        <f t="shared" si="8"/>
        <v>Incomplete</v>
      </c>
      <c r="F222" s="205" t="str" cm="1">
        <f t="array" ref="F222">_xlfn.LET(_xlpm.u,B222,_xlpm.myCnt,COUNTIFS(Application_Status_May!I$2:I$3000,_xlpm.u,Application_Status_May!E$2:E$3000,"App*")+COUNTIFS(Application_Status_May!I$2:I$3000,_xlpm.u,Application_Status_May!E$2:E$3000,"Lease*"),IF(_xlpm.myCnt&gt;0,INDEX(_xlfn._xlws.FILTER(Application_Status_May!F$2:F$3000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Elise, Meet</v>
      </c>
      <c r="G222" s="205" t="str" cm="1">
        <f t="array" ref="G222">_xlfn.LET(_xlpm.u,B222,_xlpm.myCnt,COUNTIFS(Application_Status_May!I$2:I$3000,_xlpm.u,Application_Status_May!E$2:E$3000,"App*")+COUNTIFS(Application_Status_May!I$2:I$3000,_xlpm.u,Application_Status_May!E$2:E$3000,"Lease*"),IF(_xlpm.myCnt&gt;0,INDEX(_xlfn._xlws.FILTER(Application_Status_May!H$2:H$3000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Website</v>
      </c>
      <c r="H222" s="206" cm="1">
        <f t="array" ref="H222">_xlfn.LET(_xlpm.u,B222,_xlpm.myCnt,COUNTIFS(Application_Status_May!I$2:I$3000,_xlpm.u,Application_Status_May!E$2:E$3000,"App*")+COUNTIFS(Application_Status_May!I$2:I$3000,_xlpm.u,Application_Status_May!E$2:E$3000,"Lease*"),IF(_xlpm.myCnt&gt;0,INDEX(_xlfn._xlws.FILTER(Application_Status_May!J$2:J$3000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46165</v>
      </c>
      <c r="I222" s="206" cm="1">
        <f t="array" ref="I222">_xlfn.LET(_xlpm.u,B222,_xlpm.myCnt,COUNTIFS(Application_Status_May!I$2:I$3000,_xlpm.u,Application_Status_May!E$2:E$3000,"App*")+COUNTIFS(Application_Status_May!I$2:I$3000,_xlpm.u,Application_Status_May!E$2:E$3000,"Lease*"),IF(_xlpm.myCnt&gt;0,INDEX(_xlfn._xlws.FILTER(Application_Status_May!L$2:L$3000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0</v>
      </c>
      <c r="J222" s="206" t="str">
        <f>IF(E222&lt;&gt;"Cancelled/Denied","—",_xlfn.LET(_xlpm.u,B222,_xlpm.myC,_xlfn.MAXIFS(Application_Status_May!R$2:R$3000,Application_Status_May!I$2:I$3000,_xlpm.u),_xlpm.myD,_xlfn.MAXIFS(Application_Status_May!S$2:S$3000,Application_Status_May!I$2:I$3000,_xlpm.u),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myC,_xlpm.myD,_xlpm.aC,_xlpm.aD,_xlpm.mC,_xlpm.mD,_xlpm.fC,_xlpm.fD)))</f>
        <v>—</v>
      </c>
      <c r="K222" s="205">
        <f t="shared" si="9"/>
        <v>79</v>
      </c>
    </row>
    <row r="223" spans="2:11">
      <c r="B223" s="1034" t="str">
        <v>W14-1-1424</v>
      </c>
      <c r="C223" s="204" t="str" cm="1">
        <f t="array" ref="C223">_xlfn.LET(_xlpm.u,B223,_xlpm.myCnt,COUNTIFS(Application_Status_May!I$2:I$3000,_xlpm.u,Application_Status_May!E$2:E$3000,"App*")+COUNTIFS(Application_Status_May!I$2:I$3000,_xlpm.u,Application_Status_May!E$2:E$3000,"Lease*"),IF(_xlpm.myCnt&gt;0,INDEX(_xlfn._xlws.FILTER(Application_Status_May!B$2:B$3000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White, Jordan</v>
      </c>
      <c r="D223" s="205" t="str" cm="1">
        <f t="array" ref="D223">_xlfn.LET(_xlpm.u,B223,_xlpm.myCnt,COUNTIFS(Application_Status_May!I$2:I$3000,_xlpm.u,Application_Status_May!E$2:E$3000,"App*")+COUNTIFS(Application_Status_May!I$2:I$3000,_xlpm.u,Application_Status_May!E$2:E$3000,"Lease*"),IF(_xlpm.myCnt&gt;0,INDEX(_xlfn._xlws.FILTER(Application_Status_May!E$2:E$3000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Completed</v>
      </c>
      <c r="E223" s="205" t="str">
        <f t="shared" si="8"/>
        <v>In Review</v>
      </c>
      <c r="F223" s="205" t="str" cm="1">
        <f t="array" ref="F223">_xlfn.LET(_xlpm.u,B223,_xlpm.myCnt,COUNTIFS(Application_Status_May!I$2:I$3000,_xlpm.u,Application_Status_May!E$2:E$3000,"App*")+COUNTIFS(Application_Status_May!I$2:I$3000,_xlpm.u,Application_Status_May!E$2:E$3000,"Lease*"),IF(_xlpm.myCnt&gt;0,INDEX(_xlfn._xlws.FILTER(Application_Status_May!F$2:F$3000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HOUSE, HOUSE</v>
      </c>
      <c r="G223" s="205" t="str" cm="1">
        <f t="array" ref="G223">_xlfn.LET(_xlpm.u,B223,_xlpm.myCnt,COUNTIFS(Application_Status_May!I$2:I$3000,_xlpm.u,Application_Status_May!E$2:E$3000,"App*")+COUNTIFS(Application_Status_May!I$2:I$3000,_xlpm.u,Application_Status_May!E$2:E$3000,"Lease*"),IF(_xlpm.myCnt&gt;0,INDEX(_xlfn._xlws.FILTER(Application_Status_May!H$2:H$3000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Website</v>
      </c>
      <c r="H223" s="206" cm="1">
        <f t="array" ref="H223">_xlfn.LET(_xlpm.u,B223,_xlpm.myCnt,COUNTIFS(Application_Status_May!I$2:I$3000,_xlpm.u,Application_Status_May!E$2:E$3000,"App*")+COUNTIFS(Application_Status_May!I$2:I$3000,_xlpm.u,Application_Status_May!E$2:E$3000,"Lease*"),IF(_xlpm.myCnt&gt;0,INDEX(_xlfn._xlws.FILTER(Application_Status_May!J$2:J$3000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46170</v>
      </c>
      <c r="I223" s="206" cm="1">
        <f t="array" ref="I223">_xlfn.LET(_xlpm.u,B223,_xlpm.myCnt,COUNTIFS(Application_Status_May!I$2:I$3000,_xlpm.u,Application_Status_May!E$2:E$3000,"App*")+COUNTIFS(Application_Status_May!I$2:I$3000,_xlpm.u,Application_Status_May!E$2:E$3000,"Lease*"),IF(_xlpm.myCnt&gt;0,INDEX(_xlfn._xlws.FILTER(Application_Status_May!L$2:L$3000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46170</v>
      </c>
      <c r="J223" s="206" t="str">
        <f>IF(E223&lt;&gt;"Cancelled/Denied","—",_xlfn.LET(_xlpm.u,B223,_xlpm.myC,_xlfn.MAXIFS(Application_Status_May!R$2:R$3000,Application_Status_May!I$2:I$3000,_xlpm.u),_xlpm.myD,_xlfn.MAXIFS(Application_Status_May!S$2:S$3000,Application_Status_May!I$2:I$3000,_xlpm.u),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myC,_xlpm.myD,_xlpm.aC,_xlpm.aD,_xlpm.mC,_xlpm.mD,_xlpm.fC,_xlpm.fD)))</f>
        <v>—</v>
      </c>
      <c r="K223" s="205">
        <f t="shared" si="9"/>
        <v>74</v>
      </c>
    </row>
    <row r="224" spans="2:11">
      <c r="B224" s="1033" t="str">
        <v>W15-2-2092</v>
      </c>
      <c r="C224" s="204" t="str" cm="1">
        <f t="array" ref="C224">_xlfn.LET(_xlpm.u,B224,_xlpm.myCnt,COUNTIFS(Application_Status_May!I$2:I$3000,_xlpm.u,Application_Status_May!E$2:E$3000,"App*")+COUNTIFS(Application_Status_May!I$2:I$3000,_xlpm.u,Application_Status_May!E$2:E$3000,"Lease*"),IF(_xlpm.myCnt&gt;0,INDEX(_xlfn._xlws.FILTER(Application_Status_May!B$2:B$3000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Dews, Chester</v>
      </c>
      <c r="D224" s="205" t="str" cm="1">
        <f t="array" ref="D224">_xlfn.LET(_xlpm.u,B224,_xlpm.myCnt,COUNTIFS(Application_Status_May!I$2:I$3000,_xlpm.u,Application_Status_May!E$2:E$3000,"App*")+COUNTIFS(Application_Status_May!I$2:I$3000,_xlpm.u,Application_Status_May!E$2:E$3000,"Lease*"),IF(_xlpm.myCnt&gt;0,INDEX(_xlfn._xlws.FILTER(Application_Status_May!E$2:E$3000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Cancelled</v>
      </c>
      <c r="E224" s="205" t="str">
        <f t="shared" si="8"/>
        <v>Cancelled/Denied</v>
      </c>
      <c r="F224" s="205" t="str" cm="1">
        <f t="array" ref="F224">_xlfn.LET(_xlpm.u,B224,_xlpm.myCnt,COUNTIFS(Application_Status_May!I$2:I$3000,_xlpm.u,Application_Status_May!E$2:E$3000,"App*")+COUNTIFS(Application_Status_May!I$2:I$3000,_xlpm.u,Application_Status_May!E$2:E$3000,"Lease*"),IF(_xlpm.myCnt&gt;0,INDEX(_xlfn._xlws.FILTER(Application_Status_May!F$2:F$3000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Reyes, Martha</v>
      </c>
      <c r="G224" s="205" t="str" cm="1">
        <f t="array" ref="G224">_xlfn.LET(_xlpm.u,B224,_xlpm.myCnt,COUNTIFS(Application_Status_May!I$2:I$3000,_xlpm.u,Application_Status_May!E$2:E$3000,"App*")+COUNTIFS(Application_Status_May!I$2:I$3000,_xlpm.u,Application_Status_May!E$2:E$3000,"Lease*"),IF(_xlpm.myCnt&gt;0,INDEX(_xlfn._xlws.FILTER(Application_Status_May!H$2:H$3000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Google</v>
      </c>
      <c r="H224" s="206" cm="1">
        <f t="array" ref="H224">_xlfn.LET(_xlpm.u,B224,_xlpm.myCnt,COUNTIFS(Application_Status_May!I$2:I$3000,_xlpm.u,Application_Status_May!E$2:E$3000,"App*")+COUNTIFS(Application_Status_May!I$2:I$3000,_xlpm.u,Application_Status_May!E$2:E$3000,"Lease*"),IF(_xlpm.myCnt&gt;0,INDEX(_xlfn._xlws.FILTER(Application_Status_May!J$2:J$3000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46057</v>
      </c>
      <c r="I224" s="206" cm="1">
        <f t="array" ref="I224">_xlfn.LET(_xlpm.u,B224,_xlpm.myCnt,COUNTIFS(Application_Status_May!I$2:I$3000,_xlpm.u,Application_Status_May!E$2:E$3000,"App*")+COUNTIFS(Application_Status_May!I$2:I$3000,_xlpm.u,Application_Status_May!E$2:E$3000,"Lease*"),IF(_xlpm.myCnt&gt;0,INDEX(_xlfn._xlws.FILTER(Application_Status_May!L$2:L$3000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46057</v>
      </c>
      <c r="J224" s="206">
        <f>IF(E224&lt;&gt;"Cancelled/Denied","—",_xlfn.LET(_xlpm.u,B224,_xlpm.myC,_xlfn.MAXIFS(Application_Status_May!R$2:R$3000,Application_Status_May!I$2:I$3000,_xlpm.u),_xlpm.myD,_xlfn.MAXIFS(Application_Status_May!S$2:S$3000,Application_Status_May!I$2:I$3000,_xlpm.u),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myC,_xlpm.myD,_xlpm.aC,_xlpm.aD,_xlpm.mC,_xlpm.mD,_xlpm.fC,_xlpm.fD)))</f>
        <v>46058</v>
      </c>
      <c r="K224" s="205" t="str">
        <f t="shared" si="9"/>
        <v>—</v>
      </c>
    </row>
    <row r="225" spans="2:11">
      <c r="B225" s="1033" t="str">
        <v>W15-2-3091</v>
      </c>
      <c r="C225" s="204" t="str" cm="1">
        <f t="array" ref="C225">_xlfn.LET(_xlpm.u,B225,_xlpm.myCnt,COUNTIFS(Application_Status_May!I$2:I$3000,_xlpm.u,Application_Status_May!E$2:E$3000,"App*")+COUNTIFS(Application_Status_May!I$2:I$3000,_xlpm.u,Application_Status_May!E$2:E$3000,"Lease*"),IF(_xlpm.myCnt&gt;0,INDEX(_xlfn._xlws.FILTER(Application_Status_May!B$2:B$3000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Thomas, Danyale</v>
      </c>
      <c r="D225" s="205" t="str" cm="1">
        <f t="array" ref="D225">_xlfn.LET(_xlpm.u,B225,_xlpm.myCnt,COUNTIFS(Application_Status_May!I$2:I$3000,_xlpm.u,Application_Status_May!E$2:E$3000,"App*")+COUNTIFS(Application_Status_May!I$2:I$3000,_xlpm.u,Application_Status_May!E$2:E$3000,"Lease*"),IF(_xlpm.myCnt&gt;0,INDEX(_xlfn._xlws.FILTER(Application_Status_May!E$2:E$3000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Cancelled</v>
      </c>
      <c r="E225" s="205" t="str">
        <f t="shared" si="8"/>
        <v>Cancelled/Denied</v>
      </c>
      <c r="F225" s="205" t="str" cm="1">
        <f t="array" ref="F225">_xlfn.LET(_xlpm.u,B225,_xlpm.myCnt,COUNTIFS(Application_Status_May!I$2:I$3000,_xlpm.u,Application_Status_May!E$2:E$3000,"App*")+COUNTIFS(Application_Status_May!I$2:I$3000,_xlpm.u,Application_Status_May!E$2:E$3000,"Lease*"),IF(_xlpm.myCnt&gt;0,INDEX(_xlfn._xlws.FILTER(Application_Status_May!F$2:F$3000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Rodriguez, Jennifer</v>
      </c>
      <c r="G225" s="205" t="str" cm="1">
        <f t="array" ref="G225">_xlfn.LET(_xlpm.u,B225,_xlpm.myCnt,COUNTIFS(Application_Status_May!I$2:I$3000,_xlpm.u,Application_Status_May!E$2:E$3000,"App*")+COUNTIFS(Application_Status_May!I$2:I$3000,_xlpm.u,Application_Status_May!E$2:E$3000,"Lease*"),IF(_xlpm.myCnt&gt;0,INDEX(_xlfn._xlws.FILTER(Application_Status_May!H$2:H$3000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Website</v>
      </c>
      <c r="H225" s="206" cm="1">
        <f t="array" ref="H225">_xlfn.LET(_xlpm.u,B225,_xlpm.myCnt,COUNTIFS(Application_Status_May!I$2:I$3000,_xlpm.u,Application_Status_May!E$2:E$3000,"App*")+COUNTIFS(Application_Status_May!I$2:I$3000,_xlpm.u,Application_Status_May!E$2:E$3000,"Lease*"),IF(_xlpm.myCnt&gt;0,INDEX(_xlfn._xlws.FILTER(Application_Status_May!J$2:J$3000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46144</v>
      </c>
      <c r="I225" s="206" cm="1">
        <f t="array" ref="I225">_xlfn.LET(_xlpm.u,B225,_xlpm.myCnt,COUNTIFS(Application_Status_May!I$2:I$3000,_xlpm.u,Application_Status_May!E$2:E$3000,"App*")+COUNTIFS(Application_Status_May!I$2:I$3000,_xlpm.u,Application_Status_May!E$2:E$3000,"Lease*"),IF(_xlpm.myCnt&gt;0,INDEX(_xlfn._xlws.FILTER(Application_Status_May!L$2:L$3000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46144</v>
      </c>
      <c r="J225" s="206">
        <f>IF(E225&lt;&gt;"Cancelled/Denied","—",_xlfn.LET(_xlpm.u,B225,_xlpm.myC,_xlfn.MAXIFS(Application_Status_May!R$2:R$3000,Application_Status_May!I$2:I$3000,_xlpm.u),_xlpm.myD,_xlfn.MAXIFS(Application_Status_May!S$2:S$3000,Application_Status_May!I$2:I$3000,_xlpm.u),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myC,_xlpm.myD,_xlpm.aC,_xlpm.aD,_xlpm.mC,_xlpm.mD,_xlpm.fC,_xlpm.fD)))</f>
        <v>46147</v>
      </c>
      <c r="K225" s="205" t="str">
        <f t="shared" si="9"/>
        <v>—</v>
      </c>
    </row>
    <row r="226" spans="2:11">
      <c r="B226" s="1033" t="str">
        <v>W16-2-1081</v>
      </c>
      <c r="C226" s="204" t="str" cm="1">
        <f t="array" ref="C226">_xlfn.LET(_xlpm.u,B226,_xlpm.myCnt,COUNTIFS(Application_Status_May!I$2:I$3000,_xlpm.u,Application_Status_May!E$2:E$3000,"App*")+COUNTIFS(Application_Status_May!I$2:I$3000,_xlpm.u,Application_Status_May!E$2:E$3000,"Lease*"),IF(_xlpm.myCnt&gt;0,INDEX(_xlfn._xlws.FILTER(Application_Status_May!B$2:B$3000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Broom, Caitlin</v>
      </c>
      <c r="D226" s="205" t="str" cm="1">
        <f t="array" ref="D226">_xlfn.LET(_xlpm.u,B226,_xlpm.myCnt,COUNTIFS(Application_Status_May!I$2:I$3000,_xlpm.u,Application_Status_May!E$2:E$3000,"App*")+COUNTIFS(Application_Status_May!I$2:I$3000,_xlpm.u,Application_Status_May!E$2:E$3000,"Lease*"),IF(_xlpm.myCnt&gt;0,INDEX(_xlfn._xlws.FILTER(Application_Status_May!E$2:E$3000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Completed</v>
      </c>
      <c r="E226" s="205" t="str">
        <f t="shared" si="8"/>
        <v>In Review</v>
      </c>
      <c r="F226" s="205" t="str" cm="1">
        <f t="array" ref="F226">_xlfn.LET(_xlpm.u,B226,_xlpm.myCnt,COUNTIFS(Application_Status_May!I$2:I$3000,_xlpm.u,Application_Status_May!E$2:E$3000,"App*")+COUNTIFS(Application_Status_May!I$2:I$3000,_xlpm.u,Application_Status_May!E$2:E$3000,"Lease*"),IF(_xlpm.myCnt&gt;0,INDEX(_xlfn._xlws.FILTER(Application_Status_May!F$2:F$3000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Vazquez, Norma</v>
      </c>
      <c r="G226" s="205" t="str" cm="1">
        <f t="array" ref="G226">_xlfn.LET(_xlpm.u,B226,_xlpm.myCnt,COUNTIFS(Application_Status_May!I$2:I$3000,_xlpm.u,Application_Status_May!E$2:E$3000,"App*")+COUNTIFS(Application_Status_May!I$2:I$3000,_xlpm.u,Application_Status_May!E$2:E$3000,"Lease*"),IF(_xlpm.myCnt&gt;0,INDEX(_xlfn._xlws.FILTER(Application_Status_May!H$2:H$3000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Apartments.com</v>
      </c>
      <c r="H226" s="206" cm="1">
        <f t="array" ref="H226">_xlfn.LET(_xlpm.u,B226,_xlpm.myCnt,COUNTIFS(Application_Status_May!I$2:I$3000,_xlpm.u,Application_Status_May!E$2:E$3000,"App*")+COUNTIFS(Application_Status_May!I$2:I$3000,_xlpm.u,Application_Status_May!E$2:E$3000,"Lease*"),IF(_xlpm.myCnt&gt;0,INDEX(_xlfn._xlws.FILTER(Application_Status_May!J$2:J$3000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46160</v>
      </c>
      <c r="I226" s="206" cm="1">
        <f t="array" ref="I226">_xlfn.LET(_xlpm.u,B226,_xlpm.myCnt,COUNTIFS(Application_Status_May!I$2:I$3000,_xlpm.u,Application_Status_May!E$2:E$3000,"App*")+COUNTIFS(Application_Status_May!I$2:I$3000,_xlpm.u,Application_Status_May!E$2:E$3000,"Lease*"),IF(_xlpm.myCnt&gt;0,INDEX(_xlfn._xlws.FILTER(Application_Status_May!L$2:L$3000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46163</v>
      </c>
      <c r="J226" s="206" t="str">
        <f>IF(E226&lt;&gt;"Cancelled/Denied","—",_xlfn.LET(_xlpm.u,B226,_xlpm.myC,_xlfn.MAXIFS(Application_Status_May!R$2:R$3000,Application_Status_May!I$2:I$3000,_xlpm.u),_xlpm.myD,_xlfn.MAXIFS(Application_Status_May!S$2:S$3000,Application_Status_May!I$2:I$3000,_xlpm.u),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myC,_xlpm.myD,_xlpm.aC,_xlpm.aD,_xlpm.mC,_xlpm.mD,_xlpm.fC,_xlpm.fD)))</f>
        <v>—</v>
      </c>
      <c r="K226" s="205">
        <f t="shared" si="9"/>
        <v>84</v>
      </c>
    </row>
    <row r="227" spans="2:11">
      <c r="B227" s="1034" t="str">
        <v>W16-2-1083</v>
      </c>
      <c r="C227" s="204" t="str" cm="1">
        <f t="array" ref="C227">_xlfn.LET(_xlpm.u,B227,_xlpm.myCnt,COUNTIFS(Application_Status_May!I$2:I$3000,_xlpm.u,Application_Status_May!E$2:E$3000,"App*")+COUNTIFS(Application_Status_May!I$2:I$3000,_xlpm.u,Application_Status_May!E$2:E$3000,"Lease*"),IF(_xlpm.myCnt&gt;0,INDEX(_xlfn._xlws.FILTER(Application_Status_May!B$2:B$3000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Obiamiwe, Lisa</v>
      </c>
      <c r="D227" s="205" t="str" cm="1">
        <f t="array" ref="D227">_xlfn.LET(_xlpm.u,B227,_xlpm.myCnt,COUNTIFS(Application_Status_May!I$2:I$3000,_xlpm.u,Application_Status_May!E$2:E$3000,"App*")+COUNTIFS(Application_Status_May!I$2:I$3000,_xlpm.u,Application_Status_May!E$2:E$3000,"Lease*"),IF(_xlpm.myCnt&gt;0,INDEX(_xlfn._xlws.FILTER(Application_Status_May!E$2:E$3000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Completed</v>
      </c>
      <c r="E227" s="205" t="str">
        <f t="shared" si="8"/>
        <v>In Review</v>
      </c>
      <c r="F227" s="205" t="str" cm="1">
        <f t="array" ref="F227">_xlfn.LET(_xlpm.u,B227,_xlpm.myCnt,COUNTIFS(Application_Status_May!I$2:I$3000,_xlpm.u,Application_Status_May!E$2:E$3000,"App*")+COUNTIFS(Application_Status_May!I$2:I$3000,_xlpm.u,Application_Status_May!E$2:E$3000,"Lease*"),IF(_xlpm.myCnt&gt;0,INDEX(_xlfn._xlws.FILTER(Application_Status_May!F$2:F$3000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Vazquez, Norma</v>
      </c>
      <c r="G227" s="205" t="str" cm="1">
        <f t="array" ref="G227">_xlfn.LET(_xlpm.u,B227,_xlpm.myCnt,COUNTIFS(Application_Status_May!I$2:I$3000,_xlpm.u,Application_Status_May!E$2:E$3000,"App*")+COUNTIFS(Application_Status_May!I$2:I$3000,_xlpm.u,Application_Status_May!E$2:E$3000,"Lease*"),IF(_xlpm.myCnt&gt;0,INDEX(_xlfn._xlws.FILTER(Application_Status_May!H$2:H$3000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UMOVEFREE</v>
      </c>
      <c r="H227" s="206" cm="1">
        <f t="array" ref="H227">_xlfn.LET(_xlpm.u,B227,_xlpm.myCnt,COUNTIFS(Application_Status_May!I$2:I$3000,_xlpm.u,Application_Status_May!E$2:E$3000,"App*")+COUNTIFS(Application_Status_May!I$2:I$3000,_xlpm.u,Application_Status_May!E$2:E$3000,"Lease*"),IF(_xlpm.myCnt&gt;0,INDEX(_xlfn._xlws.FILTER(Application_Status_May!J$2:J$3000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46120</v>
      </c>
      <c r="I227" s="206" cm="1">
        <f t="array" ref="I227">_xlfn.LET(_xlpm.u,B227,_xlpm.myCnt,COUNTIFS(Application_Status_May!I$2:I$3000,_xlpm.u,Application_Status_May!E$2:E$3000,"App*")+COUNTIFS(Application_Status_May!I$2:I$3000,_xlpm.u,Application_Status_May!E$2:E$3000,"Lease*"),IF(_xlpm.myCnt&gt;0,INDEX(_xlfn._xlws.FILTER(Application_Status_May!L$2:L$3000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46141</v>
      </c>
      <c r="J227" s="206" t="str">
        <f>IF(E227&lt;&gt;"Cancelled/Denied","—",_xlfn.LET(_xlpm.u,B227,_xlpm.myC,_xlfn.MAXIFS(Application_Status_May!R$2:R$3000,Application_Status_May!I$2:I$3000,_xlpm.u),_xlpm.myD,_xlfn.MAXIFS(Application_Status_May!S$2:S$3000,Application_Status_May!I$2:I$3000,_xlpm.u),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myC,_xlpm.myD,_xlpm.aC,_xlpm.aD,_xlpm.mC,_xlpm.mD,_xlpm.fC,_xlpm.fD)))</f>
        <v>—</v>
      </c>
      <c r="K227" s="205">
        <f t="shared" si="9"/>
        <v>124</v>
      </c>
    </row>
    <row r="228" spans="2:11">
      <c r="B228" s="1033" t="str">
        <v>W16-2-1084</v>
      </c>
      <c r="C228" s="204" t="str" cm="1">
        <f t="array" ref="C228">_xlfn.LET(_xlpm.u,B228,_xlpm.myCnt,COUNTIFS(Application_Status_May!I$2:I$3000,_xlpm.u,Application_Status_May!E$2:E$3000,"App*")+COUNTIFS(Application_Status_May!I$2:I$3000,_xlpm.u,Application_Status_May!E$2:E$3000,"Lease*"),IF(_xlpm.myCnt&gt;0,INDEX(_xlfn._xlws.FILTER(Application_Status_May!B$2:B$3000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Gimba, Bena</v>
      </c>
      <c r="D228" s="205" t="str" cm="1">
        <f t="array" ref="D228">_xlfn.LET(_xlpm.u,B228,_xlpm.myCnt,COUNTIFS(Application_Status_May!I$2:I$3000,_xlpm.u,Application_Status_May!E$2:E$3000,"App*")+COUNTIFS(Application_Status_May!I$2:I$3000,_xlpm.u,Application_Status_May!E$2:E$3000,"Lease*"),IF(_xlpm.myCnt&gt;0,INDEX(_xlfn._xlws.FILTER(Application_Status_May!E$2:E$3000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Lease: Approved</v>
      </c>
      <c r="E228" s="205" t="str">
        <f t="shared" si="8"/>
        <v>Converted</v>
      </c>
      <c r="F228" s="205" t="str" cm="1">
        <f t="array" ref="F228">_xlfn.LET(_xlpm.u,B228,_xlpm.myCnt,COUNTIFS(Application_Status_May!I$2:I$3000,_xlpm.u,Application_Status_May!E$2:E$3000,"App*")+COUNTIFS(Application_Status_May!I$2:I$3000,_xlpm.u,Application_Status_May!E$2:E$3000,"Lease*"),IF(_xlpm.myCnt&gt;0,INDEX(_xlfn._xlws.FILTER(Application_Status_May!F$2:F$3000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Rodriguez, Jennifer</v>
      </c>
      <c r="G228" s="205" t="str" cm="1">
        <f t="array" ref="G228">_xlfn.LET(_xlpm.u,B228,_xlpm.myCnt,COUNTIFS(Application_Status_May!I$2:I$3000,_xlpm.u,Application_Status_May!E$2:E$3000,"App*")+COUNTIFS(Application_Status_May!I$2:I$3000,_xlpm.u,Application_Status_May!E$2:E$3000,"Lease*"),IF(_xlpm.myCnt&gt;0,INDEX(_xlfn._xlws.FILTER(Application_Status_May!H$2:H$3000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Resident Referral</v>
      </c>
      <c r="H228" s="206" cm="1">
        <f t="array" ref="H228">_xlfn.LET(_xlpm.u,B228,_xlpm.myCnt,COUNTIFS(Application_Status_May!I$2:I$3000,_xlpm.u,Application_Status_May!E$2:E$3000,"App*")+COUNTIFS(Application_Status_May!I$2:I$3000,_xlpm.u,Application_Status_May!E$2:E$3000,"Lease*"),IF(_xlpm.myCnt&gt;0,INDEX(_xlfn._xlws.FILTER(Application_Status_May!J$2:J$3000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46149</v>
      </c>
      <c r="I228" s="206" cm="1">
        <f t="array" ref="I228">_xlfn.LET(_xlpm.u,B228,_xlpm.myCnt,COUNTIFS(Application_Status_May!I$2:I$3000,_xlpm.u,Application_Status_May!E$2:E$3000,"App*")+COUNTIFS(Application_Status_May!I$2:I$3000,_xlpm.u,Application_Status_May!E$2:E$3000,"Lease*"),IF(_xlpm.myCnt&gt;0,INDEX(_xlfn._xlws.FILTER(Application_Status_May!L$2:L$3000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46150</v>
      </c>
      <c r="J228" s="206" t="str">
        <f>IF(E228&lt;&gt;"Cancelled/Denied","—",_xlfn.LET(_xlpm.u,B228,_xlpm.myC,_xlfn.MAXIFS(Application_Status_May!R$2:R$3000,Application_Status_May!I$2:I$3000,_xlpm.u),_xlpm.myD,_xlfn.MAXIFS(Application_Status_May!S$2:S$3000,Application_Status_May!I$2:I$3000,_xlpm.u),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myC,_xlpm.myD,_xlpm.aC,_xlpm.aD,_xlpm.mC,_xlpm.mD,_xlpm.fC,_xlpm.fD)))</f>
        <v>—</v>
      </c>
      <c r="K228" s="205" t="str">
        <f t="shared" si="9"/>
        <v>—</v>
      </c>
    </row>
    <row r="229" spans="2:11">
      <c r="B229" s="1034" t="str">
        <v>W17-2-1074</v>
      </c>
      <c r="C229" s="204" t="str" cm="1">
        <f t="array" ref="C229">_xlfn.LET(_xlpm.u,B229,_xlpm.myCnt,COUNTIFS(Application_Status_May!I$2:I$3000,_xlpm.u,Application_Status_May!E$2:E$3000,"App*")+COUNTIFS(Application_Status_May!I$2:I$3000,_xlpm.u,Application_Status_May!E$2:E$3000,"Lease*"),IF(_xlpm.myCnt&gt;0,INDEX(_xlfn._xlws.FILTER(Application_Status_May!B$2:B$3000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Mejia, Christina</v>
      </c>
      <c r="D229" s="205" t="str" cm="1">
        <f t="array" ref="D229">_xlfn.LET(_xlpm.u,B229,_xlpm.myCnt,COUNTIFS(Application_Status_May!I$2:I$3000,_xlpm.u,Application_Status_May!E$2:E$3000,"App*")+COUNTIFS(Application_Status_May!I$2:I$3000,_xlpm.u,Application_Status_May!E$2:E$3000,"Lease*"),IF(_xlpm.myCnt&gt;0,INDEX(_xlfn._xlws.FILTER(Application_Status_May!E$2:E$3000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Cancelled</v>
      </c>
      <c r="E229" s="205" t="str">
        <f t="shared" si="8"/>
        <v>Cancelled/Denied</v>
      </c>
      <c r="F229" s="205" t="str" cm="1">
        <f t="array" ref="F229">_xlfn.LET(_xlpm.u,B229,_xlpm.myCnt,COUNTIFS(Application_Status_May!I$2:I$3000,_xlpm.u,Application_Status_May!E$2:E$3000,"App*")+COUNTIFS(Application_Status_May!I$2:I$3000,_xlpm.u,Application_Status_May!E$2:E$3000,"Lease*"),IF(_xlpm.myCnt&gt;0,INDEX(_xlfn._xlws.FILTER(Application_Status_May!F$2:F$3000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Martinez, Briana</v>
      </c>
      <c r="G229" s="205" t="str" cm="1">
        <f t="array" ref="G229">_xlfn.LET(_xlpm.u,B229,_xlpm.myCnt,COUNTIFS(Application_Status_May!I$2:I$3000,_xlpm.u,Application_Status_May!E$2:E$3000,"App*")+COUNTIFS(Application_Status_May!I$2:I$3000,_xlpm.u,Application_Status_May!E$2:E$3000,"Lease*"),IF(_xlpm.myCnt&gt;0,INDEX(_xlfn._xlws.FILTER(Application_Status_May!H$2:H$3000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Resident Referral</v>
      </c>
      <c r="H229" s="206" cm="1">
        <f t="array" ref="H229">_xlfn.LET(_xlpm.u,B229,_xlpm.myCnt,COUNTIFS(Application_Status_May!I$2:I$3000,_xlpm.u,Application_Status_May!E$2:E$3000,"App*")+COUNTIFS(Application_Status_May!I$2:I$3000,_xlpm.u,Application_Status_May!E$2:E$3000,"Lease*"),IF(_xlpm.myCnt&gt;0,INDEX(_xlfn._xlws.FILTER(Application_Status_May!J$2:J$3000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46100</v>
      </c>
      <c r="I229" s="206" cm="1">
        <f t="array" ref="I229">_xlfn.LET(_xlpm.u,B229,_xlpm.myCnt,COUNTIFS(Application_Status_May!I$2:I$3000,_xlpm.u,Application_Status_May!E$2:E$3000,"App*")+COUNTIFS(Application_Status_May!I$2:I$3000,_xlpm.u,Application_Status_May!E$2:E$3000,"Lease*"),IF(_xlpm.myCnt&gt;0,INDEX(_xlfn._xlws.FILTER(Application_Status_May!L$2:L$3000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0</v>
      </c>
      <c r="J229" s="206">
        <f>IF(E229&lt;&gt;"Cancelled/Denied","—",_xlfn.LET(_xlpm.u,B229,_xlpm.myC,_xlfn.MAXIFS(Application_Status_May!R$2:R$3000,Application_Status_May!I$2:I$3000,_xlpm.u),_xlpm.myD,_xlfn.MAXIFS(Application_Status_May!S$2:S$3000,Application_Status_May!I$2:I$3000,_xlpm.u),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myC,_xlpm.myD,_xlpm.aC,_xlpm.aD,_xlpm.mC,_xlpm.mD,_xlpm.fC,_xlpm.fD)))</f>
        <v>46114</v>
      </c>
      <c r="K229" s="205" t="str">
        <f t="shared" si="9"/>
        <v>—</v>
      </c>
    </row>
    <row r="230" spans="2:11">
      <c r="B230" s="1033" t="str">
        <v>W17-2-1075</v>
      </c>
      <c r="C230" s="204" t="str" cm="1">
        <f t="array" ref="C230">_xlfn.LET(_xlpm.u,B230,_xlpm.myCnt,COUNTIFS(Application_Status_May!I$2:I$3000,_xlpm.u,Application_Status_May!E$2:E$3000,"App*")+COUNTIFS(Application_Status_May!I$2:I$3000,_xlpm.u,Application_Status_May!E$2:E$3000,"Lease*"),IF(_xlpm.myCnt&gt;0,INDEX(_xlfn._xlws.FILTER(Application_Status_May!B$2:B$3000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Shaw, Mercedes</v>
      </c>
      <c r="D230" s="205" t="str" cm="1">
        <f t="array" ref="D230">_xlfn.LET(_xlpm.u,B230,_xlpm.myCnt,COUNTIFS(Application_Status_May!I$2:I$3000,_xlpm.u,Application_Status_May!E$2:E$3000,"App*")+COUNTIFS(Application_Status_May!I$2:I$3000,_xlpm.u,Application_Status_May!E$2:E$3000,"Lease*"),IF(_xlpm.myCnt&gt;0,INDEX(_xlfn._xlws.FILTER(Application_Status_May!E$2:E$3000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Cancelled</v>
      </c>
      <c r="E230" s="205" t="str">
        <f t="shared" si="8"/>
        <v>Cancelled/Denied</v>
      </c>
      <c r="F230" s="205" t="str" cm="1">
        <f t="array" ref="F230">_xlfn.LET(_xlpm.u,B230,_xlpm.myCnt,COUNTIFS(Application_Status_May!I$2:I$3000,_xlpm.u,Application_Status_May!E$2:E$3000,"App*")+COUNTIFS(Application_Status_May!I$2:I$3000,_xlpm.u,Application_Status_May!E$2:E$3000,"Lease*"),IF(_xlpm.myCnt&gt;0,INDEX(_xlfn._xlws.FILTER(Application_Status_May!F$2:F$3000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HOUSE, HOUSE</v>
      </c>
      <c r="G230" s="205" t="str" cm="1">
        <f t="array" ref="G230">_xlfn.LET(_xlpm.u,B230,_xlpm.myCnt,COUNTIFS(Application_Status_May!I$2:I$3000,_xlpm.u,Application_Status_May!E$2:E$3000,"App*")+COUNTIFS(Application_Status_May!I$2:I$3000,_xlpm.u,Application_Status_May!E$2:E$3000,"Lease*"),IF(_xlpm.myCnt&gt;0,INDEX(_xlfn._xlws.FILTER(Application_Status_May!H$2:H$3000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Website</v>
      </c>
      <c r="H230" s="206" cm="1">
        <f t="array" ref="H230">_xlfn.LET(_xlpm.u,B230,_xlpm.myCnt,COUNTIFS(Application_Status_May!I$2:I$3000,_xlpm.u,Application_Status_May!E$2:E$3000,"App*")+COUNTIFS(Application_Status_May!I$2:I$3000,_xlpm.u,Application_Status_May!E$2:E$3000,"Lease*"),IF(_xlpm.myCnt&gt;0,INDEX(_xlfn._xlws.FILTER(Application_Status_May!J$2:J$3000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46167</v>
      </c>
      <c r="I230" s="206" cm="1">
        <f t="array" ref="I230">_xlfn.LET(_xlpm.u,B230,_xlpm.myCnt,COUNTIFS(Application_Status_May!I$2:I$3000,_xlpm.u,Application_Status_May!E$2:E$3000,"App*")+COUNTIFS(Application_Status_May!I$2:I$3000,_xlpm.u,Application_Status_May!E$2:E$3000,"Lease*"),IF(_xlpm.myCnt&gt;0,INDEX(_xlfn._xlws.FILTER(Application_Status_May!L$2:L$3000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46168</v>
      </c>
      <c r="J230" s="206">
        <f>IF(E230&lt;&gt;"Cancelled/Denied","—",_xlfn.LET(_xlpm.u,B230,_xlpm.myC,_xlfn.MAXIFS(Application_Status_May!R$2:R$3000,Application_Status_May!I$2:I$3000,_xlpm.u),_xlpm.myD,_xlfn.MAXIFS(Application_Status_May!S$2:S$3000,Application_Status_May!I$2:I$3000,_xlpm.u),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myC,_xlpm.myD,_xlpm.aC,_xlpm.aD,_xlpm.mC,_xlpm.mD,_xlpm.fC,_xlpm.fD)))</f>
        <v>46168</v>
      </c>
      <c r="K230" s="205" t="str">
        <f t="shared" si="9"/>
        <v>—</v>
      </c>
    </row>
    <row r="231" spans="2:11">
      <c r="B231" s="1033" t="str">
        <v>W17-2-1079</v>
      </c>
      <c r="C231" s="204" t="str" cm="1">
        <f t="array" ref="C231">_xlfn.LET(_xlpm.u,B231,_xlpm.myCnt,COUNTIFS(Application_Status_May!I$2:I$3000,_xlpm.u,Application_Status_May!E$2:E$3000,"App*")+COUNTIFS(Application_Status_May!I$2:I$3000,_xlpm.u,Application_Status_May!E$2:E$3000,"Lease*"),IF(_xlpm.myCnt&gt;0,INDEX(_xlfn._xlws.FILTER(Application_Status_May!B$2:B$3000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Sandoval, Corey</v>
      </c>
      <c r="D231" s="205" t="str" cm="1">
        <f t="array" ref="D231">_xlfn.LET(_xlpm.u,B231,_xlpm.myCnt,COUNTIFS(Application_Status_May!I$2:I$3000,_xlpm.u,Application_Status_May!E$2:E$3000,"App*")+COUNTIFS(Application_Status_May!I$2:I$3000,_xlpm.u,Application_Status_May!E$2:E$3000,"Lease*"),IF(_xlpm.myCnt&gt;0,INDEX(_xlfn._xlws.FILTER(Application_Status_May!E$2:E$3000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Cancelled</v>
      </c>
      <c r="E231" s="205" t="str">
        <f t="shared" si="8"/>
        <v>Cancelled/Denied</v>
      </c>
      <c r="F231" s="205" t="str" cm="1">
        <f t="array" ref="F231">_xlfn.LET(_xlpm.u,B231,_xlpm.myCnt,COUNTIFS(Application_Status_May!I$2:I$3000,_xlpm.u,Application_Status_May!E$2:E$3000,"App*")+COUNTIFS(Application_Status_May!I$2:I$3000,_xlpm.u,Application_Status_May!E$2:E$3000,"Lease*"),IF(_xlpm.myCnt&gt;0,INDEX(_xlfn._xlws.FILTER(Application_Status_May!F$2:F$3000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Vazquez, Norma</v>
      </c>
      <c r="G231" s="205" t="str" cm="1">
        <f t="array" ref="G231">_xlfn.LET(_xlpm.u,B231,_xlpm.myCnt,COUNTIFS(Application_Status_May!I$2:I$3000,_xlpm.u,Application_Status_May!E$2:E$3000,"App*")+COUNTIFS(Application_Status_May!I$2:I$3000,_xlpm.u,Application_Status_May!E$2:E$3000,"Lease*"),IF(_xlpm.myCnt&gt;0,INDEX(_xlfn._xlws.FILTER(Application_Status_May!H$2:H$3000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Website</v>
      </c>
      <c r="H231" s="206" cm="1">
        <f t="array" ref="H231">_xlfn.LET(_xlpm.u,B231,_xlpm.myCnt,COUNTIFS(Application_Status_May!I$2:I$3000,_xlpm.u,Application_Status_May!E$2:E$3000,"App*")+COUNTIFS(Application_Status_May!I$2:I$3000,_xlpm.u,Application_Status_May!E$2:E$3000,"Lease*"),IF(_xlpm.myCnt&gt;0,INDEX(_xlfn._xlws.FILTER(Application_Status_May!J$2:J$3000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46146</v>
      </c>
      <c r="I231" s="206" cm="1">
        <f t="array" ref="I231">_xlfn.LET(_xlpm.u,B231,_xlpm.myCnt,COUNTIFS(Application_Status_May!I$2:I$3000,_xlpm.u,Application_Status_May!E$2:E$3000,"App*")+COUNTIFS(Application_Status_May!I$2:I$3000,_xlpm.u,Application_Status_May!E$2:E$3000,"Lease*"),IF(_xlpm.myCnt&gt;0,INDEX(_xlfn._xlws.FILTER(Application_Status_May!L$2:L$3000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46146</v>
      </c>
      <c r="J231" s="206">
        <f>IF(E231&lt;&gt;"Cancelled/Denied","—",_xlfn.LET(_xlpm.u,B231,_xlpm.myC,_xlfn.MAXIFS(Application_Status_May!R$2:R$3000,Application_Status_May!I$2:I$3000,_xlpm.u),_xlpm.myD,_xlfn.MAXIFS(Application_Status_May!S$2:S$3000,Application_Status_May!I$2:I$3000,_xlpm.u),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myC,_xlpm.myD,_xlpm.aC,_xlpm.aD,_xlpm.mC,_xlpm.mD,_xlpm.fC,_xlpm.fD)))</f>
        <v>46148</v>
      </c>
      <c r="K231" s="205" t="str">
        <f t="shared" si="9"/>
        <v>—</v>
      </c>
    </row>
    <row r="232" spans="2:11">
      <c r="B232" s="1034" t="str">
        <v>W17-2-1080</v>
      </c>
      <c r="C232" s="204" t="str" cm="1">
        <f t="array" ref="C232">_xlfn.LET(_xlpm.u,B232,_xlpm.myCnt,COUNTIFS(Application_Status_May!I$2:I$3000,_xlpm.u,Application_Status_May!E$2:E$3000,"App*")+COUNTIFS(Application_Status_May!I$2:I$3000,_xlpm.u,Application_Status_May!E$2:E$3000,"Lease*"),IF(_xlpm.myCnt&gt;0,INDEX(_xlfn._xlws.FILTER(Application_Status_May!B$2:B$3000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Wright, Pamela</v>
      </c>
      <c r="D232" s="205" t="str" cm="1">
        <f t="array" ref="D232">_xlfn.LET(_xlpm.u,B232,_xlpm.myCnt,COUNTIFS(Application_Status_May!I$2:I$3000,_xlpm.u,Application_Status_May!E$2:E$3000,"App*")+COUNTIFS(Application_Status_May!I$2:I$3000,_xlpm.u,Application_Status_May!E$2:E$3000,"Lease*"),IF(_xlpm.myCnt&gt;0,INDEX(_xlfn._xlws.FILTER(Application_Status_May!E$2:E$3000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Cancelled</v>
      </c>
      <c r="E232" s="205" t="str">
        <f t="shared" si="8"/>
        <v>Cancelled/Denied</v>
      </c>
      <c r="F232" s="205" t="str" cm="1">
        <f t="array" ref="F232">_xlfn.LET(_xlpm.u,B232,_xlpm.myCnt,COUNTIFS(Application_Status_May!I$2:I$3000,_xlpm.u,Application_Status_May!E$2:E$3000,"App*")+COUNTIFS(Application_Status_May!I$2:I$3000,_xlpm.u,Application_Status_May!E$2:E$3000,"Lease*"),IF(_xlpm.myCnt&gt;0,INDEX(_xlfn._xlws.FILTER(Application_Status_May!F$2:F$3000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Martinez, Briana</v>
      </c>
      <c r="G232" s="205" t="str" cm="1">
        <f t="array" ref="G232">_xlfn.LET(_xlpm.u,B232,_xlpm.myCnt,COUNTIFS(Application_Status_May!I$2:I$3000,_xlpm.u,Application_Status_May!E$2:E$3000,"App*")+COUNTIFS(Application_Status_May!I$2:I$3000,_xlpm.u,Application_Status_May!E$2:E$3000,"Lease*"),IF(_xlpm.myCnt&gt;0,INDEX(_xlfn._xlws.FILTER(Application_Status_May!H$2:H$3000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Apartment List</v>
      </c>
      <c r="H232" s="206" cm="1">
        <f t="array" ref="H232">_xlfn.LET(_xlpm.u,B232,_xlpm.myCnt,COUNTIFS(Application_Status_May!I$2:I$3000,_xlpm.u,Application_Status_May!E$2:E$3000,"App*")+COUNTIFS(Application_Status_May!I$2:I$3000,_xlpm.u,Application_Status_May!E$2:E$3000,"Lease*"),IF(_xlpm.myCnt&gt;0,INDEX(_xlfn._xlws.FILTER(Application_Status_May!J$2:J$3000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46149</v>
      </c>
      <c r="I232" s="206" cm="1">
        <f t="array" ref="I232">_xlfn.LET(_xlpm.u,B232,_xlpm.myCnt,COUNTIFS(Application_Status_May!I$2:I$3000,_xlpm.u,Application_Status_May!E$2:E$3000,"App*")+COUNTIFS(Application_Status_May!I$2:I$3000,_xlpm.u,Application_Status_May!E$2:E$3000,"Lease*"),IF(_xlpm.myCnt&gt;0,INDEX(_xlfn._xlws.FILTER(Application_Status_May!L$2:L$3000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46154</v>
      </c>
      <c r="J232" s="206">
        <f>IF(E232&lt;&gt;"Cancelled/Denied","—",_xlfn.LET(_xlpm.u,B232,_xlpm.myC,_xlfn.MAXIFS(Application_Status_May!R$2:R$3000,Application_Status_May!I$2:I$3000,_xlpm.u),_xlpm.myD,_xlfn.MAXIFS(Application_Status_May!S$2:S$3000,Application_Status_May!I$2:I$3000,_xlpm.u),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myC,_xlpm.myD,_xlpm.aC,_xlpm.aD,_xlpm.mC,_xlpm.mD,_xlpm.fC,_xlpm.fD)))</f>
        <v>46164</v>
      </c>
      <c r="K232" s="205" t="str">
        <f t="shared" si="9"/>
        <v>—</v>
      </c>
    </row>
    <row r="233" spans="2:11">
      <c r="B233" s="1033" t="str">
        <v>W17-2-2075</v>
      </c>
      <c r="C233" s="204" t="str" cm="1">
        <f t="array" ref="C233">_xlfn.LET(_xlpm.u,B233,_xlpm.myCnt,COUNTIFS(Application_Status_May!I$2:I$3000,_xlpm.u,Application_Status_May!E$2:E$3000,"App*")+COUNTIFS(Application_Status_May!I$2:I$3000,_xlpm.u,Application_Status_May!E$2:E$3000,"Lease*"),IF(_xlpm.myCnt&gt;0,INDEX(_xlfn._xlws.FILTER(Application_Status_May!B$2:B$3000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Hetrick, Jerry</v>
      </c>
      <c r="D233" s="205" t="str" cm="1">
        <f t="array" ref="D233">_xlfn.LET(_xlpm.u,B233,_xlpm.myCnt,COUNTIFS(Application_Status_May!I$2:I$3000,_xlpm.u,Application_Status_May!E$2:E$3000,"App*")+COUNTIFS(Application_Status_May!I$2:I$3000,_xlpm.u,Application_Status_May!E$2:E$3000,"Lease*"),IF(_xlpm.myCnt&gt;0,INDEX(_xlfn._xlws.FILTER(Application_Status_May!E$2:E$3000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Lease: Approved</v>
      </c>
      <c r="E233" s="205" t="str">
        <f t="shared" si="8"/>
        <v>Converted</v>
      </c>
      <c r="F233" s="205" t="str" cm="1">
        <f t="array" ref="F233">_xlfn.LET(_xlpm.u,B233,_xlpm.myCnt,COUNTIFS(Application_Status_May!I$2:I$3000,_xlpm.u,Application_Status_May!E$2:E$3000,"App*")+COUNTIFS(Application_Status_May!I$2:I$3000,_xlpm.u,Application_Status_May!E$2:E$3000,"Lease*"),IF(_xlpm.myCnt&gt;0,INDEX(_xlfn._xlws.FILTER(Application_Status_May!F$2:F$3000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Reyes, Josie</v>
      </c>
      <c r="G233" s="205" t="str" cm="1">
        <f t="array" ref="G233">_xlfn.LET(_xlpm.u,B233,_xlpm.myCnt,COUNTIFS(Application_Status_May!I$2:I$3000,_xlpm.u,Application_Status_May!E$2:E$3000,"App*")+COUNTIFS(Application_Status_May!I$2:I$3000,_xlpm.u,Application_Status_May!E$2:E$3000,"Lease*"),IF(_xlpm.myCnt&gt;0,INDEX(_xlfn._xlws.FILTER(Application_Status_May!H$2:H$3000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Apartments.com</v>
      </c>
      <c r="H233" s="206" cm="1">
        <f t="array" ref="H233">_xlfn.LET(_xlpm.u,B233,_xlpm.myCnt,COUNTIFS(Application_Status_May!I$2:I$3000,_xlpm.u,Application_Status_May!E$2:E$3000,"App*")+COUNTIFS(Application_Status_May!I$2:I$3000,_xlpm.u,Application_Status_May!E$2:E$3000,"Lease*"),IF(_xlpm.myCnt&gt;0,INDEX(_xlfn._xlws.FILTER(Application_Status_May!J$2:J$3000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46097</v>
      </c>
      <c r="I233" s="206" cm="1">
        <f t="array" ref="I233">_xlfn.LET(_xlpm.u,B233,_xlpm.myCnt,COUNTIFS(Application_Status_May!I$2:I$3000,_xlpm.u,Application_Status_May!E$2:E$3000,"App*")+COUNTIFS(Application_Status_May!I$2:I$3000,_xlpm.u,Application_Status_May!E$2:E$3000,"Lease*"),IF(_xlpm.myCnt&gt;0,INDEX(_xlfn._xlws.FILTER(Application_Status_May!L$2:L$3000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46110</v>
      </c>
      <c r="J233" s="206" t="str">
        <f>IF(E233&lt;&gt;"Cancelled/Denied","—",_xlfn.LET(_xlpm.u,B233,_xlpm.myC,_xlfn.MAXIFS(Application_Status_May!R$2:R$3000,Application_Status_May!I$2:I$3000,_xlpm.u),_xlpm.myD,_xlfn.MAXIFS(Application_Status_May!S$2:S$3000,Application_Status_May!I$2:I$3000,_xlpm.u),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myC,_xlpm.myD,_xlpm.aC,_xlpm.aD,_xlpm.mC,_xlpm.mD,_xlpm.fC,_xlpm.fD)))</f>
        <v>—</v>
      </c>
      <c r="K233" s="205" t="str">
        <f t="shared" si="9"/>
        <v>—</v>
      </c>
    </row>
    <row r="234" spans="2:11">
      <c r="B234" t="str">
        <v>W17-2-2076</v>
      </c>
      <c r="C234" s="204" t="str" cm="1">
        <f t="array" ref="C234">_xlfn.LET(_xlpm.u,B234,_xlpm.myCnt,COUNTIFS(Application_Status_May!I$2:I$3000,_xlpm.u,Application_Status_May!E$2:E$3000,"App*")+COUNTIFS(Application_Status_May!I$2:I$3000,_xlpm.u,Application_Status_May!E$2:E$3000,"Lease*"),IF(_xlpm.myCnt&gt;0,INDEX(_xlfn._xlws.FILTER(Application_Status_May!B$2:B$3000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Wilson, Sincere</v>
      </c>
      <c r="D234" s="205" t="str" cm="1">
        <f t="array" ref="D234">_xlfn.LET(_xlpm.u,B234,_xlpm.myCnt,COUNTIFS(Application_Status_May!I$2:I$3000,_xlpm.u,Application_Status_May!E$2:E$3000,"App*")+COUNTIFS(Application_Status_May!I$2:I$3000,_xlpm.u,Application_Status_May!E$2:E$3000,"Lease*"),IF(_xlpm.myCnt&gt;0,INDEX(_xlfn._xlws.FILTER(Application_Status_May!E$2:E$3000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Cancelled</v>
      </c>
      <c r="E234" s="205" t="str">
        <f t="shared" si="8"/>
        <v>Cancelled/Denied</v>
      </c>
      <c r="F234" s="205" t="str" cm="1">
        <f t="array" ref="F234">_xlfn.LET(_xlpm.u,B234,_xlpm.myCnt,COUNTIFS(Application_Status_May!I$2:I$3000,_xlpm.u,Application_Status_May!E$2:E$3000,"App*")+COUNTIFS(Application_Status_May!I$2:I$3000,_xlpm.u,Application_Status_May!E$2:E$3000,"Lease*"),IF(_xlpm.myCnt&gt;0,INDEX(_xlfn._xlws.FILTER(Application_Status_May!F$2:F$3000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Rodriguez, Jennifer</v>
      </c>
      <c r="G234" s="205" t="str" cm="1">
        <f t="array" ref="G234">_xlfn.LET(_xlpm.u,B234,_xlpm.myCnt,COUNTIFS(Application_Status_May!I$2:I$3000,_xlpm.u,Application_Status_May!E$2:E$3000,"App*")+COUNTIFS(Application_Status_May!I$2:I$3000,_xlpm.u,Application_Status_May!E$2:E$3000,"Lease*"),IF(_xlpm.myCnt&gt;0,INDEX(_xlfn._xlws.FILTER(Application_Status_May!H$2:H$3000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Website</v>
      </c>
      <c r="H234" s="206" cm="1">
        <f t="array" ref="H234">_xlfn.LET(_xlpm.u,B234,_xlpm.myCnt,COUNTIFS(Application_Status_May!I$2:I$3000,_xlpm.u,Application_Status_May!E$2:E$3000,"App*")+COUNTIFS(Application_Status_May!I$2:I$3000,_xlpm.u,Application_Status_May!E$2:E$3000,"Lease*"),IF(_xlpm.myCnt&gt;0,INDEX(_xlfn._xlws.FILTER(Application_Status_May!J$2:J$3000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46019</v>
      </c>
      <c r="I234" s="206" cm="1">
        <f t="array" ref="I234">_xlfn.LET(_xlpm.u,B234,_xlpm.myCnt,COUNTIFS(Application_Status_May!I$2:I$3000,_xlpm.u,Application_Status_May!E$2:E$3000,"App*")+COUNTIFS(Application_Status_May!I$2:I$3000,_xlpm.u,Application_Status_May!E$2:E$3000,"Lease*"),IF(_xlpm.myCnt&gt;0,INDEX(_xlfn._xlws.FILTER(Application_Status_May!L$2:L$3000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0</v>
      </c>
      <c r="J234" s="206">
        <f>IF(E234&lt;&gt;"Cancelled/Denied","—",_xlfn.LET(_xlpm.u,B234,_xlpm.myC,_xlfn.MAXIFS(Application_Status_May!R$2:R$3000,Application_Status_May!I$2:I$3000,_xlpm.u),_xlpm.myD,_xlfn.MAXIFS(Application_Status_May!S$2:S$3000,Application_Status_May!I$2:I$3000,_xlpm.u),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myC,_xlpm.myD,_xlpm.aC,_xlpm.aD,_xlpm.mC,_xlpm.mD,_xlpm.fC,_xlpm.fD)))</f>
        <v>46114</v>
      </c>
      <c r="K234" s="205" t="str">
        <f t="shared" si="9"/>
        <v>—</v>
      </c>
    </row>
    <row r="235" spans="2:11">
      <c r="B235" t="str">
        <v>W17-2-2079</v>
      </c>
      <c r="C235" s="204" t="str" cm="1">
        <f t="array" ref="C235">_xlfn.LET(_xlpm.u,B235,_xlpm.myCnt,COUNTIFS(Application_Status_May!I$2:I$3000,_xlpm.u,Application_Status_May!E$2:E$3000,"App*")+COUNTIFS(Application_Status_May!I$2:I$3000,_xlpm.u,Application_Status_May!E$2:E$3000,"Lease*"),IF(_xlpm.myCnt&gt;0,INDEX(_xlfn._xlws.FILTER(Application_Status_May!B$2:B$3000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Richard, Englene</v>
      </c>
      <c r="D235" s="205" t="str" cm="1">
        <f t="array" ref="D235">_xlfn.LET(_xlpm.u,B235,_xlpm.myCnt,COUNTIFS(Application_Status_May!I$2:I$3000,_xlpm.u,Application_Status_May!E$2:E$3000,"App*")+COUNTIFS(Application_Status_May!I$2:I$3000,_xlpm.u,Application_Status_May!E$2:E$3000,"Lease*"),IF(_xlpm.myCnt&gt;0,INDEX(_xlfn._xlws.FILTER(Application_Status_May!E$2:E$3000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Lease: Approved</v>
      </c>
      <c r="E235" s="205" t="str">
        <f t="shared" si="8"/>
        <v>Converted</v>
      </c>
      <c r="F235" s="205" t="str" cm="1">
        <f t="array" ref="F235">_xlfn.LET(_xlpm.u,B235,_xlpm.myCnt,COUNTIFS(Application_Status_May!I$2:I$3000,_xlpm.u,Application_Status_May!E$2:E$3000,"App*")+COUNTIFS(Application_Status_May!I$2:I$3000,_xlpm.u,Application_Status_May!E$2:E$3000,"Lease*"),IF(_xlpm.myCnt&gt;0,INDEX(_xlfn._xlws.FILTER(Application_Status_May!F$2:F$3000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Gabehart, Jamey</v>
      </c>
      <c r="G235" s="205" t="str" cm="1">
        <f t="array" ref="G235">_xlfn.LET(_xlpm.u,B235,_xlpm.myCnt,COUNTIFS(Application_Status_May!I$2:I$3000,_xlpm.u,Application_Status_May!E$2:E$3000,"App*")+COUNTIFS(Application_Status_May!I$2:I$3000,_xlpm.u,Application_Status_May!E$2:E$3000,"Lease*"),IF(_xlpm.myCnt&gt;0,INDEX(_xlfn._xlws.FILTER(Application_Status_May!H$2:H$3000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Website</v>
      </c>
      <c r="H235" s="206" cm="1">
        <f t="array" ref="H235">_xlfn.LET(_xlpm.u,B235,_xlpm.myCnt,COUNTIFS(Application_Status_May!I$2:I$3000,_xlpm.u,Application_Status_May!E$2:E$3000,"App*")+COUNTIFS(Application_Status_May!I$2:I$3000,_xlpm.u,Application_Status_May!E$2:E$3000,"Lease*"),IF(_xlpm.myCnt&gt;0,INDEX(_xlfn._xlws.FILTER(Application_Status_May!J$2:J$3000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46125</v>
      </c>
      <c r="I235" s="206" cm="1">
        <f t="array" ref="I235">_xlfn.LET(_xlpm.u,B235,_xlpm.myCnt,COUNTIFS(Application_Status_May!I$2:I$3000,_xlpm.u,Application_Status_May!E$2:E$3000,"App*")+COUNTIFS(Application_Status_May!I$2:I$3000,_xlpm.u,Application_Status_May!E$2:E$3000,"Lease*"),IF(_xlpm.myCnt&gt;0,INDEX(_xlfn._xlws.FILTER(Application_Status_May!L$2:L$3000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46125</v>
      </c>
      <c r="J235" s="206" t="str">
        <f>IF(E235&lt;&gt;"Cancelled/Denied","—",_xlfn.LET(_xlpm.u,B235,_xlpm.myC,_xlfn.MAXIFS(Application_Status_May!R$2:R$3000,Application_Status_May!I$2:I$3000,_xlpm.u),_xlpm.myD,_xlfn.MAXIFS(Application_Status_May!S$2:S$3000,Application_Status_May!I$2:I$3000,_xlpm.u),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myC,_xlpm.myD,_xlpm.aC,_xlpm.aD,_xlpm.mC,_xlpm.mD,_xlpm.fC,_xlpm.fD)))</f>
        <v>—</v>
      </c>
      <c r="K235" s="205" t="str">
        <f t="shared" si="9"/>
        <v>—</v>
      </c>
    </row>
    <row r="236" spans="2:11">
      <c r="B236" t="str">
        <v>W18-2-1070</v>
      </c>
      <c r="C236" s="204" t="str" cm="1">
        <f t="array" ref="C236">_xlfn.LET(_xlpm.u,B236,_xlpm.myCnt,COUNTIFS(Application_Status_May!I$2:I$3000,_xlpm.u,Application_Status_May!E$2:E$3000,"App*")+COUNTIFS(Application_Status_May!I$2:I$3000,_xlpm.u,Application_Status_May!E$2:E$3000,"Lease*"),IF(_xlpm.myCnt&gt;0,INDEX(_xlfn._xlws.FILTER(Application_Status_May!B$2:B$3000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Abdi, Ali</v>
      </c>
      <c r="D236" s="205" t="str" cm="1">
        <f t="array" ref="D236">_xlfn.LET(_xlpm.u,B236,_xlpm.myCnt,COUNTIFS(Application_Status_May!I$2:I$3000,_xlpm.u,Application_Status_May!E$2:E$3000,"App*")+COUNTIFS(Application_Status_May!I$2:I$3000,_xlpm.u,Application_Status_May!E$2:E$3000,"Lease*"),IF(_xlpm.myCnt&gt;0,INDEX(_xlfn._xlws.FILTER(Application_Status_May!E$2:E$3000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Lease: Approved</v>
      </c>
      <c r="E236" s="205" t="str">
        <f t="shared" si="8"/>
        <v>Converted</v>
      </c>
      <c r="F236" s="205" t="str" cm="1">
        <f t="array" ref="F236">_xlfn.LET(_xlpm.u,B236,_xlpm.myCnt,COUNTIFS(Application_Status_May!I$2:I$3000,_xlpm.u,Application_Status_May!E$2:E$3000,"App*")+COUNTIFS(Application_Status_May!I$2:I$3000,_xlpm.u,Application_Status_May!E$2:E$3000,"Lease*"),IF(_xlpm.myCnt&gt;0,INDEX(_xlfn._xlws.FILTER(Application_Status_May!F$2:F$3000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Rodriguez, Jennifer</v>
      </c>
      <c r="G236" s="205" t="str" cm="1">
        <f t="array" ref="G236">_xlfn.LET(_xlpm.u,B236,_xlpm.myCnt,COUNTIFS(Application_Status_May!I$2:I$3000,_xlpm.u,Application_Status_May!E$2:E$3000,"App*")+COUNTIFS(Application_Status_May!I$2:I$3000,_xlpm.u,Application_Status_May!E$2:E$3000,"Lease*"),IF(_xlpm.myCnt&gt;0,INDEX(_xlfn._xlws.FILTER(Application_Status_May!H$2:H$3000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Google</v>
      </c>
      <c r="H236" s="206" cm="1">
        <f t="array" ref="H236">_xlfn.LET(_xlpm.u,B236,_xlpm.myCnt,COUNTIFS(Application_Status_May!I$2:I$3000,_xlpm.u,Application_Status_May!E$2:E$3000,"App*")+COUNTIFS(Application_Status_May!I$2:I$3000,_xlpm.u,Application_Status_May!E$2:E$3000,"Lease*"),IF(_xlpm.myCnt&gt;0,INDEX(_xlfn._xlws.FILTER(Application_Status_May!J$2:J$3000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46116</v>
      </c>
      <c r="I236" s="206" cm="1">
        <f t="array" ref="I236">_xlfn.LET(_xlpm.u,B236,_xlpm.myCnt,COUNTIFS(Application_Status_May!I$2:I$3000,_xlpm.u,Application_Status_May!E$2:E$3000,"App*")+COUNTIFS(Application_Status_May!I$2:I$3000,_xlpm.u,Application_Status_May!E$2:E$3000,"Lease*"),IF(_xlpm.myCnt&gt;0,INDEX(_xlfn._xlws.FILTER(Application_Status_May!L$2:L$3000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46123</v>
      </c>
      <c r="J236" s="206" t="str">
        <f>IF(E236&lt;&gt;"Cancelled/Denied","—",_xlfn.LET(_xlpm.u,B236,_xlpm.myC,_xlfn.MAXIFS(Application_Status_May!R$2:R$3000,Application_Status_May!I$2:I$3000,_xlpm.u),_xlpm.myD,_xlfn.MAXIFS(Application_Status_May!S$2:S$3000,Application_Status_May!I$2:I$3000,_xlpm.u),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myC,_xlpm.myD,_xlpm.aC,_xlpm.aD,_xlpm.mC,_xlpm.mD,_xlpm.fC,_xlpm.fD)))</f>
        <v>—</v>
      </c>
      <c r="K236" s="205" t="str">
        <f t="shared" si="9"/>
        <v>—</v>
      </c>
    </row>
    <row r="237" spans="2:11">
      <c r="B237" t="str">
        <v>W18-2-1073</v>
      </c>
      <c r="C237" s="204" t="str" cm="1">
        <f t="array" ref="C237">_xlfn.LET(_xlpm.u,B237,_xlpm.myCnt,COUNTIFS(Application_Status_May!I$2:I$3000,_xlpm.u,Application_Status_May!E$2:E$3000,"App*")+COUNTIFS(Application_Status_May!I$2:I$3000,_xlpm.u,Application_Status_May!E$2:E$3000,"Lease*"),IF(_xlpm.myCnt&gt;0,INDEX(_xlfn._xlws.FILTER(Application_Status_May!B$2:B$3000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Enriquez, Jaqueline</v>
      </c>
      <c r="D237" s="205" t="str" cm="1">
        <f t="array" ref="D237">_xlfn.LET(_xlpm.u,B237,_xlpm.myCnt,COUNTIFS(Application_Status_May!I$2:I$3000,_xlpm.u,Application_Status_May!E$2:E$3000,"App*")+COUNTIFS(Application_Status_May!I$2:I$3000,_xlpm.u,Application_Status_May!E$2:E$3000,"Lease*"),IF(_xlpm.myCnt&gt;0,INDEX(_xlfn._xlws.FILTER(Application_Status_May!E$2:E$3000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Cancelled</v>
      </c>
      <c r="E237" s="205" t="str">
        <f t="shared" si="8"/>
        <v>Cancelled/Denied</v>
      </c>
      <c r="F237" s="205" t="str" cm="1">
        <f t="array" ref="F237">_xlfn.LET(_xlpm.u,B237,_xlpm.myCnt,COUNTIFS(Application_Status_May!I$2:I$3000,_xlpm.u,Application_Status_May!E$2:E$3000,"App*")+COUNTIFS(Application_Status_May!I$2:I$3000,_xlpm.u,Application_Status_May!E$2:E$3000,"Lease*"),IF(_xlpm.myCnt&gt;0,INDEX(_xlfn._xlws.FILTER(Application_Status_May!F$2:F$3000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Heath, McKenzi</v>
      </c>
      <c r="G237" s="205" t="str" cm="1">
        <f t="array" ref="G237">_xlfn.LET(_xlpm.u,B237,_xlpm.myCnt,COUNTIFS(Application_Status_May!I$2:I$3000,_xlpm.u,Application_Status_May!E$2:E$3000,"App*")+COUNTIFS(Application_Status_May!I$2:I$3000,_xlpm.u,Application_Status_May!E$2:E$3000,"Lease*"),IF(_xlpm.myCnt&gt;0,INDEX(_xlfn._xlws.FILTER(Application_Status_May!H$2:H$3000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Website</v>
      </c>
      <c r="H237" s="206" cm="1">
        <f t="array" ref="H237">_xlfn.LET(_xlpm.u,B237,_xlpm.myCnt,COUNTIFS(Application_Status_May!I$2:I$3000,_xlpm.u,Application_Status_May!E$2:E$3000,"App*")+COUNTIFS(Application_Status_May!I$2:I$3000,_xlpm.u,Application_Status_May!E$2:E$3000,"Lease*"),IF(_xlpm.myCnt&gt;0,INDEX(_xlfn._xlws.FILTER(Application_Status_May!J$2:J$3000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46127</v>
      </c>
      <c r="I237" s="206" cm="1">
        <f t="array" ref="I237">_xlfn.LET(_xlpm.u,B237,_xlpm.myCnt,COUNTIFS(Application_Status_May!I$2:I$3000,_xlpm.u,Application_Status_May!E$2:E$3000,"App*")+COUNTIFS(Application_Status_May!I$2:I$3000,_xlpm.u,Application_Status_May!E$2:E$3000,"Lease*"),IF(_xlpm.myCnt&gt;0,INDEX(_xlfn._xlws.FILTER(Application_Status_May!L$2:L$3000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0</v>
      </c>
      <c r="J237" s="206">
        <f>IF(E237&lt;&gt;"Cancelled/Denied","—",_xlfn.LET(_xlpm.u,B237,_xlpm.myC,_xlfn.MAXIFS(Application_Status_May!R$2:R$3000,Application_Status_May!I$2:I$3000,_xlpm.u),_xlpm.myD,_xlfn.MAXIFS(Application_Status_May!S$2:S$3000,Application_Status_May!I$2:I$3000,_xlpm.u),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myC,_xlpm.myD,_xlpm.aC,_xlpm.aD,_xlpm.mC,_xlpm.mD,_xlpm.fC,_xlpm.fD)))</f>
        <v>46158</v>
      </c>
      <c r="K237" s="205" t="str">
        <f t="shared" si="9"/>
        <v>—</v>
      </c>
    </row>
    <row r="238" spans="2:11">
      <c r="B238" t="str">
        <v>W18-2-2070</v>
      </c>
      <c r="C238" s="204" t="str" cm="1">
        <f t="array" ref="C238">_xlfn.LET(_xlpm.u,B238,_xlpm.myCnt,COUNTIFS(Application_Status_May!I$2:I$3000,_xlpm.u,Application_Status_May!E$2:E$3000,"App*")+COUNTIFS(Application_Status_May!I$2:I$3000,_xlpm.u,Application_Status_May!E$2:E$3000,"Lease*"),IF(_xlpm.myCnt&gt;0,INDEX(_xlfn._xlws.FILTER(Application_Status_May!B$2:B$3000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teniente, Liliana</v>
      </c>
      <c r="D238" s="205" t="str" cm="1">
        <f t="array" ref="D238">_xlfn.LET(_xlpm.u,B238,_xlpm.myCnt,COUNTIFS(Application_Status_May!I$2:I$3000,_xlpm.u,Application_Status_May!E$2:E$3000,"App*")+COUNTIFS(Application_Status_May!I$2:I$3000,_xlpm.u,Application_Status_May!E$2:E$3000,"Lease*"),IF(_xlpm.myCnt&gt;0,INDEX(_xlfn._xlws.FILTER(Application_Status_May!E$2:E$3000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Lease: Approved</v>
      </c>
      <c r="E238" s="205" t="str">
        <f t="shared" si="8"/>
        <v>Converted</v>
      </c>
      <c r="F238" s="205" t="str" cm="1">
        <f t="array" ref="F238">_xlfn.LET(_xlpm.u,B238,_xlpm.myCnt,COUNTIFS(Application_Status_May!I$2:I$3000,_xlpm.u,Application_Status_May!E$2:E$3000,"App*")+COUNTIFS(Application_Status_May!I$2:I$3000,_xlpm.u,Application_Status_May!E$2:E$3000,"Lease*"),IF(_xlpm.myCnt&gt;0,INDEX(_xlfn._xlws.FILTER(Application_Status_May!F$2:F$3000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Martinez, Emily</v>
      </c>
      <c r="G238" s="205" t="str" cm="1">
        <f t="array" ref="G238">_xlfn.LET(_xlpm.u,B238,_xlpm.myCnt,COUNTIFS(Application_Status_May!I$2:I$3000,_xlpm.u,Application_Status_May!E$2:E$3000,"App*")+COUNTIFS(Application_Status_May!I$2:I$3000,_xlpm.u,Application_Status_May!E$2:E$3000,"Lease*"),IF(_xlpm.myCnt&gt;0,INDEX(_xlfn._xlws.FILTER(Application_Status_May!H$2:H$3000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Google</v>
      </c>
      <c r="H238" s="206" cm="1">
        <f t="array" ref="H238">_xlfn.LET(_xlpm.u,B238,_xlpm.myCnt,COUNTIFS(Application_Status_May!I$2:I$3000,_xlpm.u,Application_Status_May!E$2:E$3000,"App*")+COUNTIFS(Application_Status_May!I$2:I$3000,_xlpm.u,Application_Status_May!E$2:E$3000,"Lease*"),IF(_xlpm.myCnt&gt;0,INDEX(_xlfn._xlws.FILTER(Application_Status_May!J$2:J$3000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46134</v>
      </c>
      <c r="I238" s="206" cm="1">
        <f t="array" ref="I238">_xlfn.LET(_xlpm.u,B238,_xlpm.myCnt,COUNTIFS(Application_Status_May!I$2:I$3000,_xlpm.u,Application_Status_May!E$2:E$3000,"App*")+COUNTIFS(Application_Status_May!I$2:I$3000,_xlpm.u,Application_Status_May!E$2:E$3000,"Lease*"),IF(_xlpm.myCnt&gt;0,INDEX(_xlfn._xlws.FILTER(Application_Status_May!L$2:L$3000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46136</v>
      </c>
      <c r="J238" s="206" t="str">
        <f>IF(E238&lt;&gt;"Cancelled/Denied","—",_xlfn.LET(_xlpm.u,B238,_xlpm.myC,_xlfn.MAXIFS(Application_Status_May!R$2:R$3000,Application_Status_May!I$2:I$3000,_xlpm.u),_xlpm.myD,_xlfn.MAXIFS(Application_Status_May!S$2:S$3000,Application_Status_May!I$2:I$3000,_xlpm.u),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myC,_xlpm.myD,_xlpm.aC,_xlpm.aD,_xlpm.mC,_xlpm.mD,_xlpm.fC,_xlpm.fD)))</f>
        <v>—</v>
      </c>
      <c r="K238" s="205" t="str">
        <f t="shared" si="9"/>
        <v>—</v>
      </c>
    </row>
    <row r="239" spans="2:11">
      <c r="B239" t="str">
        <v>W18-2-2071</v>
      </c>
      <c r="C239" s="204" t="str" cm="1">
        <f t="array" ref="C239">_xlfn.LET(_xlpm.u,B239,_xlpm.myCnt,COUNTIFS(Application_Status_May!I$2:I$3000,_xlpm.u,Application_Status_May!E$2:E$3000,"App*")+COUNTIFS(Application_Status_May!I$2:I$3000,_xlpm.u,Application_Status_May!E$2:E$3000,"Lease*"),IF(_xlpm.myCnt&gt;0,INDEX(_xlfn._xlws.FILTER(Application_Status_May!B$2:B$3000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Poag, Taniya</v>
      </c>
      <c r="D239" s="205" t="str" cm="1">
        <f t="array" ref="D239">_xlfn.LET(_xlpm.u,B239,_xlpm.myCnt,COUNTIFS(Application_Status_May!I$2:I$3000,_xlpm.u,Application_Status_May!E$2:E$3000,"App*")+COUNTIFS(Application_Status_May!I$2:I$3000,_xlpm.u,Application_Status_May!E$2:E$3000,"Lease*"),IF(_xlpm.myCnt&gt;0,INDEX(_xlfn._xlws.FILTER(Application_Status_May!E$2:E$3000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Cancelled</v>
      </c>
      <c r="E239" s="205" t="str">
        <f t="shared" si="8"/>
        <v>Cancelled/Denied</v>
      </c>
      <c r="F239" s="205" t="str" cm="1">
        <f t="array" ref="F239">_xlfn.LET(_xlpm.u,B239,_xlpm.myCnt,COUNTIFS(Application_Status_May!I$2:I$3000,_xlpm.u,Application_Status_May!E$2:E$3000,"App*")+COUNTIFS(Application_Status_May!I$2:I$3000,_xlpm.u,Application_Status_May!E$2:E$3000,"Lease*"),IF(_xlpm.myCnt&gt;0,INDEX(_xlfn._xlws.FILTER(Application_Status_May!F$2:F$3000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Elise, Meet</v>
      </c>
      <c r="G239" s="205" t="str" cm="1">
        <f t="array" ref="G239">_xlfn.LET(_xlpm.u,B239,_xlpm.myCnt,COUNTIFS(Application_Status_May!I$2:I$3000,_xlpm.u,Application_Status_May!E$2:E$3000,"App*")+COUNTIFS(Application_Status_May!I$2:I$3000,_xlpm.u,Application_Status_May!E$2:E$3000,"Lease*"),IF(_xlpm.myCnt&gt;0,INDEX(_xlfn._xlws.FILTER(Application_Status_May!H$2:H$3000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Google</v>
      </c>
      <c r="H239" s="206" cm="1">
        <f t="array" ref="H239">_xlfn.LET(_xlpm.u,B239,_xlpm.myCnt,COUNTIFS(Application_Status_May!I$2:I$3000,_xlpm.u,Application_Status_May!E$2:E$3000,"App*")+COUNTIFS(Application_Status_May!I$2:I$3000,_xlpm.u,Application_Status_May!E$2:E$3000,"Lease*"),IF(_xlpm.myCnt&gt;0,INDEX(_xlfn._xlws.FILTER(Application_Status_May!J$2:J$3000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46142</v>
      </c>
      <c r="I239" s="206" cm="1">
        <f t="array" ref="I239">_xlfn.LET(_xlpm.u,B239,_xlpm.myCnt,COUNTIFS(Application_Status_May!I$2:I$3000,_xlpm.u,Application_Status_May!E$2:E$3000,"App*")+COUNTIFS(Application_Status_May!I$2:I$3000,_xlpm.u,Application_Status_May!E$2:E$3000,"Lease*"),IF(_xlpm.myCnt&gt;0,INDEX(_xlfn._xlws.FILTER(Application_Status_May!L$2:L$3000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0</v>
      </c>
      <c r="J239" s="206">
        <f>IF(E239&lt;&gt;"Cancelled/Denied","—",_xlfn.LET(_xlpm.u,B239,_xlpm.myC,_xlfn.MAXIFS(Application_Status_May!R$2:R$3000,Application_Status_May!I$2:I$3000,_xlpm.u),_xlpm.myD,_xlfn.MAXIFS(Application_Status_May!S$2:S$3000,Application_Status_May!I$2:I$3000,_xlpm.u),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myC,_xlpm.myD,_xlpm.aC,_xlpm.aD,_xlpm.mC,_xlpm.mD,_xlpm.fC,_xlpm.fD)))</f>
        <v>46164</v>
      </c>
      <c r="K239" s="205" t="str">
        <f t="shared" si="9"/>
        <v>—</v>
      </c>
    </row>
    <row r="240" spans="2:11">
      <c r="B240" t="str">
        <v>W19-2-2066</v>
      </c>
      <c r="C240" s="204" t="str" cm="1">
        <f t="array" ref="C240">_xlfn.LET(_xlpm.u,B240,_xlpm.myCnt,COUNTIFS(Application_Status_May!I$2:I$3000,_xlpm.u,Application_Status_May!E$2:E$3000,"App*")+COUNTIFS(Application_Status_May!I$2:I$3000,_xlpm.u,Application_Status_May!E$2:E$3000,"Lease*"),IF(_xlpm.myCnt&gt;0,INDEX(_xlfn._xlws.FILTER(Application_Status_May!B$2:B$3000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Shaw, Toneisha</v>
      </c>
      <c r="D240" s="205" t="str" cm="1">
        <f t="array" ref="D240">_xlfn.LET(_xlpm.u,B240,_xlpm.myCnt,COUNTIFS(Application_Status_May!I$2:I$3000,_xlpm.u,Application_Status_May!E$2:E$3000,"App*")+COUNTIFS(Application_Status_May!I$2:I$3000,_xlpm.u,Application_Status_May!E$2:E$3000,"Lease*"),IF(_xlpm.myCnt&gt;0,INDEX(_xlfn._xlws.FILTER(Application_Status_May!E$2:E$3000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Started</v>
      </c>
      <c r="E240" s="205" t="str">
        <f t="shared" si="8"/>
        <v>Incomplete</v>
      </c>
      <c r="F240" s="205" t="str" cm="1">
        <f t="array" ref="F240">_xlfn.LET(_xlpm.u,B240,_xlpm.myCnt,COUNTIFS(Application_Status_May!I$2:I$3000,_xlpm.u,Application_Status_May!E$2:E$3000,"App*")+COUNTIFS(Application_Status_May!I$2:I$3000,_xlpm.u,Application_Status_May!E$2:E$3000,"Lease*"),IF(_xlpm.myCnt&gt;0,INDEX(_xlfn._xlws.FILTER(Application_Status_May!F$2:F$3000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Elise, Meet</v>
      </c>
      <c r="G240" s="205" t="str" cm="1">
        <f t="array" ref="G240">_xlfn.LET(_xlpm.u,B240,_xlpm.myCnt,COUNTIFS(Application_Status_May!I$2:I$3000,_xlpm.u,Application_Status_May!E$2:E$3000,"App*")+COUNTIFS(Application_Status_May!I$2:I$3000,_xlpm.u,Application_Status_May!E$2:E$3000,"Lease*"),IF(_xlpm.myCnt&gt;0,INDEX(_xlfn._xlws.FILTER(Application_Status_May!H$2:H$3000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Website</v>
      </c>
      <c r="H240" s="206" cm="1">
        <f t="array" ref="H240">_xlfn.LET(_xlpm.u,B240,_xlpm.myCnt,COUNTIFS(Application_Status_May!I$2:I$3000,_xlpm.u,Application_Status_May!E$2:E$3000,"App*")+COUNTIFS(Application_Status_May!I$2:I$3000,_xlpm.u,Application_Status_May!E$2:E$3000,"Lease*"),IF(_xlpm.myCnt&gt;0,INDEX(_xlfn._xlws.FILTER(Application_Status_May!J$2:J$3000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46168</v>
      </c>
      <c r="I240" s="206" cm="1">
        <f t="array" ref="I240">_xlfn.LET(_xlpm.u,B240,_xlpm.myCnt,COUNTIFS(Application_Status_May!I$2:I$3000,_xlpm.u,Application_Status_May!E$2:E$3000,"App*")+COUNTIFS(Application_Status_May!I$2:I$3000,_xlpm.u,Application_Status_May!E$2:E$3000,"Lease*"),IF(_xlpm.myCnt&gt;0,INDEX(_xlfn._xlws.FILTER(Application_Status_May!L$2:L$3000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0</v>
      </c>
      <c r="J240" s="206" t="str">
        <f>IF(E240&lt;&gt;"Cancelled/Denied","—",_xlfn.LET(_xlpm.u,B240,_xlpm.myC,_xlfn.MAXIFS(Application_Status_May!R$2:R$3000,Application_Status_May!I$2:I$3000,_xlpm.u),_xlpm.myD,_xlfn.MAXIFS(Application_Status_May!S$2:S$3000,Application_Status_May!I$2:I$3000,_xlpm.u),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myC,_xlpm.myD,_xlpm.aC,_xlpm.aD,_xlpm.mC,_xlpm.mD,_xlpm.fC,_xlpm.fD)))</f>
        <v>—</v>
      </c>
      <c r="K240" s="205">
        <f t="shared" si="9"/>
        <v>76</v>
      </c>
    </row>
    <row r="241" spans="2:11">
      <c r="B241" t="str">
        <v>W19-2-3066</v>
      </c>
      <c r="C241" s="204" t="str" cm="1">
        <f t="array" ref="C241">_xlfn.LET(_xlpm.u,B241,_xlpm.myCnt,COUNTIFS(Application_Status_May!I$2:I$3000,_xlpm.u,Application_Status_May!E$2:E$3000,"App*")+COUNTIFS(Application_Status_May!I$2:I$3000,_xlpm.u,Application_Status_May!E$2:E$3000,"Lease*"),IF(_xlpm.myCnt&gt;0,INDEX(_xlfn._xlws.FILTER(Application_Status_May!B$2:B$3000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Webster, Taniya</v>
      </c>
      <c r="D241" s="205" t="str" cm="1">
        <f t="array" ref="D241">_xlfn.LET(_xlpm.u,B241,_xlpm.myCnt,COUNTIFS(Application_Status_May!I$2:I$3000,_xlpm.u,Application_Status_May!E$2:E$3000,"App*")+COUNTIFS(Application_Status_May!I$2:I$3000,_xlpm.u,Application_Status_May!E$2:E$3000,"Lease*"),IF(_xlpm.myCnt&gt;0,INDEX(_xlfn._xlws.FILTER(Application_Status_May!E$2:E$3000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Started</v>
      </c>
      <c r="E241" s="205" t="str">
        <f t="shared" si="8"/>
        <v>Incomplete</v>
      </c>
      <c r="F241" s="205" t="str" cm="1">
        <f t="array" ref="F241">_xlfn.LET(_xlpm.u,B241,_xlpm.myCnt,COUNTIFS(Application_Status_May!I$2:I$3000,_xlpm.u,Application_Status_May!E$2:E$3000,"App*")+COUNTIFS(Application_Status_May!I$2:I$3000,_xlpm.u,Application_Status_May!E$2:E$3000,"Lease*"),IF(_xlpm.myCnt&gt;0,INDEX(_xlfn._xlws.FILTER(Application_Status_May!F$2:F$3000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HOUSE, HOUSE</v>
      </c>
      <c r="G241" s="205" t="str" cm="1">
        <f t="array" ref="G241">_xlfn.LET(_xlpm.u,B241,_xlpm.myCnt,COUNTIFS(Application_Status_May!I$2:I$3000,_xlpm.u,Application_Status_May!E$2:E$3000,"App*")+COUNTIFS(Application_Status_May!I$2:I$3000,_xlpm.u,Application_Status_May!E$2:E$3000,"Lease*"),IF(_xlpm.myCnt&gt;0,INDEX(_xlfn._xlws.FILTER(Application_Status_May!H$2:H$3000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Apartments.com</v>
      </c>
      <c r="H241" s="206" cm="1">
        <f t="array" ref="H241">_xlfn.LET(_xlpm.u,B241,_xlpm.myCnt,COUNTIFS(Application_Status_May!I$2:I$3000,_xlpm.u,Application_Status_May!E$2:E$3000,"App*")+COUNTIFS(Application_Status_May!I$2:I$3000,_xlpm.u,Application_Status_May!E$2:E$3000,"Lease*"),IF(_xlpm.myCnt&gt;0,INDEX(_xlfn._xlws.FILTER(Application_Status_May!J$2:J$3000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46062</v>
      </c>
      <c r="I241" s="206" cm="1">
        <f t="array" ref="I241">_xlfn.LET(_xlpm.u,B241,_xlpm.myCnt,COUNTIFS(Application_Status_May!I$2:I$3000,_xlpm.u,Application_Status_May!E$2:E$3000,"App*")+COUNTIFS(Application_Status_May!I$2:I$3000,_xlpm.u,Application_Status_May!E$2:E$3000,"Lease*"),IF(_xlpm.myCnt&gt;0,INDEX(_xlfn._xlws.FILTER(Application_Status_May!L$2:L$3000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0</v>
      </c>
      <c r="J241" s="206" t="str">
        <f>IF(E241&lt;&gt;"Cancelled/Denied","—",_xlfn.LET(_xlpm.u,B241,_xlpm.myC,_xlfn.MAXIFS(Application_Status_May!R$2:R$3000,Application_Status_May!I$2:I$3000,_xlpm.u),_xlpm.myD,_xlfn.MAXIFS(Application_Status_May!S$2:S$3000,Application_Status_May!I$2:I$3000,_xlpm.u),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myC,_xlpm.myD,_xlpm.aC,_xlpm.aD,_xlpm.mC,_xlpm.mD,_xlpm.fC,_xlpm.fD)))</f>
        <v>—</v>
      </c>
      <c r="K241" s="205">
        <f t="shared" si="9"/>
        <v>182</v>
      </c>
    </row>
    <row r="242" spans="2:11">
      <c r="B242" t="str">
        <v>W19-2-3067</v>
      </c>
      <c r="C242" s="204" t="str" cm="1">
        <f t="array" ref="C242">_xlfn.LET(_xlpm.u,B242,_xlpm.myCnt,COUNTIFS(Application_Status_May!I$2:I$3000,_xlpm.u,Application_Status_May!E$2:E$3000,"App*")+COUNTIFS(Application_Status_May!I$2:I$3000,_xlpm.u,Application_Status_May!E$2:E$3000,"Lease*"),IF(_xlpm.myCnt&gt;0,INDEX(_xlfn._xlws.FILTER(Application_Status_May!B$2:B$3000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Walker, Jeremy</v>
      </c>
      <c r="D242" s="205" t="str" cm="1">
        <f t="array" ref="D242">_xlfn.LET(_xlpm.u,B242,_xlpm.myCnt,COUNTIFS(Application_Status_May!I$2:I$3000,_xlpm.u,Application_Status_May!E$2:E$3000,"App*")+COUNTIFS(Application_Status_May!I$2:I$3000,_xlpm.u,Application_Status_May!E$2:E$3000,"Lease*"),IF(_xlpm.myCnt&gt;0,INDEX(_xlfn._xlws.FILTER(Application_Status_May!E$2:E$3000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Completed</v>
      </c>
      <c r="E242" s="205" t="str">
        <f t="shared" si="8"/>
        <v>In Review</v>
      </c>
      <c r="F242" s="205" t="str" cm="1">
        <f t="array" ref="F242">_xlfn.LET(_xlpm.u,B242,_xlpm.myCnt,COUNTIFS(Application_Status_May!I$2:I$3000,_xlpm.u,Application_Status_May!E$2:E$3000,"App*")+COUNTIFS(Application_Status_May!I$2:I$3000,_xlpm.u,Application_Status_May!E$2:E$3000,"Lease*"),IF(_xlpm.myCnt&gt;0,INDEX(_xlfn._xlws.FILTER(Application_Status_May!F$2:F$3000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Gabehart, Jamey</v>
      </c>
      <c r="G242" s="205" t="str" cm="1">
        <f t="array" ref="G242">_xlfn.LET(_xlpm.u,B242,_xlpm.myCnt,COUNTIFS(Application_Status_May!I$2:I$3000,_xlpm.u,Application_Status_May!E$2:E$3000,"App*")+COUNTIFS(Application_Status_May!I$2:I$3000,_xlpm.u,Application_Status_May!E$2:E$3000,"Lease*"),IF(_xlpm.myCnt&gt;0,INDEX(_xlfn._xlws.FILTER(Application_Status_May!H$2:H$3000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Previous Resident Referral</v>
      </c>
      <c r="H242" s="206" cm="1">
        <f t="array" ref="H242">_xlfn.LET(_xlpm.u,B242,_xlpm.myCnt,COUNTIFS(Application_Status_May!I$2:I$3000,_xlpm.u,Application_Status_May!E$2:E$3000,"App*")+COUNTIFS(Application_Status_May!I$2:I$3000,_xlpm.u,Application_Status_May!E$2:E$3000,"Lease*"),IF(_xlpm.myCnt&gt;0,INDEX(_xlfn._xlws.FILTER(Application_Status_May!J$2:J$3000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46170</v>
      </c>
      <c r="I242" s="206" cm="1">
        <f t="array" ref="I242">_xlfn.LET(_xlpm.u,B242,_xlpm.myCnt,COUNTIFS(Application_Status_May!I$2:I$3000,_xlpm.u,Application_Status_May!E$2:E$3000,"App*")+COUNTIFS(Application_Status_May!I$2:I$3000,_xlpm.u,Application_Status_May!E$2:E$3000,"Lease*"),IF(_xlpm.myCnt&gt;0,INDEX(_xlfn._xlws.FILTER(Application_Status_May!L$2:L$3000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46170</v>
      </c>
      <c r="J242" s="206" t="str">
        <f>IF(E242&lt;&gt;"Cancelled/Denied","—",_xlfn.LET(_xlpm.u,B242,_xlpm.myC,_xlfn.MAXIFS(Application_Status_May!R$2:R$3000,Application_Status_May!I$2:I$3000,_xlpm.u),_xlpm.myD,_xlfn.MAXIFS(Application_Status_May!S$2:S$3000,Application_Status_May!I$2:I$3000,_xlpm.u),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myC,_xlpm.myD,_xlpm.aC,_xlpm.aD,_xlpm.mC,_xlpm.mD,_xlpm.fC,_xlpm.fD)))</f>
        <v>—</v>
      </c>
      <c r="K242" s="205">
        <f t="shared" si="9"/>
        <v>74</v>
      </c>
    </row>
    <row r="243" spans="2:11">
      <c r="B243" t="str">
        <v>W20-2-1065</v>
      </c>
      <c r="C243" s="204" t="str" cm="1">
        <f t="array" ref="C243">_xlfn.LET(_xlpm.u,B243,_xlpm.myCnt,COUNTIFS(Application_Status_May!I$2:I$3000,_xlpm.u,Application_Status_May!E$2:E$3000,"App*")+COUNTIFS(Application_Status_May!I$2:I$3000,_xlpm.u,Application_Status_May!E$2:E$3000,"Lease*"),IF(_xlpm.myCnt&gt;0,INDEX(_xlfn._xlws.FILTER(Application_Status_May!B$2:B$3000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Simpson, Tybrasha</v>
      </c>
      <c r="D243" s="205" t="str" cm="1">
        <f t="array" ref="D243">_xlfn.LET(_xlpm.u,B243,_xlpm.myCnt,COUNTIFS(Application_Status_May!I$2:I$3000,_xlpm.u,Application_Status_May!E$2:E$3000,"App*")+COUNTIFS(Application_Status_May!I$2:I$3000,_xlpm.u,Application_Status_May!E$2:E$3000,"Lease*"),IF(_xlpm.myCnt&gt;0,INDEX(_xlfn._xlws.FILTER(Application_Status_May!E$2:E$3000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Cancelled</v>
      </c>
      <c r="E243" s="205" t="str">
        <f t="shared" si="8"/>
        <v>Cancelled/Denied</v>
      </c>
      <c r="F243" s="205" t="str" cm="1">
        <f t="array" ref="F243">_xlfn.LET(_xlpm.u,B243,_xlpm.myCnt,COUNTIFS(Application_Status_May!I$2:I$3000,_xlpm.u,Application_Status_May!E$2:E$3000,"App*")+COUNTIFS(Application_Status_May!I$2:I$3000,_xlpm.u,Application_Status_May!E$2:E$3000,"Lease*"),IF(_xlpm.myCnt&gt;0,INDEX(_xlfn._xlws.FILTER(Application_Status_May!F$2:F$3000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Elise, Meet</v>
      </c>
      <c r="G243" s="205" t="str" cm="1">
        <f t="array" ref="G243">_xlfn.LET(_xlpm.u,B243,_xlpm.myCnt,COUNTIFS(Application_Status_May!I$2:I$3000,_xlpm.u,Application_Status_May!E$2:E$3000,"App*")+COUNTIFS(Application_Status_May!I$2:I$3000,_xlpm.u,Application_Status_May!E$2:E$3000,"Lease*"),IF(_xlpm.myCnt&gt;0,INDEX(_xlfn._xlws.FILTER(Application_Status_May!H$2:H$3000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Website</v>
      </c>
      <c r="H243" s="206" cm="1">
        <f t="array" ref="H243">_xlfn.LET(_xlpm.u,B243,_xlpm.myCnt,COUNTIFS(Application_Status_May!I$2:I$3000,_xlpm.u,Application_Status_May!E$2:E$3000,"App*")+COUNTIFS(Application_Status_May!I$2:I$3000,_xlpm.u,Application_Status_May!E$2:E$3000,"Lease*"),IF(_xlpm.myCnt&gt;0,INDEX(_xlfn._xlws.FILTER(Application_Status_May!J$2:J$3000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46130</v>
      </c>
      <c r="I243" s="206" cm="1">
        <f t="array" ref="I243">_xlfn.LET(_xlpm.u,B243,_xlpm.myCnt,COUNTIFS(Application_Status_May!I$2:I$3000,_xlpm.u,Application_Status_May!E$2:E$3000,"App*")+COUNTIFS(Application_Status_May!I$2:I$3000,_xlpm.u,Application_Status_May!E$2:E$3000,"Lease*"),IF(_xlpm.myCnt&gt;0,INDEX(_xlfn._xlws.FILTER(Application_Status_May!L$2:L$3000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0</v>
      </c>
      <c r="J243" s="206">
        <f>IF(E243&lt;&gt;"Cancelled/Denied","—",_xlfn.LET(_xlpm.u,B243,_xlpm.myC,_xlfn.MAXIFS(Application_Status_May!R$2:R$3000,Application_Status_May!I$2:I$3000,_xlpm.u),_xlpm.myD,_xlfn.MAXIFS(Application_Status_May!S$2:S$3000,Application_Status_May!I$2:I$3000,_xlpm.u),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myC,_xlpm.myD,_xlpm.aC,_xlpm.aD,_xlpm.mC,_xlpm.mD,_xlpm.fC,_xlpm.fD)))</f>
        <v>46164</v>
      </c>
      <c r="K243" s="205" t="str">
        <f t="shared" si="9"/>
        <v>—</v>
      </c>
    </row>
    <row r="244" spans="2:11">
      <c r="B244" t="str">
        <v>W20-2-2062</v>
      </c>
      <c r="C244" s="204" t="str" cm="1">
        <f t="array" ref="C244">_xlfn.LET(_xlpm.u,B244,_xlpm.myCnt,COUNTIFS(Application_Status_May!I$2:I$3000,_xlpm.u,Application_Status_May!E$2:E$3000,"App*")+COUNTIFS(Application_Status_May!I$2:I$3000,_xlpm.u,Application_Status_May!E$2:E$3000,"Lease*"),IF(_xlpm.myCnt&gt;0,INDEX(_xlfn._xlws.FILTER(Application_Status_May!B$2:B$3000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Coughanour, Courtney</v>
      </c>
      <c r="D244" s="205" t="str" cm="1">
        <f t="array" ref="D244">_xlfn.LET(_xlpm.u,B244,_xlpm.myCnt,COUNTIFS(Application_Status_May!I$2:I$3000,_xlpm.u,Application_Status_May!E$2:E$3000,"App*")+COUNTIFS(Application_Status_May!I$2:I$3000,_xlpm.u,Application_Status_May!E$2:E$3000,"Lease*"),IF(_xlpm.myCnt&gt;0,INDEX(_xlfn._xlws.FILTER(Application_Status_May!E$2:E$3000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Cancelled</v>
      </c>
      <c r="E244" s="205" t="str">
        <f t="shared" si="8"/>
        <v>Cancelled/Denied</v>
      </c>
      <c r="F244" s="205" t="str" cm="1">
        <f t="array" ref="F244">_xlfn.LET(_xlpm.u,B244,_xlpm.myCnt,COUNTIFS(Application_Status_May!I$2:I$3000,_xlpm.u,Application_Status_May!E$2:E$3000,"App*")+COUNTIFS(Application_Status_May!I$2:I$3000,_xlpm.u,Application_Status_May!E$2:E$3000,"Lease*"),IF(_xlpm.myCnt&gt;0,INDEX(_xlfn._xlws.FILTER(Application_Status_May!F$2:F$3000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Rodriguez, Jennifer</v>
      </c>
      <c r="G244" s="205" t="str" cm="1">
        <f t="array" ref="G244">_xlfn.LET(_xlpm.u,B244,_xlpm.myCnt,COUNTIFS(Application_Status_May!I$2:I$3000,_xlpm.u,Application_Status_May!E$2:E$3000,"App*")+COUNTIFS(Application_Status_May!I$2:I$3000,_xlpm.u,Application_Status_May!E$2:E$3000,"Lease*"),IF(_xlpm.myCnt&gt;0,INDEX(_xlfn._xlws.FILTER(Application_Status_May!H$2:H$3000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Website</v>
      </c>
      <c r="H244" s="206" cm="1">
        <f t="array" ref="H244">_xlfn.LET(_xlpm.u,B244,_xlpm.myCnt,COUNTIFS(Application_Status_May!I$2:I$3000,_xlpm.u,Application_Status_May!E$2:E$3000,"App*")+COUNTIFS(Application_Status_May!I$2:I$3000,_xlpm.u,Application_Status_May!E$2:E$3000,"Lease*"),IF(_xlpm.myCnt&gt;0,INDEX(_xlfn._xlws.FILTER(Application_Status_May!J$2:J$3000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46147</v>
      </c>
      <c r="I244" s="206" cm="1">
        <f t="array" ref="I244">_xlfn.LET(_xlpm.u,B244,_xlpm.myCnt,COUNTIFS(Application_Status_May!I$2:I$3000,_xlpm.u,Application_Status_May!E$2:E$3000,"App*")+COUNTIFS(Application_Status_May!I$2:I$3000,_xlpm.u,Application_Status_May!E$2:E$3000,"Lease*"),IF(_xlpm.myCnt&gt;0,INDEX(_xlfn._xlws.FILTER(Application_Status_May!L$2:L$3000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46149</v>
      </c>
      <c r="J244" s="206">
        <f>IF(E244&lt;&gt;"Cancelled/Denied","—",_xlfn.LET(_xlpm.u,B244,_xlpm.myC,_xlfn.MAXIFS(Application_Status_May!R$2:R$3000,Application_Status_May!I$2:I$3000,_xlpm.u),_xlpm.myD,_xlfn.MAXIFS(Application_Status_May!S$2:S$3000,Application_Status_May!I$2:I$3000,_xlpm.u),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myC,_xlpm.myD,_xlpm.aC,_xlpm.aD,_xlpm.mC,_xlpm.mD,_xlpm.fC,_xlpm.fD)))</f>
        <v>46169</v>
      </c>
      <c r="K244" s="205" t="str">
        <f t="shared" si="9"/>
        <v>—</v>
      </c>
    </row>
    <row r="245" spans="2:11">
      <c r="B245" t="str">
        <v>W20-2-2064</v>
      </c>
      <c r="C245" s="204" t="str" cm="1">
        <f t="array" ref="C245">_xlfn.LET(_xlpm.u,B245,_xlpm.myCnt,COUNTIFS(Application_Status_May!I$2:I$3000,_xlpm.u,Application_Status_May!E$2:E$3000,"App*")+COUNTIFS(Application_Status_May!I$2:I$3000,_xlpm.u,Application_Status_May!E$2:E$3000,"Lease*"),IF(_xlpm.myCnt&gt;0,INDEX(_xlfn._xlws.FILTER(Application_Status_May!B$2:B$3000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Ortiz, Nancy</v>
      </c>
      <c r="D245" s="205" t="str" cm="1">
        <f t="array" ref="D245">_xlfn.LET(_xlpm.u,B245,_xlpm.myCnt,COUNTIFS(Application_Status_May!I$2:I$3000,_xlpm.u,Application_Status_May!E$2:E$3000,"App*")+COUNTIFS(Application_Status_May!I$2:I$3000,_xlpm.u,Application_Status_May!E$2:E$3000,"Lease*"),IF(_xlpm.myCnt&gt;0,INDEX(_xlfn._xlws.FILTER(Application_Status_May!E$2:E$3000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Lease: Approved</v>
      </c>
      <c r="E245" s="205" t="str">
        <f t="shared" si="8"/>
        <v>Converted</v>
      </c>
      <c r="F245" s="205" t="str" cm="1">
        <f t="array" ref="F245">_xlfn.LET(_xlpm.u,B245,_xlpm.myCnt,COUNTIFS(Application_Status_May!I$2:I$3000,_xlpm.u,Application_Status_May!E$2:E$3000,"App*")+COUNTIFS(Application_Status_May!I$2:I$3000,_xlpm.u,Application_Status_May!E$2:E$3000,"Lease*"),IF(_xlpm.myCnt&gt;0,INDEX(_xlfn._xlws.FILTER(Application_Status_May!F$2:F$3000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Vazquez, Norma</v>
      </c>
      <c r="G245" s="205" t="str" cm="1">
        <f t="array" ref="G245">_xlfn.LET(_xlpm.u,B245,_xlpm.myCnt,COUNTIFS(Application_Status_May!I$2:I$3000,_xlpm.u,Application_Status_May!E$2:E$3000,"App*")+COUNTIFS(Application_Status_May!I$2:I$3000,_xlpm.u,Application_Status_May!E$2:E$3000,"Lease*"),IF(_xlpm.myCnt&gt;0,INDEX(_xlfn._xlws.FILTER(Application_Status_May!H$2:H$3000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Website</v>
      </c>
      <c r="H245" s="206" cm="1">
        <f t="array" ref="H245">_xlfn.LET(_xlpm.u,B245,_xlpm.myCnt,COUNTIFS(Application_Status_May!I$2:I$3000,_xlpm.u,Application_Status_May!E$2:E$3000,"App*")+COUNTIFS(Application_Status_May!I$2:I$3000,_xlpm.u,Application_Status_May!E$2:E$3000,"Lease*"),IF(_xlpm.myCnt&gt;0,INDEX(_xlfn._xlws.FILTER(Application_Status_May!J$2:J$3000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46112</v>
      </c>
      <c r="I245" s="206" cm="1">
        <f t="array" ref="I245">_xlfn.LET(_xlpm.u,B245,_xlpm.myCnt,COUNTIFS(Application_Status_May!I$2:I$3000,_xlpm.u,Application_Status_May!E$2:E$3000,"App*")+COUNTIFS(Application_Status_May!I$2:I$3000,_xlpm.u,Application_Status_May!E$2:E$3000,"Lease*"),IF(_xlpm.myCnt&gt;0,INDEX(_xlfn._xlws.FILTER(Application_Status_May!L$2:L$3000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46113</v>
      </c>
      <c r="J245" s="206" t="str">
        <f>IF(E245&lt;&gt;"Cancelled/Denied","—",_xlfn.LET(_xlpm.u,B245,_xlpm.myC,_xlfn.MAXIFS(Application_Status_May!R$2:R$3000,Application_Status_May!I$2:I$3000,_xlpm.u),_xlpm.myD,_xlfn.MAXIFS(Application_Status_May!S$2:S$3000,Application_Status_May!I$2:I$3000,_xlpm.u),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myC,_xlpm.myD,_xlpm.aC,_xlpm.aD,_xlpm.mC,_xlpm.mD,_xlpm.fC,_xlpm.fD)))</f>
        <v>—</v>
      </c>
      <c r="K245" s="205" t="str">
        <f t="shared" si="9"/>
        <v>—</v>
      </c>
    </row>
    <row r="246" spans="2:11">
      <c r="B246" t="str">
        <v>W21-2-1054</v>
      </c>
      <c r="C246" s="204" t="str" cm="1">
        <f t="array" ref="C246">_xlfn.LET(_xlpm.u,B246,_xlpm.myCnt,COUNTIFS(Application_Status_May!I$2:I$3000,_xlpm.u,Application_Status_May!E$2:E$3000,"App*")+COUNTIFS(Application_Status_May!I$2:I$3000,_xlpm.u,Application_Status_May!E$2:E$3000,"Lease*"),IF(_xlpm.myCnt&gt;0,INDEX(_xlfn._xlws.FILTER(Application_Status_May!B$2:B$3000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Splann, Valentina</v>
      </c>
      <c r="D246" s="205" t="str" cm="1">
        <f t="array" ref="D246">_xlfn.LET(_xlpm.u,B246,_xlpm.myCnt,COUNTIFS(Application_Status_May!I$2:I$3000,_xlpm.u,Application_Status_May!E$2:E$3000,"App*")+COUNTIFS(Application_Status_May!I$2:I$3000,_xlpm.u,Application_Status_May!E$2:E$3000,"Lease*"),IF(_xlpm.myCnt&gt;0,INDEX(_xlfn._xlws.FILTER(Application_Status_May!E$2:E$3000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Cancelled</v>
      </c>
      <c r="E246" s="205" t="str">
        <f t="shared" si="8"/>
        <v>Cancelled/Denied</v>
      </c>
      <c r="F246" s="205" t="str" cm="1">
        <f t="array" ref="F246">_xlfn.LET(_xlpm.u,B246,_xlpm.myCnt,COUNTIFS(Application_Status_May!I$2:I$3000,_xlpm.u,Application_Status_May!E$2:E$3000,"App*")+COUNTIFS(Application_Status_May!I$2:I$3000,_xlpm.u,Application_Status_May!E$2:E$3000,"Lease*"),IF(_xlpm.myCnt&gt;0,INDEX(_xlfn._xlws.FILTER(Application_Status_May!F$2:F$3000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Elise, Meet</v>
      </c>
      <c r="G246" s="205" t="str" cm="1">
        <f t="array" ref="G246">_xlfn.LET(_xlpm.u,B246,_xlpm.myCnt,COUNTIFS(Application_Status_May!I$2:I$3000,_xlpm.u,Application_Status_May!E$2:E$3000,"App*")+COUNTIFS(Application_Status_May!I$2:I$3000,_xlpm.u,Application_Status_May!E$2:E$3000,"Lease*"),IF(_xlpm.myCnt&gt;0,INDEX(_xlfn._xlws.FILTER(Application_Status_May!H$2:H$3000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Website</v>
      </c>
      <c r="H246" s="206" cm="1">
        <f t="array" ref="H246">_xlfn.LET(_xlpm.u,B246,_xlpm.myCnt,COUNTIFS(Application_Status_May!I$2:I$3000,_xlpm.u,Application_Status_May!E$2:E$3000,"App*")+COUNTIFS(Application_Status_May!I$2:I$3000,_xlpm.u,Application_Status_May!E$2:E$3000,"Lease*"),IF(_xlpm.myCnt&gt;0,INDEX(_xlfn._xlws.FILTER(Application_Status_May!J$2:J$3000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46144</v>
      </c>
      <c r="I246" s="206" cm="1">
        <f t="array" ref="I246">_xlfn.LET(_xlpm.u,B246,_xlpm.myCnt,COUNTIFS(Application_Status_May!I$2:I$3000,_xlpm.u,Application_Status_May!E$2:E$3000,"App*")+COUNTIFS(Application_Status_May!I$2:I$3000,_xlpm.u,Application_Status_May!E$2:E$3000,"Lease*"),IF(_xlpm.myCnt&gt;0,INDEX(_xlfn._xlws.FILTER(Application_Status_May!L$2:L$3000,(Application_Status_May!I$2:I$3000=_xlpm.u)*(LEFT(Application_Status_May!E$2:E$3000,3)&lt;&gt;"Gue")),_xlpm.myCnt),_xlfn.LET(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0</v>
      </c>
      <c r="J246" s="206">
        <f>IF(E246&lt;&gt;"Cancelled/Denied","—",_xlfn.LET(_xlpm.u,B246,_xlpm.myC,_xlfn.MAXIFS(Application_Status_May!R$2:R$3000,Application_Status_May!I$2:I$3000,_xlpm.u),_xlpm.myD,_xlfn.MAXIFS(Application_Status_May!S$2:S$3000,Application_Status_May!I$2:I$3000,_xlpm.u),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myC,_xlpm.myD,_xlpm.aC,_xlpm.aD,_xlpm.mC,_xlpm.mD,_xlpm.fC,_xlpm.fD)))</f>
        <v>46164</v>
      </c>
      <c r="K246" s="205" t="str">
        <f t="shared" si="9"/>
        <v>—</v>
      </c>
    </row>
    <row r="247" spans="2:11">
      <c r="B247" t="str">
        <v>W21-2-2052</v>
      </c>
    </row>
    <row r="248" spans="2:11">
      <c r="B248" t="str">
        <v>W21-2-2053</v>
      </c>
    </row>
    <row r="249" spans="2:11">
      <c r="B249" t="str">
        <v>W21-2-2057</v>
      </c>
    </row>
    <row r="250" spans="2:11">
      <c r="B250" t="str">
        <v>W21-2-2058</v>
      </c>
    </row>
    <row r="251" spans="2:11">
      <c r="B251" t="str">
        <v>W21-2-2059</v>
      </c>
    </row>
    <row r="252" spans="2:11">
      <c r="B252" t="str">
        <v>W22-2-2048</v>
      </c>
    </row>
    <row r="253" spans="2:11">
      <c r="B253" t="str">
        <v>W22-2-2049</v>
      </c>
    </row>
    <row r="254" spans="2:11">
      <c r="B254" t="str">
        <v>W22-2-2050</v>
      </c>
    </row>
    <row r="255" spans="2:11">
      <c r="B255" t="str">
        <v>W23-2-1040</v>
      </c>
    </row>
    <row r="256" spans="2:11">
      <c r="B256" t="str">
        <v>W23-2-1044</v>
      </c>
    </row>
    <row r="257" spans="2:2">
      <c r="B257" t="str">
        <v>W23-2-1046</v>
      </c>
    </row>
    <row r="258" spans="2:2">
      <c r="B258" t="str">
        <v>W23-2-2042</v>
      </c>
    </row>
    <row r="259" spans="2:2">
      <c r="B259" t="str">
        <v>W23-2-2045</v>
      </c>
    </row>
    <row r="260" spans="2:2">
      <c r="B260" t="str">
        <v>W24-2-1032</v>
      </c>
    </row>
    <row r="261" spans="2:2">
      <c r="B261" t="str">
        <v>W24-2-1036</v>
      </c>
    </row>
    <row r="262" spans="2:2">
      <c r="B262" t="str">
        <v>W24-2-2032</v>
      </c>
    </row>
    <row r="263" spans="2:2">
      <c r="B263" t="str">
        <v>W24-2-2035</v>
      </c>
    </row>
    <row r="264" spans="2:2">
      <c r="B264" t="str">
        <v>W25-2-1030</v>
      </c>
    </row>
    <row r="265" spans="2:2">
      <c r="B265" t="str">
        <v>W25-2-2025</v>
      </c>
    </row>
    <row r="266" spans="2:2">
      <c r="B266" t="str">
        <v>W25-2-2028</v>
      </c>
    </row>
    <row r="267" spans="2:2">
      <c r="B267" t="str">
        <v>W25-2-2031</v>
      </c>
    </row>
    <row r="268" spans="2:2">
      <c r="B268" t="str">
        <v>W26-2-1016</v>
      </c>
    </row>
    <row r="269" spans="2:2">
      <c r="B269" t="str">
        <v>W27-2-1002</v>
      </c>
    </row>
    <row r="270" spans="2:2">
      <c r="B270" t="str">
        <v>W27-2-1005</v>
      </c>
    </row>
    <row r="271" spans="2:2">
      <c r="B271" t="str">
        <v>W27-2-1006</v>
      </c>
    </row>
    <row r="272" spans="2:2">
      <c r="B272" t="str">
        <v>W27-2-1009</v>
      </c>
    </row>
    <row r="273" spans="2:2">
      <c r="B273" t="str">
        <v>W27-2-2001</v>
      </c>
    </row>
    <row r="274" spans="2:2">
      <c r="B274" t="str">
        <v>W27-2-2010</v>
      </c>
    </row>
    <row r="275" spans="2:2">
      <c r="B275" t="str">
        <v>W28-2-1017</v>
      </c>
    </row>
    <row r="276" spans="2:2">
      <c r="B276" t="str">
        <v>W28-2-1018</v>
      </c>
    </row>
    <row r="277" spans="2:2">
      <c r="B277" t="str">
        <v>W28-2-1019</v>
      </c>
    </row>
    <row r="278" spans="2:2">
      <c r="B278" t="str">
        <v>W28-2-1020</v>
      </c>
    </row>
    <row r="279" spans="2:2">
      <c r="B279" t="str">
        <v>W28-2-2017</v>
      </c>
    </row>
    <row r="280" spans="2:2">
      <c r="B280" t="str">
        <v>W28-2-2018</v>
      </c>
    </row>
    <row r="281" spans="2:2">
      <c r="B281" t="str">
        <v>W28-2-2019</v>
      </c>
    </row>
    <row r="282" spans="2:2">
      <c r="B282" t="str">
        <v>W28-2-2020</v>
      </c>
    </row>
    <row r="283" spans="2:2">
      <c r="B283" t="str">
        <v>W28-2-2021</v>
      </c>
    </row>
    <row r="284" spans="2:2">
      <c r="B284" t="str">
        <v>W28-2-2022</v>
      </c>
    </row>
  </sheetData>
  <autoFilter ref="A65:K65" xr:uid="{C9C68511-1F50-4F71-954F-03B3498C5CE9}"/>
  <mergeCells count="7">
    <mergeCell ref="G21:H21"/>
    <mergeCell ref="G18:H18"/>
    <mergeCell ref="G13:H13"/>
    <mergeCell ref="G14:H14"/>
    <mergeCell ref="G15:H15"/>
    <mergeCell ref="G16:H16"/>
    <mergeCell ref="G17:H17"/>
  </mergeCells>
  <conditionalFormatting sqref="B66:K66 B67:B155 C67:K246">
    <cfRule type="expression" dxfId="35" priority="7">
      <formula>OR(AND(OR($E66="In Review",$E66="Incomplete"),$K66&lt;&gt;"—",ISNUMBER($K66),$K66&gt;=22),AND($E66="Incomplete",$K66&lt;&gt;"—",ISNUMBER($K66),$K66&gt;=15))</formula>
    </cfRule>
    <cfRule type="expression" dxfId="34" priority="8">
      <formula>OR(AND($E66="In Review",$K66&lt;&gt;"—",ISNUMBER($K66),$K66&gt;=15,$K66&lt;22),AND($E66="Incomplete",OR($F66="Not Assigned",$F66="HOUSE, HOUSE"),$K66&lt;&gt;"—",ISNUMBER($K66),$K66&gt;=8))</formula>
    </cfRule>
    <cfRule type="expression" dxfId="33" priority="9">
      <formula>AND(OR($E66="In Review",$E66="Incomplete"),$K66&lt;&gt;"—",ISNUMBER($K66),$K66&gt;=8,$K66&lt;15)</formula>
    </cfRule>
  </conditionalFormatting>
  <printOptions horizontalCentered="1" verticalCentered="1"/>
  <pageMargins left="0" right="0" top="0" bottom="0" header="0" footer="0"/>
  <pageSetup scale="59" fitToHeight="0" orientation="landscape" r:id="rId1"/>
  <rowBreaks count="1" manualBreakCount="1">
    <brk id="62" max="16383" man="1"/>
  </rowBreaks>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2742DB-0A4D-4C06-8CC6-CEE3B76FD3F6}">
  <sheetPr>
    <tabColor rgb="FF002060"/>
  </sheetPr>
  <dimension ref="A1:H57"/>
  <sheetViews>
    <sheetView showGridLines="0" zoomScale="70" zoomScaleNormal="70" workbookViewId="0">
      <pane ySplit="5" topLeftCell="A11" activePane="bottomLeft" state="frozen"/>
      <selection pane="bottomLeft" activeCell="L19" sqref="L19"/>
    </sheetView>
  </sheetViews>
  <sheetFormatPr defaultRowHeight="14.4"/>
  <cols>
    <col min="1" max="1" width="4.33203125" customWidth="1"/>
    <col min="2" max="2" width="23.5546875" customWidth="1"/>
    <col min="3" max="3" width="63.5546875" customWidth="1"/>
    <col min="4" max="4" width="20" customWidth="1"/>
    <col min="5" max="5" width="16.44140625" customWidth="1"/>
    <col min="6" max="6" width="14.5546875" customWidth="1"/>
    <col min="7" max="7" width="54.5546875" customWidth="1"/>
    <col min="8" max="8" width="14.5546875" customWidth="1"/>
  </cols>
  <sheetData>
    <row r="1" spans="1:8" ht="23.4">
      <c r="B1" s="295" t="s">
        <v>783</v>
      </c>
      <c r="C1" s="108"/>
      <c r="D1" s="108"/>
      <c r="E1" s="108"/>
      <c r="F1" s="108"/>
      <c r="G1" s="108"/>
      <c r="H1" s="108"/>
    </row>
    <row r="2" spans="1:8">
      <c r="B2" s="308" t="s">
        <v>1266</v>
      </c>
      <c r="C2" s="109"/>
      <c r="D2" s="108"/>
      <c r="E2" s="108"/>
      <c r="F2" s="108"/>
      <c r="G2" s="108"/>
      <c r="H2" s="108"/>
    </row>
    <row r="3" spans="1:8">
      <c r="B3" s="309" t="s">
        <v>921</v>
      </c>
      <c r="C3" s="310">
        <f>Dashboard_1!C3</f>
        <v>32</v>
      </c>
      <c r="D3" s="311" t="s">
        <v>1267</v>
      </c>
      <c r="E3" s="108"/>
      <c r="F3" s="108"/>
      <c r="G3" s="108"/>
      <c r="H3" s="108"/>
    </row>
    <row r="4" spans="1:8">
      <c r="B4" s="108"/>
      <c r="C4" s="110"/>
      <c r="D4" s="108"/>
      <c r="E4" s="108"/>
      <c r="F4" s="108"/>
      <c r="G4" s="108"/>
      <c r="H4" s="108"/>
    </row>
    <row r="5" spans="1:8">
      <c r="B5" s="610" t="s">
        <v>1268</v>
      </c>
      <c r="C5" s="610" t="s">
        <v>1269</v>
      </c>
      <c r="D5" s="610" t="s">
        <v>1270</v>
      </c>
      <c r="E5" s="610" t="s">
        <v>1271</v>
      </c>
      <c r="F5" s="610" t="s">
        <v>929</v>
      </c>
      <c r="G5" s="610" t="s">
        <v>1272</v>
      </c>
      <c r="H5" s="610" t="s">
        <v>1273</v>
      </c>
    </row>
    <row r="6" spans="1:8">
      <c r="A6" s="101"/>
      <c r="B6" s="608" t="s">
        <v>1274</v>
      </c>
      <c r="C6" s="609"/>
      <c r="D6" s="609"/>
      <c r="E6" s="609"/>
      <c r="F6" s="609"/>
      <c r="G6" s="609"/>
      <c r="H6" s="609"/>
    </row>
    <row r="7" spans="1:8" ht="36">
      <c r="A7" s="30"/>
      <c r="B7" s="870" t="s">
        <v>1275</v>
      </c>
      <c r="C7" s="871" t="s">
        <v>1276</v>
      </c>
      <c r="D7" s="872" t="s">
        <v>1277</v>
      </c>
      <c r="E7" s="873">
        <v>46113</v>
      </c>
      <c r="F7" s="874" t="s">
        <v>1278</v>
      </c>
      <c r="G7" s="871" t="s">
        <v>1279</v>
      </c>
      <c r="H7" s="875" t="s">
        <v>1280</v>
      </c>
    </row>
    <row r="8" spans="1:8">
      <c r="A8" s="101"/>
      <c r="B8" s="876" t="s">
        <v>1281</v>
      </c>
      <c r="C8" s="877"/>
      <c r="D8" s="878"/>
      <c r="E8" s="878"/>
      <c r="F8" s="878"/>
      <c r="G8" s="877"/>
      <c r="H8" s="878"/>
    </row>
    <row r="9" spans="1:8" ht="24">
      <c r="A9" s="30"/>
      <c r="B9" s="882" t="s">
        <v>1282</v>
      </c>
      <c r="C9" s="883" t="s">
        <v>1283</v>
      </c>
      <c r="D9" s="884" t="s">
        <v>852</v>
      </c>
      <c r="E9" s="884" t="s">
        <v>1284</v>
      </c>
      <c r="F9" s="874" t="s">
        <v>1285</v>
      </c>
      <c r="G9" s="883" t="s">
        <v>1286</v>
      </c>
      <c r="H9" s="885" t="s">
        <v>1287</v>
      </c>
    </row>
    <row r="10" spans="1:8" ht="36">
      <c r="A10" s="109"/>
      <c r="B10" s="947" t="s">
        <v>1288</v>
      </c>
      <c r="C10" s="948" t="s">
        <v>1289</v>
      </c>
      <c r="D10" s="949" t="s">
        <v>1277</v>
      </c>
      <c r="E10" s="949" t="s">
        <v>1290</v>
      </c>
      <c r="F10" s="954" t="s">
        <v>1291</v>
      </c>
      <c r="G10" s="948" t="s">
        <v>1292</v>
      </c>
      <c r="H10" s="950" t="s">
        <v>1293</v>
      </c>
    </row>
    <row r="11" spans="1:8" ht="27.6">
      <c r="A11" s="101"/>
      <c r="B11" s="879" t="s">
        <v>1294</v>
      </c>
      <c r="C11" s="880"/>
      <c r="D11" s="881"/>
      <c r="E11" s="881"/>
      <c r="F11" s="881"/>
      <c r="G11" s="880"/>
      <c r="H11" s="881"/>
    </row>
    <row r="12" spans="1:8" ht="48">
      <c r="A12" s="30"/>
      <c r="B12" s="886" t="s">
        <v>1295</v>
      </c>
      <c r="C12" s="621" t="s">
        <v>1296</v>
      </c>
      <c r="D12" s="545" t="s">
        <v>1277</v>
      </c>
      <c r="E12" s="545" t="s">
        <v>1297</v>
      </c>
      <c r="F12" s="954" t="s">
        <v>1291</v>
      </c>
      <c r="G12" s="621" t="s">
        <v>1298</v>
      </c>
      <c r="H12" s="612" t="s">
        <v>1299</v>
      </c>
    </row>
    <row r="13" spans="1:8" ht="72">
      <c r="A13" s="30"/>
      <c r="B13" s="1035" t="s">
        <v>1300</v>
      </c>
      <c r="C13" s="1035" t="s">
        <v>1301</v>
      </c>
      <c r="D13" s="1036" t="s">
        <v>850</v>
      </c>
      <c r="E13" s="1036" t="s">
        <v>1302</v>
      </c>
      <c r="F13" s="1037" t="s">
        <v>1285</v>
      </c>
      <c r="G13" s="1035" t="s">
        <v>1303</v>
      </c>
      <c r="H13" s="1036" t="s">
        <v>1304</v>
      </c>
    </row>
    <row r="14" spans="1:8" ht="84">
      <c r="A14" s="30"/>
      <c r="B14" s="1041" t="s">
        <v>1305</v>
      </c>
      <c r="C14" s="1041" t="s">
        <v>1306</v>
      </c>
      <c r="D14" s="1042" t="s">
        <v>1277</v>
      </c>
      <c r="E14" s="1042" t="s">
        <v>1307</v>
      </c>
      <c r="F14" s="1038" t="s">
        <v>1285</v>
      </c>
      <c r="G14" s="1041" t="s">
        <v>1308</v>
      </c>
      <c r="H14" s="1042" t="s">
        <v>1304</v>
      </c>
    </row>
    <row r="15" spans="1:8" ht="36">
      <c r="A15" s="30"/>
      <c r="B15" s="1041" t="s">
        <v>1309</v>
      </c>
      <c r="C15" s="1041" t="s">
        <v>1310</v>
      </c>
      <c r="D15" s="1042" t="s">
        <v>850</v>
      </c>
      <c r="E15" s="1042" t="s">
        <v>1290</v>
      </c>
      <c r="F15" s="1038" t="s">
        <v>1278</v>
      </c>
      <c r="G15" s="1041" t="s">
        <v>1311</v>
      </c>
      <c r="H15" s="1042" t="s">
        <v>1304</v>
      </c>
    </row>
    <row r="16" spans="1:8">
      <c r="A16" s="101"/>
      <c r="B16" s="1039" t="s">
        <v>1312</v>
      </c>
      <c r="C16" s="1040"/>
      <c r="D16" s="611"/>
      <c r="E16" s="611"/>
      <c r="F16" s="611"/>
      <c r="G16" s="1040"/>
      <c r="H16" s="611"/>
    </row>
    <row r="17" spans="1:8" ht="36">
      <c r="A17" s="109"/>
      <c r="B17" s="951" t="s">
        <v>1313</v>
      </c>
      <c r="C17" s="952" t="s">
        <v>1314</v>
      </c>
      <c r="D17" s="953" t="s">
        <v>1315</v>
      </c>
      <c r="E17" s="953" t="s">
        <v>1302</v>
      </c>
      <c r="F17" s="954" t="s">
        <v>1291</v>
      </c>
      <c r="G17" s="952" t="s">
        <v>1316</v>
      </c>
      <c r="H17" s="955" t="s">
        <v>1280</v>
      </c>
    </row>
    <row r="18" spans="1:8" ht="24">
      <c r="A18" s="109"/>
      <c r="B18" s="956" t="s">
        <v>1275</v>
      </c>
      <c r="C18" s="957" t="s">
        <v>1317</v>
      </c>
      <c r="D18" s="958" t="s">
        <v>1277</v>
      </c>
      <c r="E18" s="959">
        <v>46114</v>
      </c>
      <c r="F18" s="868" t="s">
        <v>1291</v>
      </c>
      <c r="G18" s="957" t="s">
        <v>1318</v>
      </c>
      <c r="H18" s="960" t="s">
        <v>1280</v>
      </c>
    </row>
    <row r="19" spans="1:8" ht="48">
      <c r="A19" s="109"/>
      <c r="B19" s="961" t="s">
        <v>1288</v>
      </c>
      <c r="C19" s="627" t="s">
        <v>1319</v>
      </c>
      <c r="D19" s="615" t="s">
        <v>1277</v>
      </c>
      <c r="E19" s="615" t="s">
        <v>1290</v>
      </c>
      <c r="F19" s="616" t="s">
        <v>1320</v>
      </c>
      <c r="G19" s="627" t="s">
        <v>1321</v>
      </c>
      <c r="H19" s="617" t="s">
        <v>1299</v>
      </c>
    </row>
    <row r="20" spans="1:8" ht="36">
      <c r="B20" s="865" t="s">
        <v>1322</v>
      </c>
      <c r="C20" s="866" t="s">
        <v>1323</v>
      </c>
      <c r="D20" s="867" t="s">
        <v>1324</v>
      </c>
      <c r="E20" s="867" t="s">
        <v>1325</v>
      </c>
      <c r="F20" s="868" t="s">
        <v>1291</v>
      </c>
      <c r="G20" s="866"/>
      <c r="H20" s="869" t="s">
        <v>1326</v>
      </c>
    </row>
    <row r="21" spans="1:8" ht="24">
      <c r="B21" s="624" t="s">
        <v>1327</v>
      </c>
      <c r="C21" s="625" t="s">
        <v>1328</v>
      </c>
      <c r="D21" s="619" t="s">
        <v>1315</v>
      </c>
      <c r="E21" s="619" t="s">
        <v>1302</v>
      </c>
      <c r="F21" s="614" t="s">
        <v>1291</v>
      </c>
      <c r="G21" s="625"/>
      <c r="H21" s="620" t="s">
        <v>1329</v>
      </c>
    </row>
    <row r="22" spans="1:8" ht="24">
      <c r="B22" s="622" t="s">
        <v>1282</v>
      </c>
      <c r="C22" s="623" t="s">
        <v>1330</v>
      </c>
      <c r="D22" s="613" t="s">
        <v>1277</v>
      </c>
      <c r="E22" s="613" t="s">
        <v>1290</v>
      </c>
      <c r="F22" s="614" t="s">
        <v>1291</v>
      </c>
      <c r="G22" s="623" t="s">
        <v>1331</v>
      </c>
      <c r="H22" s="618" t="s">
        <v>1299</v>
      </c>
    </row>
    <row r="23" spans="1:8" ht="24">
      <c r="B23" s="624" t="s">
        <v>1288</v>
      </c>
      <c r="C23" s="625" t="s">
        <v>1332</v>
      </c>
      <c r="D23" s="619" t="s">
        <v>1333</v>
      </c>
      <c r="E23" s="619" t="s">
        <v>1290</v>
      </c>
      <c r="F23" s="614" t="s">
        <v>1291</v>
      </c>
      <c r="G23" s="625" t="s">
        <v>1334</v>
      </c>
      <c r="H23" s="620" t="s">
        <v>1299</v>
      </c>
    </row>
    <row r="24" spans="1:8" ht="36">
      <c r="B24" s="622" t="s">
        <v>1335</v>
      </c>
      <c r="C24" s="623" t="s">
        <v>1336</v>
      </c>
      <c r="D24" s="613" t="s">
        <v>1277</v>
      </c>
      <c r="E24" s="613" t="s">
        <v>1290</v>
      </c>
      <c r="F24" s="614" t="s">
        <v>1291</v>
      </c>
      <c r="G24" s="623" t="s">
        <v>1337</v>
      </c>
      <c r="H24" s="618" t="s">
        <v>1299</v>
      </c>
    </row>
    <row r="25" spans="1:8" ht="36">
      <c r="B25" s="624" t="s">
        <v>1288</v>
      </c>
      <c r="C25" s="625" t="s">
        <v>1338</v>
      </c>
      <c r="D25" s="619" t="s">
        <v>1277</v>
      </c>
      <c r="E25" s="619" t="s">
        <v>1290</v>
      </c>
      <c r="F25" s="614" t="s">
        <v>1291</v>
      </c>
      <c r="G25" s="625" t="s">
        <v>1339</v>
      </c>
      <c r="H25" s="620" t="s">
        <v>1299</v>
      </c>
    </row>
    <row r="26" spans="1:8" ht="24">
      <c r="B26" s="622" t="s">
        <v>1288</v>
      </c>
      <c r="C26" s="623" t="s">
        <v>1340</v>
      </c>
      <c r="D26" s="613" t="s">
        <v>1333</v>
      </c>
      <c r="E26" s="613" t="s">
        <v>1290</v>
      </c>
      <c r="F26" s="614" t="s">
        <v>1291</v>
      </c>
      <c r="G26" s="623" t="s">
        <v>1341</v>
      </c>
      <c r="H26" s="618" t="s">
        <v>1299</v>
      </c>
    </row>
    <row r="27" spans="1:8" ht="24">
      <c r="B27" s="624" t="s">
        <v>1342</v>
      </c>
      <c r="C27" s="625" t="s">
        <v>1343</v>
      </c>
      <c r="D27" s="619" t="s">
        <v>1315</v>
      </c>
      <c r="E27" s="619" t="s">
        <v>1290</v>
      </c>
      <c r="F27" s="614" t="s">
        <v>1291</v>
      </c>
      <c r="G27" s="625"/>
      <c r="H27" s="620" t="s">
        <v>1326</v>
      </c>
    </row>
    <row r="28" spans="1:8" ht="36">
      <c r="B28" s="622" t="s">
        <v>1344</v>
      </c>
      <c r="C28" s="623" t="s">
        <v>1345</v>
      </c>
      <c r="D28" s="613" t="s">
        <v>1277</v>
      </c>
      <c r="E28" s="613" t="s">
        <v>1346</v>
      </c>
      <c r="F28" s="614" t="s">
        <v>1291</v>
      </c>
      <c r="G28" s="623" t="s">
        <v>1347</v>
      </c>
      <c r="H28" s="618" t="s">
        <v>1299</v>
      </c>
    </row>
    <row r="29" spans="1:8" ht="36">
      <c r="B29" s="624" t="s">
        <v>1348</v>
      </c>
      <c r="C29" s="625" t="s">
        <v>1349</v>
      </c>
      <c r="D29" s="619" t="s">
        <v>1277</v>
      </c>
      <c r="E29" s="619" t="s">
        <v>1350</v>
      </c>
      <c r="F29" s="614" t="s">
        <v>1291</v>
      </c>
      <c r="G29" s="625" t="s">
        <v>1351</v>
      </c>
      <c r="H29" s="620" t="s">
        <v>1299</v>
      </c>
    </row>
    <row r="30" spans="1:8" ht="36">
      <c r="B30" s="622" t="s">
        <v>1352</v>
      </c>
      <c r="C30" s="623" t="s">
        <v>1353</v>
      </c>
      <c r="D30" s="613" t="s">
        <v>1354</v>
      </c>
      <c r="E30" s="613" t="s">
        <v>1355</v>
      </c>
      <c r="F30" s="614" t="s">
        <v>1291</v>
      </c>
      <c r="G30" s="623" t="s">
        <v>1356</v>
      </c>
      <c r="H30" s="618" t="s">
        <v>1299</v>
      </c>
    </row>
    <row r="31" spans="1:8" ht="36">
      <c r="B31" s="624" t="s">
        <v>1282</v>
      </c>
      <c r="C31" s="625" t="s">
        <v>1357</v>
      </c>
      <c r="D31" s="619" t="s">
        <v>1277</v>
      </c>
      <c r="E31" s="619" t="s">
        <v>1358</v>
      </c>
      <c r="F31" s="614" t="s">
        <v>1291</v>
      </c>
      <c r="G31" s="625" t="s">
        <v>1359</v>
      </c>
      <c r="H31" s="620" t="s">
        <v>1299</v>
      </c>
    </row>
    <row r="32" spans="1:8" ht="24">
      <c r="B32" s="622" t="s">
        <v>1282</v>
      </c>
      <c r="C32" s="623" t="s">
        <v>1360</v>
      </c>
      <c r="D32" s="613" t="s">
        <v>1277</v>
      </c>
      <c r="E32" s="613" t="s">
        <v>1284</v>
      </c>
      <c r="F32" s="614" t="s">
        <v>1291</v>
      </c>
      <c r="G32" s="623" t="s">
        <v>1361</v>
      </c>
      <c r="H32" s="618" t="s">
        <v>1299</v>
      </c>
    </row>
    <row r="33" spans="2:8" ht="24">
      <c r="B33" s="624" t="s">
        <v>1362</v>
      </c>
      <c r="C33" s="625" t="s">
        <v>1363</v>
      </c>
      <c r="D33" s="619" t="s">
        <v>1277</v>
      </c>
      <c r="E33" s="619" t="s">
        <v>1290</v>
      </c>
      <c r="F33" s="614" t="s">
        <v>1291</v>
      </c>
      <c r="G33" s="625" t="s">
        <v>1364</v>
      </c>
      <c r="H33" s="620" t="s">
        <v>1299</v>
      </c>
    </row>
    <row r="34" spans="2:8" ht="36">
      <c r="B34" s="622" t="s">
        <v>1365</v>
      </c>
      <c r="C34" s="623" t="s">
        <v>1366</v>
      </c>
      <c r="D34" s="613" t="s">
        <v>1277</v>
      </c>
      <c r="E34" s="613" t="s">
        <v>1290</v>
      </c>
      <c r="F34" s="614" t="s">
        <v>1291</v>
      </c>
      <c r="G34" s="623" t="s">
        <v>1367</v>
      </c>
      <c r="H34" s="618" t="s">
        <v>1299</v>
      </c>
    </row>
    <row r="35" spans="2:8" ht="36">
      <c r="B35" s="624" t="s">
        <v>1344</v>
      </c>
      <c r="C35" s="625" t="s">
        <v>1368</v>
      </c>
      <c r="D35" s="619" t="s">
        <v>1277</v>
      </c>
      <c r="E35" s="619" t="s">
        <v>1302</v>
      </c>
      <c r="F35" s="614" t="s">
        <v>1291</v>
      </c>
      <c r="G35" s="625" t="s">
        <v>1369</v>
      </c>
      <c r="H35" s="620" t="s">
        <v>1287</v>
      </c>
    </row>
    <row r="36" spans="2:8" ht="36">
      <c r="B36" s="626" t="s">
        <v>1288</v>
      </c>
      <c r="C36" s="627" t="s">
        <v>1370</v>
      </c>
      <c r="D36" s="615" t="s">
        <v>1277</v>
      </c>
      <c r="E36" s="615" t="s">
        <v>1290</v>
      </c>
      <c r="F36" s="616" t="s">
        <v>1291</v>
      </c>
      <c r="G36" s="627" t="s">
        <v>1371</v>
      </c>
      <c r="H36" s="617" t="s">
        <v>1299</v>
      </c>
    </row>
    <row r="45" spans="2:8">
      <c r="B45" s="112"/>
      <c r="C45" s="112"/>
      <c r="G45" s="112"/>
    </row>
    <row r="46" spans="2:8">
      <c r="B46" s="112"/>
      <c r="C46" s="112"/>
      <c r="G46" s="112"/>
    </row>
    <row r="47" spans="2:8">
      <c r="B47" s="112"/>
      <c r="C47" s="112"/>
      <c r="G47" s="112"/>
    </row>
    <row r="48" spans="2:8">
      <c r="B48" s="112"/>
      <c r="C48" s="112"/>
      <c r="G48" s="112"/>
    </row>
    <row r="49" spans="2:7">
      <c r="B49" s="112"/>
      <c r="C49" s="112"/>
      <c r="G49" s="112"/>
    </row>
    <row r="50" spans="2:7">
      <c r="B50" s="112"/>
      <c r="C50" s="112"/>
      <c r="G50" s="112"/>
    </row>
    <row r="51" spans="2:7">
      <c r="B51" s="112"/>
      <c r="C51" s="112"/>
      <c r="G51" s="112"/>
    </row>
    <row r="52" spans="2:7">
      <c r="B52" s="112"/>
      <c r="C52" s="112"/>
      <c r="G52" s="112"/>
    </row>
    <row r="53" spans="2:7">
      <c r="B53" s="112"/>
      <c r="C53" s="112"/>
      <c r="G53" s="112"/>
    </row>
    <row r="54" spans="2:7">
      <c r="B54" s="112"/>
      <c r="C54" s="112"/>
      <c r="G54" s="112"/>
    </row>
    <row r="55" spans="2:7">
      <c r="B55" s="112"/>
      <c r="C55" s="112"/>
      <c r="G55" s="112"/>
    </row>
    <row r="56" spans="2:7">
      <c r="B56" s="112"/>
      <c r="C56" s="112"/>
      <c r="G56" s="112"/>
    </row>
    <row r="57" spans="2:7">
      <c r="B57" s="112"/>
      <c r="C57" s="112"/>
      <c r="G57" s="112"/>
    </row>
  </sheetData>
  <dataValidations count="1">
    <dataValidation type="list" allowBlank="1" showInputMessage="1" showErrorMessage="1" sqref="F45:F57" xr:uid="{904FAEC3-11C8-438B-8602-027DC1617D55}">
      <formula1>"Open,In Progress,Complete,Blocked"</formula1>
    </dataValidation>
  </dataValidations>
  <pageMargins left="0.7" right="0.7" top="0.75" bottom="0.75" header="0.3" footer="0.3"/>
  <pageSetup scale="47" fitToWidth="0" fitToHeight="0" orientation="landscape" r:id="rId1"/>
  <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7169AC-D9D1-44CA-B728-294D863CA459}">
  <sheetPr>
    <tabColor rgb="FF002060"/>
  </sheetPr>
  <dimension ref="A1:M71"/>
  <sheetViews>
    <sheetView showGridLines="0" zoomScaleNormal="100" workbookViewId="0">
      <pane ySplit="3" topLeftCell="A4" activePane="bottomLeft" state="frozen"/>
      <selection pane="bottomLeft" activeCell="C21" sqref="C21"/>
    </sheetView>
  </sheetViews>
  <sheetFormatPr defaultRowHeight="14.4"/>
  <cols>
    <col min="1" max="1" width="46.44140625" customWidth="1"/>
    <col min="2" max="3" width="16.44140625" customWidth="1"/>
    <col min="4" max="4" width="36.44140625" customWidth="1"/>
    <col min="5" max="5" width="16.44140625" customWidth="1"/>
    <col min="6" max="6" width="12.6640625" customWidth="1"/>
    <col min="7" max="7" width="9.44140625" bestFit="1" customWidth="1"/>
  </cols>
  <sheetData>
    <row r="1" spans="1:13" ht="23.4">
      <c r="A1" s="650" t="s">
        <v>783</v>
      </c>
      <c r="B1" s="651"/>
      <c r="C1" s="651"/>
      <c r="D1" s="651"/>
      <c r="E1" s="651"/>
      <c r="F1" s="651"/>
      <c r="G1" s="651"/>
      <c r="H1" s="651"/>
      <c r="I1" s="651"/>
      <c r="J1" s="651"/>
      <c r="K1" s="651"/>
      <c r="L1" s="651"/>
      <c r="M1" s="651"/>
    </row>
    <row r="2" spans="1:13">
      <c r="A2" s="652" t="s">
        <v>1372</v>
      </c>
      <c r="B2" s="651"/>
      <c r="C2" s="651"/>
      <c r="D2" s="651"/>
      <c r="E2" s="651"/>
      <c r="F2" s="651"/>
      <c r="G2" s="651"/>
      <c r="H2" s="651"/>
      <c r="I2" s="651"/>
      <c r="J2" s="651"/>
      <c r="K2" s="651"/>
      <c r="L2" s="651"/>
      <c r="M2" s="651"/>
    </row>
    <row r="3" spans="1:13">
      <c r="A3" s="653" t="s">
        <v>1088</v>
      </c>
      <c r="B3" s="654">
        <f>App_Pipeline_Intel_4!C3</f>
        <v>46244</v>
      </c>
      <c r="C3" s="653" t="s">
        <v>1373</v>
      </c>
      <c r="D3" s="655" t="s">
        <v>1374</v>
      </c>
      <c r="E3" s="651"/>
      <c r="F3" s="651"/>
      <c r="G3" s="651"/>
      <c r="H3" s="651"/>
      <c r="I3" s="651"/>
      <c r="J3" s="651"/>
      <c r="K3" s="651"/>
      <c r="L3" s="651"/>
      <c r="M3" s="651"/>
    </row>
    <row r="4" spans="1:13" ht="15" thickBot="1">
      <c r="A4" s="300" t="s">
        <v>1375</v>
      </c>
      <c r="B4" s="656"/>
      <c r="C4" s="656"/>
      <c r="D4" s="656"/>
      <c r="E4" s="656"/>
      <c r="F4" s="656"/>
      <c r="G4" s="656"/>
      <c r="H4" s="651"/>
      <c r="I4" s="651"/>
      <c r="J4" s="651"/>
      <c r="K4" s="651"/>
      <c r="L4" s="651"/>
      <c r="M4" s="651"/>
    </row>
    <row r="5" spans="1:13">
      <c r="A5" s="657" t="s">
        <v>1376</v>
      </c>
      <c r="B5" s="305" t="s">
        <v>1377</v>
      </c>
      <c r="C5" s="305" t="s">
        <v>1378</v>
      </c>
      <c r="D5" s="657" t="s">
        <v>1379</v>
      </c>
      <c r="E5" s="305" t="s">
        <v>1188</v>
      </c>
      <c r="F5" s="305" t="s">
        <v>1199</v>
      </c>
      <c r="G5" s="305" t="s">
        <v>1201</v>
      </c>
      <c r="H5" s="651"/>
      <c r="I5" s="651"/>
      <c r="J5" s="651"/>
      <c r="K5" s="651"/>
      <c r="L5" s="651"/>
      <c r="M5" s="651"/>
    </row>
    <row r="6" spans="1:13">
      <c r="A6" s="658" t="s">
        <v>1380</v>
      </c>
      <c r="B6" s="659">
        <f>App_Pipeline_Intel_4!C5</f>
        <v>219</v>
      </c>
      <c r="C6" s="659"/>
      <c r="D6" s="660" t="s">
        <v>1203</v>
      </c>
      <c r="E6" s="659">
        <f>App_Pipeline_Intel_4!C22</f>
        <v>18</v>
      </c>
      <c r="F6" s="659">
        <f>App_Pipeline_Intel_4!D22</f>
        <v>18</v>
      </c>
      <c r="G6" s="661" t="s">
        <v>1204</v>
      </c>
      <c r="H6" s="651"/>
      <c r="I6" s="651"/>
      <c r="J6" s="651"/>
      <c r="K6" s="651"/>
      <c r="L6" s="651"/>
      <c r="M6" s="651"/>
    </row>
    <row r="7" spans="1:13">
      <c r="A7" s="662" t="s">
        <v>943</v>
      </c>
      <c r="B7" s="663">
        <f>App_Pipeline_Intel_4!C6</f>
        <v>48</v>
      </c>
      <c r="C7" s="664">
        <f>B7/B6</f>
        <v>0.21917808219178081</v>
      </c>
      <c r="D7" s="662" t="s">
        <v>1205</v>
      </c>
      <c r="E7" s="663">
        <f>App_Pipeline_Intel_4!C23</f>
        <v>37</v>
      </c>
      <c r="F7" s="663">
        <f>App_Pipeline_Intel_4!D23</f>
        <v>43</v>
      </c>
      <c r="G7" s="665" t="s">
        <v>1206</v>
      </c>
      <c r="H7" s="651"/>
      <c r="I7" s="651"/>
      <c r="J7" s="651"/>
      <c r="K7" s="651"/>
      <c r="L7" s="651"/>
      <c r="M7" s="651"/>
    </row>
    <row r="8" spans="1:13">
      <c r="A8" s="666" t="s">
        <v>945</v>
      </c>
      <c r="B8" s="667">
        <f>App_Pipeline_Intel_4!C7</f>
        <v>62</v>
      </c>
      <c r="C8" s="665">
        <f>B8/B6</f>
        <v>0.28310502283105021</v>
      </c>
      <c r="D8" s="662" t="s">
        <v>1207</v>
      </c>
      <c r="E8" s="663">
        <f>App_Pipeline_Intel_4!C24</f>
        <v>-27</v>
      </c>
      <c r="F8" s="663">
        <f>App_Pipeline_Intel_4!D24</f>
        <v>-27</v>
      </c>
      <c r="G8" s="668" t="s">
        <v>1208</v>
      </c>
      <c r="H8" s="651"/>
      <c r="I8" s="651"/>
      <c r="J8" s="651"/>
      <c r="K8" s="651"/>
      <c r="L8" s="651"/>
      <c r="M8" s="651"/>
    </row>
    <row r="9" spans="1:13">
      <c r="A9" s="669" t="s">
        <v>944</v>
      </c>
      <c r="B9" s="670">
        <f>App_Pipeline_Intel_4!C8</f>
        <v>58</v>
      </c>
      <c r="C9" s="671">
        <f>B9/B6</f>
        <v>0.26484018264840181</v>
      </c>
      <c r="D9" s="662" t="s">
        <v>1210</v>
      </c>
      <c r="E9" s="663">
        <f>App_Pipeline_Intel_4!C25</f>
        <v>26</v>
      </c>
      <c r="F9" s="663">
        <f>App_Pipeline_Intel_4!D25</f>
        <v>26</v>
      </c>
      <c r="G9" s="391" t="s">
        <v>1211</v>
      </c>
      <c r="H9" s="651"/>
      <c r="I9" s="651"/>
      <c r="J9" s="651"/>
      <c r="K9" s="651"/>
      <c r="L9" s="651"/>
      <c r="M9" s="651"/>
    </row>
    <row r="10" spans="1:13">
      <c r="A10" s="662" t="s">
        <v>1182</v>
      </c>
      <c r="B10" s="663">
        <f>App_Pipeline_Intel_4!C9</f>
        <v>0</v>
      </c>
      <c r="C10" s="664">
        <f>B10/B6</f>
        <v>0</v>
      </c>
      <c r="D10" s="662" t="s">
        <v>1212</v>
      </c>
      <c r="E10" s="663">
        <f>App_Pipeline_Intel_4!C26</f>
        <v>8</v>
      </c>
      <c r="F10" s="663">
        <f>App_Pipeline_Intel_4!D26</f>
        <v>17</v>
      </c>
      <c r="G10" s="668" t="s">
        <v>1208</v>
      </c>
      <c r="H10" s="651"/>
      <c r="I10" s="651"/>
      <c r="J10" s="651"/>
      <c r="K10" s="651"/>
      <c r="L10" s="651"/>
      <c r="M10" s="651"/>
    </row>
    <row r="11" spans="1:13">
      <c r="A11" s="672" t="s">
        <v>1381</v>
      </c>
      <c r="B11" s="664">
        <f>E6/B6</f>
        <v>8.2191780821917804E-2</v>
      </c>
      <c r="C11" s="662"/>
      <c r="D11" s="672" t="s">
        <v>1382</v>
      </c>
      <c r="E11" s="663">
        <f>SUM(E6:E10)</f>
        <v>62</v>
      </c>
      <c r="F11" s="663">
        <f>SUM(F6:F10)</f>
        <v>77</v>
      </c>
      <c r="G11" s="393"/>
      <c r="H11" s="651"/>
      <c r="I11" s="651"/>
      <c r="J11" s="651"/>
      <c r="K11" s="651"/>
      <c r="L11" s="651"/>
      <c r="M11" s="651"/>
    </row>
    <row r="12" spans="1:13">
      <c r="A12" s="672" t="s">
        <v>1383</v>
      </c>
      <c r="B12" s="664">
        <f>B8/B6</f>
        <v>0.28310502283105021</v>
      </c>
      <c r="C12" s="662"/>
      <c r="D12" s="669" t="s">
        <v>946</v>
      </c>
      <c r="E12" s="671">
        <f>B9/B6</f>
        <v>0.26484018264840181</v>
      </c>
      <c r="F12" s="662"/>
      <c r="G12" s="393"/>
      <c r="H12" s="651"/>
      <c r="I12" s="651"/>
      <c r="J12" s="651"/>
      <c r="K12" s="651"/>
      <c r="L12" s="651"/>
      <c r="M12" s="651"/>
    </row>
    <row r="13" spans="1:13">
      <c r="A13" s="673" t="s">
        <v>1384</v>
      </c>
      <c r="B13" s="674">
        <f>E6/(B6-B7+B9)</f>
        <v>7.8602620087336247E-2</v>
      </c>
      <c r="C13" s="675"/>
      <c r="D13" s="676" t="s">
        <v>1385</v>
      </c>
      <c r="E13" s="677">
        <f>COUNTIFS(Application_Status_Feb!S2:S561,"&gt;0",Application_Status_Feb!J2:J561,"&gt;="&amp;DATE(2026,1,1))+COUNTIFS(Application_Status_Mar!S2:S2000,"&gt;0",Application_Status_Mar!J2:J2000,"&gt;="&amp;DATE(2026,1,1))+COUNTIFS(Application_Status_Apr!S2:S3000,"&gt;0",Application_Status_Apr!J2:J3000,"&gt;="&amp;DATE(2026,1,1))+COUNTIFS(Application_Status_May!S2:S3000,"&gt;0",Application_Status_May!J2:J3000,"&gt;="&amp;DATE(2026,1,1))</f>
        <v>36</v>
      </c>
      <c r="F13" s="678" t="s">
        <v>1386</v>
      </c>
      <c r="G13" s="392"/>
      <c r="H13" s="651"/>
      <c r="I13" s="651"/>
      <c r="J13" s="651"/>
      <c r="K13" s="651"/>
      <c r="L13" s="651"/>
      <c r="M13" s="651"/>
    </row>
    <row r="14" spans="1:13" ht="15" thickBot="1">
      <c r="A14" s="300" t="s">
        <v>1387</v>
      </c>
      <c r="B14" s="656"/>
      <c r="C14" s="656"/>
      <c r="D14" s="656"/>
      <c r="E14" s="656"/>
      <c r="F14" s="656"/>
      <c r="G14" s="148"/>
      <c r="H14" s="651"/>
      <c r="I14" s="651"/>
      <c r="J14" s="651"/>
      <c r="K14" s="651"/>
      <c r="L14" s="651"/>
      <c r="M14" s="651"/>
    </row>
    <row r="15" spans="1:13">
      <c r="A15" s="657" t="s">
        <v>1388</v>
      </c>
      <c r="B15" s="305" t="s">
        <v>1389</v>
      </c>
      <c r="C15" s="305" t="s">
        <v>1390</v>
      </c>
      <c r="D15" s="305" t="s">
        <v>1391</v>
      </c>
      <c r="E15" s="657" t="s">
        <v>1392</v>
      </c>
      <c r="F15" s="657"/>
      <c r="G15" s="94"/>
      <c r="H15" s="651"/>
      <c r="I15" s="651"/>
      <c r="J15" s="651"/>
      <c r="K15" s="651"/>
      <c r="L15" s="651"/>
      <c r="M15" s="651"/>
    </row>
    <row r="16" spans="1:13">
      <c r="A16" s="658" t="s">
        <v>1393</v>
      </c>
      <c r="B16" s="971">
        <f>Delinquency_Detail_3!C7</f>
        <v>36</v>
      </c>
      <c r="C16" s="679">
        <f>Delinquency_Detail_3!H7</f>
        <v>395614.87999999995</v>
      </c>
      <c r="D16" s="679">
        <f t="shared" ref="D16:D22" si="0">IF(B16&gt;0,C16/B16,0)</f>
        <v>10989.302222222221</v>
      </c>
      <c r="E16" s="655" t="s">
        <v>1394</v>
      </c>
      <c r="F16" s="651"/>
      <c r="G16" s="30"/>
      <c r="H16" s="651"/>
      <c r="I16" s="651"/>
      <c r="J16" s="651"/>
      <c r="K16" s="651"/>
      <c r="L16" s="651"/>
      <c r="M16" s="651"/>
    </row>
    <row r="17" spans="1:13">
      <c r="A17" s="672" t="s">
        <v>1395</v>
      </c>
      <c r="B17" s="972">
        <f>Delinquency_Detail_3!C8</f>
        <v>20</v>
      </c>
      <c r="C17" s="680">
        <f>Delinquency_Detail_3!H8</f>
        <v>108529.98999999999</v>
      </c>
      <c r="D17" s="680">
        <f t="shared" si="0"/>
        <v>5426.4994999999999</v>
      </c>
      <c r="E17" s="681" t="s">
        <v>1396</v>
      </c>
      <c r="F17" s="662"/>
      <c r="G17" s="393"/>
      <c r="H17" s="651"/>
      <c r="I17" s="651"/>
      <c r="J17" s="651"/>
      <c r="K17" s="651"/>
      <c r="L17" s="651"/>
      <c r="M17" s="651"/>
    </row>
    <row r="18" spans="1:13">
      <c r="A18" s="672" t="s">
        <v>1397</v>
      </c>
      <c r="B18" s="663">
        <f>Write_Off_Recon!J8</f>
        <v>5</v>
      </c>
      <c r="C18" s="680">
        <f>Write_Off_Recon!K8</f>
        <v>22629.55</v>
      </c>
      <c r="D18" s="680">
        <f t="shared" si="0"/>
        <v>4525.91</v>
      </c>
      <c r="E18" s="681" t="s">
        <v>1398</v>
      </c>
      <c r="F18" s="662"/>
      <c r="G18" s="393"/>
      <c r="H18" s="651"/>
      <c r="I18" s="651"/>
      <c r="J18" s="651"/>
      <c r="K18" s="651"/>
      <c r="L18" s="651"/>
      <c r="M18" s="651"/>
    </row>
    <row r="19" spans="1:13">
      <c r="A19" s="672" t="s">
        <v>1399</v>
      </c>
      <c r="B19" s="663">
        <f>Write_Off_Recon!B6</f>
        <v>33</v>
      </c>
      <c r="C19" s="680">
        <f>Write_Off_Recon!B7</f>
        <v>217715.10000000003</v>
      </c>
      <c r="D19" s="680">
        <f t="shared" si="0"/>
        <v>6597.4272727272737</v>
      </c>
      <c r="E19" s="681" t="s">
        <v>1400</v>
      </c>
      <c r="F19" s="662"/>
      <c r="G19" s="393"/>
      <c r="H19" s="651"/>
      <c r="I19" s="651"/>
      <c r="J19" s="651"/>
      <c r="K19" s="651"/>
      <c r="L19" s="651"/>
      <c r="M19" s="651"/>
    </row>
    <row r="20" spans="1:13">
      <c r="A20" s="662" t="s">
        <v>1401</v>
      </c>
      <c r="B20" s="663">
        <f>Write_Off_Recon!B10</f>
        <v>15</v>
      </c>
      <c r="C20" s="680">
        <f>Write_Off_Recon!D10</f>
        <v>80688.959999999992</v>
      </c>
      <c r="D20" s="680">
        <f t="shared" si="0"/>
        <v>5379.2639999999992</v>
      </c>
      <c r="E20" s="681" t="s">
        <v>1402</v>
      </c>
      <c r="F20" s="662"/>
      <c r="G20" s="393"/>
      <c r="H20" s="651"/>
      <c r="I20" s="651"/>
      <c r="J20" s="651"/>
      <c r="K20" s="651"/>
      <c r="L20" s="651"/>
      <c r="M20" s="651"/>
    </row>
    <row r="21" spans="1:13">
      <c r="A21" s="672" t="s">
        <v>1403</v>
      </c>
      <c r="B21" s="972">
        <f>Delinquency_Detail_3!C6</f>
        <v>181</v>
      </c>
      <c r="C21" s="680">
        <f>Delinquency_Detail_3!C5</f>
        <v>678540.74000000046</v>
      </c>
      <c r="D21" s="680">
        <f t="shared" si="0"/>
        <v>3748.8438674033173</v>
      </c>
      <c r="E21" s="681" t="s">
        <v>1404</v>
      </c>
      <c r="F21" s="662"/>
      <c r="G21" s="393"/>
      <c r="H21" s="651"/>
      <c r="I21" s="651"/>
      <c r="J21" s="651"/>
      <c r="K21" s="651"/>
      <c r="L21" s="651"/>
      <c r="M21" s="651"/>
    </row>
    <row r="22" spans="1:13">
      <c r="A22" s="682" t="s">
        <v>1405</v>
      </c>
      <c r="B22" s="683">
        <f>COUNTIFS('Delinq Data'!C51:C500,"Current*",'Delinq Data'!D51:D500,"&gt;="&amp;1500)</f>
        <v>9</v>
      </c>
      <c r="C22" s="684">
        <f>SUMIFS('Delinq Data'!D51:D500, 'Delinq Data'!C51:C500, "Current*", 'Delinq Data'!D51:D500, "&gt;=1500")</f>
        <v>49735</v>
      </c>
      <c r="D22" s="684">
        <f t="shared" si="0"/>
        <v>5526.1111111111113</v>
      </c>
      <c r="E22" s="394" t="s">
        <v>1406</v>
      </c>
      <c r="F22" s="682"/>
      <c r="G22" s="395"/>
      <c r="H22" s="651"/>
      <c r="I22" s="651"/>
      <c r="J22" s="651"/>
      <c r="K22" s="651"/>
      <c r="L22" s="651"/>
      <c r="M22" s="651"/>
    </row>
    <row r="23" spans="1:13" ht="15" thickBot="1">
      <c r="A23" s="685" t="s">
        <v>1407</v>
      </c>
      <c r="B23" s="685"/>
      <c r="C23" s="685"/>
      <c r="D23" s="686">
        <f>IF((B16+B17+B19)&gt;0, (C16+C17+C19)/(B16+B17+B19), 0)</f>
        <v>8110.7861797752803</v>
      </c>
      <c r="E23" s="396" t="s">
        <v>1408</v>
      </c>
      <c r="F23" s="396"/>
      <c r="G23" s="396"/>
      <c r="H23" s="651"/>
      <c r="I23" s="651"/>
      <c r="J23" s="651"/>
      <c r="K23" s="651"/>
      <c r="L23" s="651"/>
      <c r="M23" s="651"/>
    </row>
    <row r="24" spans="1:13">
      <c r="A24" s="398" t="s">
        <v>1409</v>
      </c>
      <c r="B24" s="687"/>
      <c r="C24" s="687"/>
      <c r="D24" s="687"/>
      <c r="E24" s="687"/>
      <c r="F24" s="687"/>
      <c r="G24" s="399"/>
      <c r="H24" s="651"/>
      <c r="I24" s="651"/>
      <c r="J24" s="651"/>
      <c r="K24" s="651"/>
      <c r="L24" s="651"/>
      <c r="M24" s="651"/>
    </row>
    <row r="25" spans="1:13">
      <c r="A25" s="675" t="s">
        <v>1410</v>
      </c>
      <c r="B25" s="677">
        <f>COUNTA(Evictions_RSI!A2:A62)</f>
        <v>61</v>
      </c>
      <c r="C25" s="688">
        <f>Delinquency_Detail_3!C9</f>
        <v>814.34</v>
      </c>
      <c r="D25" s="688">
        <f>IF(B25&gt;0,C25/B25,0)</f>
        <v>13.34983606557377</v>
      </c>
      <c r="E25" s="678" t="s">
        <v>1411</v>
      </c>
      <c r="F25" s="675"/>
      <c r="G25" s="392"/>
      <c r="H25" s="651"/>
      <c r="I25" s="651"/>
      <c r="J25" s="651"/>
      <c r="K25" s="651"/>
      <c r="L25" s="651"/>
      <c r="M25" s="651"/>
    </row>
    <row r="26" spans="1:13" ht="15" thickBot="1">
      <c r="A26" s="689" t="s">
        <v>1412</v>
      </c>
      <c r="B26" s="690"/>
      <c r="C26" s="690"/>
      <c r="D26" s="690"/>
      <c r="E26" s="690"/>
      <c r="F26" s="690"/>
      <c r="G26" s="250"/>
      <c r="H26" s="651"/>
      <c r="I26" s="651"/>
      <c r="J26" s="651"/>
      <c r="K26" s="651"/>
      <c r="L26" s="651"/>
      <c r="M26" s="651"/>
    </row>
    <row r="27" spans="1:13">
      <c r="A27" s="691" t="s">
        <v>1413</v>
      </c>
      <c r="B27" s="692"/>
      <c r="C27" s="692"/>
      <c r="D27" s="692"/>
      <c r="E27" s="692"/>
      <c r="F27" s="692"/>
      <c r="G27" s="397"/>
      <c r="H27" s="651"/>
      <c r="I27" s="651"/>
      <c r="J27" s="651"/>
      <c r="K27" s="651"/>
      <c r="L27" s="651"/>
      <c r="M27" s="651"/>
    </row>
    <row r="28" spans="1:13">
      <c r="A28" s="657" t="s">
        <v>1414</v>
      </c>
      <c r="B28" s="305" t="s">
        <v>1377</v>
      </c>
      <c r="C28" s="305" t="s">
        <v>1415</v>
      </c>
      <c r="D28" s="305" t="s">
        <v>1416</v>
      </c>
      <c r="E28" s="657" t="s">
        <v>1417</v>
      </c>
      <c r="F28" s="693"/>
      <c r="G28" s="94"/>
      <c r="H28" s="651"/>
      <c r="I28" s="651"/>
      <c r="J28" s="651"/>
      <c r="K28" s="651"/>
      <c r="L28" s="651"/>
      <c r="M28" s="651"/>
    </row>
    <row r="29" spans="1:13">
      <c r="A29" s="660" t="s">
        <v>1418</v>
      </c>
      <c r="B29" s="659">
        <f>E13</f>
        <v>36</v>
      </c>
      <c r="C29" s="679">
        <f>D23</f>
        <v>8110.7861797752803</v>
      </c>
      <c r="D29" s="679">
        <f>B29*C29</f>
        <v>291988.30247191008</v>
      </c>
      <c r="E29" s="655" t="s">
        <v>1419</v>
      </c>
      <c r="F29" s="651"/>
      <c r="G29" s="30"/>
      <c r="H29" s="651"/>
      <c r="I29" s="651"/>
      <c r="J29" s="651"/>
      <c r="K29" s="651"/>
      <c r="L29" s="651"/>
      <c r="M29" s="651"/>
    </row>
    <row r="30" spans="1:13">
      <c r="A30" s="662" t="s">
        <v>1420</v>
      </c>
      <c r="B30" s="663">
        <f>E7</f>
        <v>37</v>
      </c>
      <c r="C30" s="680">
        <f>D23*0.25</f>
        <v>2027.6965449438201</v>
      </c>
      <c r="D30" s="680">
        <f>B30*C30</f>
        <v>75024.772162921348</v>
      </c>
      <c r="E30" s="681" t="s">
        <v>1421</v>
      </c>
      <c r="F30" s="662"/>
      <c r="G30" s="393"/>
      <c r="H30" s="651"/>
      <c r="I30" s="651"/>
      <c r="J30" s="651"/>
      <c r="K30" s="651"/>
      <c r="L30" s="651"/>
      <c r="M30" s="651"/>
    </row>
    <row r="31" spans="1:13">
      <c r="A31" s="662" t="s">
        <v>1207</v>
      </c>
      <c r="B31" s="663">
        <f>E8</f>
        <v>-27</v>
      </c>
      <c r="C31" s="680">
        <f>D23*0.15</f>
        <v>1216.6179269662921</v>
      </c>
      <c r="D31" s="680">
        <f>B31*C31</f>
        <v>-32848.684028089883</v>
      </c>
      <c r="E31" s="681" t="s">
        <v>1422</v>
      </c>
      <c r="F31" s="662"/>
      <c r="G31" s="393"/>
      <c r="H31" s="651"/>
      <c r="I31" s="651"/>
      <c r="J31" s="651"/>
      <c r="K31" s="651"/>
      <c r="L31" s="651"/>
      <c r="M31" s="651"/>
    </row>
    <row r="32" spans="1:13">
      <c r="A32" s="662" t="s">
        <v>1210</v>
      </c>
      <c r="B32" s="663">
        <f>E9</f>
        <v>26</v>
      </c>
      <c r="C32" s="680">
        <f>D23*0.5</f>
        <v>4055.3930898876401</v>
      </c>
      <c r="D32" s="680">
        <f>B32*C32</f>
        <v>105440.22033707864</v>
      </c>
      <c r="E32" s="681" t="s">
        <v>1423</v>
      </c>
      <c r="F32" s="662"/>
      <c r="G32" s="393"/>
      <c r="H32" s="651"/>
      <c r="I32" s="651"/>
      <c r="J32" s="651"/>
      <c r="K32" s="651"/>
      <c r="L32" s="651"/>
      <c r="M32" s="651"/>
    </row>
    <row r="33" spans="1:13">
      <c r="A33" s="675" t="s">
        <v>1212</v>
      </c>
      <c r="B33" s="677">
        <f>E10</f>
        <v>8</v>
      </c>
      <c r="C33" s="688">
        <f>D23*0.1</f>
        <v>811.0786179775281</v>
      </c>
      <c r="D33" s="688">
        <f>B33*C33</f>
        <v>6488.6289438202248</v>
      </c>
      <c r="E33" s="678" t="s">
        <v>1424</v>
      </c>
      <c r="F33" s="675"/>
      <c r="G33" s="392"/>
      <c r="H33" s="651"/>
      <c r="I33" s="651"/>
      <c r="J33" s="651"/>
      <c r="K33" s="651"/>
      <c r="L33" s="651"/>
      <c r="M33" s="651"/>
    </row>
    <row r="34" spans="1:13">
      <c r="A34" s="657" t="s">
        <v>1425</v>
      </c>
      <c r="B34" s="305">
        <f>SUM(B29:B33)</f>
        <v>80</v>
      </c>
      <c r="C34" s="305"/>
      <c r="D34" s="694">
        <f>SUM(D29:D33)</f>
        <v>446093.23988764046</v>
      </c>
      <c r="E34" s="657"/>
      <c r="F34" s="657"/>
      <c r="G34" s="400"/>
      <c r="H34" s="651"/>
      <c r="I34" s="651"/>
      <c r="J34" s="651"/>
      <c r="K34" s="651"/>
      <c r="L34" s="651"/>
      <c r="M34" s="651"/>
    </row>
    <row r="35" spans="1:13">
      <c r="A35" s="658" t="s">
        <v>1426</v>
      </c>
      <c r="B35" s="659">
        <f>B29</f>
        <v>36</v>
      </c>
      <c r="C35" s="679">
        <f>C29</f>
        <v>8110.7861797752803</v>
      </c>
      <c r="D35" s="679">
        <f>D29</f>
        <v>291988.30247191008</v>
      </c>
      <c r="E35" s="655" t="s">
        <v>1427</v>
      </c>
      <c r="F35" s="651"/>
      <c r="G35" s="30"/>
      <c r="H35" s="651"/>
      <c r="I35" s="651"/>
      <c r="J35" s="651"/>
      <c r="K35" s="651"/>
      <c r="L35" s="651"/>
      <c r="M35" s="651"/>
    </row>
    <row r="36" spans="1:13">
      <c r="A36" s="672" t="s">
        <v>1428</v>
      </c>
      <c r="B36" s="663">
        <f>B29+B30</f>
        <v>73</v>
      </c>
      <c r="C36" s="663"/>
      <c r="D36" s="680">
        <f>D29+D30</f>
        <v>367013.0746348314</v>
      </c>
      <c r="E36" s="681" t="s">
        <v>1429</v>
      </c>
      <c r="F36" s="662"/>
      <c r="G36" s="393"/>
      <c r="H36" s="651"/>
      <c r="I36" s="651"/>
      <c r="J36" s="651"/>
      <c r="K36" s="651"/>
      <c r="L36" s="651"/>
      <c r="M36" s="651"/>
    </row>
    <row r="37" spans="1:13">
      <c r="A37" s="673" t="s">
        <v>1430</v>
      </c>
      <c r="B37" s="677">
        <f>B34</f>
        <v>80</v>
      </c>
      <c r="C37" s="677"/>
      <c r="D37" s="688">
        <f>D34</f>
        <v>446093.23988764046</v>
      </c>
      <c r="E37" s="678" t="s">
        <v>1431</v>
      </c>
      <c r="F37" s="675"/>
      <c r="G37" s="392"/>
      <c r="H37" s="651"/>
      <c r="I37" s="651"/>
      <c r="J37" s="651"/>
      <c r="K37" s="651"/>
      <c r="L37" s="651"/>
      <c r="M37" s="651"/>
    </row>
    <row r="38" spans="1:13">
      <c r="A38" s="657" t="s">
        <v>1432</v>
      </c>
      <c r="B38" s="305" t="s">
        <v>1433</v>
      </c>
      <c r="C38" s="693"/>
      <c r="D38" s="657" t="s">
        <v>1434</v>
      </c>
      <c r="E38" s="693"/>
      <c r="F38" s="693"/>
      <c r="G38" s="94"/>
      <c r="H38" s="651"/>
      <c r="I38" s="651"/>
      <c r="J38" s="651"/>
      <c r="K38" s="651"/>
      <c r="L38" s="651"/>
      <c r="M38" s="651"/>
    </row>
    <row r="39" spans="1:13">
      <c r="A39" s="651" t="s">
        <v>1435</v>
      </c>
      <c r="B39" s="695">
        <f>D34/C21</f>
        <v>0.65743029650311069</v>
      </c>
      <c r="C39" s="651"/>
      <c r="D39" s="655" t="s">
        <v>1436</v>
      </c>
      <c r="E39" s="651"/>
      <c r="F39" s="651"/>
      <c r="G39" s="30"/>
      <c r="H39" s="651"/>
      <c r="I39" s="651"/>
      <c r="J39" s="651"/>
      <c r="K39" s="651"/>
      <c r="L39" s="651"/>
      <c r="M39" s="651"/>
    </row>
    <row r="40" spans="1:13">
      <c r="A40" s="662" t="s">
        <v>1437</v>
      </c>
      <c r="B40" s="696">
        <f>D34/C19</f>
        <v>2.048977034149861</v>
      </c>
      <c r="C40" s="662"/>
      <c r="D40" s="681" t="s">
        <v>1438</v>
      </c>
      <c r="E40" s="662"/>
      <c r="F40" s="662"/>
      <c r="G40" s="393"/>
      <c r="H40" s="651"/>
      <c r="I40" s="651"/>
      <c r="J40" s="651"/>
      <c r="K40" s="651"/>
      <c r="L40" s="651"/>
      <c r="M40" s="651"/>
    </row>
    <row r="41" spans="1:13">
      <c r="A41" s="662" t="s">
        <v>1439</v>
      </c>
      <c r="B41" s="664">
        <f>D34/(C16+C17)</f>
        <v>0.88485129262079076</v>
      </c>
      <c r="C41" s="662"/>
      <c r="D41" s="681" t="s">
        <v>1440</v>
      </c>
      <c r="E41" s="662"/>
      <c r="F41" s="662"/>
      <c r="G41" s="393"/>
      <c r="H41" s="651"/>
      <c r="I41" s="651"/>
      <c r="J41" s="651"/>
      <c r="K41" s="651"/>
      <c r="L41" s="651"/>
      <c r="M41" s="651"/>
    </row>
    <row r="42" spans="1:13">
      <c r="A42" s="675" t="s">
        <v>1441</v>
      </c>
      <c r="B42" s="697">
        <f>B29/B16</f>
        <v>1</v>
      </c>
      <c r="C42" s="675"/>
      <c r="D42" s="678" t="s">
        <v>1442</v>
      </c>
      <c r="E42" s="675"/>
      <c r="F42" s="675"/>
      <c r="G42" s="392"/>
      <c r="H42" s="651"/>
      <c r="I42" s="651"/>
      <c r="J42" s="651"/>
      <c r="K42" s="651"/>
      <c r="L42" s="651"/>
      <c r="M42" s="651"/>
    </row>
    <row r="43" spans="1:13" ht="15" thickBot="1">
      <c r="A43" s="300" t="s">
        <v>1443</v>
      </c>
      <c r="B43" s="656"/>
      <c r="C43" s="656"/>
      <c r="D43" s="656"/>
      <c r="E43" s="656"/>
      <c r="F43" s="656"/>
      <c r="G43" s="148"/>
      <c r="H43" s="651"/>
      <c r="I43" s="651"/>
      <c r="J43" s="651"/>
      <c r="K43" s="651"/>
      <c r="L43" s="651"/>
      <c r="M43" s="651"/>
    </row>
    <row r="44" spans="1:13">
      <c r="A44" s="657" t="s">
        <v>1444</v>
      </c>
      <c r="B44" s="305" t="s">
        <v>1445</v>
      </c>
      <c r="C44" s="305" t="s">
        <v>1446</v>
      </c>
      <c r="D44" s="305" t="s">
        <v>1447</v>
      </c>
      <c r="E44" s="657" t="s">
        <v>1191</v>
      </c>
      <c r="F44" s="693"/>
      <c r="G44" s="94"/>
      <c r="H44" s="651"/>
      <c r="I44" s="651"/>
      <c r="J44" s="651"/>
      <c r="K44" s="651"/>
      <c r="L44" s="651"/>
      <c r="M44" s="651"/>
    </row>
    <row r="45" spans="1:13">
      <c r="A45" s="651" t="s">
        <v>1448</v>
      </c>
      <c r="B45" s="679">
        <f>'trending delinquency'!D7</f>
        <v>851881.52</v>
      </c>
      <c r="C45" s="695">
        <f>'trending delinquency'!E7</f>
        <v>0.81320000000000003</v>
      </c>
      <c r="D45" s="659">
        <f>'trending delinquency'!F7</f>
        <v>570</v>
      </c>
      <c r="E45" s="651"/>
      <c r="F45" s="651"/>
      <c r="G45" s="30"/>
      <c r="H45" s="651"/>
      <c r="I45" s="651"/>
      <c r="J45" s="651"/>
      <c r="K45" s="651"/>
      <c r="L45" s="651"/>
      <c r="M45" s="651"/>
    </row>
    <row r="46" spans="1:13">
      <c r="A46" s="662" t="s">
        <v>1449</v>
      </c>
      <c r="B46" s="680">
        <f>'trending delinquency'!D33</f>
        <v>561793.73</v>
      </c>
      <c r="C46" s="664">
        <f>'trending delinquency'!E33</f>
        <v>0.51459999999999995</v>
      </c>
      <c r="D46" s="663">
        <f>'trending delinquency'!F33</f>
        <v>174</v>
      </c>
      <c r="E46" s="662"/>
      <c r="F46" s="662"/>
      <c r="G46" s="393"/>
      <c r="H46" s="651"/>
      <c r="I46" s="651"/>
      <c r="J46" s="651"/>
      <c r="K46" s="651"/>
      <c r="L46" s="651"/>
      <c r="M46" s="651"/>
    </row>
    <row r="47" spans="1:13">
      <c r="A47" s="662" t="s">
        <v>1450</v>
      </c>
      <c r="B47" s="680">
        <f>'trending delinquency'!D34</f>
        <v>1078174.99</v>
      </c>
      <c r="C47" s="664">
        <f>'trending delinquency'!E34</f>
        <v>0.57840000000000003</v>
      </c>
      <c r="D47" s="663">
        <f>'trending delinquency'!F34</f>
        <v>514</v>
      </c>
      <c r="E47" s="662"/>
      <c r="F47" s="662"/>
      <c r="G47" s="393"/>
      <c r="H47" s="651"/>
      <c r="I47" s="651"/>
      <c r="J47" s="651"/>
      <c r="K47" s="651"/>
      <c r="L47" s="651"/>
      <c r="M47" s="651"/>
    </row>
    <row r="48" spans="1:13">
      <c r="A48" s="672" t="s">
        <v>1451</v>
      </c>
      <c r="B48" s="680">
        <f>'trending delinquency'!D42</f>
        <v>711072.26</v>
      </c>
      <c r="C48" s="664">
        <f>'trending delinquency'!E42</f>
        <v>0.36149999999999999</v>
      </c>
      <c r="D48" s="663">
        <f>'trending delinquency'!F42</f>
        <v>270</v>
      </c>
      <c r="E48" s="662"/>
      <c r="F48" s="662"/>
      <c r="G48" s="393"/>
      <c r="H48" s="651"/>
      <c r="I48" s="651"/>
      <c r="J48" s="651"/>
      <c r="K48" s="651"/>
      <c r="L48" s="651"/>
      <c r="M48" s="651"/>
    </row>
    <row r="49" spans="1:13">
      <c r="A49" s="675" t="s">
        <v>1452</v>
      </c>
      <c r="B49" s="698">
        <f>B48-B45</f>
        <v>-140809.26</v>
      </c>
      <c r="C49" s="699">
        <f>C48-C45</f>
        <v>-0.45170000000000005</v>
      </c>
      <c r="D49" s="677">
        <f>D48-D45</f>
        <v>-300</v>
      </c>
      <c r="E49" s="678" t="s">
        <v>1453</v>
      </c>
      <c r="F49" s="675"/>
      <c r="G49" s="392"/>
      <c r="H49" s="651"/>
      <c r="I49" s="651"/>
      <c r="J49" s="651"/>
      <c r="K49" s="651"/>
      <c r="L49" s="651"/>
      <c r="M49" s="651"/>
    </row>
    <row r="50" spans="1:13">
      <c r="A50" s="657" t="s">
        <v>1454</v>
      </c>
      <c r="B50" s="305" t="s">
        <v>1075</v>
      </c>
      <c r="C50" s="305" t="s">
        <v>1455</v>
      </c>
      <c r="D50" s="305" t="s">
        <v>929</v>
      </c>
      <c r="E50" s="693"/>
      <c r="F50" s="693"/>
      <c r="G50" s="94"/>
      <c r="H50" s="651"/>
      <c r="I50" s="651"/>
      <c r="J50" s="651"/>
      <c r="K50" s="651"/>
      <c r="L50" s="651"/>
      <c r="M50" s="651"/>
    </row>
    <row r="51" spans="1:13">
      <c r="A51" s="651" t="s">
        <v>1456</v>
      </c>
      <c r="B51" s="700">
        <f>AVERAGE(DSO_Calculation!F9:'DSO_Calculation'!F20)</f>
        <v>7.4765632517120011</v>
      </c>
      <c r="C51" s="659"/>
      <c r="D51" s="659"/>
      <c r="E51" s="651"/>
      <c r="F51" s="651"/>
      <c r="G51" s="30"/>
      <c r="H51" s="651"/>
      <c r="I51" s="651"/>
      <c r="J51" s="651"/>
      <c r="K51" s="651"/>
      <c r="L51" s="651"/>
      <c r="M51" s="651"/>
    </row>
    <row r="52" spans="1:13">
      <c r="A52" s="662" t="s">
        <v>1457</v>
      </c>
      <c r="B52" s="701">
        <f>DSO_Calculation!F31</f>
        <v>15.53595018325303</v>
      </c>
      <c r="C52" s="701">
        <f>DSO_Calculation!G31</f>
        <v>14.221279226819583</v>
      </c>
      <c r="D52" s="663" t="str">
        <f>DSO_Calculation!H31</f>
        <v>✗ Off Track</v>
      </c>
      <c r="E52" s="662"/>
      <c r="F52" s="662"/>
      <c r="G52" s="393"/>
      <c r="H52" s="651"/>
      <c r="I52" s="651"/>
      <c r="J52" s="651"/>
      <c r="K52" s="651"/>
      <c r="L52" s="651"/>
      <c r="M52" s="651"/>
    </row>
    <row r="53" spans="1:13">
      <c r="A53" s="672" t="s">
        <v>1458</v>
      </c>
      <c r="B53" s="701">
        <f>DSO_Calculation!F32</f>
        <v>17.094639292709381</v>
      </c>
      <c r="C53" s="701">
        <f>DSO_Calculation!G32</f>
        <v>16.315294737981205</v>
      </c>
      <c r="D53" s="663" t="str">
        <f>DSO_Calculation!H32</f>
        <v>✗ Off Track</v>
      </c>
      <c r="E53" s="662"/>
      <c r="F53" s="662"/>
      <c r="G53" s="393"/>
      <c r="H53" s="651"/>
      <c r="I53" s="651"/>
      <c r="J53" s="651"/>
      <c r="K53" s="651"/>
      <c r="L53" s="651"/>
      <c r="M53" s="651"/>
    </row>
    <row r="54" spans="1:13">
      <c r="A54" s="662" t="s">
        <v>1459</v>
      </c>
      <c r="B54" s="701">
        <f>DSO_Calculation!B39</f>
        <v>7</v>
      </c>
      <c r="C54" s="663"/>
      <c r="D54" s="663"/>
      <c r="E54" s="681" t="s">
        <v>1460</v>
      </c>
      <c r="F54" s="662"/>
      <c r="G54" s="393"/>
      <c r="H54" s="651"/>
      <c r="I54" s="651"/>
      <c r="J54" s="651"/>
      <c r="K54" s="651"/>
      <c r="L54" s="651"/>
      <c r="M54" s="651"/>
    </row>
    <row r="55" spans="1:13">
      <c r="A55" s="676" t="s">
        <v>1461</v>
      </c>
      <c r="B55" s="702">
        <f>B53-B54</f>
        <v>10.094639292709381</v>
      </c>
      <c r="C55" s="677"/>
      <c r="D55" s="677" t="s">
        <v>1462</v>
      </c>
      <c r="E55" s="675"/>
      <c r="F55" s="675"/>
      <c r="G55" s="392"/>
      <c r="H55" s="651"/>
      <c r="I55" s="651"/>
      <c r="J55" s="651"/>
      <c r="K55" s="651"/>
      <c r="L55" s="651"/>
      <c r="M55" s="651"/>
    </row>
    <row r="56" spans="1:13">
      <c r="A56" s="657" t="s">
        <v>1463</v>
      </c>
      <c r="B56" s="305" t="s">
        <v>1377</v>
      </c>
      <c r="C56" s="305" t="s">
        <v>1464</v>
      </c>
      <c r="D56" s="305" t="s">
        <v>1465</v>
      </c>
      <c r="E56" s="657" t="s">
        <v>1466</v>
      </c>
      <c r="F56" s="693"/>
      <c r="G56" s="94"/>
      <c r="H56" s="651"/>
      <c r="I56" s="651"/>
      <c r="J56" s="651"/>
      <c r="K56" s="651"/>
      <c r="L56" s="651"/>
      <c r="M56" s="651"/>
    </row>
    <row r="57" spans="1:13">
      <c r="A57" s="660" t="s">
        <v>1467</v>
      </c>
      <c r="B57" s="659">
        <f>COUNTIFS(Move_Out_Reasons!H2:H200,"Skipped Without Notice",Move_Out_Reasons!G2:G200,"&gt;="&amp;DATE(2026,1,1))</f>
        <v>42</v>
      </c>
      <c r="C57" s="679">
        <f>SUMIFS(Move_Out_Reasons!M2:M200,Move_Out_Reasons!H2:H200,"Skipped Without Notice",Move_Out_Reasons!G2:G200,"&gt;="&amp;DATE(2026,1,1))</f>
        <v>24557.79</v>
      </c>
      <c r="D57" s="679">
        <f>IF(B57&gt;0,C57/B57,0)</f>
        <v>584.70928571428578</v>
      </c>
      <c r="E57" s="655" t="s">
        <v>1468</v>
      </c>
      <c r="F57" s="651"/>
      <c r="G57" s="30"/>
      <c r="H57" s="651"/>
      <c r="I57" s="651"/>
      <c r="J57" s="651"/>
      <c r="K57" s="651"/>
      <c r="L57" s="651"/>
      <c r="M57" s="651"/>
    </row>
    <row r="58" spans="1:13">
      <c r="A58" s="662" t="s">
        <v>1469</v>
      </c>
      <c r="B58" s="663">
        <f>COUNTIFS(Move_Out_Reasons!H2:H200,"Failure To Pay",Move_Out_Reasons!G2:G200,"&gt;="&amp;DATE(2026,1,1))+COUNTIFS(Move_Out_Reasons!H2:H200,"Skipped During Eviction",Move_Out_Reasons!G2:G200,"&gt;="&amp;DATE(2026,1,1))</f>
        <v>43</v>
      </c>
      <c r="C58" s="680">
        <f>SUMIFS(Move_Out_Reasons!M2:M200,Move_Out_Reasons!H2:H200,"Failure To Pay",Move_Out_Reasons!G2:G200,"&gt;="&amp;DATE(2026,1,1))+SUMIFS(Move_Out_Reasons!M2:M200,Move_Out_Reasons!H2:H200,"Skipped During Eviction",Move_Out_Reasons!G2:G200,"&gt;="&amp;DATE(2026,1,1))</f>
        <v>313234.15000000002</v>
      </c>
      <c r="D58" s="680">
        <f>IF(B58&gt;0,C58/B58,0)</f>
        <v>7284.5151162790708</v>
      </c>
      <c r="E58" s="681" t="s">
        <v>1470</v>
      </c>
      <c r="F58" s="662"/>
      <c r="G58" s="393"/>
      <c r="H58" s="651"/>
      <c r="I58" s="651"/>
      <c r="J58" s="651"/>
      <c r="K58" s="651"/>
      <c r="L58" s="651"/>
      <c r="M58" s="651"/>
    </row>
    <row r="59" spans="1:13">
      <c r="A59" s="675" t="s">
        <v>1471</v>
      </c>
      <c r="B59" s="677">
        <f>COUNTIFS(Move_Out_Reasons!H2:H200,"Non-Renewal (by Property)",Move_Out_Reasons!G2:G200,"&gt;="&amp;DATE(2026,1,1))</f>
        <v>10</v>
      </c>
      <c r="C59" s="688">
        <f>SUMIFS(Move_Out_Reasons!M2:M200,Move_Out_Reasons!H2:H200,"Non-Renewal (by Property)",Move_Out_Reasons!G2:G200,"&gt;="&amp;DATE(2026,1,1))</f>
        <v>5134.5599999999995</v>
      </c>
      <c r="D59" s="688">
        <f>IF(B59&gt;0,C59/B59,0)</f>
        <v>513.4559999999999</v>
      </c>
      <c r="E59" s="678" t="s">
        <v>1472</v>
      </c>
      <c r="F59" s="675"/>
      <c r="G59" s="392"/>
      <c r="H59" s="651"/>
      <c r="I59" s="651"/>
      <c r="J59" s="651"/>
      <c r="K59" s="651"/>
      <c r="L59" s="651"/>
      <c r="M59" s="651"/>
    </row>
    <row r="60" spans="1:13" ht="15" thickBot="1">
      <c r="A60" s="300" t="s">
        <v>1473</v>
      </c>
      <c r="B60" s="656"/>
      <c r="C60" s="656"/>
      <c r="D60" s="656"/>
      <c r="E60" s="656"/>
      <c r="F60" s="656"/>
      <c r="G60" s="148"/>
      <c r="H60" s="651"/>
      <c r="I60" s="651"/>
      <c r="J60" s="651"/>
      <c r="K60" s="651"/>
      <c r="L60" s="651"/>
      <c r="M60" s="651"/>
    </row>
    <row r="61" spans="1:13">
      <c r="A61" s="657" t="s">
        <v>1474</v>
      </c>
      <c r="B61" s="305" t="s">
        <v>1475</v>
      </c>
      <c r="C61" s="657"/>
      <c r="D61" s="657" t="s">
        <v>1476</v>
      </c>
      <c r="E61" s="693"/>
      <c r="F61" s="693"/>
      <c r="G61" s="94"/>
      <c r="H61" s="651"/>
      <c r="I61" s="651"/>
      <c r="J61" s="651"/>
      <c r="K61" s="651"/>
      <c r="L61" s="651"/>
      <c r="M61" s="651"/>
    </row>
    <row r="62" spans="1:13">
      <c r="A62" s="658" t="s">
        <v>1477</v>
      </c>
      <c r="B62" s="679">
        <f>D23</f>
        <v>8110.7861797752803</v>
      </c>
      <c r="C62" s="651"/>
      <c r="D62" s="655" t="s">
        <v>1478</v>
      </c>
      <c r="E62" s="651"/>
      <c r="F62" s="651"/>
      <c r="G62" s="30"/>
      <c r="H62" s="651"/>
      <c r="I62" s="651"/>
      <c r="J62" s="651"/>
      <c r="K62" s="651"/>
      <c r="L62" s="651"/>
      <c r="M62" s="651"/>
    </row>
    <row r="63" spans="1:13">
      <c r="A63" s="662" t="s">
        <v>1479</v>
      </c>
      <c r="B63" s="401">
        <v>1500</v>
      </c>
      <c r="C63" s="662"/>
      <c r="D63" s="681" t="s">
        <v>1480</v>
      </c>
      <c r="E63" s="662"/>
      <c r="F63" s="662"/>
      <c r="G63" s="393"/>
      <c r="H63" s="651"/>
      <c r="I63" s="651"/>
      <c r="J63" s="651"/>
      <c r="K63" s="651"/>
      <c r="L63" s="651"/>
      <c r="M63" s="651"/>
    </row>
    <row r="64" spans="1:13">
      <c r="A64" s="662" t="s">
        <v>1481</v>
      </c>
      <c r="B64" s="401">
        <v>2500</v>
      </c>
      <c r="C64" s="662"/>
      <c r="D64" s="681" t="s">
        <v>1482</v>
      </c>
      <c r="E64" s="662"/>
      <c r="F64" s="662"/>
      <c r="G64" s="393"/>
      <c r="H64" s="651"/>
      <c r="I64" s="651"/>
      <c r="J64" s="651"/>
      <c r="K64" s="651"/>
      <c r="L64" s="651"/>
      <c r="M64" s="651"/>
    </row>
    <row r="65" spans="1:13">
      <c r="A65" s="675" t="s">
        <v>1483</v>
      </c>
      <c r="B65" s="688">
        <f>AVERAGE(Move_Out_Reasons!J2:J200)*45/30</f>
        <v>1520.4874371859296</v>
      </c>
      <c r="C65" s="675"/>
      <c r="D65" s="678" t="s">
        <v>1484</v>
      </c>
      <c r="E65" s="675"/>
      <c r="F65" s="675"/>
      <c r="G65" s="392"/>
      <c r="H65" s="651"/>
      <c r="I65" s="651"/>
      <c r="J65" s="651"/>
      <c r="K65" s="651"/>
      <c r="L65" s="651"/>
      <c r="M65" s="651"/>
    </row>
    <row r="66" spans="1:13">
      <c r="A66" s="657" t="s">
        <v>1485</v>
      </c>
      <c r="B66" s="694">
        <f>SUM(B62:B65)</f>
        <v>13631.273616961211</v>
      </c>
      <c r="C66" s="657"/>
      <c r="D66" s="657"/>
      <c r="E66" s="657"/>
      <c r="F66" s="657"/>
      <c r="G66" s="400"/>
      <c r="H66" s="651"/>
      <c r="I66" s="651"/>
      <c r="J66" s="651"/>
      <c r="K66" s="651"/>
      <c r="L66" s="651"/>
      <c r="M66" s="651"/>
    </row>
    <row r="67" spans="1:13">
      <c r="A67" s="657" t="s">
        <v>1486</v>
      </c>
      <c r="B67" s="305" t="s">
        <v>1487</v>
      </c>
      <c r="C67" s="305" t="s">
        <v>1488</v>
      </c>
      <c r="D67" s="305" t="s">
        <v>1489</v>
      </c>
      <c r="E67" s="657" t="s">
        <v>1490</v>
      </c>
      <c r="F67" s="693"/>
      <c r="G67" s="94"/>
      <c r="H67" s="651"/>
      <c r="I67" s="651"/>
      <c r="J67" s="651"/>
      <c r="K67" s="651"/>
      <c r="L67" s="651"/>
      <c r="M67" s="651"/>
    </row>
    <row r="68" spans="1:13">
      <c r="A68" s="658" t="s">
        <v>1491</v>
      </c>
      <c r="B68" s="659">
        <f>B35</f>
        <v>36</v>
      </c>
      <c r="C68" s="659">
        <f>B36</f>
        <v>73</v>
      </c>
      <c r="D68" s="659">
        <f>B37</f>
        <v>80</v>
      </c>
      <c r="E68" s="651"/>
      <c r="F68" s="651"/>
      <c r="G68" s="30"/>
      <c r="H68" s="651"/>
      <c r="I68" s="651"/>
      <c r="J68" s="651"/>
      <c r="K68" s="651"/>
      <c r="L68" s="651"/>
      <c r="M68" s="651"/>
    </row>
    <row r="69" spans="1:13">
      <c r="A69" s="672" t="s">
        <v>1492</v>
      </c>
      <c r="B69" s="680">
        <f>D35</f>
        <v>291988.30247191008</v>
      </c>
      <c r="C69" s="680">
        <f>D36</f>
        <v>367013.0746348314</v>
      </c>
      <c r="D69" s="680">
        <f>D37</f>
        <v>446093.23988764046</v>
      </c>
      <c r="E69" s="662"/>
      <c r="F69" s="662"/>
      <c r="G69" s="393"/>
      <c r="H69" s="651"/>
      <c r="I69" s="651"/>
      <c r="J69" s="651"/>
      <c r="K69" s="651"/>
      <c r="L69" s="651"/>
      <c r="M69" s="651"/>
    </row>
    <row r="70" spans="1:13">
      <c r="A70" s="673" t="s">
        <v>1493</v>
      </c>
      <c r="B70" s="688">
        <f>B68*(B63+B64+B65)</f>
        <v>198737.54773869348</v>
      </c>
      <c r="C70" s="688">
        <f>C68*(B63+B64+B65)*0.25</f>
        <v>100748.89572864321</v>
      </c>
      <c r="D70" s="688">
        <f>(B29*(B63+B64+B65))+(B30*(B63+B64+B65)*0.25)+(B31*(B63+B64+B65)*0.15)+(B32*(B63+B64+B65)*0.5)+(B33*(B63+B64+B65)*0.1)</f>
        <v>303626.8090452262</v>
      </c>
      <c r="E70" s="678" t="s">
        <v>1494</v>
      </c>
      <c r="F70" s="675"/>
      <c r="G70" s="392"/>
      <c r="H70" s="651"/>
      <c r="I70" s="651"/>
      <c r="J70" s="651"/>
      <c r="K70" s="651"/>
      <c r="L70" s="651"/>
      <c r="M70" s="651"/>
    </row>
    <row r="71" spans="1:13">
      <c r="A71" s="657" t="s">
        <v>1495</v>
      </c>
      <c r="B71" s="694">
        <f>B69+B70</f>
        <v>490725.85021060356</v>
      </c>
      <c r="C71" s="694">
        <f>C69+C70</f>
        <v>467761.97036347463</v>
      </c>
      <c r="D71" s="694">
        <f>D69+D70</f>
        <v>749720.04893286666</v>
      </c>
      <c r="E71" s="703"/>
      <c r="F71" s="657"/>
      <c r="G71" s="400"/>
      <c r="H71" s="651"/>
      <c r="I71" s="651"/>
      <c r="J71" s="651"/>
      <c r="K71" s="651"/>
      <c r="L71" s="651"/>
      <c r="M71" s="651"/>
    </row>
  </sheetData>
  <pageMargins left="0.7" right="0.7" top="0.75" bottom="0.75" header="0.3" footer="0.3"/>
  <pageSetup scale="50" fitToWidth="0" fitToHeight="0" orientation="portrait" r:id="rId1"/>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9B21E5-4206-429B-8975-D3242CBE10FF}">
  <sheetPr>
    <tabColor rgb="FF002060"/>
  </sheetPr>
  <dimension ref="A1:F148"/>
  <sheetViews>
    <sheetView showGridLines="0" zoomScaleNormal="100" workbookViewId="0">
      <pane ySplit="3" topLeftCell="A59" activePane="bottomLeft" state="frozen"/>
      <selection pane="bottomLeft" activeCell="G14" sqref="G14"/>
    </sheetView>
  </sheetViews>
  <sheetFormatPr defaultRowHeight="14.4"/>
  <cols>
    <col min="1" max="1" width="49.109375" customWidth="1"/>
    <col min="2" max="2" width="23.5546875" customWidth="1"/>
    <col min="3" max="3" width="21.88671875" customWidth="1"/>
    <col min="4" max="4" width="23.5546875" customWidth="1"/>
    <col min="5" max="5" width="54.5546875" customWidth="1"/>
    <col min="6" max="6" width="12.6640625" customWidth="1"/>
    <col min="7" max="7" width="14.5546875" customWidth="1"/>
    <col min="8" max="8" width="29.109375" customWidth="1"/>
    <col min="9" max="9" width="18.109375" customWidth="1"/>
  </cols>
  <sheetData>
    <row r="1" spans="1:6" ht="23.4">
      <c r="A1" s="1256" t="s">
        <v>783</v>
      </c>
      <c r="B1" s="1256"/>
      <c r="C1" s="1256"/>
      <c r="D1" s="1256"/>
      <c r="E1" s="1256"/>
      <c r="F1" s="1256"/>
    </row>
    <row r="2" spans="1:6">
      <c r="A2" s="1257" t="s">
        <v>1496</v>
      </c>
      <c r="B2" s="1258"/>
      <c r="C2" s="1258"/>
      <c r="D2" s="1258"/>
      <c r="E2" s="1258"/>
      <c r="F2" s="1258"/>
    </row>
    <row r="3" spans="1:6">
      <c r="A3" s="542" t="s">
        <v>1497</v>
      </c>
      <c r="B3" s="543" t="s">
        <v>1498</v>
      </c>
      <c r="C3" s="544"/>
      <c r="D3" s="542" t="s">
        <v>1499</v>
      </c>
      <c r="E3" s="543" t="s">
        <v>1500</v>
      </c>
      <c r="F3" s="528"/>
    </row>
    <row r="4" spans="1:6">
      <c r="A4" s="1259" t="s">
        <v>1501</v>
      </c>
      <c r="B4" s="1260"/>
      <c r="C4" s="1260"/>
      <c r="D4" s="1260"/>
      <c r="E4" s="576"/>
      <c r="F4" s="577"/>
    </row>
    <row r="5" spans="1:6">
      <c r="A5" s="704" t="s">
        <v>1502</v>
      </c>
      <c r="B5" s="542">
        <v>144</v>
      </c>
      <c r="C5" s="545"/>
      <c r="D5" s="545"/>
      <c r="E5" s="545"/>
      <c r="F5" s="529"/>
    </row>
    <row r="6" spans="1:6">
      <c r="A6" s="705" t="s">
        <v>1503</v>
      </c>
      <c r="B6" s="575">
        <v>415894.97</v>
      </c>
      <c r="C6" s="574"/>
      <c r="D6" s="574"/>
      <c r="E6" s="574"/>
      <c r="F6" s="530"/>
    </row>
    <row r="7" spans="1:6">
      <c r="A7" s="544"/>
      <c r="B7" s="544"/>
      <c r="C7" s="544"/>
      <c r="D7" s="544"/>
      <c r="E7" s="544"/>
      <c r="F7" s="528"/>
    </row>
    <row r="8" spans="1:6">
      <c r="A8" s="1259" t="s">
        <v>1504</v>
      </c>
      <c r="B8" s="1260"/>
      <c r="C8" s="1260"/>
      <c r="D8" s="1260"/>
      <c r="E8" s="576"/>
      <c r="F8" s="529"/>
    </row>
    <row r="9" spans="1:6">
      <c r="A9" s="704" t="s">
        <v>1505</v>
      </c>
      <c r="B9" s="542">
        <f>COUNTA(A20:A101)</f>
        <v>82</v>
      </c>
      <c r="C9" s="545"/>
      <c r="D9" s="545"/>
      <c r="E9" s="545"/>
      <c r="F9" s="529"/>
    </row>
    <row r="10" spans="1:6">
      <c r="A10" s="705" t="s">
        <v>1506</v>
      </c>
      <c r="B10" s="575">
        <f>SUM(C20:C101)</f>
        <v>11036.050000000001</v>
      </c>
      <c r="C10" s="574"/>
      <c r="D10" s="574"/>
      <c r="E10" s="574"/>
      <c r="F10" s="530"/>
    </row>
    <row r="11" spans="1:6">
      <c r="A11" s="528"/>
      <c r="B11" s="528"/>
      <c r="C11" s="528"/>
      <c r="D11" s="528"/>
      <c r="E11" s="528"/>
      <c r="F11" s="528"/>
    </row>
    <row r="12" spans="1:6">
      <c r="A12" s="531" t="s">
        <v>1507</v>
      </c>
      <c r="B12" s="101"/>
      <c r="C12" s="101"/>
      <c r="D12" s="101"/>
      <c r="E12" s="101"/>
      <c r="F12" s="578"/>
    </row>
    <row r="13" spans="1:6">
      <c r="A13" s="580" t="s">
        <v>1268</v>
      </c>
      <c r="B13" s="581" t="s">
        <v>1377</v>
      </c>
      <c r="C13" s="581" t="s">
        <v>1508</v>
      </c>
      <c r="D13" s="581" t="s">
        <v>1509</v>
      </c>
      <c r="E13" s="581" t="s">
        <v>1378</v>
      </c>
      <c r="F13" s="579"/>
    </row>
    <row r="14" spans="1:6">
      <c r="A14" s="534" t="s">
        <v>1510</v>
      </c>
      <c r="B14" s="536">
        <f>COUNTIF(F20:F101,"Yes")</f>
        <v>15</v>
      </c>
      <c r="C14" s="537">
        <f>SUMIF(F20:F101,"Yes",C20:C101)</f>
        <v>9482.35</v>
      </c>
      <c r="D14" s="537">
        <f>SUMIF(F20:F101,"Yes",D20:D101)</f>
        <v>56233.16</v>
      </c>
      <c r="E14" s="538">
        <f>C14/C16</f>
        <v>0.85921593323698242</v>
      </c>
      <c r="F14" s="532"/>
    </row>
    <row r="15" spans="1:6">
      <c r="A15" s="535" t="s">
        <v>1511</v>
      </c>
      <c r="B15" s="539">
        <f>COUNTIF(F20:F101,"No")</f>
        <v>67</v>
      </c>
      <c r="C15" s="540">
        <f>SUMIF(F20:F101,"No",C20:C101)</f>
        <v>1553.7</v>
      </c>
      <c r="D15" s="540" t="s">
        <v>1512</v>
      </c>
      <c r="E15" s="541">
        <f>C15/C16</f>
        <v>0.14078406676301755</v>
      </c>
      <c r="F15" s="533"/>
    </row>
    <row r="16" spans="1:6">
      <c r="A16" s="582" t="s">
        <v>856</v>
      </c>
      <c r="B16" s="583">
        <f>B14+B15</f>
        <v>82</v>
      </c>
      <c r="C16" s="584">
        <f>C14+C15</f>
        <v>11036.050000000001</v>
      </c>
      <c r="D16" s="583"/>
      <c r="E16" s="585">
        <f>E14+E15</f>
        <v>1</v>
      </c>
      <c r="F16" s="578"/>
    </row>
    <row r="18" spans="1:6">
      <c r="A18" s="531" t="s">
        <v>1513</v>
      </c>
      <c r="B18" s="101"/>
      <c r="C18" s="101"/>
      <c r="D18" s="101"/>
      <c r="E18" s="101"/>
      <c r="F18" s="101"/>
    </row>
    <row r="19" spans="1:6">
      <c r="A19" s="586" t="s">
        <v>1137</v>
      </c>
      <c r="B19" s="586" t="s">
        <v>1138</v>
      </c>
      <c r="C19" s="586" t="s">
        <v>1514</v>
      </c>
      <c r="D19" s="586" t="s">
        <v>1509</v>
      </c>
      <c r="E19" s="586" t="s">
        <v>1515</v>
      </c>
      <c r="F19" s="586" t="s">
        <v>1516</v>
      </c>
    </row>
    <row r="20" spans="1:6">
      <c r="A20" s="598" t="s">
        <v>1517</v>
      </c>
      <c r="B20" s="598" t="str">
        <f>INDEX(Move_Out_Reasons!D:D,MATCH(A20,Move_Out_Reasons!B:B,0))</f>
        <v>Renee, Breana</v>
      </c>
      <c r="C20" s="599">
        <f>INDEX(Move_Out_Reasons!M:M,MATCH(A20,Move_Out_Reasons!B:B,0))</f>
        <v>0</v>
      </c>
      <c r="D20" s="599">
        <v>22182.15</v>
      </c>
      <c r="E20" s="598" t="str">
        <f>INDEX(Move_Out_Reasons!H:H,MATCH(A20,Move_Out_Reasons!B:B,0))</f>
        <v>Skipped Without Notice</v>
      </c>
      <c r="F20" s="598" t="s">
        <v>1518</v>
      </c>
    </row>
    <row r="21" spans="1:6">
      <c r="A21" s="600" t="s">
        <v>1519</v>
      </c>
      <c r="B21" s="600" t="str">
        <f>INDEX(Move_Out_Reasons!D:D,MATCH(A21,Move_Out_Reasons!B:B,0))</f>
        <v>Candler, Brittany</v>
      </c>
      <c r="C21" s="601">
        <f>INDEX(Move_Out_Reasons!M:M,MATCH(A21,Move_Out_Reasons!B:B,0))</f>
        <v>0</v>
      </c>
      <c r="D21" s="601">
        <v>9611.5</v>
      </c>
      <c r="E21" s="600" t="str">
        <f>INDEX(Move_Out_Reasons!H:H,MATCH(A21,Move_Out_Reasons!B:B,0))</f>
        <v>Failure To Pay</v>
      </c>
      <c r="F21" s="600" t="s">
        <v>1518</v>
      </c>
    </row>
    <row r="22" spans="1:6">
      <c r="A22" s="587" t="s">
        <v>1520</v>
      </c>
      <c r="B22" s="587" t="str">
        <f>INDEX(Move_Out_Reasons!D:D,MATCH(A22,Move_Out_Reasons!B:B,0))</f>
        <v>Clark, Deborah</v>
      </c>
      <c r="C22" s="588">
        <f>INDEX(Move_Out_Reasons!M:M,MATCH(A22,Move_Out_Reasons!B:B,0))</f>
        <v>0</v>
      </c>
      <c r="D22" s="588">
        <v>4374.74</v>
      </c>
      <c r="E22" s="587" t="str">
        <f>INDEX(Move_Out_Reasons!H:H,MATCH(A22,Move_Out_Reasons!B:B,0))</f>
        <v>Skipped Without Notice</v>
      </c>
      <c r="F22" s="587" t="s">
        <v>1518</v>
      </c>
    </row>
    <row r="23" spans="1:6">
      <c r="A23" s="600" t="s">
        <v>1521</v>
      </c>
      <c r="B23" s="600" t="str">
        <f>INDEX(Move_Out_Reasons!D:D,MATCH(A23,Move_Out_Reasons!B:B,0))</f>
        <v>Wiggins, Amariah</v>
      </c>
      <c r="C23" s="601">
        <f>INDEX(Move_Out_Reasons!M:M,MATCH(A23,Move_Out_Reasons!B:B,0))</f>
        <v>9482.35</v>
      </c>
      <c r="D23" s="601">
        <v>2759.04</v>
      </c>
      <c r="E23" s="600" t="str">
        <f>INDEX(Move_Out_Reasons!H:H,MATCH(A23,Move_Out_Reasons!B:B,0))</f>
        <v>Skipped Without Notice</v>
      </c>
      <c r="F23" s="600" t="s">
        <v>1518</v>
      </c>
    </row>
    <row r="24" spans="1:6">
      <c r="A24" s="587" t="s">
        <v>1522</v>
      </c>
      <c r="B24" s="587" t="str">
        <f>INDEX(Move_Out_Reasons!D:D,MATCH(A24,Move_Out_Reasons!B:B,0))</f>
        <v>Carrasco, Anay</v>
      </c>
      <c r="C24" s="588">
        <f>INDEX(Move_Out_Reasons!M:M,MATCH(A24,Move_Out_Reasons!B:B,0))</f>
        <v>0</v>
      </c>
      <c r="D24" s="588"/>
      <c r="E24" s="587" t="str">
        <f>INDEX(Move_Out_Reasons!H:H,MATCH(A24,Move_Out_Reasons!B:B,0))</f>
        <v>Skipped Without Notice</v>
      </c>
      <c r="F24" s="587" t="s">
        <v>1523</v>
      </c>
    </row>
    <row r="25" spans="1:6">
      <c r="A25" s="600" t="s">
        <v>1524</v>
      </c>
      <c r="B25" s="600" t="str">
        <f>INDEX(Move_Out_Reasons!D:D,MATCH(A25,Move_Out_Reasons!B:B,0))</f>
        <v>Perez, Jocelyn</v>
      </c>
      <c r="C25" s="601">
        <f>INDEX(Move_Out_Reasons!M:M,MATCH(A25,Move_Out_Reasons!B:B,0))</f>
        <v>0</v>
      </c>
      <c r="D25" s="601">
        <v>4066.09</v>
      </c>
      <c r="E25" s="600" t="str">
        <f>INDEX(Move_Out_Reasons!H:H,MATCH(A25,Move_Out_Reasons!B:B,0))</f>
        <v>Skipped Without Notice</v>
      </c>
      <c r="F25" s="600" t="s">
        <v>1518</v>
      </c>
    </row>
    <row r="26" spans="1:6">
      <c r="A26" s="587" t="s">
        <v>1525</v>
      </c>
      <c r="B26" s="587" t="str">
        <f>INDEX(Move_Out_Reasons!D:D,MATCH(A26,Move_Out_Reasons!B:B,0))</f>
        <v>Ogundipe, Aramide</v>
      </c>
      <c r="C26" s="588">
        <f>INDEX(Move_Out_Reasons!M:M,MATCH(A26,Move_Out_Reasons!B:B,0))</f>
        <v>0</v>
      </c>
      <c r="D26" s="588">
        <v>1501.29</v>
      </c>
      <c r="E26" s="587" t="str">
        <f>INDEX(Move_Out_Reasons!H:H,MATCH(A26,Move_Out_Reasons!B:B,0))</f>
        <v>Skipped Without Notice</v>
      </c>
      <c r="F26" s="587" t="s">
        <v>1518</v>
      </c>
    </row>
    <row r="27" spans="1:6">
      <c r="A27" s="600" t="s">
        <v>1526</v>
      </c>
      <c r="B27" s="600" t="str">
        <f>INDEX(Move_Out_Reasons!D:D,MATCH(A27,Move_Out_Reasons!B:B,0))</f>
        <v>Querevalu, Oscar</v>
      </c>
      <c r="C27" s="601">
        <f>INDEX(Move_Out_Reasons!M:M,MATCH(A27,Move_Out_Reasons!B:B,0))</f>
        <v>0</v>
      </c>
      <c r="D27" s="601"/>
      <c r="E27" s="600" t="str">
        <f>INDEX(Move_Out_Reasons!H:H,MATCH(A27,Move_Out_Reasons!B:B,0))</f>
        <v>Skipped Without Notice</v>
      </c>
      <c r="F27" s="600" t="s">
        <v>1523</v>
      </c>
    </row>
    <row r="28" spans="1:6">
      <c r="A28" s="587" t="s">
        <v>1527</v>
      </c>
      <c r="B28" s="587" t="str">
        <f>INDEX(Move_Out_Reasons!D:D,MATCH(A28,Move_Out_Reasons!B:B,0))</f>
        <v>Enrique, Danny</v>
      </c>
      <c r="C28" s="588">
        <f>INDEX(Move_Out_Reasons!M:M,MATCH(A28,Move_Out_Reasons!B:B,0))</f>
        <v>0</v>
      </c>
      <c r="D28" s="588">
        <v>1801.25</v>
      </c>
      <c r="E28" s="587" t="str">
        <f>INDEX(Move_Out_Reasons!H:H,MATCH(A28,Move_Out_Reasons!B:B,0))</f>
        <v>Skipped Without Notice</v>
      </c>
      <c r="F28" s="587" t="s">
        <v>1518</v>
      </c>
    </row>
    <row r="29" spans="1:6">
      <c r="A29" s="600" t="s">
        <v>1528</v>
      </c>
      <c r="B29" s="600" t="str">
        <f>INDEX(Move_Out_Reasons!D:D,MATCH(A29,Move_Out_Reasons!B:B,0))</f>
        <v>Odebiyi, Christiana</v>
      </c>
      <c r="C29" s="601">
        <f>INDEX(Move_Out_Reasons!M:M,MATCH(A29,Move_Out_Reasons!B:B,0))</f>
        <v>0</v>
      </c>
      <c r="D29" s="601">
        <v>1186.45</v>
      </c>
      <c r="E29" s="600" t="str">
        <f>INDEX(Move_Out_Reasons!H:H,MATCH(A29,Move_Out_Reasons!B:B,0))</f>
        <v>Skipped Without Notice</v>
      </c>
      <c r="F29" s="600" t="s">
        <v>1518</v>
      </c>
    </row>
    <row r="30" spans="1:6">
      <c r="A30" s="587" t="s">
        <v>1529</v>
      </c>
      <c r="B30" s="587" t="str">
        <f>INDEX(Move_Out_Reasons!D:D,MATCH(A30,Move_Out_Reasons!B:B,0))</f>
        <v>Williams, Teresa</v>
      </c>
      <c r="C30" s="588">
        <f>INDEX(Move_Out_Reasons!M:M,MATCH(A30,Move_Out_Reasons!B:B,0))</f>
        <v>0</v>
      </c>
      <c r="D30" s="588">
        <v>1314.21</v>
      </c>
      <c r="E30" s="587" t="str">
        <f>INDEX(Move_Out_Reasons!H:H,MATCH(A30,Move_Out_Reasons!B:B,0))</f>
        <v>Skipped Without Notice</v>
      </c>
      <c r="F30" s="587" t="s">
        <v>1518</v>
      </c>
    </row>
    <row r="31" spans="1:6">
      <c r="A31" s="600" t="s">
        <v>1530</v>
      </c>
      <c r="B31" s="600" t="str">
        <f>INDEX(Move_Out_Reasons!D:D,MATCH(A31,Move_Out_Reasons!B:B,0))</f>
        <v>Cruz, Josue</v>
      </c>
      <c r="C31" s="601">
        <f>INDEX(Move_Out_Reasons!M:M,MATCH(A31,Move_Out_Reasons!B:B,0))</f>
        <v>0</v>
      </c>
      <c r="D31" s="601">
        <v>1425.13</v>
      </c>
      <c r="E31" s="600" t="str">
        <f>INDEX(Move_Out_Reasons!H:H,MATCH(A31,Move_Out_Reasons!B:B,0))</f>
        <v>Skipped Without Notice</v>
      </c>
      <c r="F31" s="600" t="s">
        <v>1518</v>
      </c>
    </row>
    <row r="32" spans="1:6">
      <c r="A32" s="587" t="s">
        <v>1531</v>
      </c>
      <c r="B32" s="587" t="str">
        <f>INDEX(Move_Out_Reasons!D:D,MATCH(A32,Move_Out_Reasons!B:B,0))</f>
        <v>Jose, Yender</v>
      </c>
      <c r="C32" s="588">
        <f>INDEX(Move_Out_Reasons!M:M,MATCH(A32,Move_Out_Reasons!B:B,0))</f>
        <v>0</v>
      </c>
      <c r="D32" s="588">
        <v>1418.87</v>
      </c>
      <c r="E32" s="587" t="str">
        <f>INDEX(Move_Out_Reasons!H:H,MATCH(A32,Move_Out_Reasons!B:B,0))</f>
        <v>Skipped Without Notice</v>
      </c>
      <c r="F32" s="587" t="s">
        <v>1518</v>
      </c>
    </row>
    <row r="33" spans="1:6">
      <c r="A33" s="600" t="s">
        <v>1532</v>
      </c>
      <c r="B33" s="600" t="str">
        <f>INDEX(Move_Out_Reasons!D:D,MATCH(A33,Move_Out_Reasons!B:B,0))</f>
        <v>Enriquez, Victor</v>
      </c>
      <c r="C33" s="601">
        <f>INDEX(Move_Out_Reasons!M:M,MATCH(A33,Move_Out_Reasons!B:B,0))</f>
        <v>0</v>
      </c>
      <c r="D33" s="601"/>
      <c r="E33" s="600" t="str">
        <f>INDEX(Move_Out_Reasons!H:H,MATCH(A33,Move_Out_Reasons!B:B,0))</f>
        <v>Skipped Without Notice</v>
      </c>
      <c r="F33" s="600" t="s">
        <v>1523</v>
      </c>
    </row>
    <row r="34" spans="1:6">
      <c r="A34" s="587" t="s">
        <v>1533</v>
      </c>
      <c r="B34" s="587" t="str">
        <f>INDEX(Move_Out_Reasons!D:D,MATCH(A34,Move_Out_Reasons!B:B,0))</f>
        <v>Rangel, Juan</v>
      </c>
      <c r="C34" s="588">
        <f>INDEX(Move_Out_Reasons!M:M,MATCH(A34,Move_Out_Reasons!B:B,0))</f>
        <v>0</v>
      </c>
      <c r="D34" s="588"/>
      <c r="E34" s="587" t="str">
        <f>INDEX(Move_Out_Reasons!H:H,MATCH(A34,Move_Out_Reasons!B:B,0))</f>
        <v>Skipped Without Notice</v>
      </c>
      <c r="F34" s="587" t="s">
        <v>1523</v>
      </c>
    </row>
    <row r="35" spans="1:6">
      <c r="A35" s="600" t="s">
        <v>1534</v>
      </c>
      <c r="B35" s="600" t="str">
        <f>INDEX(Move_Out_Reasons!D:D,MATCH(A35,Move_Out_Reasons!B:B,0))</f>
        <v>Raudales, Joser</v>
      </c>
      <c r="C35" s="601">
        <f>INDEX(Move_Out_Reasons!M:M,MATCH(A35,Move_Out_Reasons!B:B,0))</f>
        <v>0</v>
      </c>
      <c r="D35" s="601">
        <v>1433.05</v>
      </c>
      <c r="E35" s="600" t="str">
        <f>INDEX(Move_Out_Reasons!H:H,MATCH(A35,Move_Out_Reasons!B:B,0))</f>
        <v>Skipped Without Notice</v>
      </c>
      <c r="F35" s="600" t="s">
        <v>1518</v>
      </c>
    </row>
    <row r="36" spans="1:6">
      <c r="A36" s="587" t="s">
        <v>1535</v>
      </c>
      <c r="B36" s="587" t="str">
        <f>INDEX(Move_Out_Reasons!D:D,MATCH(A36,Move_Out_Reasons!B:B,0))</f>
        <v>Cetz, Manuel</v>
      </c>
      <c r="C36" s="588">
        <f>INDEX(Move_Out_Reasons!M:M,MATCH(A36,Move_Out_Reasons!B:B,0))</f>
        <v>0</v>
      </c>
      <c r="D36" s="588"/>
      <c r="E36" s="587" t="str">
        <f>INDEX(Move_Out_Reasons!H:H,MATCH(A36,Move_Out_Reasons!B:B,0))</f>
        <v>Skipped Without Notice</v>
      </c>
      <c r="F36" s="587" t="s">
        <v>1523</v>
      </c>
    </row>
    <row r="37" spans="1:6">
      <c r="A37" s="600" t="s">
        <v>1536</v>
      </c>
      <c r="B37" s="600" t="str">
        <f>INDEX(Move_Out_Reasons!D:D,MATCH(A37,Move_Out_Reasons!B:B,0))</f>
        <v>Yazmin, Karen</v>
      </c>
      <c r="C37" s="601">
        <f>INDEX(Move_Out_Reasons!M:M,MATCH(A37,Move_Out_Reasons!B:B,0))</f>
        <v>0</v>
      </c>
      <c r="D37" s="601"/>
      <c r="E37" s="600" t="str">
        <f>INDEX(Move_Out_Reasons!H:H,MATCH(A37,Move_Out_Reasons!B:B,0))</f>
        <v>Job Transfer / Lost Job</v>
      </c>
      <c r="F37" s="600" t="s">
        <v>1523</v>
      </c>
    </row>
    <row r="38" spans="1:6">
      <c r="A38" s="587" t="s">
        <v>1537</v>
      </c>
      <c r="B38" s="587" t="str">
        <f>INDEX(Move_Out_Reasons!D:D,MATCH(A38,Move_Out_Reasons!B:B,0))</f>
        <v>Davila, Lisa</v>
      </c>
      <c r="C38" s="588">
        <f>INDEX(Move_Out_Reasons!M:M,MATCH(A38,Move_Out_Reasons!B:B,0))</f>
        <v>0</v>
      </c>
      <c r="D38" s="588"/>
      <c r="E38" s="587" t="str">
        <f>INDEX(Move_Out_Reasons!H:H,MATCH(A38,Move_Out_Reasons!B:B,0))</f>
        <v>Skipped Without Notice</v>
      </c>
      <c r="F38" s="587" t="s">
        <v>1523</v>
      </c>
    </row>
    <row r="39" spans="1:6">
      <c r="A39" s="600" t="s">
        <v>1538</v>
      </c>
      <c r="B39" s="600" t="str">
        <f>INDEX(Move_Out_Reasons!D:D,MATCH(A39,Move_Out_Reasons!B:B,0))</f>
        <v>Elhakim, Ahmed</v>
      </c>
      <c r="C39" s="601">
        <f>INDEX(Move_Out_Reasons!M:M,MATCH(A39,Move_Out_Reasons!B:B,0))</f>
        <v>0</v>
      </c>
      <c r="D39" s="601"/>
      <c r="E39" s="600" t="str">
        <f>INDEX(Move_Out_Reasons!H:H,MATCH(A39,Move_Out_Reasons!B:B,0))</f>
        <v>Financial Difficulties</v>
      </c>
      <c r="F39" s="600" t="s">
        <v>1523</v>
      </c>
    </row>
    <row r="40" spans="1:6">
      <c r="A40" s="587" t="s">
        <v>1539</v>
      </c>
      <c r="B40" s="587" t="str">
        <f>INDEX(Move_Out_Reasons!D:D,MATCH(A40,Move_Out_Reasons!B:B,0))</f>
        <v>Armstrong, Randy</v>
      </c>
      <c r="C40" s="588">
        <f>INDEX(Move_Out_Reasons!M:M,MATCH(A40,Move_Out_Reasons!B:B,0))</f>
        <v>0</v>
      </c>
      <c r="D40" s="588"/>
      <c r="E40" s="587" t="str">
        <f>INDEX(Move_Out_Reasons!H:H,MATCH(A40,Move_Out_Reasons!B:B,0))</f>
        <v>Non-Renewal (by Property)</v>
      </c>
      <c r="F40" s="587" t="s">
        <v>1523</v>
      </c>
    </row>
    <row r="41" spans="1:6">
      <c r="A41" s="600" t="s">
        <v>1540</v>
      </c>
      <c r="B41" s="600" t="str">
        <f>INDEX(Move_Out_Reasons!D:D,MATCH(A41,Move_Out_Reasons!B:B,0))</f>
        <v>Edu, Almudena</v>
      </c>
      <c r="C41" s="601">
        <f>INDEX(Move_Out_Reasons!M:M,MATCH(A41,Move_Out_Reasons!B:B,0))</f>
        <v>0</v>
      </c>
      <c r="D41" s="601"/>
      <c r="E41" s="600" t="str">
        <f>INDEX(Move_Out_Reasons!H:H,MATCH(A41,Move_Out_Reasons!B:B,0))</f>
        <v>Skipped During Eviction</v>
      </c>
      <c r="F41" s="600" t="s">
        <v>1523</v>
      </c>
    </row>
    <row r="42" spans="1:6">
      <c r="A42" s="587" t="s">
        <v>1541</v>
      </c>
      <c r="B42" s="587" t="str">
        <f>INDEX(Move_Out_Reasons!D:D,MATCH(A42,Move_Out_Reasons!B:B,0))</f>
        <v>Magarin, Sergio</v>
      </c>
      <c r="C42" s="588">
        <f>INDEX(Move_Out_Reasons!M:M,MATCH(A42,Move_Out_Reasons!B:B,0))</f>
        <v>0</v>
      </c>
      <c r="D42" s="588"/>
      <c r="E42" s="587" t="str">
        <f>INDEX(Move_Out_Reasons!H:H,MATCH(A42,Move_Out_Reasons!B:B,0))</f>
        <v>Rental Increase</v>
      </c>
      <c r="F42" s="587" t="s">
        <v>1523</v>
      </c>
    </row>
    <row r="43" spans="1:6">
      <c r="A43" s="600" t="s">
        <v>1542</v>
      </c>
      <c r="B43" s="600" t="str">
        <f>INDEX(Move_Out_Reasons!D:D,MATCH(A43,Move_Out_Reasons!B:B,0))</f>
        <v>Sunday, Prince</v>
      </c>
      <c r="C43" s="601">
        <f>INDEX(Move_Out_Reasons!M:M,MATCH(A43,Move_Out_Reasons!B:B,0))</f>
        <v>0</v>
      </c>
      <c r="D43" s="601">
        <v>1538.65</v>
      </c>
      <c r="E43" s="600" t="str">
        <f>INDEX(Move_Out_Reasons!H:H,MATCH(A43,Move_Out_Reasons!B:B,0))</f>
        <v>Non-Renewal (by Property)</v>
      </c>
      <c r="F43" s="600" t="s">
        <v>1518</v>
      </c>
    </row>
    <row r="44" spans="1:6">
      <c r="A44" s="587" t="s">
        <v>1543</v>
      </c>
      <c r="B44" s="587" t="str">
        <f>INDEX(Move_Out_Reasons!D:D,MATCH(A44,Move_Out_Reasons!B:B,0))</f>
        <v>Rox, Artie</v>
      </c>
      <c r="C44" s="588">
        <f>INDEX(Move_Out_Reasons!M:M,MATCH(A44,Move_Out_Reasons!B:B,0))</f>
        <v>0</v>
      </c>
      <c r="D44" s="588"/>
      <c r="E44" s="587" t="str">
        <f>INDEX(Move_Out_Reasons!H:H,MATCH(A44,Move_Out_Reasons!B:B,0))</f>
        <v>Death</v>
      </c>
      <c r="F44" s="587" t="s">
        <v>1523</v>
      </c>
    </row>
    <row r="45" spans="1:6">
      <c r="A45" s="600" t="s">
        <v>1544</v>
      </c>
      <c r="B45" s="600" t="str">
        <f>INDEX(Move_Out_Reasons!D:D,MATCH(A45,Move_Out_Reasons!B:B,0))</f>
        <v>Yeon, Hyo</v>
      </c>
      <c r="C45" s="601">
        <f>INDEX(Move_Out_Reasons!M:M,MATCH(A45,Move_Out_Reasons!B:B,0))</f>
        <v>0</v>
      </c>
      <c r="D45" s="601"/>
      <c r="E45" s="600" t="str">
        <f>INDEX(Move_Out_Reasons!H:H,MATCH(A45,Move_Out_Reasons!B:B,0))</f>
        <v>Need Larger Apartment</v>
      </c>
      <c r="F45" s="600" t="s">
        <v>1523</v>
      </c>
    </row>
    <row r="46" spans="1:6">
      <c r="A46" s="587" t="s">
        <v>1545</v>
      </c>
      <c r="B46" s="587" t="str">
        <f>INDEX(Move_Out_Reasons!D:D,MATCH(A46,Move_Out_Reasons!B:B,0))</f>
        <v>Straw, Zantevia</v>
      </c>
      <c r="C46" s="588">
        <f>INDEX(Move_Out_Reasons!M:M,MATCH(A46,Move_Out_Reasons!B:B,0))</f>
        <v>0</v>
      </c>
      <c r="D46" s="588">
        <v>234.88</v>
      </c>
      <c r="E46" s="587" t="str">
        <f>INDEX(Move_Out_Reasons!H:H,MATCH(A46,Move_Out_Reasons!B:B,0))</f>
        <v>Job Transfer / Lost Job</v>
      </c>
      <c r="F46" s="587" t="s">
        <v>1518</v>
      </c>
    </row>
    <row r="47" spans="1:6">
      <c r="A47" s="600" t="s">
        <v>1546</v>
      </c>
      <c r="B47" s="600" t="str">
        <f>INDEX(Move_Out_Reasons!D:D,MATCH(A47,Move_Out_Reasons!B:B,0))</f>
        <v>Nunez, Raul</v>
      </c>
      <c r="C47" s="601">
        <f>INDEX(Move_Out_Reasons!M:M,MATCH(A47,Move_Out_Reasons!B:B,0))</f>
        <v>0</v>
      </c>
      <c r="D47" s="601"/>
      <c r="E47" s="600" t="str">
        <f>INDEX(Move_Out_Reasons!H:H,MATCH(A47,Move_Out_Reasons!B:B,0))</f>
        <v>Job Transfer / Lost Job</v>
      </c>
      <c r="F47" s="600" t="s">
        <v>1523</v>
      </c>
    </row>
    <row r="48" spans="1:6">
      <c r="A48" s="587" t="s">
        <v>1547</v>
      </c>
      <c r="B48" s="587" t="str">
        <f>INDEX(Move_Out_Reasons!D:D,MATCH(A48,Move_Out_Reasons!B:B,0))</f>
        <v>Palomino, Keiry</v>
      </c>
      <c r="C48" s="588">
        <f>INDEX(Move_Out_Reasons!M:M,MATCH(A48,Move_Out_Reasons!B:B,0))</f>
        <v>0</v>
      </c>
      <c r="D48" s="588"/>
      <c r="E48" s="587" t="str">
        <f>INDEX(Move_Out_Reasons!H:H,MATCH(A48,Move_Out_Reasons!B:B,0))</f>
        <v>Job Transfer / Lost Job</v>
      </c>
      <c r="F48" s="587" t="s">
        <v>1523</v>
      </c>
    </row>
    <row r="49" spans="1:6">
      <c r="A49" s="600" t="s">
        <v>1548</v>
      </c>
      <c r="B49" s="600" t="str">
        <f>INDEX(Move_Out_Reasons!D:D,MATCH(A49,Move_Out_Reasons!B:B,0))</f>
        <v>Chavez, Jessica</v>
      </c>
      <c r="C49" s="601">
        <f>INDEX(Move_Out_Reasons!M:M,MATCH(A49,Move_Out_Reasons!B:B,0))</f>
        <v>0</v>
      </c>
      <c r="D49" s="601"/>
      <c r="E49" s="600" t="str">
        <f>INDEX(Move_Out_Reasons!H:H,MATCH(A49,Move_Out_Reasons!B:B,0))</f>
        <v>Need Larger Apartment</v>
      </c>
      <c r="F49" s="600" t="s">
        <v>1523</v>
      </c>
    </row>
    <row r="50" spans="1:6">
      <c r="A50" s="587" t="s">
        <v>1549</v>
      </c>
      <c r="B50" s="587" t="str">
        <f>INDEX(Move_Out_Reasons!D:D,MATCH(A50,Move_Out_Reasons!B:B,0))</f>
        <v>Mavungo, Ramon</v>
      </c>
      <c r="C50" s="588">
        <f>INDEX(Move_Out_Reasons!M:M,MATCH(A50,Move_Out_Reasons!B:B,0))</f>
        <v>0</v>
      </c>
      <c r="D50" s="588"/>
      <c r="E50" s="587" t="str">
        <f>INDEX(Move_Out_Reasons!H:H,MATCH(A50,Move_Out_Reasons!B:B,0))</f>
        <v>Skipped Without Notice</v>
      </c>
      <c r="F50" s="587" t="s">
        <v>1523</v>
      </c>
    </row>
    <row r="51" spans="1:6">
      <c r="A51" s="600" t="s">
        <v>1550</v>
      </c>
      <c r="B51" s="600" t="str">
        <f>INDEX(Move_Out_Reasons!D:D,MATCH(A51,Move_Out_Reasons!B:B,0))</f>
        <v>Dennis, Christy</v>
      </c>
      <c r="C51" s="601">
        <f>INDEX(Move_Out_Reasons!M:M,MATCH(A51,Move_Out_Reasons!B:B,0))</f>
        <v>0</v>
      </c>
      <c r="D51" s="601"/>
      <c r="E51" s="600" t="str">
        <f>INDEX(Move_Out_Reasons!H:H,MATCH(A51,Move_Out_Reasons!B:B,0))</f>
        <v>Skipped Without Notice</v>
      </c>
      <c r="F51" s="600" t="s">
        <v>1523</v>
      </c>
    </row>
    <row r="52" spans="1:6">
      <c r="A52" s="587" t="s">
        <v>1551</v>
      </c>
      <c r="B52" s="587" t="str">
        <f>INDEX(Move_Out_Reasons!D:D,MATCH(A52,Move_Out_Reasons!B:B,0))</f>
        <v>Giles, Avelaura</v>
      </c>
      <c r="C52" s="588">
        <f>INDEX(Move_Out_Reasons!M:M,MATCH(A52,Move_Out_Reasons!B:B,0))</f>
        <v>0</v>
      </c>
      <c r="D52" s="588"/>
      <c r="E52" s="587" t="str">
        <f>INDEX(Move_Out_Reasons!H:H,MATCH(A52,Move_Out_Reasons!B:B,0))</f>
        <v>Skipped Without Notice</v>
      </c>
      <c r="F52" s="587" t="s">
        <v>1523</v>
      </c>
    </row>
    <row r="53" spans="1:6">
      <c r="A53" s="600" t="s">
        <v>1552</v>
      </c>
      <c r="B53" s="600" t="str">
        <f>INDEX(Move_Out_Reasons!D:D,MATCH(A53,Move_Out_Reasons!B:B,0))</f>
        <v>Mendieta, Isaac</v>
      </c>
      <c r="C53" s="601">
        <f>INDEX(Move_Out_Reasons!M:M,MATCH(A53,Move_Out_Reasons!B:B,0))</f>
        <v>0</v>
      </c>
      <c r="D53" s="601"/>
      <c r="E53" s="600" t="str">
        <f>INDEX(Move_Out_Reasons!H:H,MATCH(A53,Move_Out_Reasons!B:B,0))</f>
        <v>Moving out of state</v>
      </c>
      <c r="F53" s="600" t="s">
        <v>1523</v>
      </c>
    </row>
    <row r="54" spans="1:6">
      <c r="A54" s="587" t="s">
        <v>1553</v>
      </c>
      <c r="B54" s="587" t="str">
        <f>INDEX(Move_Out_Reasons!D:D,MATCH(A54,Move_Out_Reasons!B:B,0))</f>
        <v>Barr, Ebony</v>
      </c>
      <c r="C54" s="588">
        <f>INDEX(Move_Out_Reasons!M:M,MATCH(A54,Move_Out_Reasons!B:B,0))</f>
        <v>0</v>
      </c>
      <c r="D54" s="588">
        <v>1385.86</v>
      </c>
      <c r="E54" s="587" t="str">
        <f>INDEX(Move_Out_Reasons!H:H,MATCH(A54,Move_Out_Reasons!B:B,0))</f>
        <v>Transfer On-Site</v>
      </c>
      <c r="F54" s="587" t="s">
        <v>1518</v>
      </c>
    </row>
    <row r="55" spans="1:6">
      <c r="A55" s="600" t="s">
        <v>1554</v>
      </c>
      <c r="B55" s="600" t="str">
        <f>INDEX(Move_Out_Reasons!D:D,MATCH(A55,Move_Out_Reasons!B:B,0))</f>
        <v>Catalan, Yacqueline</v>
      </c>
      <c r="C55" s="601">
        <f>INDEX(Move_Out_Reasons!M:M,MATCH(A55,Move_Out_Reasons!B:B,0))</f>
        <v>0</v>
      </c>
      <c r="D55" s="601"/>
      <c r="E55" s="600" t="str">
        <f>INDEX(Move_Out_Reasons!H:H,MATCH(A55,Move_Out_Reasons!B:B,0))</f>
        <v>Skipped Without Notice</v>
      </c>
      <c r="F55" s="600" t="s">
        <v>1523</v>
      </c>
    </row>
    <row r="56" spans="1:6">
      <c r="A56" s="587" t="s">
        <v>1555</v>
      </c>
      <c r="B56" s="587" t="str">
        <f>INDEX(Move_Out_Reasons!D:D,MATCH(A56,Move_Out_Reasons!B:B,0))</f>
        <v>Ugiomoh, Jude</v>
      </c>
      <c r="C56" s="588">
        <f>INDEX(Move_Out_Reasons!M:M,MATCH(A56,Move_Out_Reasons!B:B,0))</f>
        <v>0</v>
      </c>
      <c r="D56" s="588"/>
      <c r="E56" s="587" t="str">
        <f>INDEX(Move_Out_Reasons!H:H,MATCH(A56,Move_Out_Reasons!B:B,0))</f>
        <v>Need Larger Apartment</v>
      </c>
      <c r="F56" s="587" t="s">
        <v>1523</v>
      </c>
    </row>
    <row r="57" spans="1:6">
      <c r="A57" s="600" t="s">
        <v>1220</v>
      </c>
      <c r="B57" s="600" t="str">
        <f>INDEX(Move_Out_Reasons!D:D,MATCH(A57,Move_Out_Reasons!B:B,0))</f>
        <v>Dominguez, Amanda</v>
      </c>
      <c r="C57" s="601">
        <f>INDEX(Move_Out_Reasons!M:M,MATCH(A57,Move_Out_Reasons!B:B,0))</f>
        <v>0</v>
      </c>
      <c r="D57" s="601"/>
      <c r="E57" s="600" t="str">
        <f>INDEX(Move_Out_Reasons!H:H,MATCH(A57,Move_Out_Reasons!B:B,0))</f>
        <v>Moving out of state</v>
      </c>
      <c r="F57" s="600" t="s">
        <v>1523</v>
      </c>
    </row>
    <row r="58" spans="1:6">
      <c r="A58" s="587" t="s">
        <v>1556</v>
      </c>
      <c r="B58" s="587" t="str">
        <f>INDEX(Move_Out_Reasons!D:D,MATCH(A58,Move_Out_Reasons!B:B,0))</f>
        <v>Diaz, Noemi</v>
      </c>
      <c r="C58" s="588">
        <f>INDEX(Move_Out_Reasons!M:M,MATCH(A58,Move_Out_Reasons!B:B,0))</f>
        <v>0</v>
      </c>
      <c r="D58" s="588"/>
      <c r="E58" s="587" t="str">
        <f>INDEX(Move_Out_Reasons!H:H,MATCH(A58,Move_Out_Reasons!B:B,0))</f>
        <v>Rental Increase</v>
      </c>
      <c r="F58" s="587" t="s">
        <v>1523</v>
      </c>
    </row>
    <row r="59" spans="1:6">
      <c r="A59" s="600" t="s">
        <v>1557</v>
      </c>
      <c r="B59" s="600" t="str">
        <f>INDEX(Move_Out_Reasons!D:D,MATCH(A59,Move_Out_Reasons!B:B,0))</f>
        <v>Sunday, Akinola</v>
      </c>
      <c r="C59" s="601">
        <f>INDEX(Move_Out_Reasons!M:M,MATCH(A59,Move_Out_Reasons!B:B,0))</f>
        <v>0</v>
      </c>
      <c r="D59" s="601"/>
      <c r="E59" s="600" t="str">
        <f>INDEX(Move_Out_Reasons!H:H,MATCH(A59,Move_Out_Reasons!B:B,0))</f>
        <v>Job Transfer / Lost Job</v>
      </c>
      <c r="F59" s="600" t="s">
        <v>1523</v>
      </c>
    </row>
    <row r="60" spans="1:6">
      <c r="A60" s="587" t="s">
        <v>1558</v>
      </c>
      <c r="B60" s="587" t="str">
        <f>INDEX(Move_Out_Reasons!D:D,MATCH(A60,Move_Out_Reasons!B:B,0))</f>
        <v>Beltran, Rosio</v>
      </c>
      <c r="C60" s="588">
        <f>INDEX(Move_Out_Reasons!M:M,MATCH(A60,Move_Out_Reasons!B:B,0))</f>
        <v>0</v>
      </c>
      <c r="D60" s="588"/>
      <c r="E60" s="587" t="str">
        <f>INDEX(Move_Out_Reasons!H:H,MATCH(A60,Move_Out_Reasons!B:B,0))</f>
        <v>Job Transfer / Lost Job</v>
      </c>
      <c r="F60" s="587" t="s">
        <v>1523</v>
      </c>
    </row>
    <row r="61" spans="1:6">
      <c r="A61" s="600" t="s">
        <v>1559</v>
      </c>
      <c r="B61" s="600" t="str">
        <f>INDEX(Move_Out_Reasons!D:D,MATCH(A61,Move_Out_Reasons!B:B,0))</f>
        <v>Nwosu, Michael</v>
      </c>
      <c r="C61" s="601">
        <f>INDEX(Move_Out_Reasons!M:M,MATCH(A61,Move_Out_Reasons!B:B,0))</f>
        <v>0</v>
      </c>
      <c r="D61" s="601"/>
      <c r="E61" s="600" t="str">
        <f>INDEX(Move_Out_Reasons!H:H,MATCH(A61,Move_Out_Reasons!B:B,0))</f>
        <v>Skipped Without Notice</v>
      </c>
      <c r="F61" s="600" t="s">
        <v>1523</v>
      </c>
    </row>
    <row r="62" spans="1:6">
      <c r="A62" s="587" t="s">
        <v>1560</v>
      </c>
      <c r="B62" s="587" t="str">
        <f>INDEX(Move_Out_Reasons!D:D,MATCH(A62,Move_Out_Reasons!B:B,0))</f>
        <v>Thomas, Cori</v>
      </c>
      <c r="C62" s="588">
        <f>INDEX(Move_Out_Reasons!M:M,MATCH(A62,Move_Out_Reasons!B:B,0))</f>
        <v>1553.7</v>
      </c>
      <c r="D62" s="588"/>
      <c r="E62" s="587" t="str">
        <f>INDEX(Move_Out_Reasons!H:H,MATCH(A62,Move_Out_Reasons!B:B,0))</f>
        <v>Job Transfer / Lost Job</v>
      </c>
      <c r="F62" s="587" t="s">
        <v>1523</v>
      </c>
    </row>
    <row r="63" spans="1:6">
      <c r="A63" s="600" t="s">
        <v>1561</v>
      </c>
      <c r="B63" s="600" t="str">
        <f>INDEX(Move_Out_Reasons!D:D,MATCH(A63,Move_Out_Reasons!B:B,0))</f>
        <v>Ihenyen, Jude</v>
      </c>
      <c r="C63" s="601">
        <f>INDEX(Move_Out_Reasons!M:M,MATCH(A63,Move_Out_Reasons!B:B,0))</f>
        <v>0</v>
      </c>
      <c r="D63" s="601"/>
      <c r="E63" s="600" t="str">
        <f>INDEX(Move_Out_Reasons!H:H,MATCH(A63,Move_Out_Reasons!B:B,0))</f>
        <v>Job Transfer / Lost Job</v>
      </c>
      <c r="F63" s="600" t="s">
        <v>1523</v>
      </c>
    </row>
    <row r="64" spans="1:6">
      <c r="A64" s="587" t="s">
        <v>1562</v>
      </c>
      <c r="B64" s="587" t="str">
        <f>INDEX(Move_Out_Reasons!D:D,MATCH(A64,Move_Out_Reasons!B:B,0))</f>
        <v>Aguilera, Angelica</v>
      </c>
      <c r="C64" s="588">
        <f>INDEX(Move_Out_Reasons!M:M,MATCH(A64,Move_Out_Reasons!B:B,0))</f>
        <v>0</v>
      </c>
      <c r="D64" s="588"/>
      <c r="E64" s="587" t="str">
        <f>INDEX(Move_Out_Reasons!H:H,MATCH(A64,Move_Out_Reasons!B:B,0))</f>
        <v>Job Transfer / Lost Job</v>
      </c>
      <c r="F64" s="587" t="s">
        <v>1523</v>
      </c>
    </row>
    <row r="65" spans="1:6">
      <c r="A65" s="600" t="s">
        <v>1563</v>
      </c>
      <c r="B65" s="600" t="str">
        <f>INDEX(Move_Out_Reasons!D:D,MATCH(A65,Move_Out_Reasons!B:B,0))</f>
        <v>Ofili, Bukunmi</v>
      </c>
      <c r="C65" s="601">
        <f>INDEX(Move_Out_Reasons!M:M,MATCH(A65,Move_Out_Reasons!B:B,0))</f>
        <v>0</v>
      </c>
      <c r="D65" s="601"/>
      <c r="E65" s="600" t="str">
        <f>INDEX(Move_Out_Reasons!H:H,MATCH(A65,Move_Out_Reasons!B:B,0))</f>
        <v>Need Larger Apartment</v>
      </c>
      <c r="F65" s="600" t="s">
        <v>1523</v>
      </c>
    </row>
    <row r="66" spans="1:6">
      <c r="A66" s="587" t="s">
        <v>1564</v>
      </c>
      <c r="B66" s="587" t="str">
        <f>INDEX(Move_Out_Reasons!D:D,MATCH(A66,Move_Out_Reasons!B:B,0))</f>
        <v>Fairley, Azreal</v>
      </c>
      <c r="C66" s="588">
        <f>INDEX(Move_Out_Reasons!M:M,MATCH(A66,Move_Out_Reasons!B:B,0))</f>
        <v>0</v>
      </c>
      <c r="D66" s="588"/>
      <c r="E66" s="587" t="str">
        <f>INDEX(Move_Out_Reasons!H:H,MATCH(A66,Move_Out_Reasons!B:B,0))</f>
        <v>Skipped Without Notice</v>
      </c>
      <c r="F66" s="587" t="s">
        <v>1523</v>
      </c>
    </row>
    <row r="67" spans="1:6">
      <c r="A67" s="587" t="s">
        <v>1565</v>
      </c>
      <c r="B67" s="587" t="str">
        <f>INDEX(Move_Out_Reasons!D:D,MATCH(A67,Move_Out_Reasons!B:B,0))</f>
        <v>Brown, Nicole</v>
      </c>
      <c r="C67" s="588">
        <f>INDEX(Move_Out_Reasons!M:M,MATCH(A67,Move_Out_Reasons!B:B,0))</f>
        <v>0</v>
      </c>
      <c r="D67" s="588"/>
      <c r="E67" s="587" t="str">
        <f>INDEX(Move_Out_Reasons!H:H,MATCH(A67,Move_Out_Reasons!B:B,0))</f>
        <v>Skipped During Eviction</v>
      </c>
      <c r="F67" s="587" t="s">
        <v>1523</v>
      </c>
    </row>
    <row r="68" spans="1:6">
      <c r="A68" s="587" t="s">
        <v>1566</v>
      </c>
      <c r="B68" s="587" t="str">
        <f>INDEX(Move_Out_Reasons!D:D,MATCH(A68,Move_Out_Reasons!B:B,0))</f>
        <v>Miller, Faye</v>
      </c>
      <c r="C68" s="588">
        <f>INDEX(Move_Out_Reasons!M:M,MATCH(A68,Move_Out_Reasons!B:B,0))</f>
        <v>0</v>
      </c>
      <c r="D68" s="588"/>
      <c r="E68" s="587" t="str">
        <f>INDEX(Move_Out_Reasons!H:H,MATCH(A68,Move_Out_Reasons!B:B,0))</f>
        <v>Skipped During Eviction</v>
      </c>
      <c r="F68" s="587" t="s">
        <v>1523</v>
      </c>
    </row>
    <row r="69" spans="1:6">
      <c r="A69" s="587" t="s">
        <v>1567</v>
      </c>
      <c r="B69" s="587" t="str">
        <f>INDEX(Move_Out_Reasons!D:D,MATCH(A69,Move_Out_Reasons!B:B,0))</f>
        <v>Oladejo, Olufemi</v>
      </c>
      <c r="C69" s="588">
        <f>INDEX(Move_Out_Reasons!M:M,MATCH(A69,Move_Out_Reasons!B:B,0))</f>
        <v>0</v>
      </c>
      <c r="D69" s="588"/>
      <c r="E69" s="587" t="str">
        <f>INDEX(Move_Out_Reasons!H:H,MATCH(A69,Move_Out_Reasons!B:B,0))</f>
        <v>Skipped Without Notice</v>
      </c>
      <c r="F69" s="587" t="s">
        <v>1523</v>
      </c>
    </row>
    <row r="70" spans="1:6">
      <c r="A70" s="587" t="s">
        <v>1568</v>
      </c>
      <c r="B70" s="587" t="str">
        <f>INDEX(Move_Out_Reasons!D:D,MATCH(A70,Move_Out_Reasons!B:B,0))</f>
        <v>Contreras, Rocio</v>
      </c>
      <c r="C70" s="588">
        <f>INDEX(Move_Out_Reasons!M:M,MATCH(A70,Move_Out_Reasons!B:B,0))</f>
        <v>0</v>
      </c>
      <c r="D70" s="588"/>
      <c r="E70" s="587" t="str">
        <f>INDEX(Move_Out_Reasons!H:H,MATCH(A70,Move_Out_Reasons!B:B,0))</f>
        <v>Skipped During Eviction</v>
      </c>
      <c r="F70" s="587" t="s">
        <v>1523</v>
      </c>
    </row>
    <row r="71" spans="1:6">
      <c r="A71" s="587" t="s">
        <v>1569</v>
      </c>
      <c r="B71" s="587" t="str">
        <f>INDEX(Move_Out_Reasons!D:D,MATCH(A71,Move_Out_Reasons!B:B,0))</f>
        <v>Williams, Latesha</v>
      </c>
      <c r="C71" s="588">
        <f>INDEX(Move_Out_Reasons!M:M,MATCH(A71,Move_Out_Reasons!B:B,0))</f>
        <v>0</v>
      </c>
      <c r="D71" s="588"/>
      <c r="E71" s="587" t="str">
        <f>INDEX(Move_Out_Reasons!H:H,MATCH(A71,Move_Out_Reasons!B:B,0))</f>
        <v>Skipped During Eviction</v>
      </c>
      <c r="F71" s="587" t="s">
        <v>1523</v>
      </c>
    </row>
    <row r="72" spans="1:6">
      <c r="A72" s="587" t="s">
        <v>1570</v>
      </c>
      <c r="B72" s="587" t="str">
        <f>INDEX(Move_Out_Reasons!D:D,MATCH(A72,Move_Out_Reasons!B:B,0))</f>
        <v>Smiley, Brianca</v>
      </c>
      <c r="C72" s="588">
        <f>INDEX(Move_Out_Reasons!M:M,MATCH(A72,Move_Out_Reasons!B:B,0))</f>
        <v>0</v>
      </c>
      <c r="D72" s="588"/>
      <c r="E72" s="587" t="str">
        <f>INDEX(Move_Out_Reasons!H:H,MATCH(A72,Move_Out_Reasons!B:B,0))</f>
        <v>Skipped During Eviction</v>
      </c>
      <c r="F72" s="587" t="s">
        <v>1523</v>
      </c>
    </row>
    <row r="73" spans="1:6">
      <c r="A73" s="587" t="s">
        <v>1571</v>
      </c>
      <c r="B73" s="587" t="str">
        <f>INDEX(Move_Out_Reasons!D:D,MATCH(A73,Move_Out_Reasons!B:B,0))</f>
        <v>Antony, Tyler</v>
      </c>
      <c r="C73" s="588">
        <f>INDEX(Move_Out_Reasons!M:M,MATCH(A73,Move_Out_Reasons!B:B,0))</f>
        <v>0</v>
      </c>
      <c r="D73" s="588"/>
      <c r="E73" s="587" t="str">
        <f>INDEX(Move_Out_Reasons!H:H,MATCH(A73,Move_Out_Reasons!B:B,0))</f>
        <v>Skipped Without Notice</v>
      </c>
      <c r="F73" s="587" t="s">
        <v>1523</v>
      </c>
    </row>
    <row r="74" spans="1:6">
      <c r="A74" s="587" t="s">
        <v>1572</v>
      </c>
      <c r="B74" s="587" t="str">
        <f>INDEX(Move_Out_Reasons!D:D,MATCH(A74,Move_Out_Reasons!B:B,0))</f>
        <v>Smith, Katera</v>
      </c>
      <c r="C74" s="588">
        <f>INDEX(Move_Out_Reasons!M:M,MATCH(A74,Move_Out_Reasons!B:B,0))</f>
        <v>0</v>
      </c>
      <c r="D74" s="588"/>
      <c r="E74" s="587" t="str">
        <f>INDEX(Move_Out_Reasons!H:H,MATCH(A74,Move_Out_Reasons!B:B,0))</f>
        <v>Skipped During Eviction</v>
      </c>
      <c r="F74" s="587" t="s">
        <v>1523</v>
      </c>
    </row>
    <row r="75" spans="1:6">
      <c r="A75" s="587" t="s">
        <v>1573</v>
      </c>
      <c r="B75" s="587" t="str">
        <f>INDEX(Move_Out_Reasons!D:D,MATCH(A75,Move_Out_Reasons!B:B,0))</f>
        <v>Farrell, Krystal</v>
      </c>
      <c r="C75" s="588">
        <f>INDEX(Move_Out_Reasons!M:M,MATCH(A75,Move_Out_Reasons!B:B,0))</f>
        <v>0</v>
      </c>
      <c r="D75" s="588"/>
      <c r="E75" s="587" t="str">
        <f>INDEX(Move_Out_Reasons!H:H,MATCH(A75,Move_Out_Reasons!B:B,0))</f>
        <v>Failure To Pay</v>
      </c>
      <c r="F75" s="587" t="s">
        <v>1523</v>
      </c>
    </row>
    <row r="76" spans="1:6">
      <c r="A76" s="587" t="s">
        <v>1574</v>
      </c>
      <c r="B76" s="587" t="str">
        <f>INDEX(Move_Out_Reasons!D:D,MATCH(A76,Move_Out_Reasons!B:B,0))</f>
        <v>Asuncion, Eustacio</v>
      </c>
      <c r="C76" s="588">
        <f>INDEX(Move_Out_Reasons!M:M,MATCH(A76,Move_Out_Reasons!B:B,0))</f>
        <v>0</v>
      </c>
      <c r="D76" s="588"/>
      <c r="E76" s="587" t="str">
        <f>INDEX(Move_Out_Reasons!H:H,MATCH(A76,Move_Out_Reasons!B:B,0))</f>
        <v>Skipped Without Notice</v>
      </c>
      <c r="F76" s="587" t="s">
        <v>1523</v>
      </c>
    </row>
    <row r="77" spans="1:6">
      <c r="A77" s="587" t="s">
        <v>1575</v>
      </c>
      <c r="B77" s="587" t="str">
        <f>INDEX(Move_Out_Reasons!D:D,MATCH(A77,Move_Out_Reasons!B:B,0))</f>
        <v>Hugo Gonzalez, Jose</v>
      </c>
      <c r="C77" s="588">
        <f>INDEX(Move_Out_Reasons!M:M,MATCH(A77,Move_Out_Reasons!B:B,0))</f>
        <v>0</v>
      </c>
      <c r="D77" s="588"/>
      <c r="E77" s="587" t="str">
        <f>INDEX(Move_Out_Reasons!H:H,MATCH(A77,Move_Out_Reasons!B:B,0))</f>
        <v>Skipped Without Notice</v>
      </c>
      <c r="F77" s="587" t="s">
        <v>1523</v>
      </c>
    </row>
    <row r="78" spans="1:6">
      <c r="A78" s="587" t="s">
        <v>1576</v>
      </c>
      <c r="B78" s="587" t="str">
        <f>INDEX(Move_Out_Reasons!D:D,MATCH(A78,Move_Out_Reasons!B:B,0))</f>
        <v>Brown, Tamiko</v>
      </c>
      <c r="C78" s="588">
        <f>INDEX(Move_Out_Reasons!M:M,MATCH(A78,Move_Out_Reasons!B:B,0))</f>
        <v>0</v>
      </c>
      <c r="D78" s="588"/>
      <c r="E78" s="587" t="str">
        <f>INDEX(Move_Out_Reasons!H:H,MATCH(A78,Move_Out_Reasons!B:B,0))</f>
        <v>Non-Renewal (by Property)</v>
      </c>
      <c r="F78" s="587" t="s">
        <v>1523</v>
      </c>
    </row>
    <row r="79" spans="1:6">
      <c r="A79" s="587" t="s">
        <v>1577</v>
      </c>
      <c r="B79" s="587" t="str">
        <f>INDEX(Move_Out_Reasons!D:D,MATCH(A79,Move_Out_Reasons!B:B,0))</f>
        <v>Pinto, Arlin</v>
      </c>
      <c r="C79" s="588">
        <f>INDEX(Move_Out_Reasons!M:M,MATCH(A79,Move_Out_Reasons!B:B,0))</f>
        <v>0</v>
      </c>
      <c r="D79" s="588"/>
      <c r="E79" s="587" t="str">
        <f>INDEX(Move_Out_Reasons!H:H,MATCH(A79,Move_Out_Reasons!B:B,0))</f>
        <v>Skipped Without Notice</v>
      </c>
      <c r="F79" s="587" t="s">
        <v>1523</v>
      </c>
    </row>
    <row r="80" spans="1:6">
      <c r="A80" s="587" t="s">
        <v>1578</v>
      </c>
      <c r="B80" s="587" t="str">
        <f>INDEX(Move_Out_Reasons!D:D,MATCH(A80,Move_Out_Reasons!B:B,0))</f>
        <v>Tinoco, Jonathan</v>
      </c>
      <c r="C80" s="588">
        <f>INDEX(Move_Out_Reasons!M:M,MATCH(A80,Move_Out_Reasons!B:B,0))</f>
        <v>0</v>
      </c>
      <c r="D80" s="588"/>
      <c r="E80" s="587" t="str">
        <f>INDEX(Move_Out_Reasons!H:H,MATCH(A80,Move_Out_Reasons!B:B,0))</f>
        <v>Moving Out of Area</v>
      </c>
      <c r="F80" s="587" t="s">
        <v>1523</v>
      </c>
    </row>
    <row r="81" spans="1:6">
      <c r="A81" s="587" t="s">
        <v>1579</v>
      </c>
      <c r="B81" s="587" t="str">
        <f>INDEX(Move_Out_Reasons!D:D,MATCH(A81,Move_Out_Reasons!B:B,0))</f>
        <v>Brown, Ronald</v>
      </c>
      <c r="C81" s="588">
        <f>INDEX(Move_Out_Reasons!M:M,MATCH(A81,Move_Out_Reasons!B:B,0))</f>
        <v>0</v>
      </c>
      <c r="D81" s="588"/>
      <c r="E81" s="587" t="str">
        <f>INDEX(Move_Out_Reasons!H:H,MATCH(A81,Move_Out_Reasons!B:B,0))</f>
        <v>Skipped Without Notice</v>
      </c>
      <c r="F81" s="587" t="s">
        <v>1523</v>
      </c>
    </row>
    <row r="82" spans="1:6">
      <c r="A82" s="587" t="s">
        <v>1580</v>
      </c>
      <c r="B82" s="587" t="str">
        <f>INDEX(Move_Out_Reasons!D:D,MATCH(A82,Move_Out_Reasons!B:B,0))</f>
        <v>Moya, Cherilyn</v>
      </c>
      <c r="C82" s="588">
        <f>INDEX(Move_Out_Reasons!M:M,MATCH(A82,Move_Out_Reasons!B:B,0))</f>
        <v>0</v>
      </c>
      <c r="D82" s="588"/>
      <c r="E82" s="587" t="str">
        <f>INDEX(Move_Out_Reasons!H:H,MATCH(A82,Move_Out_Reasons!B:B,0))</f>
        <v>Skipped Without Notice</v>
      </c>
      <c r="F82" s="587" t="s">
        <v>1523</v>
      </c>
    </row>
    <row r="83" spans="1:6">
      <c r="A83" s="587" t="s">
        <v>1581</v>
      </c>
      <c r="B83" s="587" t="str">
        <f>INDEX(Move_Out_Reasons!D:D,MATCH(A83,Move_Out_Reasons!B:B,0))</f>
        <v>Lee, Nikiya</v>
      </c>
      <c r="C83" s="588">
        <f>INDEX(Move_Out_Reasons!M:M,MATCH(A83,Move_Out_Reasons!B:B,0))</f>
        <v>0</v>
      </c>
      <c r="D83" s="588"/>
      <c r="E83" s="587" t="str">
        <f>INDEX(Move_Out_Reasons!H:H,MATCH(A83,Move_Out_Reasons!B:B,0))</f>
        <v>Relationship / Marital Change</v>
      </c>
      <c r="F83" s="587" t="s">
        <v>1523</v>
      </c>
    </row>
    <row r="84" spans="1:6">
      <c r="A84" s="587" t="s">
        <v>1582</v>
      </c>
      <c r="B84" s="587" t="str">
        <f>INDEX(Move_Out_Reasons!D:D,MATCH(A84,Move_Out_Reasons!B:B,0))</f>
        <v>Babatope, Fakuade</v>
      </c>
      <c r="C84" s="588">
        <f>INDEX(Move_Out_Reasons!M:M,MATCH(A84,Move_Out_Reasons!B:B,0))</f>
        <v>0</v>
      </c>
      <c r="D84" s="588"/>
      <c r="E84" s="587" t="str">
        <f>INDEX(Move_Out_Reasons!H:H,MATCH(A84,Move_Out_Reasons!B:B,0))</f>
        <v>Moving Out of Area</v>
      </c>
      <c r="F84" s="587" t="s">
        <v>1523</v>
      </c>
    </row>
    <row r="85" spans="1:6">
      <c r="A85" s="587" t="s">
        <v>1583</v>
      </c>
      <c r="B85" s="587" t="str">
        <f>INDEX(Move_Out_Reasons!D:D,MATCH(A85,Move_Out_Reasons!B:B,0))</f>
        <v>Rojas, Mari</v>
      </c>
      <c r="C85" s="588">
        <f>INDEX(Move_Out_Reasons!M:M,MATCH(A85,Move_Out_Reasons!B:B,0))</f>
        <v>0</v>
      </c>
      <c r="D85" s="588"/>
      <c r="E85" s="587" t="str">
        <f>INDEX(Move_Out_Reasons!H:H,MATCH(A85,Move_Out_Reasons!B:B,0))</f>
        <v>Too Far From Work</v>
      </c>
      <c r="F85" s="587" t="s">
        <v>1523</v>
      </c>
    </row>
    <row r="86" spans="1:6">
      <c r="A86" s="587" t="s">
        <v>1584</v>
      </c>
      <c r="B86" s="587" t="str">
        <f>INDEX(Move_Out_Reasons!D:D,MATCH(A86,Move_Out_Reasons!B:B,0))</f>
        <v>Fonwo, Nicholas</v>
      </c>
      <c r="C86" s="588">
        <f>INDEX(Move_Out_Reasons!M:M,MATCH(A86,Move_Out_Reasons!B:B,0))</f>
        <v>0</v>
      </c>
      <c r="D86" s="588"/>
      <c r="E86" s="587" t="str">
        <f>INDEX(Move_Out_Reasons!H:H,MATCH(A86,Move_Out_Reasons!B:B,0))</f>
        <v>Moving Out of Area</v>
      </c>
      <c r="F86" s="587" t="s">
        <v>1523</v>
      </c>
    </row>
    <row r="87" spans="1:6">
      <c r="A87" s="587" t="s">
        <v>1585</v>
      </c>
      <c r="B87" s="587" t="str">
        <f>INDEX(Move_Out_Reasons!D:D,MATCH(A87,Move_Out_Reasons!B:B,0))</f>
        <v>Lennan, Trevion</v>
      </c>
      <c r="C87" s="588">
        <f>INDEX(Move_Out_Reasons!M:M,MATCH(A87,Move_Out_Reasons!B:B,0))</f>
        <v>0</v>
      </c>
      <c r="D87" s="588"/>
      <c r="E87" s="587" t="str">
        <f>INDEX(Move_Out_Reasons!H:H,MATCH(A87,Move_Out_Reasons!B:B,0))</f>
        <v>Transfer On-Site</v>
      </c>
      <c r="F87" s="587" t="s">
        <v>1523</v>
      </c>
    </row>
    <row r="88" spans="1:6">
      <c r="A88" s="587" t="s">
        <v>1586</v>
      </c>
      <c r="B88" s="587" t="str">
        <f>INDEX(Move_Out_Reasons!D:D,MATCH(A88,Move_Out_Reasons!B:B,0))</f>
        <v>Alejandro, Victor</v>
      </c>
      <c r="C88" s="588">
        <f>INDEX(Move_Out_Reasons!M:M,MATCH(A88,Move_Out_Reasons!B:B,0))</f>
        <v>0</v>
      </c>
      <c r="D88" s="588"/>
      <c r="E88" s="587" t="str">
        <f>INDEX(Move_Out_Reasons!H:H,MATCH(A88,Move_Out_Reasons!B:B,0))</f>
        <v>Maintenance Issue in Unit</v>
      </c>
      <c r="F88" s="587" t="s">
        <v>1523</v>
      </c>
    </row>
    <row r="89" spans="1:6">
      <c r="A89" s="587" t="s">
        <v>1587</v>
      </c>
      <c r="B89" s="587" t="str">
        <f>INDEX(Move_Out_Reasons!D:D,MATCH(A89,Move_Out_Reasons!B:B,0))</f>
        <v>Roof, Earl</v>
      </c>
      <c r="C89" s="588">
        <f>INDEX(Move_Out_Reasons!M:M,MATCH(A89,Move_Out_Reasons!B:B,0))</f>
        <v>0</v>
      </c>
      <c r="D89" s="588"/>
      <c r="E89" s="587" t="str">
        <f>INDEX(Move_Out_Reasons!H:H,MATCH(A89,Move_Out_Reasons!B:B,0))</f>
        <v>Skipped Without Notice</v>
      </c>
      <c r="F89" s="587" t="s">
        <v>1523</v>
      </c>
    </row>
    <row r="90" spans="1:6">
      <c r="A90" s="587" t="s">
        <v>1588</v>
      </c>
      <c r="B90" s="587" t="str">
        <f>INDEX(Move_Out_Reasons!D:D,MATCH(A90,Move_Out_Reasons!B:B,0))</f>
        <v>Rodriguez, Daniel</v>
      </c>
      <c r="C90" s="588">
        <f>INDEX(Move_Out_Reasons!M:M,MATCH(A90,Move_Out_Reasons!B:B,0))</f>
        <v>0</v>
      </c>
      <c r="D90" s="588"/>
      <c r="E90" s="587" t="str">
        <f>INDEX(Move_Out_Reasons!H:H,MATCH(A90,Move_Out_Reasons!B:B,0))</f>
        <v>Relationship / Marital Change</v>
      </c>
      <c r="F90" s="587" t="s">
        <v>1523</v>
      </c>
    </row>
    <row r="91" spans="1:6">
      <c r="A91" s="587" t="s">
        <v>1589</v>
      </c>
      <c r="B91" s="587" t="str">
        <f>INDEX(Move_Out_Reasons!D:D,MATCH(A91,Move_Out_Reasons!B:B,0))</f>
        <v>Rodriguez, Mariela</v>
      </c>
      <c r="C91" s="588">
        <f>INDEX(Move_Out_Reasons!M:M,MATCH(A91,Move_Out_Reasons!B:B,0))</f>
        <v>0</v>
      </c>
      <c r="D91" s="588"/>
      <c r="E91" s="587" t="str">
        <f>INDEX(Move_Out_Reasons!H:H,MATCH(A91,Move_Out_Reasons!B:B,0))</f>
        <v>Need Larger Apartment</v>
      </c>
      <c r="F91" s="587" t="s">
        <v>1523</v>
      </c>
    </row>
    <row r="92" spans="1:6">
      <c r="A92" s="587" t="s">
        <v>1590</v>
      </c>
      <c r="B92" s="587" t="str">
        <f>INDEX(Move_Out_Reasons!D:D,MATCH(A92,Move_Out_Reasons!B:B,0))</f>
        <v>Kayse, Edioye</v>
      </c>
      <c r="C92" s="588">
        <f>INDEX(Move_Out_Reasons!M:M,MATCH(A92,Move_Out_Reasons!B:B,0))</f>
        <v>0</v>
      </c>
      <c r="D92" s="588"/>
      <c r="E92" s="587" t="str">
        <f>INDEX(Move_Out_Reasons!H:H,MATCH(A92,Move_Out_Reasons!B:B,0))</f>
        <v>Non-Renewal (by Property)</v>
      </c>
      <c r="F92" s="587" t="s">
        <v>1523</v>
      </c>
    </row>
    <row r="93" spans="1:6">
      <c r="A93" s="587" t="s">
        <v>1591</v>
      </c>
      <c r="B93" s="587" t="str">
        <f>INDEX(Move_Out_Reasons!D:D,MATCH(A93,Move_Out_Reasons!B:B,0))</f>
        <v>Mendoza, Karina</v>
      </c>
      <c r="C93" s="588">
        <f>INDEX(Move_Out_Reasons!M:M,MATCH(A93,Move_Out_Reasons!B:B,0))</f>
        <v>0</v>
      </c>
      <c r="D93" s="588"/>
      <c r="E93" s="587" t="str">
        <f>INDEX(Move_Out_Reasons!H:H,MATCH(A93,Move_Out_Reasons!B:B,0))</f>
        <v>Financial Difficulties</v>
      </c>
      <c r="F93" s="587" t="s">
        <v>1523</v>
      </c>
    </row>
    <row r="94" spans="1:6">
      <c r="A94" s="587" t="s">
        <v>1592</v>
      </c>
      <c r="B94" s="587" t="str">
        <f>INDEX(Move_Out_Reasons!D:D,MATCH(A94,Move_Out_Reasons!B:B,0))</f>
        <v>Anchondo, Damian</v>
      </c>
      <c r="C94" s="588">
        <f>INDEX(Move_Out_Reasons!M:M,MATCH(A94,Move_Out_Reasons!B:B,0))</f>
        <v>0</v>
      </c>
      <c r="D94" s="588"/>
      <c r="E94" s="587" t="str">
        <f>INDEX(Move_Out_Reasons!H:H,MATCH(A94,Move_Out_Reasons!B:B,0))</f>
        <v>Skipped Without Notice</v>
      </c>
      <c r="F94" s="587" t="s">
        <v>1523</v>
      </c>
    </row>
    <row r="95" spans="1:6">
      <c r="A95" s="587" t="s">
        <v>1593</v>
      </c>
      <c r="B95" s="587" t="str">
        <f>INDEX(Move_Out_Reasons!D:D,MATCH(A95,Move_Out_Reasons!B:B,0))</f>
        <v>Hernandez, Andres</v>
      </c>
      <c r="C95" s="588">
        <f>INDEX(Move_Out_Reasons!M:M,MATCH(A95,Move_Out_Reasons!B:B,0))</f>
        <v>0</v>
      </c>
      <c r="D95" s="588"/>
      <c r="E95" s="587" t="str">
        <f>INDEX(Move_Out_Reasons!H:H,MATCH(A95,Move_Out_Reasons!B:B,0))</f>
        <v>Skipped Without Notice</v>
      </c>
      <c r="F95" s="587" t="s">
        <v>1523</v>
      </c>
    </row>
    <row r="96" spans="1:6">
      <c r="A96" s="587" t="s">
        <v>1594</v>
      </c>
      <c r="B96" s="587" t="str">
        <f>INDEX(Move_Out_Reasons!D:D,MATCH(A96,Move_Out_Reasons!B:B,0))</f>
        <v>Gang, Xie</v>
      </c>
      <c r="C96" s="588">
        <f>INDEX(Move_Out_Reasons!M:M,MATCH(A96,Move_Out_Reasons!B:B,0))</f>
        <v>0</v>
      </c>
      <c r="D96" s="588"/>
      <c r="E96" s="587" t="str">
        <f>INDEX(Move_Out_Reasons!H:H,MATCH(A96,Move_Out_Reasons!B:B,0))</f>
        <v>Moving out of state</v>
      </c>
      <c r="F96" s="587" t="s">
        <v>1523</v>
      </c>
    </row>
    <row r="97" spans="1:6">
      <c r="A97" s="587" t="s">
        <v>1595</v>
      </c>
      <c r="B97" s="587" t="str">
        <f>INDEX(Move_Out_Reasons!D:D,MATCH(A97,Move_Out_Reasons!B:B,0))</f>
        <v>Wilcox, Heidi</v>
      </c>
      <c r="C97" s="588">
        <f>INDEX(Move_Out_Reasons!M:M,MATCH(A97,Move_Out_Reasons!B:B,0))</f>
        <v>0</v>
      </c>
      <c r="D97" s="588"/>
      <c r="E97" s="587" t="str">
        <f>INDEX(Move_Out_Reasons!H:H,MATCH(A97,Move_Out_Reasons!B:B,0))</f>
        <v>Rental Increase</v>
      </c>
      <c r="F97" s="587" t="s">
        <v>1523</v>
      </c>
    </row>
    <row r="98" spans="1:6">
      <c r="A98" s="587" t="s">
        <v>1596</v>
      </c>
      <c r="B98" s="587" t="str">
        <f>INDEX(Move_Out_Reasons!D:D,MATCH(A98,Move_Out_Reasons!B:B,0))</f>
        <v>Barriga, Yanheli</v>
      </c>
      <c r="C98" s="588">
        <f>INDEX(Move_Out_Reasons!M:M,MATCH(A98,Move_Out_Reasons!B:B,0))</f>
        <v>0</v>
      </c>
      <c r="D98" s="588"/>
      <c r="E98" s="587" t="str">
        <f>INDEX(Move_Out_Reasons!H:H,MATCH(A98,Move_Out_Reasons!B:B,0))</f>
        <v>Unhappy w/ Neighbors</v>
      </c>
      <c r="F98" s="587" t="s">
        <v>1523</v>
      </c>
    </row>
    <row r="99" spans="1:6">
      <c r="A99" s="587" t="s">
        <v>1597</v>
      </c>
      <c r="B99" s="587" t="str">
        <f>INDEX(Move_Out_Reasons!D:D,MATCH(A99,Move_Out_Reasons!B:B,0))</f>
        <v>Newman, Alexandria</v>
      </c>
      <c r="C99" s="588">
        <f>INDEX(Move_Out_Reasons!M:M,MATCH(A99,Move_Out_Reasons!B:B,0))</f>
        <v>0</v>
      </c>
      <c r="D99" s="588"/>
      <c r="E99" s="587" t="str">
        <f>INDEX(Move_Out_Reasons!H:H,MATCH(A99,Move_Out_Reasons!B:B,0))</f>
        <v>Rented House</v>
      </c>
      <c r="F99" s="587" t="s">
        <v>1523</v>
      </c>
    </row>
    <row r="100" spans="1:6">
      <c r="A100" s="587" t="s">
        <v>1598</v>
      </c>
      <c r="B100" s="587" t="str">
        <f>INDEX(Move_Out_Reasons!D:D,MATCH(A100,Move_Out_Reasons!B:B,0))</f>
        <v>Olaniran, Oluwafikaunyomi</v>
      </c>
      <c r="C100" s="588">
        <f>INDEX(Move_Out_Reasons!M:M,MATCH(A100,Move_Out_Reasons!B:B,0))</f>
        <v>0</v>
      </c>
      <c r="D100" s="588"/>
      <c r="E100" s="587" t="str">
        <f>INDEX(Move_Out_Reasons!H:H,MATCH(A100,Move_Out_Reasons!B:B,0))</f>
        <v>Skipped Without Notice</v>
      </c>
      <c r="F100" s="587" t="s">
        <v>1523</v>
      </c>
    </row>
    <row r="101" spans="1:6" ht="15" thickBot="1">
      <c r="A101" s="587" t="s">
        <v>1599</v>
      </c>
      <c r="B101" s="587" t="str">
        <f>INDEX(Move_Out_Reasons!D:D,MATCH(A101,Move_Out_Reasons!B:B,0))</f>
        <v>Cisse, Oumar</v>
      </c>
      <c r="C101" s="588">
        <f>INDEX(Move_Out_Reasons!M:M,MATCH(A101,Move_Out_Reasons!B:B,0))</f>
        <v>0</v>
      </c>
      <c r="D101" s="588"/>
      <c r="E101" s="587" t="str">
        <f>INDEX(Move_Out_Reasons!H:H,MATCH(A101,Move_Out_Reasons!B:B,0))</f>
        <v>Relationship / Marital Change</v>
      </c>
      <c r="F101" s="587" t="s">
        <v>1523</v>
      </c>
    </row>
    <row r="102" spans="1:6" ht="15" thickBot="1">
      <c r="A102" s="589" t="s">
        <v>856</v>
      </c>
      <c r="B102" s="589" t="str">
        <f>COUNTA(A20:A101)&amp;" Tenants"</f>
        <v>82 Tenants</v>
      </c>
      <c r="C102" s="590">
        <f>SUM(C20:C101)</f>
        <v>11036.050000000001</v>
      </c>
      <c r="D102" s="590">
        <f>SUM(D20:D101)</f>
        <v>56233.16</v>
      </c>
      <c r="E102" s="589"/>
      <c r="F102" s="589"/>
    </row>
    <row r="104" spans="1:6">
      <c r="A104" s="1263" t="s">
        <v>1600</v>
      </c>
      <c r="B104" s="1262"/>
      <c r="C104" s="1262"/>
      <c r="D104" s="1262"/>
      <c r="E104" s="1262"/>
      <c r="F104" s="1262"/>
    </row>
    <row r="105" spans="1:6">
      <c r="A105" s="1264" t="s">
        <v>1601</v>
      </c>
      <c r="B105" s="1262"/>
      <c r="C105" s="1262"/>
      <c r="D105" s="1262"/>
      <c r="E105" s="1262"/>
      <c r="F105" s="1262"/>
    </row>
    <row r="106" spans="1:6">
      <c r="A106" s="547" t="s">
        <v>859</v>
      </c>
      <c r="B106" s="547" t="s">
        <v>1377</v>
      </c>
      <c r="C106" s="547" t="s">
        <v>1602</v>
      </c>
      <c r="D106" s="547" t="s">
        <v>1603</v>
      </c>
    </row>
    <row r="107" spans="1:6">
      <c r="A107" s="548" t="s">
        <v>1604</v>
      </c>
      <c r="B107" s="548">
        <f>B5</f>
        <v>144</v>
      </c>
      <c r="C107" s="567">
        <f>B6</f>
        <v>415894.97</v>
      </c>
      <c r="D107" s="559">
        <f>B107/B107</f>
        <v>1</v>
      </c>
    </row>
    <row r="108" spans="1:6">
      <c r="A108" s="549" t="s">
        <v>1605</v>
      </c>
      <c r="B108" s="549">
        <f>B9</f>
        <v>82</v>
      </c>
      <c r="C108" s="568">
        <f>B10</f>
        <v>11036.050000000001</v>
      </c>
      <c r="D108" s="560">
        <f>B108/B107</f>
        <v>0.56944444444444442</v>
      </c>
    </row>
    <row r="109" spans="1:6">
      <c r="A109" s="551" t="s">
        <v>1606</v>
      </c>
      <c r="B109" s="551">
        <f>COUNTA(Delinquency_Detail_3!B17:B60)+COUNTA(Delinquency_Detail_3!B64:B96)</f>
        <v>77</v>
      </c>
      <c r="C109" s="569">
        <f>SUM(Delinquency_Detail_3!H17:H60)+SUM(Delinquency_Detail_3!H64:H96)</f>
        <v>543431.41</v>
      </c>
      <c r="D109" s="561">
        <f>B109/B107</f>
        <v>0.53472222222222221</v>
      </c>
    </row>
    <row r="111" spans="1:6">
      <c r="A111" s="1261" t="str">
        <f>"CLEARANCE RATE: "&amp;B108&amp;" of "&amp;B107&amp;" removed ("&amp;TEXT(B108/B107,"0.0%")&amp;" by count) | $"&amp;TEXT(C108,"#,##0")&amp;" of $"&amp;TEXT(C107,"#,##0")&amp;" cleared ("&amp;TEXT(C108/C107,"0.0%")&amp;" by $)"</f>
        <v>CLEARANCE RATE: 82 of 144 removed (56.9% by count) | $11,036 of $415,895 cleared (2.7% by $)</v>
      </c>
      <c r="B111" s="1262"/>
      <c r="C111" s="1262"/>
      <c r="D111" s="1262"/>
      <c r="E111" s="1262"/>
      <c r="F111" s="1262"/>
    </row>
    <row r="113" spans="1:6">
      <c r="A113" s="1265" t="s">
        <v>1607</v>
      </c>
      <c r="B113" s="1262"/>
      <c r="C113" s="1262"/>
      <c r="D113" s="1262"/>
      <c r="E113" s="1262"/>
      <c r="F113" s="1262"/>
    </row>
    <row r="114" spans="1:6">
      <c r="A114" s="1264" t="s">
        <v>1608</v>
      </c>
      <c r="B114" s="1262"/>
      <c r="C114" s="1262"/>
      <c r="D114" s="1262"/>
      <c r="E114" s="1262"/>
      <c r="F114" s="1262"/>
    </row>
    <row r="116" spans="1:6">
      <c r="A116" s="1261" t="s">
        <v>1609</v>
      </c>
      <c r="B116" s="1261"/>
      <c r="C116" s="1261"/>
      <c r="D116" s="1261"/>
      <c r="E116" s="1261"/>
      <c r="F116" s="1261"/>
    </row>
    <row r="117" spans="1:6">
      <c r="A117" s="547" t="s">
        <v>929</v>
      </c>
      <c r="B117" s="547" t="s">
        <v>1377</v>
      </c>
      <c r="C117" s="547" t="s">
        <v>1602</v>
      </c>
      <c r="D117" s="547" t="s">
        <v>1610</v>
      </c>
      <c r="E117" s="547" t="s">
        <v>1611</v>
      </c>
    </row>
    <row r="118" spans="1:6">
      <c r="A118" s="549" t="s">
        <v>1612</v>
      </c>
      <c r="B118" s="548">
        <f>COUNTIF(Delinquency_Detail_3!G17:G134,"Eviction")</f>
        <v>30</v>
      </c>
      <c r="C118" s="567">
        <f>SUMIF(Delinquency_Detail_3!G17:G134,"Eviction",Delinquency_Detail_3!H17:H134)</f>
        <v>332409.99000000005</v>
      </c>
      <c r="D118" s="559">
        <f>B118/SUM(B118:B120)</f>
        <v>0.29411764705882354</v>
      </c>
      <c r="E118" s="552" t="s">
        <v>1613</v>
      </c>
    </row>
    <row r="119" spans="1:6">
      <c r="A119" s="549" t="s">
        <v>1614</v>
      </c>
      <c r="B119" s="548">
        <f>COUNTIF(Delinquency_Detail_3!G17:G134,"Skip")</f>
        <v>16</v>
      </c>
      <c r="C119" s="567">
        <f>SUMIF(Delinquency_Detail_3!G17:G134,"Skip",Delinquency_Detail_3!H17:H134)</f>
        <v>81593.789999999994</v>
      </c>
      <c r="D119" s="559">
        <f>B119/SUM(B118:B120)</f>
        <v>0.15686274509803921</v>
      </c>
      <c r="E119" s="552" t="s">
        <v>1615</v>
      </c>
    </row>
    <row r="120" spans="1:6">
      <c r="A120" s="555" t="s">
        <v>1616</v>
      </c>
      <c r="B120" s="548">
        <f>COUNTIF(Delinquency_Detail_3!G17:G134,"Former")</f>
        <v>56</v>
      </c>
      <c r="C120" s="567">
        <f>SUMIF(Delinquency_Detail_3!G17:G134,"Former",Delinquency_Detail_3!H17:H134)</f>
        <v>148812.42000000001</v>
      </c>
      <c r="D120" s="559">
        <f>B120/SUM(B118:B120)</f>
        <v>0.5490196078431373</v>
      </c>
      <c r="E120" s="552" t="s">
        <v>1617</v>
      </c>
    </row>
    <row r="121" spans="1:6">
      <c r="A121" s="556" t="s">
        <v>1618</v>
      </c>
      <c r="B121" s="556">
        <f>SUM(B118:B120)</f>
        <v>102</v>
      </c>
      <c r="C121" s="570">
        <f>SUM(C118:C120)</f>
        <v>562816.20000000007</v>
      </c>
      <c r="D121" s="562">
        <f>SUM(D118:D120)</f>
        <v>1</v>
      </c>
      <c r="E121" s="557"/>
    </row>
    <row r="123" spans="1:6">
      <c r="A123" s="546" t="s">
        <v>1619</v>
      </c>
      <c r="B123" s="566">
        <f>B121/(B121+B133)</f>
        <v>0.98076923076923073</v>
      </c>
      <c r="C123" s="1266" t="str">
        <f>B121&amp;" removed vs. "&amp;B133&amp;" stalled/dismissed ("&amp;B121&amp;" of "&amp;B121+B133&amp;" cases completed)"</f>
        <v>102 removed vs. 2 stalled/dismissed (102 of 104 cases completed)</v>
      </c>
      <c r="D123" s="1262"/>
      <c r="E123" s="1262"/>
    </row>
    <row r="124" spans="1:6">
      <c r="A124" s="546" t="s">
        <v>1620</v>
      </c>
      <c r="B124" s="566">
        <f>B121/(B121+B135)</f>
        <v>0.76691729323308266</v>
      </c>
      <c r="C124" s="1266" t="str">
        <f>B121&amp;" of "&amp;B121+B135&amp;" total delinquent accounts removed"</f>
        <v>102 of 133 total delinquent accounts removed</v>
      </c>
      <c r="D124" s="1262"/>
      <c r="E124" s="1262"/>
    </row>
    <row r="126" spans="1:6">
      <c r="A126" s="1261" t="s">
        <v>1621</v>
      </c>
      <c r="B126" s="1262"/>
      <c r="C126" s="1262"/>
      <c r="D126" s="1262"/>
      <c r="E126" s="1262"/>
      <c r="F126" s="1262"/>
    </row>
    <row r="127" spans="1:6">
      <c r="A127" s="547" t="s">
        <v>1622</v>
      </c>
      <c r="B127" s="547" t="s">
        <v>1377</v>
      </c>
      <c r="C127" s="547" t="s">
        <v>1602</v>
      </c>
      <c r="D127" s="547" t="s">
        <v>1610</v>
      </c>
      <c r="E127" s="547" t="s">
        <v>1623</v>
      </c>
    </row>
    <row r="128" spans="1:6">
      <c r="A128" s="549" t="s">
        <v>1624</v>
      </c>
      <c r="B128" s="548">
        <v>3</v>
      </c>
      <c r="C128" s="567">
        <v>12411</v>
      </c>
      <c r="D128" s="559">
        <f>C128/SUM(C128:C134)</f>
        <v>0.13306983126475205</v>
      </c>
      <c r="E128" s="552" t="s">
        <v>1625</v>
      </c>
    </row>
    <row r="129" spans="1:6">
      <c r="A129" s="554" t="s">
        <v>1626</v>
      </c>
      <c r="B129" s="548">
        <v>6</v>
      </c>
      <c r="C129" s="567">
        <v>20164.04</v>
      </c>
      <c r="D129" s="559">
        <f>C129/SUM(C128:C134)</f>
        <v>0.21619735721663935</v>
      </c>
      <c r="E129" s="552" t="s">
        <v>1627</v>
      </c>
    </row>
    <row r="130" spans="1:6">
      <c r="A130" s="554" t="s">
        <v>1628</v>
      </c>
      <c r="B130" s="548">
        <v>9</v>
      </c>
      <c r="C130" s="567">
        <v>24418.74</v>
      </c>
      <c r="D130" s="559">
        <f>C130/SUM(C128:C134)</f>
        <v>0.26181593840124501</v>
      </c>
      <c r="E130" s="552" t="s">
        <v>1629</v>
      </c>
    </row>
    <row r="131" spans="1:6">
      <c r="A131" s="553" t="s">
        <v>1630</v>
      </c>
      <c r="B131" s="548">
        <v>5</v>
      </c>
      <c r="C131" s="567">
        <v>19566</v>
      </c>
      <c r="D131" s="559">
        <f>C131/SUM(C128:C134)</f>
        <v>0.2097852162215888</v>
      </c>
      <c r="E131" s="552" t="s">
        <v>1631</v>
      </c>
    </row>
    <row r="132" spans="1:6">
      <c r="A132" s="549" t="s">
        <v>1632</v>
      </c>
      <c r="B132" s="548">
        <v>3</v>
      </c>
      <c r="C132" s="567">
        <v>6337.04</v>
      </c>
      <c r="D132" s="559">
        <f>C132/SUM(C128:C134)</f>
        <v>6.7945277859800521E-2</v>
      </c>
      <c r="E132" s="552" t="s">
        <v>1633</v>
      </c>
    </row>
    <row r="133" spans="1:6">
      <c r="A133" s="550" t="s">
        <v>1634</v>
      </c>
      <c r="B133" s="548">
        <v>2</v>
      </c>
      <c r="C133" s="567">
        <v>6915</v>
      </c>
      <c r="D133" s="559">
        <f>C133/SUM(C128:C134)</f>
        <v>7.4142122568347457E-2</v>
      </c>
      <c r="E133" s="552" t="s">
        <v>1635</v>
      </c>
    </row>
    <row r="134" spans="1:6">
      <c r="A134" s="555" t="s">
        <v>1636</v>
      </c>
      <c r="B134" s="548">
        <v>3</v>
      </c>
      <c r="C134" s="567">
        <v>3455</v>
      </c>
      <c r="D134" s="559">
        <f>C134/SUM(C128:C134)</f>
        <v>3.7044256467626969E-2</v>
      </c>
      <c r="E134" s="552" t="s">
        <v>1637</v>
      </c>
    </row>
    <row r="135" spans="1:6">
      <c r="A135" s="594" t="s">
        <v>1618</v>
      </c>
      <c r="B135" s="594">
        <f>SUM(B128:B134)</f>
        <v>31</v>
      </c>
      <c r="C135" s="595">
        <f>SUM(C128:C134)</f>
        <v>93266.819999999992</v>
      </c>
      <c r="D135" s="596">
        <f>SUM(D128:D134)</f>
        <v>1.0000000000000002</v>
      </c>
      <c r="E135" s="597"/>
    </row>
    <row r="136" spans="1:6">
      <c r="A136" s="546" t="s">
        <v>1638</v>
      </c>
      <c r="B136" s="566">
        <f>(B128+B129+B132)/B135</f>
        <v>0.38709677419354838</v>
      </c>
    </row>
    <row r="138" spans="1:6">
      <c r="A138" s="1265" t="s">
        <v>1639</v>
      </c>
      <c r="B138" s="1262"/>
      <c r="C138" s="1262"/>
      <c r="D138" s="1262"/>
      <c r="E138" s="1262"/>
      <c r="F138" s="1262"/>
    </row>
    <row r="139" spans="1:6">
      <c r="A139" s="547" t="s">
        <v>859</v>
      </c>
      <c r="B139" s="547" t="s">
        <v>1377</v>
      </c>
      <c r="C139" s="547" t="s">
        <v>1602</v>
      </c>
      <c r="D139" s="547" t="s">
        <v>1378</v>
      </c>
    </row>
    <row r="140" spans="1:6">
      <c r="A140" s="591" t="s">
        <v>1640</v>
      </c>
      <c r="B140" s="591">
        <f>B121+B135</f>
        <v>133</v>
      </c>
      <c r="C140" s="592">
        <f>C121+C135</f>
        <v>656083.02</v>
      </c>
      <c r="D140" s="593">
        <v>1</v>
      </c>
    </row>
    <row r="141" spans="1:6">
      <c r="A141" s="549" t="s">
        <v>1641</v>
      </c>
      <c r="B141" s="549">
        <f>B118+B119+B128+B132</f>
        <v>52</v>
      </c>
      <c r="C141" s="568">
        <f>C118+C119+C128+C132</f>
        <v>432751.82</v>
      </c>
      <c r="D141" s="560">
        <f>B141/B140</f>
        <v>0.39097744360902253</v>
      </c>
    </row>
    <row r="142" spans="1:6">
      <c r="A142" s="554" t="s">
        <v>1642</v>
      </c>
      <c r="B142" s="554">
        <f>B129+B130+B131</f>
        <v>20</v>
      </c>
      <c r="C142" s="571">
        <f>C129+C130+C131</f>
        <v>64148.78</v>
      </c>
      <c r="D142" s="563">
        <f>B142/B140</f>
        <v>0.15037593984962405</v>
      </c>
    </row>
    <row r="143" spans="1:6">
      <c r="A143" s="550" t="s">
        <v>1643</v>
      </c>
      <c r="B143" s="550">
        <f>B133</f>
        <v>2</v>
      </c>
      <c r="C143" s="572">
        <f>C133</f>
        <v>6915</v>
      </c>
      <c r="D143" s="564">
        <f>B143/B140</f>
        <v>1.5037593984962405E-2</v>
      </c>
    </row>
    <row r="144" spans="1:6">
      <c r="A144" s="548" t="s">
        <v>1644</v>
      </c>
      <c r="B144" s="548">
        <f>B120</f>
        <v>56</v>
      </c>
      <c r="C144" s="567">
        <f>C120</f>
        <v>148812.42000000001</v>
      </c>
      <c r="D144" s="559">
        <f>B144/B140</f>
        <v>0.42105263157894735</v>
      </c>
    </row>
    <row r="145" spans="1:6">
      <c r="A145" s="558" t="s">
        <v>1636</v>
      </c>
      <c r="B145" s="558">
        <f>B134</f>
        <v>3</v>
      </c>
      <c r="C145" s="573">
        <f>C134</f>
        <v>3455</v>
      </c>
      <c r="D145" s="565">
        <f>B145/B140</f>
        <v>2.2556390977443608E-2</v>
      </c>
    </row>
    <row r="147" spans="1:6">
      <c r="A147" s="1265" t="s">
        <v>1645</v>
      </c>
      <c r="B147" s="1262"/>
      <c r="C147" s="1262"/>
      <c r="D147" s="1262"/>
      <c r="E147" s="1262"/>
      <c r="F147" s="1262"/>
    </row>
    <row r="148" spans="1:6">
      <c r="A148" s="1261" t="str">
        <f>"Resolved: "&amp;B141&amp;" of "&amp;B140&amp;" cases ("&amp;TEXT(B141/B140,"0.0%")&amp;") | Active: "&amp;B142&amp;" ("&amp;TEXT(B142/B140,"0.0%")&amp;") | Stalled: "&amp;B143&amp;" ("&amp;TEXT(B143/B140,"0.0%")&amp;") | Collections: "&amp;B144&amp;" ("&amp;TEXT(B144/B140,"0.0%")&amp;")"</f>
        <v>Resolved: 52 of 133 cases (39.1%) | Active: 20 (15.0%) | Stalled: 2 (1.5%) | Collections: 56 (42.1%)</v>
      </c>
      <c r="B148" s="1262"/>
      <c r="C148" s="1262"/>
      <c r="D148" s="1262"/>
      <c r="E148" s="1262"/>
      <c r="F148" s="1262"/>
    </row>
  </sheetData>
  <mergeCells count="16">
    <mergeCell ref="A1:F1"/>
    <mergeCell ref="A2:F2"/>
    <mergeCell ref="A8:D8"/>
    <mergeCell ref="A4:D4"/>
    <mergeCell ref="A148:F148"/>
    <mergeCell ref="A104:F104"/>
    <mergeCell ref="A105:F105"/>
    <mergeCell ref="A111:F111"/>
    <mergeCell ref="A113:F113"/>
    <mergeCell ref="A114:F114"/>
    <mergeCell ref="A116:F116"/>
    <mergeCell ref="C123:E123"/>
    <mergeCell ref="C124:E124"/>
    <mergeCell ref="A126:F126"/>
    <mergeCell ref="A138:F138"/>
    <mergeCell ref="A147:F147"/>
  </mergeCells>
  <pageMargins left="0.7" right="0.7" top="0.75" bottom="0.75" header="0.3" footer="0.3"/>
  <pageSetup scale="48" orientation="portrait" r:id="rId1"/>
  <rowBreaks count="1" manualBreakCount="1">
    <brk id="111" max="16383" man="1"/>
  </rowBreaks>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tabColor rgb="FF00B0F0"/>
  </sheetPr>
  <dimension ref="A1:X89"/>
  <sheetViews>
    <sheetView showGridLines="0" zoomScaleNormal="100" workbookViewId="0">
      <pane xSplit="2" ySplit="4" topLeftCell="C29" activePane="bottomRight" state="frozen"/>
      <selection pane="topRight" activeCell="AV34" sqref="AV34"/>
      <selection pane="bottomLeft" activeCell="AV34" sqref="AV34"/>
      <selection pane="bottomRight" activeCell="C35" sqref="C35"/>
    </sheetView>
  </sheetViews>
  <sheetFormatPr defaultColWidth="8.5546875" defaultRowHeight="14.4"/>
  <cols>
    <col min="1" max="3" width="12" customWidth="1"/>
    <col min="4" max="4" width="14" customWidth="1"/>
    <col min="5" max="5" width="12" customWidth="1"/>
    <col min="6" max="6" width="7" customWidth="1"/>
    <col min="7" max="8" width="8" customWidth="1"/>
    <col min="9" max="11" width="9" customWidth="1"/>
    <col min="12" max="13" width="11" customWidth="1"/>
    <col min="14" max="14" width="8" customWidth="1"/>
    <col min="15" max="15" width="11" customWidth="1"/>
    <col min="16" max="17" width="12" customWidth="1"/>
  </cols>
  <sheetData>
    <row r="1" spans="1:24" ht="24" customHeight="1">
      <c r="A1" s="10" t="s">
        <v>783</v>
      </c>
    </row>
    <row r="2" spans="1:24" ht="15" customHeight="1">
      <c r="A2" s="11" t="s">
        <v>1646</v>
      </c>
    </row>
    <row r="4" spans="1:24" ht="15" customHeight="1">
      <c r="A4" s="76" t="s">
        <v>1647</v>
      </c>
      <c r="B4" s="76" t="s">
        <v>1</v>
      </c>
      <c r="C4" s="76" t="s">
        <v>931</v>
      </c>
      <c r="D4" s="76" t="s">
        <v>1648</v>
      </c>
      <c r="E4" s="76" t="s">
        <v>1649</v>
      </c>
      <c r="F4" s="76" t="s">
        <v>937</v>
      </c>
      <c r="G4" s="76" t="s">
        <v>1650</v>
      </c>
      <c r="H4" s="76" t="s">
        <v>939</v>
      </c>
      <c r="I4" s="76" t="s">
        <v>940</v>
      </c>
      <c r="J4" s="76" t="s">
        <v>956</v>
      </c>
      <c r="K4" s="76" t="s">
        <v>1053</v>
      </c>
      <c r="L4" s="76" t="s">
        <v>1651</v>
      </c>
      <c r="M4" s="76" t="s">
        <v>1652</v>
      </c>
      <c r="N4" s="76" t="s">
        <v>1653</v>
      </c>
      <c r="O4" s="361" t="s">
        <v>1654</v>
      </c>
      <c r="P4" s="349" t="s">
        <v>1655</v>
      </c>
      <c r="Q4" s="348" t="s">
        <v>1235</v>
      </c>
      <c r="R4" s="348" t="s">
        <v>1189</v>
      </c>
      <c r="S4" s="348" t="s">
        <v>1188</v>
      </c>
      <c r="T4" s="348" t="s">
        <v>1656</v>
      </c>
      <c r="U4" s="348" t="s">
        <v>947</v>
      </c>
      <c r="V4" s="348" t="s">
        <v>1657</v>
      </c>
      <c r="W4" s="348" t="s">
        <v>1658</v>
      </c>
      <c r="X4" s="348" t="s">
        <v>1659</v>
      </c>
    </row>
    <row r="5" spans="1:24" ht="15" customHeight="1">
      <c r="A5" s="77">
        <v>1</v>
      </c>
      <c r="B5" s="78">
        <v>46028</v>
      </c>
      <c r="C5" s="79">
        <v>0.79400000000000004</v>
      </c>
      <c r="D5" s="80">
        <v>699</v>
      </c>
      <c r="E5" s="80">
        <v>105</v>
      </c>
      <c r="F5" s="80">
        <v>20</v>
      </c>
      <c r="G5" s="80">
        <v>14</v>
      </c>
      <c r="H5" s="80">
        <v>10</v>
      </c>
      <c r="I5" s="80">
        <v>9</v>
      </c>
      <c r="J5" s="79">
        <v>0.7</v>
      </c>
      <c r="K5" s="80">
        <v>5</v>
      </c>
      <c r="L5" s="81">
        <v>919000</v>
      </c>
      <c r="M5" s="81">
        <v>735000</v>
      </c>
      <c r="N5" s="79">
        <v>0.8</v>
      </c>
      <c r="O5" s="362">
        <v>300000</v>
      </c>
      <c r="P5" s="344"/>
      <c r="Q5" s="344"/>
      <c r="R5" s="344"/>
      <c r="S5" s="344"/>
      <c r="T5" s="344"/>
      <c r="U5" s="344"/>
      <c r="V5" s="344"/>
      <c r="W5" s="344"/>
      <c r="X5" s="344"/>
    </row>
    <row r="6" spans="1:24" ht="15" customHeight="1">
      <c r="A6" s="77">
        <v>2</v>
      </c>
      <c r="B6" s="78">
        <v>46035</v>
      </c>
      <c r="C6" s="79">
        <v>0.8</v>
      </c>
      <c r="D6" s="80">
        <v>704</v>
      </c>
      <c r="E6" s="80">
        <v>110</v>
      </c>
      <c r="F6" s="80">
        <v>21</v>
      </c>
      <c r="G6" s="80">
        <v>15</v>
      </c>
      <c r="H6" s="80">
        <v>11</v>
      </c>
      <c r="I6" s="80">
        <v>9</v>
      </c>
      <c r="J6" s="79">
        <v>0.7</v>
      </c>
      <c r="K6" s="80">
        <v>5</v>
      </c>
      <c r="L6" s="81">
        <v>919000</v>
      </c>
      <c r="M6" s="81">
        <v>781000</v>
      </c>
      <c r="N6" s="79">
        <v>0.85</v>
      </c>
      <c r="O6" s="362">
        <v>300000</v>
      </c>
      <c r="P6" s="344"/>
      <c r="Q6" s="344"/>
      <c r="R6" s="344"/>
      <c r="S6" s="344"/>
      <c r="T6" s="344"/>
      <c r="U6" s="344"/>
      <c r="V6" s="344"/>
      <c r="W6" s="344"/>
      <c r="X6" s="344"/>
    </row>
    <row r="7" spans="1:24" ht="15" customHeight="1">
      <c r="A7" s="77">
        <v>3</v>
      </c>
      <c r="B7" s="78">
        <v>46042</v>
      </c>
      <c r="C7" s="79">
        <v>0.80600000000000005</v>
      </c>
      <c r="D7" s="80">
        <v>709</v>
      </c>
      <c r="E7" s="80">
        <v>115</v>
      </c>
      <c r="F7" s="80">
        <v>22</v>
      </c>
      <c r="G7" s="80">
        <v>15</v>
      </c>
      <c r="H7" s="80">
        <v>12</v>
      </c>
      <c r="I7" s="80">
        <v>10</v>
      </c>
      <c r="J7" s="79">
        <v>0.7</v>
      </c>
      <c r="K7" s="80">
        <v>5</v>
      </c>
      <c r="L7" s="81">
        <v>919000</v>
      </c>
      <c r="M7" s="81">
        <v>827000</v>
      </c>
      <c r="N7" s="79">
        <v>0.9</v>
      </c>
      <c r="O7" s="362">
        <v>300000</v>
      </c>
      <c r="P7" s="344"/>
      <c r="Q7" s="344"/>
      <c r="R7" s="344"/>
      <c r="S7" s="344"/>
      <c r="T7" s="344"/>
      <c r="U7" s="344"/>
      <c r="V7" s="344"/>
      <c r="W7" s="344"/>
      <c r="X7" s="344"/>
    </row>
    <row r="8" spans="1:24" ht="15" customHeight="1">
      <c r="A8" s="82">
        <v>4</v>
      </c>
      <c r="B8" s="83">
        <v>46049</v>
      </c>
      <c r="C8" s="84">
        <v>0.81</v>
      </c>
      <c r="D8" s="85">
        <v>713</v>
      </c>
      <c r="E8" s="85">
        <v>120</v>
      </c>
      <c r="F8" s="85">
        <v>22</v>
      </c>
      <c r="G8" s="85">
        <v>16</v>
      </c>
      <c r="H8" s="85">
        <v>12</v>
      </c>
      <c r="I8" s="85">
        <v>10</v>
      </c>
      <c r="J8" s="84">
        <v>0.7</v>
      </c>
      <c r="K8" s="85">
        <v>5</v>
      </c>
      <c r="L8" s="86">
        <v>919000</v>
      </c>
      <c r="M8" s="86">
        <v>855000</v>
      </c>
      <c r="N8" s="84">
        <v>0.93</v>
      </c>
      <c r="O8" s="363">
        <v>300000</v>
      </c>
      <c r="P8" s="344"/>
      <c r="Q8" s="344"/>
      <c r="R8" s="344"/>
      <c r="S8" s="344"/>
      <c r="T8" s="344"/>
      <c r="U8" s="344"/>
      <c r="V8" s="344"/>
      <c r="W8" s="344"/>
      <c r="X8" s="344"/>
    </row>
    <row r="9" spans="1:24" ht="15" customHeight="1">
      <c r="A9" s="77">
        <v>5</v>
      </c>
      <c r="B9" s="78">
        <v>46056</v>
      </c>
      <c r="C9" s="79">
        <v>0.81499999999999995</v>
      </c>
      <c r="D9" s="80">
        <v>717</v>
      </c>
      <c r="E9" s="80">
        <v>115</v>
      </c>
      <c r="F9" s="80">
        <v>22</v>
      </c>
      <c r="G9" s="80">
        <v>16</v>
      </c>
      <c r="H9" s="80">
        <v>12</v>
      </c>
      <c r="I9" s="80">
        <v>10</v>
      </c>
      <c r="J9" s="79">
        <v>0.7</v>
      </c>
      <c r="K9" s="80">
        <v>6</v>
      </c>
      <c r="L9" s="81">
        <v>966000</v>
      </c>
      <c r="M9" s="81">
        <v>386000</v>
      </c>
      <c r="N9" s="79">
        <v>0.4</v>
      </c>
      <c r="O9" s="362">
        <v>227000</v>
      </c>
      <c r="P9" s="344"/>
      <c r="Q9" s="344"/>
      <c r="R9" s="344"/>
      <c r="S9" s="344"/>
      <c r="T9" s="344"/>
      <c r="U9" s="344"/>
      <c r="V9" s="344"/>
      <c r="W9" s="344"/>
      <c r="X9" s="344"/>
    </row>
    <row r="10" spans="1:24" ht="15" customHeight="1">
      <c r="A10" s="77">
        <v>6</v>
      </c>
      <c r="B10" s="78">
        <v>46063</v>
      </c>
      <c r="C10" s="79">
        <v>0.81899999999999995</v>
      </c>
      <c r="D10" s="80">
        <v>721</v>
      </c>
      <c r="E10" s="80">
        <v>120</v>
      </c>
      <c r="F10" s="80">
        <v>23</v>
      </c>
      <c r="G10" s="80">
        <v>16</v>
      </c>
      <c r="H10" s="80">
        <v>12</v>
      </c>
      <c r="I10" s="80">
        <v>11</v>
      </c>
      <c r="J10" s="79">
        <v>0.7</v>
      </c>
      <c r="K10" s="80">
        <v>7</v>
      </c>
      <c r="L10" s="81">
        <v>966000</v>
      </c>
      <c r="M10" s="81">
        <v>725000</v>
      </c>
      <c r="N10" s="79">
        <v>0.75</v>
      </c>
      <c r="O10" s="362">
        <v>227000</v>
      </c>
      <c r="P10" s="344"/>
      <c r="Q10" s="344"/>
      <c r="R10" s="344"/>
      <c r="S10" s="344"/>
      <c r="T10" s="344"/>
      <c r="U10" s="344"/>
      <c r="V10" s="344"/>
      <c r="W10" s="344"/>
      <c r="X10" s="344"/>
    </row>
    <row r="11" spans="1:24" ht="15" customHeight="1">
      <c r="A11" s="77">
        <v>7</v>
      </c>
      <c r="B11" s="78">
        <v>46070</v>
      </c>
      <c r="C11" s="79">
        <v>0.82399999999999995</v>
      </c>
      <c r="D11" s="80">
        <v>725</v>
      </c>
      <c r="E11" s="80">
        <v>120</v>
      </c>
      <c r="F11" s="80">
        <v>23</v>
      </c>
      <c r="G11" s="80">
        <v>16</v>
      </c>
      <c r="H11" s="80">
        <v>12</v>
      </c>
      <c r="I11" s="80">
        <v>10</v>
      </c>
      <c r="J11" s="79">
        <v>0.7</v>
      </c>
      <c r="K11" s="80">
        <v>6</v>
      </c>
      <c r="L11" s="81">
        <v>966000</v>
      </c>
      <c r="M11" s="81">
        <v>773000</v>
      </c>
      <c r="N11" s="79">
        <v>0.8</v>
      </c>
      <c r="O11" s="362">
        <v>227000</v>
      </c>
      <c r="P11" s="344"/>
      <c r="Q11" s="344"/>
      <c r="R11" s="344"/>
      <c r="S11" s="344"/>
      <c r="T11" s="344"/>
      <c r="U11" s="344"/>
      <c r="V11" s="344"/>
      <c r="W11" s="344"/>
      <c r="X11" s="344"/>
    </row>
    <row r="12" spans="1:24" ht="15" customHeight="1">
      <c r="A12" s="82">
        <v>8</v>
      </c>
      <c r="B12" s="83">
        <v>46077</v>
      </c>
      <c r="C12" s="84">
        <v>0.82899999999999996</v>
      </c>
      <c r="D12" s="85">
        <v>730</v>
      </c>
      <c r="E12" s="85">
        <v>120</v>
      </c>
      <c r="F12" s="85">
        <v>23</v>
      </c>
      <c r="G12" s="85">
        <v>17</v>
      </c>
      <c r="H12" s="85">
        <v>13</v>
      </c>
      <c r="I12" s="85">
        <v>11</v>
      </c>
      <c r="J12" s="84">
        <v>0.7</v>
      </c>
      <c r="K12" s="85">
        <v>6</v>
      </c>
      <c r="L12" s="86">
        <v>966000</v>
      </c>
      <c r="M12" s="86">
        <v>908000</v>
      </c>
      <c r="N12" s="84">
        <v>0.94</v>
      </c>
      <c r="O12" s="363">
        <v>227000</v>
      </c>
      <c r="P12" s="344"/>
      <c r="Q12" s="344"/>
      <c r="R12" s="344"/>
      <c r="S12" s="344"/>
      <c r="T12" s="344"/>
      <c r="U12" s="344"/>
      <c r="V12" s="344"/>
      <c r="W12" s="344"/>
      <c r="X12" s="344"/>
    </row>
    <row r="13" spans="1:24" ht="15" customHeight="1">
      <c r="A13" s="77">
        <v>9</v>
      </c>
      <c r="B13" s="78">
        <v>46084</v>
      </c>
      <c r="C13" s="79">
        <v>0.83499999999999996</v>
      </c>
      <c r="D13" s="80">
        <v>735</v>
      </c>
      <c r="E13" s="80">
        <v>125</v>
      </c>
      <c r="F13" s="80">
        <v>24</v>
      </c>
      <c r="G13" s="80">
        <v>17</v>
      </c>
      <c r="H13" s="80">
        <v>13</v>
      </c>
      <c r="I13" s="80">
        <v>11</v>
      </c>
      <c r="J13" s="79">
        <v>0.7</v>
      </c>
      <c r="K13" s="80">
        <v>7</v>
      </c>
      <c r="L13" s="81">
        <v>966000</v>
      </c>
      <c r="M13" s="81">
        <f>M9</f>
        <v>386000</v>
      </c>
      <c r="N13" s="79">
        <v>0.4</v>
      </c>
      <c r="O13" s="362">
        <v>227000</v>
      </c>
      <c r="P13" s="344"/>
      <c r="Q13" s="344"/>
      <c r="R13" s="344"/>
      <c r="S13" s="344"/>
      <c r="T13" s="344"/>
      <c r="U13" s="344"/>
      <c r="V13" s="344"/>
      <c r="W13" s="344"/>
      <c r="X13" s="344"/>
    </row>
    <row r="14" spans="1:24" ht="15" customHeight="1">
      <c r="A14" s="77">
        <v>10</v>
      </c>
      <c r="B14" s="78">
        <v>46091</v>
      </c>
      <c r="C14" s="79">
        <v>0.84099999999999997</v>
      </c>
      <c r="D14" s="80">
        <v>740</v>
      </c>
      <c r="E14" s="80">
        <v>125</v>
      </c>
      <c r="F14" s="80">
        <v>24</v>
      </c>
      <c r="G14" s="80">
        <v>17</v>
      </c>
      <c r="H14" s="80">
        <v>13</v>
      </c>
      <c r="I14" s="80">
        <v>11</v>
      </c>
      <c r="J14" s="79">
        <v>0.7</v>
      </c>
      <c r="K14" s="80">
        <v>7</v>
      </c>
      <c r="L14" s="81">
        <v>968000</v>
      </c>
      <c r="M14" s="81">
        <v>774000</v>
      </c>
      <c r="N14" s="79">
        <v>0.8</v>
      </c>
      <c r="O14" s="362">
        <v>195000</v>
      </c>
      <c r="P14" s="345">
        <v>95</v>
      </c>
      <c r="Q14" s="345">
        <v>45</v>
      </c>
      <c r="R14" s="345">
        <v>8</v>
      </c>
      <c r="S14" s="345">
        <v>30</v>
      </c>
      <c r="T14" s="360">
        <v>0.08</v>
      </c>
      <c r="U14" s="360">
        <v>0.32</v>
      </c>
      <c r="V14" s="345">
        <v>18</v>
      </c>
      <c r="W14" s="28">
        <v>10</v>
      </c>
      <c r="X14" s="28"/>
    </row>
    <row r="15" spans="1:24" ht="15" customHeight="1">
      <c r="A15" s="77">
        <v>11</v>
      </c>
      <c r="B15" s="78">
        <v>46098</v>
      </c>
      <c r="C15" s="79">
        <v>0.84499999999999997</v>
      </c>
      <c r="D15" s="80">
        <v>744</v>
      </c>
      <c r="E15" s="80">
        <v>125</v>
      </c>
      <c r="F15" s="80">
        <v>24</v>
      </c>
      <c r="G15" s="80">
        <v>18</v>
      </c>
      <c r="H15" s="80">
        <v>13</v>
      </c>
      <c r="I15" s="80">
        <v>11</v>
      </c>
      <c r="J15" s="79">
        <v>0.7</v>
      </c>
      <c r="K15" s="80">
        <v>7</v>
      </c>
      <c r="L15" s="81">
        <v>968000</v>
      </c>
      <c r="M15" s="81">
        <v>823000</v>
      </c>
      <c r="N15" s="79">
        <v>0.85</v>
      </c>
      <c r="O15" s="362">
        <v>195000</v>
      </c>
      <c r="P15" s="345">
        <v>95</v>
      </c>
      <c r="Q15" s="345">
        <v>45</v>
      </c>
      <c r="R15" s="345">
        <v>8</v>
      </c>
      <c r="S15" s="345">
        <v>30</v>
      </c>
      <c r="T15" s="360">
        <v>0.08</v>
      </c>
      <c r="U15" s="360">
        <v>0.32</v>
      </c>
      <c r="V15" s="345">
        <v>18</v>
      </c>
      <c r="W15" s="28">
        <v>10</v>
      </c>
      <c r="X15" s="28"/>
    </row>
    <row r="16" spans="1:24" ht="15" customHeight="1">
      <c r="A16" s="77">
        <v>12</v>
      </c>
      <c r="B16" s="78">
        <v>46105</v>
      </c>
      <c r="C16" s="79">
        <v>0.85</v>
      </c>
      <c r="D16" s="80">
        <v>748</v>
      </c>
      <c r="E16" s="80">
        <v>125</v>
      </c>
      <c r="F16" s="80">
        <v>24</v>
      </c>
      <c r="G16" s="80">
        <v>18</v>
      </c>
      <c r="H16" s="80">
        <v>13</v>
      </c>
      <c r="I16" s="80">
        <v>11</v>
      </c>
      <c r="J16" s="79">
        <v>0.7</v>
      </c>
      <c r="K16" s="80">
        <v>6</v>
      </c>
      <c r="L16" s="81">
        <v>968000</v>
      </c>
      <c r="M16" s="81">
        <v>871000</v>
      </c>
      <c r="N16" s="79">
        <v>0.9</v>
      </c>
      <c r="O16" s="362">
        <v>195000</v>
      </c>
      <c r="P16" s="345">
        <v>90</v>
      </c>
      <c r="Q16" s="345">
        <v>42</v>
      </c>
      <c r="R16" s="345">
        <v>9</v>
      </c>
      <c r="S16" s="345">
        <v>28</v>
      </c>
      <c r="T16" s="360">
        <v>0.1</v>
      </c>
      <c r="U16" s="360">
        <v>0.3</v>
      </c>
      <c r="V16" s="345">
        <v>15</v>
      </c>
      <c r="W16" s="28">
        <v>10</v>
      </c>
      <c r="X16" s="28"/>
    </row>
    <row r="17" spans="1:24" ht="15" customHeight="1">
      <c r="A17" s="82">
        <v>13</v>
      </c>
      <c r="B17" s="83">
        <v>46111</v>
      </c>
      <c r="C17" s="84">
        <v>0.85499999999999998</v>
      </c>
      <c r="D17" s="85">
        <v>752</v>
      </c>
      <c r="E17" s="85">
        <v>125</v>
      </c>
      <c r="F17" s="85">
        <v>24</v>
      </c>
      <c r="G17" s="85">
        <v>18</v>
      </c>
      <c r="H17" s="85">
        <v>13</v>
      </c>
      <c r="I17" s="85">
        <v>11</v>
      </c>
      <c r="J17" s="84">
        <v>0.7</v>
      </c>
      <c r="K17" s="85">
        <v>7</v>
      </c>
      <c r="L17" s="86">
        <v>970000</v>
      </c>
      <c r="M17" s="86">
        <v>910000</v>
      </c>
      <c r="N17" s="84">
        <v>0.94</v>
      </c>
      <c r="O17" s="363">
        <v>195000</v>
      </c>
      <c r="P17" s="346">
        <v>80</v>
      </c>
      <c r="Q17" s="346">
        <v>40</v>
      </c>
      <c r="R17" s="346">
        <v>10</v>
      </c>
      <c r="S17" s="346">
        <v>25</v>
      </c>
      <c r="T17" s="347">
        <v>0.12</v>
      </c>
      <c r="U17" s="347">
        <v>0.28000000000000003</v>
      </c>
      <c r="V17" s="346">
        <v>12</v>
      </c>
      <c r="W17" s="350">
        <v>9</v>
      </c>
      <c r="X17" s="350"/>
    </row>
    <row r="18" spans="1:24" ht="15" customHeight="1">
      <c r="A18" s="77">
        <v>14</v>
      </c>
      <c r="B18" s="78">
        <v>46118</v>
      </c>
      <c r="C18" s="79">
        <v>0.85899999999999999</v>
      </c>
      <c r="D18" s="80">
        <v>756</v>
      </c>
      <c r="E18" s="80">
        <v>125</v>
      </c>
      <c r="F18" s="80">
        <v>24</v>
      </c>
      <c r="G18" s="80">
        <v>18</v>
      </c>
      <c r="H18" s="80">
        <v>13</v>
      </c>
      <c r="I18" s="80">
        <v>11</v>
      </c>
      <c r="J18" s="79">
        <v>0.8</v>
      </c>
      <c r="K18" s="80">
        <v>7</v>
      </c>
      <c r="L18" s="81">
        <v>970000</v>
      </c>
      <c r="M18" s="81">
        <v>582000</v>
      </c>
      <c r="N18" s="79">
        <v>0.6</v>
      </c>
      <c r="O18" s="362">
        <v>125000</v>
      </c>
      <c r="P18" s="345">
        <v>80</v>
      </c>
      <c r="Q18" s="345">
        <v>40</v>
      </c>
      <c r="R18" s="345">
        <v>10</v>
      </c>
      <c r="S18" s="345">
        <v>25</v>
      </c>
      <c r="T18" s="360">
        <v>0.12</v>
      </c>
      <c r="U18" s="360">
        <v>0.28000000000000003</v>
      </c>
      <c r="V18" s="345">
        <v>12</v>
      </c>
      <c r="W18" s="28">
        <v>9</v>
      </c>
      <c r="X18" s="28"/>
    </row>
    <row r="19" spans="1:24" ht="15" customHeight="1">
      <c r="A19" s="77">
        <v>15</v>
      </c>
      <c r="B19" s="78">
        <v>46125</v>
      </c>
      <c r="C19" s="79">
        <v>0.86399999999999999</v>
      </c>
      <c r="D19" s="80">
        <v>760</v>
      </c>
      <c r="E19" s="80">
        <v>125</v>
      </c>
      <c r="F19" s="80">
        <v>24</v>
      </c>
      <c r="G19" s="80">
        <v>17</v>
      </c>
      <c r="H19" s="80">
        <v>13</v>
      </c>
      <c r="I19" s="80">
        <v>10</v>
      </c>
      <c r="J19" s="79">
        <v>0.8</v>
      </c>
      <c r="K19" s="80">
        <v>7</v>
      </c>
      <c r="L19" s="81">
        <v>970000</v>
      </c>
      <c r="M19" s="81">
        <v>825000</v>
      </c>
      <c r="N19" s="79">
        <v>0.85</v>
      </c>
      <c r="O19" s="362">
        <v>125000</v>
      </c>
      <c r="P19" s="345">
        <v>75</v>
      </c>
      <c r="Q19" s="345">
        <v>38</v>
      </c>
      <c r="R19" s="345">
        <v>10</v>
      </c>
      <c r="S19" s="345">
        <v>22</v>
      </c>
      <c r="T19" s="360">
        <v>0.13</v>
      </c>
      <c r="U19" s="360">
        <v>0.27</v>
      </c>
      <c r="V19" s="345">
        <v>10</v>
      </c>
      <c r="W19" s="28">
        <v>8</v>
      </c>
      <c r="X19" s="28"/>
    </row>
    <row r="20" spans="1:24" ht="15" customHeight="1">
      <c r="A20" s="77">
        <v>16</v>
      </c>
      <c r="B20" s="78">
        <v>46132</v>
      </c>
      <c r="C20" s="79">
        <v>0.86799999999999999</v>
      </c>
      <c r="D20" s="80">
        <v>764</v>
      </c>
      <c r="E20" s="80">
        <v>125</v>
      </c>
      <c r="F20" s="80">
        <v>24</v>
      </c>
      <c r="G20" s="80">
        <v>17</v>
      </c>
      <c r="H20" s="80">
        <v>13</v>
      </c>
      <c r="I20" s="80">
        <v>10</v>
      </c>
      <c r="J20" s="79">
        <v>0.8</v>
      </c>
      <c r="K20" s="80">
        <v>6</v>
      </c>
      <c r="L20" s="81">
        <v>970000</v>
      </c>
      <c r="M20" s="81">
        <v>873000</v>
      </c>
      <c r="N20" s="79">
        <v>0.9</v>
      </c>
      <c r="O20" s="362">
        <v>125000</v>
      </c>
      <c r="P20" s="345">
        <v>75</v>
      </c>
      <c r="Q20" s="345">
        <v>38</v>
      </c>
      <c r="R20" s="345">
        <v>11</v>
      </c>
      <c r="S20" s="345">
        <v>22</v>
      </c>
      <c r="T20" s="360">
        <v>0.14000000000000001</v>
      </c>
      <c r="U20" s="360">
        <v>0.27</v>
      </c>
      <c r="V20" s="345">
        <v>10</v>
      </c>
      <c r="W20" s="28">
        <v>8</v>
      </c>
      <c r="X20" s="28"/>
    </row>
    <row r="21" spans="1:24" ht="15" customHeight="1">
      <c r="A21" s="82">
        <v>17</v>
      </c>
      <c r="B21" s="83">
        <v>46139</v>
      </c>
      <c r="C21" s="84">
        <v>0.87</v>
      </c>
      <c r="D21" s="85">
        <v>766</v>
      </c>
      <c r="E21" s="85">
        <v>120</v>
      </c>
      <c r="F21" s="85">
        <v>23</v>
      </c>
      <c r="G21" s="85">
        <v>16</v>
      </c>
      <c r="H21" s="85">
        <v>12</v>
      </c>
      <c r="I21" s="85">
        <v>10</v>
      </c>
      <c r="J21" s="84">
        <v>0.8</v>
      </c>
      <c r="K21" s="85">
        <v>7</v>
      </c>
      <c r="L21" s="86">
        <v>970000</v>
      </c>
      <c r="M21" s="86">
        <v>912000</v>
      </c>
      <c r="N21" s="84">
        <v>0.94</v>
      </c>
      <c r="O21" s="363">
        <v>125000</v>
      </c>
      <c r="P21" s="346">
        <v>70</v>
      </c>
      <c r="Q21" s="346">
        <v>35</v>
      </c>
      <c r="R21" s="346">
        <v>11</v>
      </c>
      <c r="S21" s="346">
        <v>20</v>
      </c>
      <c r="T21" s="347">
        <v>0.15</v>
      </c>
      <c r="U21" s="347">
        <v>0.25</v>
      </c>
      <c r="V21" s="346">
        <v>8</v>
      </c>
      <c r="W21" s="350">
        <v>7</v>
      </c>
      <c r="X21" s="350"/>
    </row>
    <row r="22" spans="1:24" ht="15" customHeight="1">
      <c r="A22" s="77">
        <v>18</v>
      </c>
      <c r="B22" s="78">
        <v>46146</v>
      </c>
      <c r="C22" s="79">
        <v>0.875</v>
      </c>
      <c r="D22" s="80">
        <v>770</v>
      </c>
      <c r="E22" s="80">
        <v>120</v>
      </c>
      <c r="F22" s="80">
        <v>23</v>
      </c>
      <c r="G22" s="80">
        <v>16</v>
      </c>
      <c r="H22" s="80">
        <v>12</v>
      </c>
      <c r="I22" s="80">
        <v>10</v>
      </c>
      <c r="J22" s="79">
        <v>0.8</v>
      </c>
      <c r="K22" s="80">
        <v>7</v>
      </c>
      <c r="L22" s="81">
        <v>971000</v>
      </c>
      <c r="M22" s="81">
        <v>486000</v>
      </c>
      <c r="N22" s="79">
        <v>0.5</v>
      </c>
      <c r="O22" s="362">
        <v>100000</v>
      </c>
      <c r="P22" s="345">
        <v>70</v>
      </c>
      <c r="Q22" s="345">
        <v>35</v>
      </c>
      <c r="R22" s="345">
        <v>11</v>
      </c>
      <c r="S22" s="345">
        <v>20</v>
      </c>
      <c r="T22" s="360">
        <v>0.15</v>
      </c>
      <c r="U22" s="360">
        <v>0.25</v>
      </c>
      <c r="V22" s="345">
        <v>8</v>
      </c>
      <c r="W22" s="28">
        <v>7</v>
      </c>
      <c r="X22" s="28"/>
    </row>
    <row r="23" spans="1:24" ht="15" customHeight="1">
      <c r="A23" s="77">
        <v>19</v>
      </c>
      <c r="B23" s="78">
        <v>46153</v>
      </c>
      <c r="C23" s="79">
        <v>0.878</v>
      </c>
      <c r="D23" s="80">
        <v>773</v>
      </c>
      <c r="E23" s="80">
        <v>115</v>
      </c>
      <c r="F23" s="80">
        <v>22</v>
      </c>
      <c r="G23" s="80">
        <v>16</v>
      </c>
      <c r="H23" s="80">
        <v>12</v>
      </c>
      <c r="I23" s="80">
        <v>10</v>
      </c>
      <c r="J23" s="79">
        <v>0.8</v>
      </c>
      <c r="K23" s="80">
        <v>7</v>
      </c>
      <c r="L23" s="81">
        <v>971000</v>
      </c>
      <c r="M23" s="81">
        <v>777000</v>
      </c>
      <c r="N23" s="79">
        <v>0.8</v>
      </c>
      <c r="O23" s="362">
        <v>100000</v>
      </c>
      <c r="P23" s="345">
        <v>68</v>
      </c>
      <c r="Q23" s="345">
        <v>33</v>
      </c>
      <c r="R23" s="345">
        <v>11</v>
      </c>
      <c r="S23" s="345">
        <v>19</v>
      </c>
      <c r="T23" s="360">
        <v>0.16</v>
      </c>
      <c r="U23" s="360">
        <v>0.25</v>
      </c>
      <c r="V23" s="345">
        <v>6</v>
      </c>
      <c r="W23" s="28">
        <v>7</v>
      </c>
      <c r="X23" s="28"/>
    </row>
    <row r="24" spans="1:24" ht="15" customHeight="1">
      <c r="A24" s="77">
        <v>20</v>
      </c>
      <c r="B24" s="78">
        <v>46160</v>
      </c>
      <c r="C24" s="79">
        <v>0.88200000000000001</v>
      </c>
      <c r="D24" s="80">
        <v>776</v>
      </c>
      <c r="E24" s="80">
        <v>115</v>
      </c>
      <c r="F24" s="80">
        <v>22</v>
      </c>
      <c r="G24" s="80">
        <v>16</v>
      </c>
      <c r="H24" s="80">
        <v>12</v>
      </c>
      <c r="I24" s="80">
        <v>10</v>
      </c>
      <c r="J24" s="79">
        <v>0.8</v>
      </c>
      <c r="K24" s="80">
        <v>7</v>
      </c>
      <c r="L24" s="81">
        <v>971000</v>
      </c>
      <c r="M24" s="81">
        <v>825000</v>
      </c>
      <c r="N24" s="79">
        <v>0.85</v>
      </c>
      <c r="O24" s="362">
        <v>100000</v>
      </c>
      <c r="P24" s="345">
        <v>68</v>
      </c>
      <c r="Q24" s="345">
        <v>33</v>
      </c>
      <c r="R24" s="345">
        <v>11</v>
      </c>
      <c r="S24" s="345">
        <v>19</v>
      </c>
      <c r="T24" s="360">
        <v>0.16</v>
      </c>
      <c r="U24" s="360">
        <v>0.25</v>
      </c>
      <c r="V24" s="345">
        <v>6</v>
      </c>
      <c r="W24" s="28">
        <v>7</v>
      </c>
      <c r="X24" s="28"/>
    </row>
    <row r="25" spans="1:24" ht="15" customHeight="1">
      <c r="A25" s="82">
        <v>21</v>
      </c>
      <c r="B25" s="83">
        <v>46167</v>
      </c>
      <c r="C25" s="84">
        <v>0.88500000000000001</v>
      </c>
      <c r="D25" s="85">
        <v>779</v>
      </c>
      <c r="E25" s="85">
        <v>112</v>
      </c>
      <c r="F25" s="85">
        <v>22</v>
      </c>
      <c r="G25" s="85">
        <v>15</v>
      </c>
      <c r="H25" s="85">
        <v>11</v>
      </c>
      <c r="I25" s="85">
        <v>9</v>
      </c>
      <c r="J25" s="84">
        <v>0.8</v>
      </c>
      <c r="K25" s="85">
        <v>6</v>
      </c>
      <c r="L25" s="86">
        <v>971000</v>
      </c>
      <c r="M25" s="86">
        <v>913000</v>
      </c>
      <c r="N25" s="84">
        <v>0.94</v>
      </c>
      <c r="O25" s="363">
        <v>100000</v>
      </c>
      <c r="P25" s="346">
        <v>65</v>
      </c>
      <c r="Q25" s="346">
        <v>30</v>
      </c>
      <c r="R25" s="346">
        <v>11</v>
      </c>
      <c r="S25" s="346">
        <v>18</v>
      </c>
      <c r="T25" s="347">
        <v>0.17</v>
      </c>
      <c r="U25" s="347">
        <v>0.25</v>
      </c>
      <c r="V25" s="346">
        <v>5</v>
      </c>
      <c r="W25" s="350">
        <v>7</v>
      </c>
      <c r="X25" s="350"/>
    </row>
    <row r="26" spans="1:24" ht="15" customHeight="1">
      <c r="A26" s="77">
        <v>22</v>
      </c>
      <c r="B26" s="78">
        <v>46174</v>
      </c>
      <c r="C26" s="79">
        <v>0.88900000000000001</v>
      </c>
      <c r="D26" s="80">
        <v>783</v>
      </c>
      <c r="E26" s="80">
        <v>112</v>
      </c>
      <c r="F26" s="80">
        <v>21</v>
      </c>
      <c r="G26" s="80">
        <v>15</v>
      </c>
      <c r="H26" s="80">
        <v>11</v>
      </c>
      <c r="I26" s="80">
        <v>9</v>
      </c>
      <c r="J26" s="79">
        <v>0.8</v>
      </c>
      <c r="K26" s="80">
        <v>6</v>
      </c>
      <c r="L26" s="81">
        <v>973000</v>
      </c>
      <c r="M26" s="81">
        <v>438000</v>
      </c>
      <c r="N26" s="79">
        <v>0.45</v>
      </c>
      <c r="O26" s="362">
        <v>80000</v>
      </c>
      <c r="P26" s="345">
        <v>65</v>
      </c>
      <c r="Q26" s="345">
        <v>30</v>
      </c>
      <c r="R26" s="345">
        <v>11</v>
      </c>
      <c r="S26" s="345">
        <v>18</v>
      </c>
      <c r="T26" s="360">
        <v>0.17</v>
      </c>
      <c r="U26" s="360">
        <v>0.25</v>
      </c>
      <c r="V26" s="345">
        <v>5</v>
      </c>
      <c r="W26" s="28">
        <v>7</v>
      </c>
      <c r="X26" s="28"/>
    </row>
    <row r="27" spans="1:24" ht="15" customHeight="1">
      <c r="A27" s="77">
        <v>23</v>
      </c>
      <c r="B27" s="78">
        <v>46181</v>
      </c>
      <c r="C27" s="79">
        <v>0.89400000000000002</v>
      </c>
      <c r="D27" s="80">
        <v>787</v>
      </c>
      <c r="E27" s="80">
        <v>112</v>
      </c>
      <c r="F27" s="80">
        <v>21</v>
      </c>
      <c r="G27" s="80">
        <v>15</v>
      </c>
      <c r="H27" s="80">
        <v>11</v>
      </c>
      <c r="I27" s="80">
        <v>9</v>
      </c>
      <c r="J27" s="79">
        <v>0.8</v>
      </c>
      <c r="K27" s="80">
        <v>6</v>
      </c>
      <c r="L27" s="81">
        <v>973000</v>
      </c>
      <c r="M27" s="81">
        <v>632000</v>
      </c>
      <c r="N27" s="79">
        <v>0.65</v>
      </c>
      <c r="O27" s="362">
        <v>80000</v>
      </c>
      <c r="P27" s="345">
        <v>65</v>
      </c>
      <c r="Q27" s="345">
        <v>30</v>
      </c>
      <c r="R27" s="345">
        <v>11</v>
      </c>
      <c r="S27" s="345">
        <v>18</v>
      </c>
      <c r="T27" s="360">
        <v>0.17</v>
      </c>
      <c r="U27" s="360">
        <v>0.25</v>
      </c>
      <c r="V27" s="345">
        <v>5</v>
      </c>
      <c r="W27" s="28">
        <v>7</v>
      </c>
      <c r="X27" s="28"/>
    </row>
    <row r="28" spans="1:24" ht="15" customHeight="1">
      <c r="A28" s="82">
        <v>24</v>
      </c>
      <c r="B28" s="83">
        <v>46188</v>
      </c>
      <c r="C28" s="84">
        <v>0.9</v>
      </c>
      <c r="D28" s="85">
        <v>792</v>
      </c>
      <c r="E28" s="85">
        <v>110</v>
      </c>
      <c r="F28" s="85">
        <v>21</v>
      </c>
      <c r="G28" s="85">
        <v>15</v>
      </c>
      <c r="H28" s="85">
        <v>11</v>
      </c>
      <c r="I28" s="85">
        <v>9</v>
      </c>
      <c r="J28" s="84">
        <v>0.8</v>
      </c>
      <c r="K28" s="85">
        <v>6</v>
      </c>
      <c r="L28" s="86">
        <v>973000</v>
      </c>
      <c r="M28" s="86">
        <v>876000</v>
      </c>
      <c r="N28" s="84">
        <v>0.9</v>
      </c>
      <c r="O28" s="363">
        <v>80000</v>
      </c>
      <c r="P28" s="346">
        <v>65</v>
      </c>
      <c r="Q28" s="346">
        <v>30</v>
      </c>
      <c r="R28" s="346">
        <v>11</v>
      </c>
      <c r="S28" s="346">
        <v>18</v>
      </c>
      <c r="T28" s="347">
        <v>0.17</v>
      </c>
      <c r="U28" s="347">
        <v>0.25</v>
      </c>
      <c r="V28" s="346">
        <v>5</v>
      </c>
      <c r="W28" s="350">
        <v>7</v>
      </c>
      <c r="X28" s="350"/>
    </row>
    <row r="29" spans="1:24">
      <c r="A29" s="77">
        <v>25</v>
      </c>
      <c r="B29" s="78">
        <v>46195</v>
      </c>
      <c r="C29" s="79">
        <v>0.9</v>
      </c>
      <c r="D29" s="80">
        <v>792</v>
      </c>
      <c r="E29" s="80">
        <v>110</v>
      </c>
      <c r="F29" s="80">
        <v>21</v>
      </c>
      <c r="G29" s="80">
        <v>15</v>
      </c>
      <c r="H29" s="80">
        <v>11</v>
      </c>
      <c r="I29" s="80">
        <v>9</v>
      </c>
      <c r="J29" s="79">
        <v>0.8</v>
      </c>
      <c r="K29" s="80">
        <v>6</v>
      </c>
      <c r="L29" s="81">
        <v>973000</v>
      </c>
      <c r="M29" s="81">
        <v>876000</v>
      </c>
      <c r="N29" s="79">
        <v>0.9</v>
      </c>
      <c r="O29" s="362">
        <v>80000</v>
      </c>
      <c r="P29" s="345">
        <v>65</v>
      </c>
      <c r="Q29" s="345">
        <v>30</v>
      </c>
      <c r="R29" s="345">
        <v>11</v>
      </c>
      <c r="S29" s="345">
        <v>18</v>
      </c>
      <c r="T29" s="360">
        <v>0.17</v>
      </c>
      <c r="U29" s="360">
        <v>0.25</v>
      </c>
      <c r="V29" s="345">
        <v>5</v>
      </c>
      <c r="W29" s="28">
        <v>7</v>
      </c>
      <c r="X29" s="28"/>
    </row>
    <row r="30" spans="1:24">
      <c r="A30" s="82">
        <v>26</v>
      </c>
      <c r="B30" s="83">
        <v>46202</v>
      </c>
      <c r="C30" s="84">
        <f>D30/$C$71</f>
        <v>0.70113636363636367</v>
      </c>
      <c r="D30" s="85">
        <f>ROUND(LOOKUP($B30,$B$62:$B$68,$D$62:$D$68)+($B30-LOOKUP($B30,$B$62:$B$68))/LOOKUP($B30,$B$62:$B$68,$F$62:$F$68)*(LOOKUP($B30,$B$62:$B$68,$E$62:$E$68)-LOOKUP($B30,$B$62:$B$68,$D$62:$D$68)),0)</f>
        <v>617</v>
      </c>
      <c r="E30" s="85">
        <f>ROUNDUP(F30/$C$75,0)</f>
        <v>156</v>
      </c>
      <c r="F30" s="85">
        <f>ROUNDUP(G30/$C$76,0)</f>
        <v>39</v>
      </c>
      <c r="G30" s="85">
        <f>ROUNDUP(H30/$C$77,0)</f>
        <v>24</v>
      </c>
      <c r="H30" s="85">
        <f>ROUNDUP(I30/$C$78,0)</f>
        <v>16</v>
      </c>
      <c r="I30" s="85">
        <f>LOOKUP($B30,$B$62:$B$68,$G$62:$G$68)</f>
        <v>14</v>
      </c>
      <c r="J30" s="84">
        <f>$C$72</f>
        <v>0.65</v>
      </c>
      <c r="K30" s="85">
        <f>_xlfn.LET(_xlpm.st,LOOKUP($B30,$B$62:$B$68),_xlpm.dys,LOOKUP($B30,$B$62:$B$68,$F$62:$F$68),_xlpm.mo,LOOKUP($B30,$B$62:$B$68,$H$62:$H$68),_xlpm.i,INT(($B30-_xlpm.st)/7)+1,_xlpm.fw,$B30-7*(_xlpm.i-1),_xlpm.w,ROUNDUP((_xlpm.st+_xlpm.dys-_xlpm.fw)/7,0),ROUND(_xlpm.mo*_xlpm.i/_xlpm.w,0)-ROUND(_xlpm.mo*(_xlpm.i-1)/_xlpm.w,0))</f>
        <v>11</v>
      </c>
      <c r="L30" s="86">
        <f>ROUND(D30*$C$74,-3)</f>
        <v>833000</v>
      </c>
      <c r="M30" s="86">
        <f>ROUND(L30*N30,-3)</f>
        <v>750000</v>
      </c>
      <c r="N30" s="84" cm="1">
        <f t="array" ref="N30">ROUND(LOOKUP(MONTH($B30),$N$62:$N$68,$O$62:$O$68)*INDEX($C$82:$C$85,MIN(INT((DAY($B30)-1)/7)+1,4)),3)</f>
        <v>0.9</v>
      </c>
      <c r="O30" s="363">
        <f>ROUND(LOOKUP($B30,$B$62:$B$68,$J$62:$J$68)+($B30-LOOKUP($B30,$B$62:$B$68))/LOOKUP($B30,$B$62:$B$68,$F$62:$F$68)*(LOOKUP($B30,$B$62:$B$68,$K$62:$K$68)-LOOKUP($B30,$B$62:$B$68,$J$62:$J$68)),-3)</f>
        <v>119000</v>
      </c>
      <c r="P30" s="346">
        <f>$C$79</f>
        <v>65</v>
      </c>
      <c r="Q30" s="346">
        <f>$C$80</f>
        <v>30</v>
      </c>
      <c r="R30" s="346">
        <f>H30</f>
        <v>16</v>
      </c>
      <c r="S30" s="346">
        <f>ROUND(P30*$C$81,0)</f>
        <v>16</v>
      </c>
      <c r="T30" s="347">
        <f>R30/P30</f>
        <v>0.24615384615384617</v>
      </c>
      <c r="U30" s="347">
        <f>S30/P30</f>
        <v>0.24615384615384617</v>
      </c>
      <c r="V30" s="346">
        <f>LOOKUP($B30,$B$62:$B$68,$L$62:$L$68)</f>
        <v>5</v>
      </c>
      <c r="W30" s="350">
        <f>LOOKUP($B30,$B$62:$B$68,$M$62:$M$68)</f>
        <v>10</v>
      </c>
      <c r="X30" s="350">
        <f>_xlfn.LET(_xlpm.n,LOOKUP(MONTH($B30),$N$62:$N$68,$O$62:$O$68),ROUND((1-$C$82*_xlpm.n/2)*7+(1-($C$82+$C$83)*_xlpm.n/2)*7+(1-($C$83+$C$84)*_xlpm.n/2)*7+(1-($C$84+1)*_xlpm.n/2)*(DAY(EOMONTH($B30,0))-21),1))</f>
        <v>11.2</v>
      </c>
    </row>
    <row r="31" spans="1:24" ht="15" customHeight="1">
      <c r="A31" s="77">
        <f>A30+1</f>
        <v>27</v>
      </c>
      <c r="B31" s="78">
        <f>B30+7</f>
        <v>46209</v>
      </c>
      <c r="C31" s="79">
        <f t="shared" ref="C31:C56" si="0">D31/$C$71</f>
        <v>0.70568181818181819</v>
      </c>
      <c r="D31" s="80">
        <f>ROUND(LOOKUP($B31,$B$62:$B$68,$D$62:$D$68)+($B31-LOOKUP($B31,$B$62:$B$68))/LOOKUP($B31,$B$62:$B$68,$F$62:$F$68)*(LOOKUP($B31,$B$62:$B$68,$E$62:$E$68)-LOOKUP($B31,$B$62:$B$68,$D$62:$D$68)),0)</f>
        <v>621</v>
      </c>
      <c r="E31" s="80">
        <f t="shared" ref="E31:E56" si="1">ROUNDUP(F31/$C$75,0)</f>
        <v>156</v>
      </c>
      <c r="F31" s="80">
        <f t="shared" ref="F31:F56" si="2">ROUNDUP(G31/$C$76,0)</f>
        <v>39</v>
      </c>
      <c r="G31" s="80">
        <f t="shared" ref="G31:G56" si="3">ROUNDUP(H31/$C$77,0)</f>
        <v>24</v>
      </c>
      <c r="H31" s="80">
        <f t="shared" ref="H31:H56" si="4">ROUNDUP(I31/$C$78,0)</f>
        <v>16</v>
      </c>
      <c r="I31" s="80">
        <f t="shared" ref="I31:I56" si="5">LOOKUP($B31,$B$62:$B$68,$G$62:$G$68)</f>
        <v>14</v>
      </c>
      <c r="J31" s="79">
        <f t="shared" ref="J31:J56" si="6">$C$72</f>
        <v>0.65</v>
      </c>
      <c r="K31" s="80">
        <f t="shared" ref="K31:K56" si="7">_xlfn.LET(_xlpm.st,LOOKUP($B31,$B$62:$B$68),_xlpm.dys,LOOKUP($B31,$B$62:$B$68,$F$62:$F$68),_xlpm.mo,LOOKUP($B31,$B$62:$B$68,$H$62:$H$68),_xlpm.i,INT(($B31-_xlpm.st)/7)+1,_xlpm.fw,$B31-7*(_xlpm.i-1),_xlpm.w,ROUNDUP((_xlpm.st+_xlpm.dys-_xlpm.fw)/7,0),ROUND(_xlpm.mo*_xlpm.i/_xlpm.w,0)-ROUND(_xlpm.mo*(_xlpm.i-1)/_xlpm.w,0))</f>
        <v>10</v>
      </c>
      <c r="L31" s="81">
        <f t="shared" ref="L31:L56" si="8">ROUND(D31*$C$74,-3)</f>
        <v>838000</v>
      </c>
      <c r="M31" s="81">
        <f t="shared" ref="M31:M56" si="9">ROUND(L31*N31,-3)</f>
        <v>347000</v>
      </c>
      <c r="N31" s="79" cm="1">
        <f t="array" ref="N31">ROUND(LOOKUP(MONTH($B31),$N$62:$N$68,$O$62:$O$68)*INDEX($C$82:$C$85,MIN(INT((DAY($B31)-1)/7)+1,4)),3)</f>
        <v>0.41399999999999998</v>
      </c>
      <c r="O31" s="362">
        <f t="shared" ref="O31:O56" si="10">ROUND(LOOKUP($B31,$B$62:$B$68,$J$62:$J$68)+($B31-LOOKUP($B31,$B$62:$B$68))/LOOKUP($B31,$B$62:$B$68,$F$62:$F$68)*(LOOKUP($B31,$B$62:$B$68,$K$62:$K$68)-LOOKUP($B31,$B$62:$B$68,$J$62:$J$68)),-3)</f>
        <v>117000</v>
      </c>
      <c r="P31" s="345">
        <f t="shared" ref="P31:P56" si="11">$C$79</f>
        <v>65</v>
      </c>
      <c r="Q31" s="345">
        <f t="shared" ref="Q31:Q56" si="12">$C$80</f>
        <v>30</v>
      </c>
      <c r="R31" s="345">
        <f t="shared" ref="R31:R56" si="13">H31</f>
        <v>16</v>
      </c>
      <c r="S31" s="345">
        <f t="shared" ref="S31:S56" si="14">ROUND(P31*$C$81,0)</f>
        <v>16</v>
      </c>
      <c r="T31" s="360">
        <f t="shared" ref="T31:T56" si="15">R31/P31</f>
        <v>0.24615384615384617</v>
      </c>
      <c r="U31" s="360">
        <f t="shared" ref="U31:U56" si="16">S31/P31</f>
        <v>0.24615384615384617</v>
      </c>
      <c r="V31" s="345">
        <f t="shared" ref="V31:V56" si="17">LOOKUP($B31,$B$62:$B$68,$L$62:$L$68)</f>
        <v>5</v>
      </c>
      <c r="W31" s="28">
        <f t="shared" ref="W31:W56" si="18">LOOKUP($B31,$B$62:$B$68,$M$62:$M$68)</f>
        <v>10</v>
      </c>
      <c r="X31" s="28">
        <f t="shared" ref="X31:X56" si="19">_xlfn.LET(_xlpm.n,LOOKUP(MONTH($B31),$N$62:$N$68,$O$62:$O$68),ROUND((1-$C$82*_xlpm.n/2)*7+(1-($C$82+$C$83)*_xlpm.n/2)*7+(1-($C$83+$C$84)*_xlpm.n/2)*7+(1-($C$84+1)*_xlpm.n/2)*(DAY(EOMONTH($B31,0))-21),1))</f>
        <v>10.9</v>
      </c>
    </row>
    <row r="32" spans="1:24" ht="15" customHeight="1">
      <c r="A32" s="77">
        <f t="shared" ref="A32:A56" si="20">A31+1</f>
        <v>28</v>
      </c>
      <c r="B32" s="78">
        <f t="shared" ref="B32:B56" si="21">B31+7</f>
        <v>46216</v>
      </c>
      <c r="C32" s="79">
        <f t="shared" si="0"/>
        <v>0.71022727272727271</v>
      </c>
      <c r="D32" s="80">
        <f t="shared" ref="D32:D56" si="22">ROUND(LOOKUP($B32,$B$62:$B$68,$D$62:$D$68)+($B32-LOOKUP($B32,$B$62:$B$68))/LOOKUP($B32,$B$62:$B$68,$F$62:$F$68)*(LOOKUP($B32,$B$62:$B$68,$E$62:$E$68)-LOOKUP($B32,$B$62:$B$68,$D$62:$D$68)),0)</f>
        <v>625</v>
      </c>
      <c r="E32" s="80">
        <f t="shared" si="1"/>
        <v>156</v>
      </c>
      <c r="F32" s="80">
        <f t="shared" si="2"/>
        <v>39</v>
      </c>
      <c r="G32" s="80">
        <f t="shared" si="3"/>
        <v>24</v>
      </c>
      <c r="H32" s="80">
        <f t="shared" si="4"/>
        <v>16</v>
      </c>
      <c r="I32" s="80">
        <f t="shared" si="5"/>
        <v>14</v>
      </c>
      <c r="J32" s="79">
        <f t="shared" si="6"/>
        <v>0.65</v>
      </c>
      <c r="K32" s="80">
        <f t="shared" si="7"/>
        <v>11</v>
      </c>
      <c r="L32" s="81">
        <f t="shared" si="8"/>
        <v>844000</v>
      </c>
      <c r="M32" s="81">
        <f t="shared" si="9"/>
        <v>645000</v>
      </c>
      <c r="N32" s="79" cm="1">
        <f t="array" ref="N32">ROUND(LOOKUP(MONTH($B32),$N$62:$N$68,$O$62:$O$68)*INDEX($C$82:$C$85,MIN(INT((DAY($B32)-1)/7)+1,4)),3)</f>
        <v>0.76400000000000001</v>
      </c>
      <c r="O32" s="362">
        <f t="shared" si="10"/>
        <v>114000</v>
      </c>
      <c r="P32" s="345">
        <f t="shared" si="11"/>
        <v>65</v>
      </c>
      <c r="Q32" s="345">
        <f t="shared" si="12"/>
        <v>30</v>
      </c>
      <c r="R32" s="345">
        <f t="shared" si="13"/>
        <v>16</v>
      </c>
      <c r="S32" s="345">
        <f t="shared" si="14"/>
        <v>16</v>
      </c>
      <c r="T32" s="360">
        <f t="shared" si="15"/>
        <v>0.24615384615384617</v>
      </c>
      <c r="U32" s="360">
        <f t="shared" si="16"/>
        <v>0.24615384615384617</v>
      </c>
      <c r="V32" s="345">
        <f t="shared" si="17"/>
        <v>5</v>
      </c>
      <c r="W32" s="28">
        <f t="shared" si="18"/>
        <v>10</v>
      </c>
      <c r="X32" s="28">
        <f t="shared" si="19"/>
        <v>10.9</v>
      </c>
    </row>
    <row r="33" spans="1:24" ht="15" customHeight="1">
      <c r="A33" s="77">
        <f t="shared" si="20"/>
        <v>29</v>
      </c>
      <c r="B33" s="78">
        <f t="shared" si="21"/>
        <v>46223</v>
      </c>
      <c r="C33" s="79">
        <f t="shared" si="0"/>
        <v>0.71477272727272723</v>
      </c>
      <c r="D33" s="80">
        <f t="shared" si="22"/>
        <v>629</v>
      </c>
      <c r="E33" s="80">
        <f t="shared" si="1"/>
        <v>156</v>
      </c>
      <c r="F33" s="80">
        <f t="shared" si="2"/>
        <v>39</v>
      </c>
      <c r="G33" s="80">
        <f t="shared" si="3"/>
        <v>24</v>
      </c>
      <c r="H33" s="80">
        <f t="shared" si="4"/>
        <v>16</v>
      </c>
      <c r="I33" s="80">
        <f t="shared" si="5"/>
        <v>14</v>
      </c>
      <c r="J33" s="79">
        <f t="shared" si="6"/>
        <v>0.65</v>
      </c>
      <c r="K33" s="80">
        <f t="shared" si="7"/>
        <v>10</v>
      </c>
      <c r="L33" s="81">
        <f t="shared" si="8"/>
        <v>849000</v>
      </c>
      <c r="M33" s="81">
        <f t="shared" si="9"/>
        <v>727000</v>
      </c>
      <c r="N33" s="79" cm="1">
        <f t="array" ref="N33">ROUND(LOOKUP(MONTH($B33),$N$62:$N$68,$O$62:$O$68)*INDEX($C$82:$C$85,MIN(INT((DAY($B33)-1)/7)+1,4)),3)</f>
        <v>0.85599999999999998</v>
      </c>
      <c r="O33" s="362">
        <f t="shared" si="10"/>
        <v>112000</v>
      </c>
      <c r="P33" s="345">
        <f t="shared" si="11"/>
        <v>65</v>
      </c>
      <c r="Q33" s="345">
        <f t="shared" si="12"/>
        <v>30</v>
      </c>
      <c r="R33" s="345">
        <f t="shared" si="13"/>
        <v>16</v>
      </c>
      <c r="S33" s="345">
        <f t="shared" si="14"/>
        <v>16</v>
      </c>
      <c r="T33" s="360">
        <f t="shared" si="15"/>
        <v>0.24615384615384617</v>
      </c>
      <c r="U33" s="360">
        <f t="shared" si="16"/>
        <v>0.24615384615384617</v>
      </c>
      <c r="V33" s="345">
        <f t="shared" si="17"/>
        <v>5</v>
      </c>
      <c r="W33" s="28">
        <f t="shared" si="18"/>
        <v>10</v>
      </c>
      <c r="X33" s="28">
        <f t="shared" si="19"/>
        <v>10.9</v>
      </c>
    </row>
    <row r="34" spans="1:24" ht="15" customHeight="1">
      <c r="A34" s="1150">
        <f t="shared" si="20"/>
        <v>30</v>
      </c>
      <c r="B34" s="1151">
        <f t="shared" si="21"/>
        <v>46230</v>
      </c>
      <c r="C34" s="1152">
        <f t="shared" si="0"/>
        <v>0.72045454545454546</v>
      </c>
      <c r="D34" s="1153">
        <f t="shared" si="22"/>
        <v>634</v>
      </c>
      <c r="E34" s="1153">
        <f t="shared" si="1"/>
        <v>156</v>
      </c>
      <c r="F34" s="1153">
        <f t="shared" si="2"/>
        <v>39</v>
      </c>
      <c r="G34" s="1153">
        <f t="shared" si="3"/>
        <v>24</v>
      </c>
      <c r="H34" s="1153">
        <f t="shared" si="4"/>
        <v>16</v>
      </c>
      <c r="I34" s="1153">
        <f t="shared" si="5"/>
        <v>14</v>
      </c>
      <c r="J34" s="1152">
        <f>$C$72</f>
        <v>0.65</v>
      </c>
      <c r="K34" s="1153">
        <f t="shared" si="7"/>
        <v>7</v>
      </c>
      <c r="L34" s="1154">
        <f t="shared" si="8"/>
        <v>856000</v>
      </c>
      <c r="M34" s="1154">
        <f t="shared" si="9"/>
        <v>788000</v>
      </c>
      <c r="N34" s="1152" cm="1">
        <f t="array" ref="N34">ROUND(LOOKUP(MONTH($B34),$N$62:$N$68,$O$62:$O$68)*INDEX($C$82:$C$85,MIN(INT((DAY($B34)-1)/7)+1,4)),3)</f>
        <v>0.92</v>
      </c>
      <c r="O34" s="1155">
        <f t="shared" si="10"/>
        <v>110000</v>
      </c>
      <c r="P34" s="346">
        <f t="shared" si="11"/>
        <v>65</v>
      </c>
      <c r="Q34" s="346">
        <f t="shared" si="12"/>
        <v>30</v>
      </c>
      <c r="R34" s="346">
        <f t="shared" si="13"/>
        <v>16</v>
      </c>
      <c r="S34" s="346">
        <f t="shared" si="14"/>
        <v>16</v>
      </c>
      <c r="T34" s="347">
        <f t="shared" si="15"/>
        <v>0.24615384615384617</v>
      </c>
      <c r="U34" s="347">
        <f t="shared" si="16"/>
        <v>0.24615384615384617</v>
      </c>
      <c r="V34" s="346">
        <f t="shared" si="17"/>
        <v>5</v>
      </c>
      <c r="W34" s="350">
        <f t="shared" si="18"/>
        <v>10</v>
      </c>
      <c r="X34" s="350">
        <f t="shared" si="19"/>
        <v>10.9</v>
      </c>
    </row>
    <row r="35" spans="1:24">
      <c r="A35" s="77">
        <f t="shared" si="20"/>
        <v>31</v>
      </c>
      <c r="B35" s="78">
        <f t="shared" si="21"/>
        <v>46237</v>
      </c>
      <c r="C35" s="79">
        <f t="shared" si="0"/>
        <v>0.72727272727272729</v>
      </c>
      <c r="D35" s="80">
        <f t="shared" si="22"/>
        <v>640</v>
      </c>
      <c r="E35" s="80">
        <f t="shared" si="1"/>
        <v>156</v>
      </c>
      <c r="F35" s="80">
        <f t="shared" si="2"/>
        <v>39</v>
      </c>
      <c r="G35" s="80">
        <f t="shared" si="3"/>
        <v>24</v>
      </c>
      <c r="H35" s="80">
        <f t="shared" si="4"/>
        <v>16</v>
      </c>
      <c r="I35" s="80">
        <f t="shared" si="5"/>
        <v>14</v>
      </c>
      <c r="J35" s="79">
        <f t="shared" si="6"/>
        <v>0.65</v>
      </c>
      <c r="K35" s="80">
        <f t="shared" si="7"/>
        <v>6</v>
      </c>
      <c r="L35" s="81">
        <f t="shared" si="8"/>
        <v>864000</v>
      </c>
      <c r="M35" s="81">
        <f t="shared" si="9"/>
        <v>362000</v>
      </c>
      <c r="N35" s="79" cm="1">
        <f t="array" ref="N35">ROUND(LOOKUP(MONTH($B35),$N$62:$N$68,$O$62:$O$68)*INDEX($C$82:$C$85,MIN(INT((DAY($B35)-1)/7)+1,4)),3)</f>
        <v>0.41899999999999998</v>
      </c>
      <c r="O35" s="362">
        <f t="shared" si="10"/>
        <v>107000</v>
      </c>
      <c r="P35" s="345">
        <f t="shared" si="11"/>
        <v>65</v>
      </c>
      <c r="Q35" s="345">
        <f t="shared" si="12"/>
        <v>30</v>
      </c>
      <c r="R35" s="345">
        <f t="shared" si="13"/>
        <v>16</v>
      </c>
      <c r="S35" s="345">
        <f t="shared" si="14"/>
        <v>16</v>
      </c>
      <c r="T35" s="360">
        <f t="shared" si="15"/>
        <v>0.24615384615384617</v>
      </c>
      <c r="U35" s="360">
        <f t="shared" si="16"/>
        <v>0.24615384615384617</v>
      </c>
      <c r="V35" s="345">
        <f t="shared" si="17"/>
        <v>5</v>
      </c>
      <c r="W35" s="28">
        <f t="shared" si="18"/>
        <v>10</v>
      </c>
      <c r="X35" s="28">
        <f t="shared" si="19"/>
        <v>10.7</v>
      </c>
    </row>
    <row r="36" spans="1:24">
      <c r="A36" s="77">
        <f t="shared" si="20"/>
        <v>32</v>
      </c>
      <c r="B36" s="78">
        <f t="shared" si="21"/>
        <v>46244</v>
      </c>
      <c r="C36" s="79">
        <f t="shared" si="0"/>
        <v>0.73522727272727273</v>
      </c>
      <c r="D36" s="80">
        <f t="shared" si="22"/>
        <v>647</v>
      </c>
      <c r="E36" s="80">
        <f t="shared" si="1"/>
        <v>156</v>
      </c>
      <c r="F36" s="80">
        <f t="shared" si="2"/>
        <v>39</v>
      </c>
      <c r="G36" s="80">
        <f t="shared" si="3"/>
        <v>24</v>
      </c>
      <c r="H36" s="80">
        <f t="shared" si="4"/>
        <v>16</v>
      </c>
      <c r="I36" s="80">
        <f t="shared" si="5"/>
        <v>14</v>
      </c>
      <c r="J36" s="79">
        <f t="shared" si="6"/>
        <v>0.65</v>
      </c>
      <c r="K36" s="80">
        <f t="shared" si="7"/>
        <v>7</v>
      </c>
      <c r="L36" s="81">
        <f t="shared" si="8"/>
        <v>873000</v>
      </c>
      <c r="M36" s="81">
        <f t="shared" si="9"/>
        <v>674000</v>
      </c>
      <c r="N36" s="79" cm="1">
        <f t="array" ref="N36">ROUND(LOOKUP(MONTH($B36),$N$62:$N$68,$O$62:$O$68)*INDEX($C$82:$C$85,MIN(INT((DAY($B36)-1)/7)+1,4)),3)</f>
        <v>0.77200000000000002</v>
      </c>
      <c r="O36" s="362">
        <f t="shared" si="10"/>
        <v>105000</v>
      </c>
      <c r="P36" s="345">
        <f t="shared" si="11"/>
        <v>65</v>
      </c>
      <c r="Q36" s="345">
        <f t="shared" si="12"/>
        <v>30</v>
      </c>
      <c r="R36" s="345">
        <f t="shared" si="13"/>
        <v>16</v>
      </c>
      <c r="S36" s="345">
        <f t="shared" si="14"/>
        <v>16</v>
      </c>
      <c r="T36" s="360">
        <f t="shared" si="15"/>
        <v>0.24615384615384617</v>
      </c>
      <c r="U36" s="360">
        <f t="shared" si="16"/>
        <v>0.24615384615384617</v>
      </c>
      <c r="V36" s="345">
        <f t="shared" si="17"/>
        <v>5</v>
      </c>
      <c r="W36" s="28">
        <f t="shared" si="18"/>
        <v>10</v>
      </c>
      <c r="X36" s="28">
        <f t="shared" si="19"/>
        <v>10.7</v>
      </c>
    </row>
    <row r="37" spans="1:24">
      <c r="A37" s="77">
        <f t="shared" si="20"/>
        <v>33</v>
      </c>
      <c r="B37" s="78">
        <f t="shared" si="21"/>
        <v>46251</v>
      </c>
      <c r="C37" s="79">
        <f t="shared" si="0"/>
        <v>0.74318181818181817</v>
      </c>
      <c r="D37" s="80">
        <f t="shared" si="22"/>
        <v>654</v>
      </c>
      <c r="E37" s="80">
        <f t="shared" si="1"/>
        <v>156</v>
      </c>
      <c r="F37" s="80">
        <f t="shared" si="2"/>
        <v>39</v>
      </c>
      <c r="G37" s="80">
        <f t="shared" si="3"/>
        <v>24</v>
      </c>
      <c r="H37" s="80">
        <f t="shared" si="4"/>
        <v>16</v>
      </c>
      <c r="I37" s="80">
        <f t="shared" si="5"/>
        <v>14</v>
      </c>
      <c r="J37" s="79">
        <f t="shared" si="6"/>
        <v>0.65</v>
      </c>
      <c r="K37" s="80">
        <f t="shared" si="7"/>
        <v>6</v>
      </c>
      <c r="L37" s="81">
        <f t="shared" si="8"/>
        <v>883000</v>
      </c>
      <c r="M37" s="81">
        <f t="shared" si="9"/>
        <v>764000</v>
      </c>
      <c r="N37" s="79" cm="1">
        <f t="array" ref="N37">ROUND(LOOKUP(MONTH($B37),$N$62:$N$68,$O$62:$O$68)*INDEX($C$82:$C$85,MIN(INT((DAY($B37)-1)/7)+1,4)),3)</f>
        <v>0.86499999999999999</v>
      </c>
      <c r="O37" s="362">
        <f t="shared" si="10"/>
        <v>103000</v>
      </c>
      <c r="P37" s="345">
        <f t="shared" si="11"/>
        <v>65</v>
      </c>
      <c r="Q37" s="345">
        <f t="shared" si="12"/>
        <v>30</v>
      </c>
      <c r="R37" s="345">
        <f t="shared" si="13"/>
        <v>16</v>
      </c>
      <c r="S37" s="345">
        <f t="shared" si="14"/>
        <v>16</v>
      </c>
      <c r="T37" s="360">
        <f t="shared" si="15"/>
        <v>0.24615384615384617</v>
      </c>
      <c r="U37" s="360">
        <f t="shared" si="16"/>
        <v>0.24615384615384617</v>
      </c>
      <c r="V37" s="345">
        <f t="shared" si="17"/>
        <v>5</v>
      </c>
      <c r="W37" s="28">
        <f t="shared" si="18"/>
        <v>10</v>
      </c>
      <c r="X37" s="28">
        <f t="shared" si="19"/>
        <v>10.7</v>
      </c>
    </row>
    <row r="38" spans="1:24">
      <c r="A38" s="77">
        <f t="shared" si="20"/>
        <v>34</v>
      </c>
      <c r="B38" s="78">
        <f t="shared" si="21"/>
        <v>46258</v>
      </c>
      <c r="C38" s="79">
        <f t="shared" si="0"/>
        <v>0.75</v>
      </c>
      <c r="D38" s="80">
        <f t="shared" si="22"/>
        <v>660</v>
      </c>
      <c r="E38" s="80">
        <f t="shared" si="1"/>
        <v>156</v>
      </c>
      <c r="F38" s="80">
        <f t="shared" si="2"/>
        <v>39</v>
      </c>
      <c r="G38" s="80">
        <f t="shared" si="3"/>
        <v>24</v>
      </c>
      <c r="H38" s="80">
        <f t="shared" si="4"/>
        <v>16</v>
      </c>
      <c r="I38" s="80">
        <f t="shared" si="5"/>
        <v>14</v>
      </c>
      <c r="J38" s="79">
        <f t="shared" si="6"/>
        <v>0.65</v>
      </c>
      <c r="K38" s="80">
        <f t="shared" si="7"/>
        <v>7</v>
      </c>
      <c r="L38" s="81">
        <f t="shared" si="8"/>
        <v>891000</v>
      </c>
      <c r="M38" s="81">
        <f t="shared" si="9"/>
        <v>829000</v>
      </c>
      <c r="N38" s="79" cm="1">
        <f t="array" ref="N38">ROUND(LOOKUP(MONTH($B38),$N$62:$N$68,$O$62:$O$68)*INDEX($C$82:$C$85,MIN(INT((DAY($B38)-1)/7)+1,4)),3)</f>
        <v>0.93</v>
      </c>
      <c r="O38" s="362">
        <f t="shared" si="10"/>
        <v>101000</v>
      </c>
      <c r="P38" s="345">
        <f t="shared" si="11"/>
        <v>65</v>
      </c>
      <c r="Q38" s="345">
        <f t="shared" si="12"/>
        <v>30</v>
      </c>
      <c r="R38" s="345">
        <f t="shared" si="13"/>
        <v>16</v>
      </c>
      <c r="S38" s="345">
        <f t="shared" si="14"/>
        <v>16</v>
      </c>
      <c r="T38" s="360">
        <f t="shared" si="15"/>
        <v>0.24615384615384617</v>
      </c>
      <c r="U38" s="360">
        <f t="shared" si="16"/>
        <v>0.24615384615384617</v>
      </c>
      <c r="V38" s="345">
        <f t="shared" si="17"/>
        <v>5</v>
      </c>
      <c r="W38" s="28">
        <f t="shared" si="18"/>
        <v>10</v>
      </c>
      <c r="X38" s="28">
        <f t="shared" si="19"/>
        <v>10.7</v>
      </c>
    </row>
    <row r="39" spans="1:24">
      <c r="A39" s="1150">
        <f t="shared" si="20"/>
        <v>35</v>
      </c>
      <c r="B39" s="1151">
        <f t="shared" si="21"/>
        <v>46265</v>
      </c>
      <c r="C39" s="1152">
        <f t="shared" si="0"/>
        <v>0.75795454545454544</v>
      </c>
      <c r="D39" s="1153">
        <f t="shared" si="22"/>
        <v>667</v>
      </c>
      <c r="E39" s="1153">
        <f t="shared" si="1"/>
        <v>156</v>
      </c>
      <c r="F39" s="1153">
        <f t="shared" si="2"/>
        <v>39</v>
      </c>
      <c r="G39" s="1153">
        <f t="shared" si="3"/>
        <v>24</v>
      </c>
      <c r="H39" s="1153">
        <f t="shared" si="4"/>
        <v>16</v>
      </c>
      <c r="I39" s="1153">
        <f t="shared" si="5"/>
        <v>14</v>
      </c>
      <c r="J39" s="1152">
        <f t="shared" si="6"/>
        <v>0.65</v>
      </c>
      <c r="K39" s="1153">
        <f t="shared" si="7"/>
        <v>9</v>
      </c>
      <c r="L39" s="1154">
        <f t="shared" si="8"/>
        <v>900000</v>
      </c>
      <c r="M39" s="1154">
        <f t="shared" si="9"/>
        <v>837000</v>
      </c>
      <c r="N39" s="1152" cm="1">
        <f t="array" ref="N39">ROUND(LOOKUP(MONTH($B39),$N$62:$N$68,$O$62:$O$68)*INDEX($C$82:$C$85,MIN(INT((DAY($B39)-1)/7)+1,4)),3)</f>
        <v>0.93</v>
      </c>
      <c r="O39" s="1155">
        <f t="shared" si="10"/>
        <v>99000</v>
      </c>
      <c r="P39" s="346">
        <f t="shared" si="11"/>
        <v>65</v>
      </c>
      <c r="Q39" s="346">
        <f t="shared" si="12"/>
        <v>30</v>
      </c>
      <c r="R39" s="346">
        <f t="shared" si="13"/>
        <v>16</v>
      </c>
      <c r="S39" s="346">
        <f t="shared" si="14"/>
        <v>16</v>
      </c>
      <c r="T39" s="347">
        <f t="shared" si="15"/>
        <v>0.24615384615384617</v>
      </c>
      <c r="U39" s="347">
        <f t="shared" si="16"/>
        <v>0.24615384615384617</v>
      </c>
      <c r="V39" s="346">
        <f t="shared" si="17"/>
        <v>5</v>
      </c>
      <c r="W39" s="350">
        <f t="shared" si="18"/>
        <v>10</v>
      </c>
      <c r="X39" s="350">
        <f t="shared" si="19"/>
        <v>10.7</v>
      </c>
    </row>
    <row r="40" spans="1:24">
      <c r="A40" s="77">
        <f t="shared" si="20"/>
        <v>36</v>
      </c>
      <c r="B40" s="78">
        <f t="shared" si="21"/>
        <v>46272</v>
      </c>
      <c r="C40" s="79">
        <f t="shared" si="0"/>
        <v>0.76477272727272727</v>
      </c>
      <c r="D40" s="80">
        <f t="shared" si="22"/>
        <v>673</v>
      </c>
      <c r="E40" s="80">
        <f t="shared" si="1"/>
        <v>156</v>
      </c>
      <c r="F40" s="80">
        <f t="shared" si="2"/>
        <v>39</v>
      </c>
      <c r="G40" s="80">
        <f t="shared" si="3"/>
        <v>24</v>
      </c>
      <c r="H40" s="80">
        <f t="shared" si="4"/>
        <v>16</v>
      </c>
      <c r="I40" s="80">
        <f t="shared" si="5"/>
        <v>14</v>
      </c>
      <c r="J40" s="79">
        <f t="shared" si="6"/>
        <v>0.65</v>
      </c>
      <c r="K40" s="80">
        <f t="shared" si="7"/>
        <v>8</v>
      </c>
      <c r="L40" s="81">
        <f t="shared" si="8"/>
        <v>909000</v>
      </c>
      <c r="M40" s="81">
        <f t="shared" si="9"/>
        <v>385000</v>
      </c>
      <c r="N40" s="79" cm="1">
        <f t="array" ref="N40">ROUND(LOOKUP(MONTH($B40),$N$62:$N$68,$O$62:$O$68)*INDEX($C$82:$C$85,MIN(INT((DAY($B40)-1)/7)+1,4)),3)</f>
        <v>0.42299999999999999</v>
      </c>
      <c r="O40" s="362">
        <f t="shared" si="10"/>
        <v>97000</v>
      </c>
      <c r="P40" s="345">
        <f t="shared" si="11"/>
        <v>65</v>
      </c>
      <c r="Q40" s="345">
        <f t="shared" si="12"/>
        <v>30</v>
      </c>
      <c r="R40" s="345">
        <f t="shared" si="13"/>
        <v>16</v>
      </c>
      <c r="S40" s="345">
        <f t="shared" si="14"/>
        <v>16</v>
      </c>
      <c r="T40" s="360">
        <f t="shared" si="15"/>
        <v>0.24615384615384617</v>
      </c>
      <c r="U40" s="360">
        <f t="shared" si="16"/>
        <v>0.24615384615384617</v>
      </c>
      <c r="V40" s="345">
        <f t="shared" si="17"/>
        <v>5</v>
      </c>
      <c r="W40" s="28">
        <f t="shared" si="18"/>
        <v>10</v>
      </c>
      <c r="X40" s="28">
        <f t="shared" si="19"/>
        <v>10.4</v>
      </c>
    </row>
    <row r="41" spans="1:24">
      <c r="A41" s="77">
        <f t="shared" si="20"/>
        <v>37</v>
      </c>
      <c r="B41" s="78">
        <f t="shared" si="21"/>
        <v>46279</v>
      </c>
      <c r="C41" s="79">
        <f t="shared" si="0"/>
        <v>0.77159090909090911</v>
      </c>
      <c r="D41" s="80">
        <f t="shared" si="22"/>
        <v>679</v>
      </c>
      <c r="E41" s="80">
        <f t="shared" si="1"/>
        <v>156</v>
      </c>
      <c r="F41" s="80">
        <f t="shared" si="2"/>
        <v>39</v>
      </c>
      <c r="G41" s="80">
        <f t="shared" si="3"/>
        <v>24</v>
      </c>
      <c r="H41" s="80">
        <f t="shared" si="4"/>
        <v>16</v>
      </c>
      <c r="I41" s="80">
        <f t="shared" si="5"/>
        <v>14</v>
      </c>
      <c r="J41" s="79">
        <f t="shared" si="6"/>
        <v>0.65</v>
      </c>
      <c r="K41" s="80">
        <f t="shared" si="7"/>
        <v>9</v>
      </c>
      <c r="L41" s="81">
        <f t="shared" si="8"/>
        <v>917000</v>
      </c>
      <c r="M41" s="81">
        <f t="shared" si="9"/>
        <v>715000</v>
      </c>
      <c r="N41" s="79" cm="1">
        <f t="array" ref="N41">ROUND(LOOKUP(MONTH($B41),$N$62:$N$68,$O$62:$O$68)*INDEX($C$82:$C$85,MIN(INT((DAY($B41)-1)/7)+1,4)),3)</f>
        <v>0.78</v>
      </c>
      <c r="O41" s="362">
        <f t="shared" si="10"/>
        <v>95000</v>
      </c>
      <c r="P41" s="345">
        <f t="shared" si="11"/>
        <v>65</v>
      </c>
      <c r="Q41" s="345">
        <f t="shared" si="12"/>
        <v>30</v>
      </c>
      <c r="R41" s="345">
        <f t="shared" si="13"/>
        <v>16</v>
      </c>
      <c r="S41" s="345">
        <f t="shared" si="14"/>
        <v>16</v>
      </c>
      <c r="T41" s="360">
        <f t="shared" si="15"/>
        <v>0.24615384615384617</v>
      </c>
      <c r="U41" s="360">
        <f t="shared" si="16"/>
        <v>0.24615384615384617</v>
      </c>
      <c r="V41" s="345">
        <f t="shared" si="17"/>
        <v>5</v>
      </c>
      <c r="W41" s="28">
        <f t="shared" si="18"/>
        <v>10</v>
      </c>
      <c r="X41" s="28">
        <f t="shared" si="19"/>
        <v>10.4</v>
      </c>
    </row>
    <row r="42" spans="1:24">
      <c r="A42" s="77">
        <f t="shared" si="20"/>
        <v>38</v>
      </c>
      <c r="B42" s="78">
        <f t="shared" si="21"/>
        <v>46286</v>
      </c>
      <c r="C42" s="79">
        <f t="shared" si="0"/>
        <v>0.77840909090909094</v>
      </c>
      <c r="D42" s="80">
        <f t="shared" si="22"/>
        <v>685</v>
      </c>
      <c r="E42" s="80">
        <f t="shared" si="1"/>
        <v>156</v>
      </c>
      <c r="F42" s="80">
        <f t="shared" si="2"/>
        <v>39</v>
      </c>
      <c r="G42" s="80">
        <f t="shared" si="3"/>
        <v>24</v>
      </c>
      <c r="H42" s="80">
        <f t="shared" si="4"/>
        <v>16</v>
      </c>
      <c r="I42" s="80">
        <f t="shared" si="5"/>
        <v>14</v>
      </c>
      <c r="J42" s="79">
        <f t="shared" si="6"/>
        <v>0.65</v>
      </c>
      <c r="K42" s="80">
        <f t="shared" si="7"/>
        <v>8</v>
      </c>
      <c r="L42" s="81">
        <f t="shared" si="8"/>
        <v>925000</v>
      </c>
      <c r="M42" s="81">
        <f t="shared" si="9"/>
        <v>808000</v>
      </c>
      <c r="N42" s="79" cm="1">
        <f t="array" ref="N42">ROUND(LOOKUP(MONTH($B42),$N$62:$N$68,$O$62:$O$68)*INDEX($C$82:$C$85,MIN(INT((DAY($B42)-1)/7)+1,4)),3)</f>
        <v>0.874</v>
      </c>
      <c r="O42" s="362">
        <f t="shared" si="10"/>
        <v>93000</v>
      </c>
      <c r="P42" s="345">
        <f t="shared" si="11"/>
        <v>65</v>
      </c>
      <c r="Q42" s="345">
        <f t="shared" si="12"/>
        <v>30</v>
      </c>
      <c r="R42" s="345">
        <f t="shared" si="13"/>
        <v>16</v>
      </c>
      <c r="S42" s="345">
        <f t="shared" si="14"/>
        <v>16</v>
      </c>
      <c r="T42" s="360">
        <f t="shared" si="15"/>
        <v>0.24615384615384617</v>
      </c>
      <c r="U42" s="360">
        <f t="shared" si="16"/>
        <v>0.24615384615384617</v>
      </c>
      <c r="V42" s="345">
        <f t="shared" si="17"/>
        <v>5</v>
      </c>
      <c r="W42" s="28">
        <f t="shared" si="18"/>
        <v>10</v>
      </c>
      <c r="X42" s="28">
        <f t="shared" si="19"/>
        <v>10.4</v>
      </c>
    </row>
    <row r="43" spans="1:24">
      <c r="A43" s="1150">
        <f t="shared" si="20"/>
        <v>39</v>
      </c>
      <c r="B43" s="1151">
        <f t="shared" si="21"/>
        <v>46293</v>
      </c>
      <c r="C43" s="1152">
        <f t="shared" si="0"/>
        <v>0.78522727272727277</v>
      </c>
      <c r="D43" s="1153">
        <f t="shared" si="22"/>
        <v>691</v>
      </c>
      <c r="E43" s="1153">
        <f t="shared" si="1"/>
        <v>132</v>
      </c>
      <c r="F43" s="1153">
        <f t="shared" si="2"/>
        <v>33</v>
      </c>
      <c r="G43" s="1153">
        <f t="shared" si="3"/>
        <v>20</v>
      </c>
      <c r="H43" s="1153">
        <f t="shared" si="4"/>
        <v>13</v>
      </c>
      <c r="I43" s="1153">
        <f t="shared" si="5"/>
        <v>11</v>
      </c>
      <c r="J43" s="1152">
        <f t="shared" si="6"/>
        <v>0.65</v>
      </c>
      <c r="K43" s="1153">
        <f t="shared" si="7"/>
        <v>8</v>
      </c>
      <c r="L43" s="1154">
        <f t="shared" si="8"/>
        <v>933000</v>
      </c>
      <c r="M43" s="1154">
        <f t="shared" si="9"/>
        <v>877000</v>
      </c>
      <c r="N43" s="1152" cm="1">
        <f t="array" ref="N43">ROUND(LOOKUP(MONTH($B43),$N$62:$N$68,$O$62:$O$68)*INDEX($C$82:$C$85,MIN(INT((DAY($B43)-1)/7)+1,4)),3)</f>
        <v>0.94</v>
      </c>
      <c r="O43" s="1155">
        <f t="shared" si="10"/>
        <v>92000</v>
      </c>
      <c r="P43" s="346">
        <f t="shared" si="11"/>
        <v>65</v>
      </c>
      <c r="Q43" s="346">
        <f t="shared" si="12"/>
        <v>30</v>
      </c>
      <c r="R43" s="346">
        <f t="shared" si="13"/>
        <v>13</v>
      </c>
      <c r="S43" s="346">
        <f t="shared" si="14"/>
        <v>16</v>
      </c>
      <c r="T43" s="347">
        <f t="shared" si="15"/>
        <v>0.2</v>
      </c>
      <c r="U43" s="347">
        <f t="shared" si="16"/>
        <v>0.24615384615384617</v>
      </c>
      <c r="V43" s="346">
        <f t="shared" si="17"/>
        <v>4</v>
      </c>
      <c r="W43" s="350">
        <f t="shared" si="18"/>
        <v>10</v>
      </c>
      <c r="X43" s="350">
        <f t="shared" si="19"/>
        <v>10.4</v>
      </c>
    </row>
    <row r="44" spans="1:24">
      <c r="A44" s="77">
        <f t="shared" si="20"/>
        <v>40</v>
      </c>
      <c r="B44" s="78">
        <f t="shared" si="21"/>
        <v>46300</v>
      </c>
      <c r="C44" s="79">
        <f t="shared" si="0"/>
        <v>0.78977272727272729</v>
      </c>
      <c r="D44" s="80">
        <f t="shared" si="22"/>
        <v>695</v>
      </c>
      <c r="E44" s="80">
        <f t="shared" si="1"/>
        <v>132</v>
      </c>
      <c r="F44" s="80">
        <f t="shared" si="2"/>
        <v>33</v>
      </c>
      <c r="G44" s="80">
        <f t="shared" si="3"/>
        <v>20</v>
      </c>
      <c r="H44" s="80">
        <f t="shared" si="4"/>
        <v>13</v>
      </c>
      <c r="I44" s="80">
        <f t="shared" si="5"/>
        <v>11</v>
      </c>
      <c r="J44" s="79">
        <f t="shared" si="6"/>
        <v>0.65</v>
      </c>
      <c r="K44" s="80">
        <f t="shared" si="7"/>
        <v>7</v>
      </c>
      <c r="L44" s="81">
        <f t="shared" si="8"/>
        <v>938000</v>
      </c>
      <c r="M44" s="81">
        <f t="shared" si="9"/>
        <v>397000</v>
      </c>
      <c r="N44" s="79" cm="1">
        <f t="array" ref="N44">ROUND(LOOKUP(MONTH($B44),$N$62:$N$68,$O$62:$O$68)*INDEX($C$82:$C$85,MIN(INT((DAY($B44)-1)/7)+1,4)),3)</f>
        <v>0.42299999999999999</v>
      </c>
      <c r="O44" s="362">
        <f t="shared" si="10"/>
        <v>90000</v>
      </c>
      <c r="P44" s="345">
        <f t="shared" si="11"/>
        <v>65</v>
      </c>
      <c r="Q44" s="345">
        <f t="shared" si="12"/>
        <v>30</v>
      </c>
      <c r="R44" s="345">
        <f t="shared" si="13"/>
        <v>13</v>
      </c>
      <c r="S44" s="345">
        <f t="shared" si="14"/>
        <v>16</v>
      </c>
      <c r="T44" s="360">
        <f t="shared" si="15"/>
        <v>0.2</v>
      </c>
      <c r="U44" s="360">
        <f t="shared" si="16"/>
        <v>0.24615384615384617</v>
      </c>
      <c r="V44" s="345">
        <f t="shared" si="17"/>
        <v>4</v>
      </c>
      <c r="W44" s="28">
        <f t="shared" si="18"/>
        <v>10</v>
      </c>
      <c r="X44" s="28">
        <f t="shared" si="19"/>
        <v>10.4</v>
      </c>
    </row>
    <row r="45" spans="1:24">
      <c r="A45" s="77">
        <f t="shared" si="20"/>
        <v>41</v>
      </c>
      <c r="B45" s="78">
        <f t="shared" si="21"/>
        <v>46307</v>
      </c>
      <c r="C45" s="79">
        <f t="shared" si="0"/>
        <v>0.79431818181818181</v>
      </c>
      <c r="D45" s="80">
        <f t="shared" si="22"/>
        <v>699</v>
      </c>
      <c r="E45" s="80">
        <f t="shared" si="1"/>
        <v>132</v>
      </c>
      <c r="F45" s="80">
        <f t="shared" si="2"/>
        <v>33</v>
      </c>
      <c r="G45" s="80">
        <f t="shared" si="3"/>
        <v>20</v>
      </c>
      <c r="H45" s="80">
        <f t="shared" si="4"/>
        <v>13</v>
      </c>
      <c r="I45" s="80">
        <f t="shared" si="5"/>
        <v>11</v>
      </c>
      <c r="J45" s="79">
        <f t="shared" si="6"/>
        <v>0.65</v>
      </c>
      <c r="K45" s="80">
        <f t="shared" si="7"/>
        <v>8</v>
      </c>
      <c r="L45" s="81">
        <f t="shared" si="8"/>
        <v>944000</v>
      </c>
      <c r="M45" s="81">
        <f t="shared" si="9"/>
        <v>736000</v>
      </c>
      <c r="N45" s="79" cm="1">
        <f t="array" ref="N45">ROUND(LOOKUP(MONTH($B45),$N$62:$N$68,$O$62:$O$68)*INDEX($C$82:$C$85,MIN(INT((DAY($B45)-1)/7)+1,4)),3)</f>
        <v>0.78</v>
      </c>
      <c r="O45" s="362">
        <f t="shared" si="10"/>
        <v>88000</v>
      </c>
      <c r="P45" s="345">
        <f t="shared" si="11"/>
        <v>65</v>
      </c>
      <c r="Q45" s="345">
        <f t="shared" si="12"/>
        <v>30</v>
      </c>
      <c r="R45" s="345">
        <f t="shared" si="13"/>
        <v>13</v>
      </c>
      <c r="S45" s="345">
        <f t="shared" si="14"/>
        <v>16</v>
      </c>
      <c r="T45" s="360">
        <f t="shared" si="15"/>
        <v>0.2</v>
      </c>
      <c r="U45" s="360">
        <f t="shared" si="16"/>
        <v>0.24615384615384617</v>
      </c>
      <c r="V45" s="345">
        <f t="shared" si="17"/>
        <v>4</v>
      </c>
      <c r="W45" s="28">
        <f t="shared" si="18"/>
        <v>10</v>
      </c>
      <c r="X45" s="28">
        <f t="shared" si="19"/>
        <v>10.4</v>
      </c>
    </row>
    <row r="46" spans="1:24">
      <c r="A46" s="77">
        <f t="shared" si="20"/>
        <v>42</v>
      </c>
      <c r="B46" s="78">
        <f t="shared" si="21"/>
        <v>46314</v>
      </c>
      <c r="C46" s="79">
        <f t="shared" si="0"/>
        <v>0.79886363636363633</v>
      </c>
      <c r="D46" s="80">
        <f t="shared" si="22"/>
        <v>703</v>
      </c>
      <c r="E46" s="80">
        <f t="shared" si="1"/>
        <v>132</v>
      </c>
      <c r="F46" s="80">
        <f t="shared" si="2"/>
        <v>33</v>
      </c>
      <c r="G46" s="80">
        <f t="shared" si="3"/>
        <v>20</v>
      </c>
      <c r="H46" s="80">
        <f t="shared" si="4"/>
        <v>13</v>
      </c>
      <c r="I46" s="80">
        <f t="shared" si="5"/>
        <v>11</v>
      </c>
      <c r="J46" s="79">
        <f t="shared" si="6"/>
        <v>0.65</v>
      </c>
      <c r="K46" s="80">
        <f t="shared" si="7"/>
        <v>7</v>
      </c>
      <c r="L46" s="81">
        <f t="shared" si="8"/>
        <v>949000</v>
      </c>
      <c r="M46" s="81">
        <f t="shared" si="9"/>
        <v>829000</v>
      </c>
      <c r="N46" s="79" cm="1">
        <f t="array" ref="N46">ROUND(LOOKUP(MONTH($B46),$N$62:$N$68,$O$62:$O$68)*INDEX($C$82:$C$85,MIN(INT((DAY($B46)-1)/7)+1,4)),3)</f>
        <v>0.874</v>
      </c>
      <c r="O46" s="362">
        <f t="shared" si="10"/>
        <v>87000</v>
      </c>
      <c r="P46" s="345">
        <f t="shared" si="11"/>
        <v>65</v>
      </c>
      <c r="Q46" s="345">
        <f t="shared" si="12"/>
        <v>30</v>
      </c>
      <c r="R46" s="345">
        <f t="shared" si="13"/>
        <v>13</v>
      </c>
      <c r="S46" s="345">
        <f t="shared" si="14"/>
        <v>16</v>
      </c>
      <c r="T46" s="360">
        <f t="shared" si="15"/>
        <v>0.2</v>
      </c>
      <c r="U46" s="360">
        <f t="shared" si="16"/>
        <v>0.24615384615384617</v>
      </c>
      <c r="V46" s="345">
        <f t="shared" si="17"/>
        <v>4</v>
      </c>
      <c r="W46" s="28">
        <f t="shared" si="18"/>
        <v>10</v>
      </c>
      <c r="X46" s="28">
        <f t="shared" si="19"/>
        <v>10.4</v>
      </c>
    </row>
    <row r="47" spans="1:24">
      <c r="A47" s="1150">
        <f t="shared" si="20"/>
        <v>43</v>
      </c>
      <c r="B47" s="1151">
        <f t="shared" si="21"/>
        <v>46321</v>
      </c>
      <c r="C47" s="1152">
        <f t="shared" si="0"/>
        <v>0.80340909090909096</v>
      </c>
      <c r="D47" s="1153">
        <f t="shared" si="22"/>
        <v>707</v>
      </c>
      <c r="E47" s="1153">
        <f t="shared" si="1"/>
        <v>132</v>
      </c>
      <c r="F47" s="1153">
        <f t="shared" si="2"/>
        <v>33</v>
      </c>
      <c r="G47" s="1153">
        <f t="shared" si="3"/>
        <v>20</v>
      </c>
      <c r="H47" s="1153">
        <f t="shared" si="4"/>
        <v>13</v>
      </c>
      <c r="I47" s="1153">
        <f t="shared" si="5"/>
        <v>11</v>
      </c>
      <c r="J47" s="1152">
        <f t="shared" si="6"/>
        <v>0.65</v>
      </c>
      <c r="K47" s="1153">
        <f t="shared" si="7"/>
        <v>6</v>
      </c>
      <c r="L47" s="1154">
        <f t="shared" si="8"/>
        <v>954000</v>
      </c>
      <c r="M47" s="1154">
        <f t="shared" si="9"/>
        <v>897000</v>
      </c>
      <c r="N47" s="1152" cm="1">
        <f t="array" ref="N47">ROUND(LOOKUP(MONTH($B47),$N$62:$N$68,$O$62:$O$68)*INDEX($C$82:$C$85,MIN(INT((DAY($B47)-1)/7)+1,4)),3)</f>
        <v>0.94</v>
      </c>
      <c r="O47" s="1155">
        <f t="shared" si="10"/>
        <v>85000</v>
      </c>
      <c r="P47" s="346">
        <f t="shared" si="11"/>
        <v>65</v>
      </c>
      <c r="Q47" s="346">
        <f t="shared" si="12"/>
        <v>30</v>
      </c>
      <c r="R47" s="346">
        <f t="shared" si="13"/>
        <v>13</v>
      </c>
      <c r="S47" s="346">
        <f t="shared" si="14"/>
        <v>16</v>
      </c>
      <c r="T47" s="347">
        <f t="shared" si="15"/>
        <v>0.2</v>
      </c>
      <c r="U47" s="347">
        <f t="shared" si="16"/>
        <v>0.24615384615384617</v>
      </c>
      <c r="V47" s="346">
        <f t="shared" si="17"/>
        <v>4</v>
      </c>
      <c r="W47" s="350">
        <f t="shared" si="18"/>
        <v>10</v>
      </c>
      <c r="X47" s="350">
        <f t="shared" si="19"/>
        <v>10.4</v>
      </c>
    </row>
    <row r="48" spans="1:24">
      <c r="A48" s="77">
        <f t="shared" si="20"/>
        <v>44</v>
      </c>
      <c r="B48" s="78">
        <f t="shared" si="21"/>
        <v>46328</v>
      </c>
      <c r="C48" s="79">
        <f t="shared" si="0"/>
        <v>0.80795454545454548</v>
      </c>
      <c r="D48" s="80">
        <f t="shared" si="22"/>
        <v>711</v>
      </c>
      <c r="E48" s="80">
        <f t="shared" si="1"/>
        <v>132</v>
      </c>
      <c r="F48" s="80">
        <f t="shared" si="2"/>
        <v>33</v>
      </c>
      <c r="G48" s="80">
        <f t="shared" si="3"/>
        <v>20</v>
      </c>
      <c r="H48" s="80">
        <f t="shared" si="4"/>
        <v>13</v>
      </c>
      <c r="I48" s="80">
        <f t="shared" si="5"/>
        <v>11</v>
      </c>
      <c r="J48" s="79">
        <f t="shared" si="6"/>
        <v>0.65</v>
      </c>
      <c r="K48" s="80">
        <f t="shared" si="7"/>
        <v>6</v>
      </c>
      <c r="L48" s="81">
        <f t="shared" si="8"/>
        <v>960000</v>
      </c>
      <c r="M48" s="81">
        <f t="shared" si="9"/>
        <v>411000</v>
      </c>
      <c r="N48" s="79" cm="1">
        <f t="array" ref="N48">ROUND(LOOKUP(MONTH($B48),$N$62:$N$68,$O$62:$O$68)*INDEX($C$82:$C$85,MIN(INT((DAY($B48)-1)/7)+1,4)),3)</f>
        <v>0.42799999999999999</v>
      </c>
      <c r="O48" s="362">
        <f t="shared" si="10"/>
        <v>84000</v>
      </c>
      <c r="P48" s="345">
        <f t="shared" si="11"/>
        <v>65</v>
      </c>
      <c r="Q48" s="345">
        <f t="shared" si="12"/>
        <v>30</v>
      </c>
      <c r="R48" s="345">
        <f t="shared" si="13"/>
        <v>13</v>
      </c>
      <c r="S48" s="345">
        <f t="shared" si="14"/>
        <v>16</v>
      </c>
      <c r="T48" s="360">
        <f t="shared" si="15"/>
        <v>0.2</v>
      </c>
      <c r="U48" s="360">
        <f t="shared" si="16"/>
        <v>0.24615384615384617</v>
      </c>
      <c r="V48" s="345">
        <f t="shared" si="17"/>
        <v>4</v>
      </c>
      <c r="W48" s="28">
        <f t="shared" si="18"/>
        <v>10</v>
      </c>
      <c r="X48" s="28">
        <f t="shared" si="19"/>
        <v>10.1</v>
      </c>
    </row>
    <row r="49" spans="1:24">
      <c r="A49" s="77">
        <f t="shared" si="20"/>
        <v>45</v>
      </c>
      <c r="B49" s="78">
        <f t="shared" si="21"/>
        <v>46335</v>
      </c>
      <c r="C49" s="79">
        <f t="shared" si="0"/>
        <v>0.8125</v>
      </c>
      <c r="D49" s="80">
        <f t="shared" si="22"/>
        <v>715</v>
      </c>
      <c r="E49" s="80">
        <f t="shared" si="1"/>
        <v>132</v>
      </c>
      <c r="F49" s="80">
        <f t="shared" si="2"/>
        <v>33</v>
      </c>
      <c r="G49" s="80">
        <f t="shared" si="3"/>
        <v>20</v>
      </c>
      <c r="H49" s="80">
        <f t="shared" si="4"/>
        <v>13</v>
      </c>
      <c r="I49" s="80">
        <f t="shared" si="5"/>
        <v>11</v>
      </c>
      <c r="J49" s="79">
        <f t="shared" si="6"/>
        <v>0.65</v>
      </c>
      <c r="K49" s="80">
        <f t="shared" si="7"/>
        <v>7</v>
      </c>
      <c r="L49" s="81">
        <f t="shared" si="8"/>
        <v>965000</v>
      </c>
      <c r="M49" s="81">
        <f t="shared" si="9"/>
        <v>761000</v>
      </c>
      <c r="N49" s="79" cm="1">
        <f t="array" ref="N49">ROUND(LOOKUP(MONTH($B49),$N$62:$N$68,$O$62:$O$68)*INDEX($C$82:$C$85,MIN(INT((DAY($B49)-1)/7)+1,4)),3)</f>
        <v>0.78900000000000003</v>
      </c>
      <c r="O49" s="362">
        <f t="shared" si="10"/>
        <v>83000</v>
      </c>
      <c r="P49" s="345">
        <f t="shared" si="11"/>
        <v>65</v>
      </c>
      <c r="Q49" s="345">
        <f t="shared" si="12"/>
        <v>30</v>
      </c>
      <c r="R49" s="345">
        <f t="shared" si="13"/>
        <v>13</v>
      </c>
      <c r="S49" s="345">
        <f t="shared" si="14"/>
        <v>16</v>
      </c>
      <c r="T49" s="360">
        <f t="shared" si="15"/>
        <v>0.2</v>
      </c>
      <c r="U49" s="360">
        <f t="shared" si="16"/>
        <v>0.24615384615384617</v>
      </c>
      <c r="V49" s="345">
        <f t="shared" si="17"/>
        <v>4</v>
      </c>
      <c r="W49" s="28">
        <f t="shared" si="18"/>
        <v>10</v>
      </c>
      <c r="X49" s="28">
        <f t="shared" si="19"/>
        <v>10.1</v>
      </c>
    </row>
    <row r="50" spans="1:24">
      <c r="A50" s="77">
        <f t="shared" si="20"/>
        <v>46</v>
      </c>
      <c r="B50" s="78">
        <f t="shared" si="21"/>
        <v>46342</v>
      </c>
      <c r="C50" s="79">
        <f t="shared" si="0"/>
        <v>0.81704545454545452</v>
      </c>
      <c r="D50" s="80">
        <f t="shared" si="22"/>
        <v>719</v>
      </c>
      <c r="E50" s="80">
        <f t="shared" si="1"/>
        <v>132</v>
      </c>
      <c r="F50" s="80">
        <f t="shared" si="2"/>
        <v>33</v>
      </c>
      <c r="G50" s="80">
        <f t="shared" si="3"/>
        <v>20</v>
      </c>
      <c r="H50" s="80">
        <f t="shared" si="4"/>
        <v>13</v>
      </c>
      <c r="I50" s="80">
        <f t="shared" si="5"/>
        <v>11</v>
      </c>
      <c r="J50" s="79">
        <f t="shared" si="6"/>
        <v>0.65</v>
      </c>
      <c r="K50" s="80">
        <f t="shared" si="7"/>
        <v>6</v>
      </c>
      <c r="L50" s="81">
        <f t="shared" si="8"/>
        <v>971000</v>
      </c>
      <c r="M50" s="81">
        <f t="shared" si="9"/>
        <v>858000</v>
      </c>
      <c r="N50" s="79" cm="1">
        <f t="array" ref="N50">ROUND(LOOKUP(MONTH($B50),$N$62:$N$68,$O$62:$O$68)*INDEX($C$82:$C$85,MIN(INT((DAY($B50)-1)/7)+1,4)),3)</f>
        <v>0.88400000000000001</v>
      </c>
      <c r="O50" s="362">
        <f t="shared" si="10"/>
        <v>82000</v>
      </c>
      <c r="P50" s="345">
        <f t="shared" si="11"/>
        <v>65</v>
      </c>
      <c r="Q50" s="345">
        <f t="shared" si="12"/>
        <v>30</v>
      </c>
      <c r="R50" s="345">
        <f t="shared" si="13"/>
        <v>13</v>
      </c>
      <c r="S50" s="345">
        <f t="shared" si="14"/>
        <v>16</v>
      </c>
      <c r="T50" s="360">
        <f t="shared" si="15"/>
        <v>0.2</v>
      </c>
      <c r="U50" s="360">
        <f t="shared" si="16"/>
        <v>0.24615384615384617</v>
      </c>
      <c r="V50" s="345">
        <f t="shared" si="17"/>
        <v>4</v>
      </c>
      <c r="W50" s="28">
        <f t="shared" si="18"/>
        <v>10</v>
      </c>
      <c r="X50" s="28">
        <f t="shared" si="19"/>
        <v>10.1</v>
      </c>
    </row>
    <row r="51" spans="1:24">
      <c r="A51" s="77">
        <f t="shared" si="20"/>
        <v>47</v>
      </c>
      <c r="B51" s="78">
        <f t="shared" si="21"/>
        <v>46349</v>
      </c>
      <c r="C51" s="79">
        <f t="shared" si="0"/>
        <v>0.82159090909090904</v>
      </c>
      <c r="D51" s="80">
        <f t="shared" si="22"/>
        <v>723</v>
      </c>
      <c r="E51" s="80">
        <f t="shared" si="1"/>
        <v>132</v>
      </c>
      <c r="F51" s="80">
        <f t="shared" si="2"/>
        <v>33</v>
      </c>
      <c r="G51" s="80">
        <f t="shared" si="3"/>
        <v>20</v>
      </c>
      <c r="H51" s="80">
        <f t="shared" si="4"/>
        <v>13</v>
      </c>
      <c r="I51" s="80">
        <f t="shared" si="5"/>
        <v>11</v>
      </c>
      <c r="J51" s="79">
        <f t="shared" si="6"/>
        <v>0.65</v>
      </c>
      <c r="K51" s="80">
        <f t="shared" si="7"/>
        <v>6</v>
      </c>
      <c r="L51" s="81">
        <f t="shared" si="8"/>
        <v>976000</v>
      </c>
      <c r="M51" s="81">
        <f t="shared" si="9"/>
        <v>927000</v>
      </c>
      <c r="N51" s="79" cm="1">
        <f t="array" ref="N51">ROUND(LOOKUP(MONTH($B51),$N$62:$N$68,$O$62:$O$68)*INDEX($C$82:$C$85,MIN(INT((DAY($B51)-1)/7)+1,4)),3)</f>
        <v>0.95</v>
      </c>
      <c r="O51" s="362">
        <f t="shared" si="10"/>
        <v>80000</v>
      </c>
      <c r="P51" s="345">
        <f t="shared" si="11"/>
        <v>65</v>
      </c>
      <c r="Q51" s="345">
        <f t="shared" si="12"/>
        <v>30</v>
      </c>
      <c r="R51" s="345">
        <f t="shared" si="13"/>
        <v>13</v>
      </c>
      <c r="S51" s="345">
        <f t="shared" si="14"/>
        <v>16</v>
      </c>
      <c r="T51" s="360">
        <f t="shared" si="15"/>
        <v>0.2</v>
      </c>
      <c r="U51" s="360">
        <f t="shared" si="16"/>
        <v>0.24615384615384617</v>
      </c>
      <c r="V51" s="345">
        <f t="shared" si="17"/>
        <v>4</v>
      </c>
      <c r="W51" s="28">
        <f t="shared" si="18"/>
        <v>10</v>
      </c>
      <c r="X51" s="28">
        <f t="shared" si="19"/>
        <v>10.1</v>
      </c>
    </row>
    <row r="52" spans="1:24">
      <c r="A52" s="1150">
        <f t="shared" si="20"/>
        <v>48</v>
      </c>
      <c r="B52" s="1151">
        <f t="shared" si="21"/>
        <v>46356</v>
      </c>
      <c r="C52" s="1152">
        <f t="shared" si="0"/>
        <v>0.82727272727272727</v>
      </c>
      <c r="D52" s="1153">
        <f t="shared" si="22"/>
        <v>728</v>
      </c>
      <c r="E52" s="1153">
        <f t="shared" si="1"/>
        <v>132</v>
      </c>
      <c r="F52" s="1153">
        <f t="shared" si="2"/>
        <v>33</v>
      </c>
      <c r="G52" s="1153">
        <f t="shared" si="3"/>
        <v>20</v>
      </c>
      <c r="H52" s="1153">
        <f t="shared" si="4"/>
        <v>13</v>
      </c>
      <c r="I52" s="1153">
        <f t="shared" si="5"/>
        <v>11</v>
      </c>
      <c r="J52" s="1152">
        <f t="shared" si="6"/>
        <v>0.65</v>
      </c>
      <c r="K52" s="1153">
        <f t="shared" si="7"/>
        <v>5</v>
      </c>
      <c r="L52" s="1154">
        <f t="shared" si="8"/>
        <v>983000</v>
      </c>
      <c r="M52" s="1154">
        <f t="shared" si="9"/>
        <v>934000</v>
      </c>
      <c r="N52" s="1152" cm="1">
        <f t="array" ref="N52">ROUND(LOOKUP(MONTH($B52),$N$62:$N$68,$O$62:$O$68)*INDEX($C$82:$C$85,MIN(INT((DAY($B52)-1)/7)+1,4)),3)</f>
        <v>0.95</v>
      </c>
      <c r="O52" s="1155">
        <f t="shared" si="10"/>
        <v>80000</v>
      </c>
      <c r="P52" s="346">
        <f t="shared" si="11"/>
        <v>65</v>
      </c>
      <c r="Q52" s="346">
        <f t="shared" si="12"/>
        <v>30</v>
      </c>
      <c r="R52" s="346">
        <f t="shared" si="13"/>
        <v>13</v>
      </c>
      <c r="S52" s="346">
        <f t="shared" si="14"/>
        <v>16</v>
      </c>
      <c r="T52" s="347">
        <f t="shared" si="15"/>
        <v>0.2</v>
      </c>
      <c r="U52" s="347">
        <f t="shared" si="16"/>
        <v>0.24615384615384617</v>
      </c>
      <c r="V52" s="346">
        <f t="shared" si="17"/>
        <v>4</v>
      </c>
      <c r="W52" s="350">
        <f t="shared" si="18"/>
        <v>10</v>
      </c>
      <c r="X52" s="350">
        <f t="shared" si="19"/>
        <v>10.1</v>
      </c>
    </row>
    <row r="53" spans="1:24">
      <c r="A53" s="77">
        <f t="shared" si="20"/>
        <v>49</v>
      </c>
      <c r="B53" s="78">
        <f t="shared" si="21"/>
        <v>46363</v>
      </c>
      <c r="C53" s="79">
        <f t="shared" si="0"/>
        <v>0.83522727272727271</v>
      </c>
      <c r="D53" s="80">
        <f t="shared" si="22"/>
        <v>735</v>
      </c>
      <c r="E53" s="80">
        <f t="shared" si="1"/>
        <v>132</v>
      </c>
      <c r="F53" s="80">
        <f t="shared" si="2"/>
        <v>33</v>
      </c>
      <c r="G53" s="80">
        <f t="shared" si="3"/>
        <v>20</v>
      </c>
      <c r="H53" s="80">
        <f t="shared" si="4"/>
        <v>13</v>
      </c>
      <c r="I53" s="80">
        <f t="shared" si="5"/>
        <v>11</v>
      </c>
      <c r="J53" s="79">
        <f t="shared" si="6"/>
        <v>0.65</v>
      </c>
      <c r="K53" s="80">
        <f t="shared" si="7"/>
        <v>6</v>
      </c>
      <c r="L53" s="81">
        <f t="shared" si="8"/>
        <v>992000</v>
      </c>
      <c r="M53" s="81">
        <f t="shared" si="9"/>
        <v>425000</v>
      </c>
      <c r="N53" s="79" cm="1">
        <f t="array" ref="N53">ROUND(LOOKUP(MONTH($B53),$N$62:$N$68,$O$62:$O$68)*INDEX($C$82:$C$85,MIN(INT((DAY($B53)-1)/7)+1,4)),3)</f>
        <v>0.42799999999999999</v>
      </c>
      <c r="O53" s="362">
        <f t="shared" si="10"/>
        <v>80000</v>
      </c>
      <c r="P53" s="345">
        <f t="shared" si="11"/>
        <v>65</v>
      </c>
      <c r="Q53" s="345">
        <f t="shared" si="12"/>
        <v>30</v>
      </c>
      <c r="R53" s="345">
        <f t="shared" si="13"/>
        <v>13</v>
      </c>
      <c r="S53" s="345">
        <f t="shared" si="14"/>
        <v>16</v>
      </c>
      <c r="T53" s="360">
        <f t="shared" si="15"/>
        <v>0.2</v>
      </c>
      <c r="U53" s="360">
        <f t="shared" si="16"/>
        <v>0.24615384615384617</v>
      </c>
      <c r="V53" s="345">
        <f t="shared" si="17"/>
        <v>4</v>
      </c>
      <c r="W53" s="28">
        <f t="shared" si="18"/>
        <v>10</v>
      </c>
      <c r="X53" s="28">
        <f t="shared" si="19"/>
        <v>10.199999999999999</v>
      </c>
    </row>
    <row r="54" spans="1:24">
      <c r="A54" s="77">
        <f t="shared" si="20"/>
        <v>50</v>
      </c>
      <c r="B54" s="78">
        <f t="shared" si="21"/>
        <v>46370</v>
      </c>
      <c r="C54" s="79">
        <f t="shared" si="0"/>
        <v>0.84204545454545454</v>
      </c>
      <c r="D54" s="80">
        <f t="shared" si="22"/>
        <v>741</v>
      </c>
      <c r="E54" s="80">
        <f t="shared" si="1"/>
        <v>132</v>
      </c>
      <c r="F54" s="80">
        <f t="shared" si="2"/>
        <v>33</v>
      </c>
      <c r="G54" s="80">
        <f t="shared" si="3"/>
        <v>20</v>
      </c>
      <c r="H54" s="80">
        <f t="shared" si="4"/>
        <v>13</v>
      </c>
      <c r="I54" s="80">
        <f t="shared" si="5"/>
        <v>11</v>
      </c>
      <c r="J54" s="79">
        <f t="shared" si="6"/>
        <v>0.65</v>
      </c>
      <c r="K54" s="80">
        <f t="shared" si="7"/>
        <v>5</v>
      </c>
      <c r="L54" s="81">
        <f t="shared" si="8"/>
        <v>1000000</v>
      </c>
      <c r="M54" s="81">
        <f t="shared" si="9"/>
        <v>789000</v>
      </c>
      <c r="N54" s="79" cm="1">
        <f t="array" ref="N54">ROUND(LOOKUP(MONTH($B54),$N$62:$N$68,$O$62:$O$68)*INDEX($C$82:$C$85,MIN(INT((DAY($B54)-1)/7)+1,4)),3)</f>
        <v>0.78900000000000003</v>
      </c>
      <c r="O54" s="362">
        <f t="shared" si="10"/>
        <v>80000</v>
      </c>
      <c r="P54" s="345">
        <f t="shared" si="11"/>
        <v>65</v>
      </c>
      <c r="Q54" s="345">
        <f t="shared" si="12"/>
        <v>30</v>
      </c>
      <c r="R54" s="345">
        <f t="shared" si="13"/>
        <v>13</v>
      </c>
      <c r="S54" s="345">
        <f t="shared" si="14"/>
        <v>16</v>
      </c>
      <c r="T54" s="360">
        <f t="shared" si="15"/>
        <v>0.2</v>
      </c>
      <c r="U54" s="360">
        <f t="shared" si="16"/>
        <v>0.24615384615384617</v>
      </c>
      <c r="V54" s="345">
        <f t="shared" si="17"/>
        <v>4</v>
      </c>
      <c r="W54" s="28">
        <f t="shared" si="18"/>
        <v>10</v>
      </c>
      <c r="X54" s="28">
        <f t="shared" si="19"/>
        <v>10.199999999999999</v>
      </c>
    </row>
    <row r="55" spans="1:24">
      <c r="A55" s="77">
        <f t="shared" si="20"/>
        <v>51</v>
      </c>
      <c r="B55" s="78">
        <f t="shared" si="21"/>
        <v>46377</v>
      </c>
      <c r="C55" s="79">
        <f t="shared" si="0"/>
        <v>0.84886363636363638</v>
      </c>
      <c r="D55" s="80">
        <f t="shared" si="22"/>
        <v>747</v>
      </c>
      <c r="E55" s="80">
        <f t="shared" si="1"/>
        <v>132</v>
      </c>
      <c r="F55" s="80">
        <f t="shared" si="2"/>
        <v>33</v>
      </c>
      <c r="G55" s="80">
        <f t="shared" si="3"/>
        <v>20</v>
      </c>
      <c r="H55" s="80">
        <f t="shared" si="4"/>
        <v>13</v>
      </c>
      <c r="I55" s="80">
        <f t="shared" si="5"/>
        <v>11</v>
      </c>
      <c r="J55" s="79">
        <f t="shared" si="6"/>
        <v>0.65</v>
      </c>
      <c r="K55" s="80">
        <f t="shared" si="7"/>
        <v>5</v>
      </c>
      <c r="L55" s="81">
        <f t="shared" si="8"/>
        <v>1008000</v>
      </c>
      <c r="M55" s="81">
        <f t="shared" si="9"/>
        <v>891000</v>
      </c>
      <c r="N55" s="79" cm="1">
        <f t="array" ref="N55">ROUND(LOOKUP(MONTH($B55),$N$62:$N$68,$O$62:$O$68)*INDEX($C$82:$C$85,MIN(INT((DAY($B55)-1)/7)+1,4)),3)</f>
        <v>0.88400000000000001</v>
      </c>
      <c r="O55" s="362">
        <f t="shared" si="10"/>
        <v>80000</v>
      </c>
      <c r="P55" s="345">
        <f t="shared" si="11"/>
        <v>65</v>
      </c>
      <c r="Q55" s="345">
        <f t="shared" si="12"/>
        <v>30</v>
      </c>
      <c r="R55" s="345">
        <f t="shared" si="13"/>
        <v>13</v>
      </c>
      <c r="S55" s="345">
        <f t="shared" si="14"/>
        <v>16</v>
      </c>
      <c r="T55" s="360">
        <f t="shared" si="15"/>
        <v>0.2</v>
      </c>
      <c r="U55" s="360">
        <f t="shared" si="16"/>
        <v>0.24615384615384617</v>
      </c>
      <c r="V55" s="345">
        <f t="shared" si="17"/>
        <v>4</v>
      </c>
      <c r="W55" s="28">
        <f t="shared" si="18"/>
        <v>10</v>
      </c>
      <c r="X55" s="28">
        <f t="shared" si="19"/>
        <v>10.199999999999999</v>
      </c>
    </row>
    <row r="56" spans="1:24">
      <c r="A56" s="1150">
        <f t="shared" si="20"/>
        <v>52</v>
      </c>
      <c r="B56" s="1151">
        <f t="shared" si="21"/>
        <v>46384</v>
      </c>
      <c r="C56" s="1152">
        <f t="shared" si="0"/>
        <v>0.85340909090909089</v>
      </c>
      <c r="D56" s="1153">
        <f t="shared" si="22"/>
        <v>751</v>
      </c>
      <c r="E56" s="1153">
        <f t="shared" si="1"/>
        <v>132</v>
      </c>
      <c r="F56" s="1153">
        <f t="shared" si="2"/>
        <v>33</v>
      </c>
      <c r="G56" s="1153">
        <f t="shared" si="3"/>
        <v>20</v>
      </c>
      <c r="H56" s="1153">
        <f t="shared" si="4"/>
        <v>13</v>
      </c>
      <c r="I56" s="1153">
        <f t="shared" si="5"/>
        <v>11</v>
      </c>
      <c r="J56" s="1152">
        <f t="shared" si="6"/>
        <v>0.65</v>
      </c>
      <c r="K56" s="1153">
        <f t="shared" si="7"/>
        <v>5</v>
      </c>
      <c r="L56" s="1154">
        <f t="shared" si="8"/>
        <v>1014000</v>
      </c>
      <c r="M56" s="1154">
        <f t="shared" si="9"/>
        <v>963000</v>
      </c>
      <c r="N56" s="1152" cm="1">
        <f t="array" ref="N56">ROUND(LOOKUP(MONTH($B56),$N$62:$N$68,$O$62:$O$68)*INDEX($C$82:$C$85,MIN(INT((DAY($B56)-1)/7)+1,4)),3)</f>
        <v>0.95</v>
      </c>
      <c r="O56" s="1155">
        <f t="shared" si="10"/>
        <v>80000</v>
      </c>
      <c r="P56" s="346">
        <f t="shared" si="11"/>
        <v>65</v>
      </c>
      <c r="Q56" s="346">
        <f t="shared" si="12"/>
        <v>30</v>
      </c>
      <c r="R56" s="346">
        <f t="shared" si="13"/>
        <v>13</v>
      </c>
      <c r="S56" s="346">
        <f t="shared" si="14"/>
        <v>16</v>
      </c>
      <c r="T56" s="347">
        <f t="shared" si="15"/>
        <v>0.2</v>
      </c>
      <c r="U56" s="347">
        <f t="shared" si="16"/>
        <v>0.24615384615384617</v>
      </c>
      <c r="V56" s="346">
        <f t="shared" si="17"/>
        <v>4</v>
      </c>
      <c r="W56" s="350">
        <f t="shared" si="18"/>
        <v>10</v>
      </c>
      <c r="X56" s="350">
        <f t="shared" si="19"/>
        <v>10.199999999999999</v>
      </c>
    </row>
    <row r="58" spans="1:24">
      <c r="A58" s="1149" t="s">
        <v>1660</v>
      </c>
    </row>
    <row r="60" spans="1:24">
      <c r="B60" s="1156" t="s">
        <v>1661</v>
      </c>
      <c r="D60" s="1157" t="s">
        <v>1662</v>
      </c>
    </row>
    <row r="61" spans="1:24">
      <c r="B61" s="1149" t="s">
        <v>1663</v>
      </c>
      <c r="C61" s="1149" t="s">
        <v>1664</v>
      </c>
      <c r="D61" s="1149" t="s">
        <v>1665</v>
      </c>
      <c r="E61" s="1149" t="s">
        <v>1666</v>
      </c>
      <c r="F61" s="1149" t="s">
        <v>1667</v>
      </c>
      <c r="G61" s="1149" t="s">
        <v>1668</v>
      </c>
      <c r="H61" s="1149" t="s">
        <v>1669</v>
      </c>
      <c r="I61" s="1149"/>
      <c r="J61" s="1149" t="s">
        <v>1670</v>
      </c>
      <c r="K61" s="1149" t="s">
        <v>1671</v>
      </c>
      <c r="L61" s="1149" t="s">
        <v>1672</v>
      </c>
      <c r="M61" s="1149" t="s">
        <v>1658</v>
      </c>
      <c r="N61" s="1149" t="s">
        <v>1673</v>
      </c>
      <c r="O61" s="1149" t="s">
        <v>1674</v>
      </c>
      <c r="P61" s="1149" t="s">
        <v>1675</v>
      </c>
      <c r="Q61" s="1149" t="s">
        <v>1676</v>
      </c>
    </row>
    <row r="62" spans="1:24">
      <c r="B62" s="1159">
        <v>46199</v>
      </c>
      <c r="C62" t="s">
        <v>1677</v>
      </c>
      <c r="D62" s="1174">
        <f>$C$89-(LOOKUP($C$88,$B$62:$B$68,$Q$62:$Q$68)+ROUND(LOOKUP($C$88,$B$62:$B$68,$P$62:$P$68)*($C$88-LOOKUP($C$88,$B$62:$B$68))/LOOKUP($C$88,$B$62:$B$68,$F$62:$F$68),0))</f>
        <v>615</v>
      </c>
      <c r="E62" s="1173">
        <f t="shared" ref="E62:E67" si="23">D62+P62</f>
        <v>633</v>
      </c>
      <c r="F62" s="1160">
        <f t="shared" ref="F62:F67" si="24">B63-B62</f>
        <v>30</v>
      </c>
      <c r="G62" s="1158">
        <v>14</v>
      </c>
      <c r="H62" s="1158">
        <v>42</v>
      </c>
      <c r="I62" s="1161"/>
      <c r="J62" s="1162">
        <v>120000</v>
      </c>
      <c r="K62" s="1162">
        <v>110000</v>
      </c>
      <c r="L62" s="1158">
        <v>5</v>
      </c>
      <c r="M62" s="1158">
        <v>10</v>
      </c>
      <c r="N62" s="1158">
        <v>6</v>
      </c>
      <c r="O62" s="1161">
        <v>0.9</v>
      </c>
      <c r="P62" s="1173">
        <f t="shared" ref="P62:P67" si="25">ROUND(G62*F62/7,0)-H62</f>
        <v>18</v>
      </c>
      <c r="Q62" s="1165">
        <v>0</v>
      </c>
    </row>
    <row r="63" spans="1:24">
      <c r="B63" s="1159">
        <v>46229</v>
      </c>
      <c r="C63" t="s">
        <v>1678</v>
      </c>
      <c r="D63" s="107">
        <f t="shared" ref="D63:D68" si="26">E62</f>
        <v>633</v>
      </c>
      <c r="E63" s="1173">
        <f t="shared" si="23"/>
        <v>662</v>
      </c>
      <c r="F63" s="1160">
        <f t="shared" si="24"/>
        <v>31</v>
      </c>
      <c r="G63" s="1158">
        <v>14</v>
      </c>
      <c r="H63" s="1158">
        <v>33</v>
      </c>
      <c r="I63" s="1161"/>
      <c r="J63" s="1163">
        <f t="shared" ref="J63:J68" si="27">K62</f>
        <v>110000</v>
      </c>
      <c r="K63" s="1162">
        <v>100000</v>
      </c>
      <c r="L63" s="1158">
        <v>5</v>
      </c>
      <c r="M63" s="1158">
        <v>10</v>
      </c>
      <c r="N63" s="1158">
        <v>7</v>
      </c>
      <c r="O63" s="1161">
        <v>0.92</v>
      </c>
      <c r="P63" s="1173">
        <f t="shared" si="25"/>
        <v>29</v>
      </c>
      <c r="Q63" s="1173">
        <f t="shared" ref="Q63:Q68" si="28">Q62+P62</f>
        <v>18</v>
      </c>
    </row>
    <row r="64" spans="1:24">
      <c r="B64" s="1159">
        <v>46260</v>
      </c>
      <c r="C64" t="s">
        <v>1679</v>
      </c>
      <c r="D64" s="107">
        <f t="shared" si="26"/>
        <v>662</v>
      </c>
      <c r="E64" s="1173">
        <f t="shared" si="23"/>
        <v>690</v>
      </c>
      <c r="F64" s="1160">
        <f t="shared" si="24"/>
        <v>31</v>
      </c>
      <c r="G64" s="1158">
        <v>14</v>
      </c>
      <c r="H64" s="1158">
        <v>34</v>
      </c>
      <c r="I64" s="1161"/>
      <c r="J64" s="1163">
        <f t="shared" si="27"/>
        <v>100000</v>
      </c>
      <c r="K64" s="1162">
        <v>92000</v>
      </c>
      <c r="L64" s="1158">
        <v>5</v>
      </c>
      <c r="M64" s="1158">
        <v>10</v>
      </c>
      <c r="N64" s="1158">
        <v>8</v>
      </c>
      <c r="O64" s="1161">
        <v>0.93</v>
      </c>
      <c r="P64" s="1173">
        <f t="shared" si="25"/>
        <v>28</v>
      </c>
      <c r="Q64" s="1173">
        <f t="shared" si="28"/>
        <v>47</v>
      </c>
    </row>
    <row r="65" spans="2:17">
      <c r="B65" s="1159">
        <v>46291</v>
      </c>
      <c r="C65" t="s">
        <v>1680</v>
      </c>
      <c r="D65" s="107">
        <f t="shared" si="26"/>
        <v>690</v>
      </c>
      <c r="E65" s="1173">
        <f t="shared" si="23"/>
        <v>707</v>
      </c>
      <c r="F65" s="1160">
        <f t="shared" si="24"/>
        <v>30</v>
      </c>
      <c r="G65" s="1158">
        <v>11</v>
      </c>
      <c r="H65" s="1158">
        <v>30</v>
      </c>
      <c r="I65" s="1161"/>
      <c r="J65" s="1163">
        <f t="shared" si="27"/>
        <v>92000</v>
      </c>
      <c r="K65" s="1162">
        <v>85000</v>
      </c>
      <c r="L65" s="1158">
        <v>4</v>
      </c>
      <c r="M65" s="1158">
        <v>10</v>
      </c>
      <c r="N65" s="1158">
        <v>9</v>
      </c>
      <c r="O65" s="1161">
        <v>0.94</v>
      </c>
      <c r="P65" s="1173">
        <f t="shared" si="25"/>
        <v>17</v>
      </c>
      <c r="Q65" s="1173">
        <f t="shared" si="28"/>
        <v>75</v>
      </c>
    </row>
    <row r="66" spans="2:17">
      <c r="B66" s="1159">
        <v>46321</v>
      </c>
      <c r="C66" t="s">
        <v>1681</v>
      </c>
      <c r="D66" s="107">
        <f t="shared" si="26"/>
        <v>707</v>
      </c>
      <c r="E66" s="1173">
        <f t="shared" si="23"/>
        <v>725</v>
      </c>
      <c r="F66" s="1160">
        <f t="shared" si="24"/>
        <v>31</v>
      </c>
      <c r="G66" s="1158">
        <v>11</v>
      </c>
      <c r="H66" s="1158">
        <v>31</v>
      </c>
      <c r="I66" s="1161"/>
      <c r="J66" s="1163">
        <f t="shared" si="27"/>
        <v>85000</v>
      </c>
      <c r="K66" s="1162">
        <v>80000</v>
      </c>
      <c r="L66" s="1158">
        <v>4</v>
      </c>
      <c r="M66" s="1158">
        <v>10</v>
      </c>
      <c r="N66" s="1158">
        <v>10</v>
      </c>
      <c r="O66" s="1161">
        <v>0.94</v>
      </c>
      <c r="P66" s="1173">
        <f t="shared" si="25"/>
        <v>18</v>
      </c>
      <c r="Q66" s="1173">
        <f t="shared" si="28"/>
        <v>92</v>
      </c>
    </row>
    <row r="67" spans="2:17">
      <c r="B67" s="1159">
        <v>46352</v>
      </c>
      <c r="C67" t="s">
        <v>1682</v>
      </c>
      <c r="D67" s="107">
        <f t="shared" si="26"/>
        <v>725</v>
      </c>
      <c r="E67" s="1173">
        <f t="shared" si="23"/>
        <v>751</v>
      </c>
      <c r="F67" s="1160">
        <f t="shared" si="24"/>
        <v>30</v>
      </c>
      <c r="G67" s="1158">
        <v>11</v>
      </c>
      <c r="H67" s="1158">
        <v>21</v>
      </c>
      <c r="I67" s="1161"/>
      <c r="J67" s="1163">
        <f t="shared" si="27"/>
        <v>80000</v>
      </c>
      <c r="K67" s="1162">
        <v>80000</v>
      </c>
      <c r="L67" s="1158">
        <v>4</v>
      </c>
      <c r="M67" s="1158">
        <v>10</v>
      </c>
      <c r="N67" s="1158">
        <v>11</v>
      </c>
      <c r="O67" s="1161">
        <v>0.95</v>
      </c>
      <c r="P67" s="1173">
        <f t="shared" si="25"/>
        <v>26</v>
      </c>
      <c r="Q67" s="1173">
        <f t="shared" si="28"/>
        <v>110</v>
      </c>
    </row>
    <row r="68" spans="2:17">
      <c r="B68" s="1159">
        <v>46382</v>
      </c>
      <c r="C68" t="s">
        <v>1683</v>
      </c>
      <c r="D68" s="107">
        <f t="shared" si="26"/>
        <v>751</v>
      </c>
      <c r="E68" s="107">
        <f>D68</f>
        <v>751</v>
      </c>
      <c r="F68" s="1158">
        <v>5</v>
      </c>
      <c r="G68" s="1158">
        <v>11</v>
      </c>
      <c r="H68" s="1158">
        <v>5</v>
      </c>
      <c r="I68" s="1161"/>
      <c r="J68" s="1163">
        <f t="shared" si="27"/>
        <v>80000</v>
      </c>
      <c r="K68" s="1163">
        <f>K67</f>
        <v>80000</v>
      </c>
      <c r="L68" s="1158">
        <v>4</v>
      </c>
      <c r="M68" s="1158">
        <v>10</v>
      </c>
      <c r="N68" s="1158">
        <v>12</v>
      </c>
      <c r="O68" s="1161">
        <v>0.95</v>
      </c>
      <c r="P68" s="1165">
        <v>0</v>
      </c>
      <c r="Q68" s="1173">
        <f t="shared" si="28"/>
        <v>136</v>
      </c>
    </row>
    <row r="70" spans="2:17">
      <c r="B70" s="1156" t="s">
        <v>1684</v>
      </c>
    </row>
    <row r="71" spans="2:17">
      <c r="B71" t="s">
        <v>1685</v>
      </c>
      <c r="C71" s="1158">
        <v>880</v>
      </c>
    </row>
    <row r="72" spans="2:17">
      <c r="B72" t="s">
        <v>956</v>
      </c>
      <c r="C72" s="1161">
        <v>0.65</v>
      </c>
    </row>
    <row r="73" spans="2:17">
      <c r="B73" t="s">
        <v>1686</v>
      </c>
      <c r="C73" s="1164">
        <v>4.33</v>
      </c>
    </row>
    <row r="74" spans="2:17">
      <c r="B74" t="s">
        <v>1687</v>
      </c>
      <c r="C74" s="1162">
        <v>1350</v>
      </c>
    </row>
    <row r="75" spans="2:17">
      <c r="B75" t="s">
        <v>1688</v>
      </c>
      <c r="C75" s="1161">
        <v>0.25</v>
      </c>
    </row>
    <row r="76" spans="2:17">
      <c r="B76" t="s">
        <v>1689</v>
      </c>
      <c r="C76" s="1161">
        <v>0.62</v>
      </c>
    </row>
    <row r="77" spans="2:17">
      <c r="B77" t="s">
        <v>1690</v>
      </c>
      <c r="C77" s="1161">
        <v>0.67</v>
      </c>
    </row>
    <row r="78" spans="2:17">
      <c r="B78" t="s">
        <v>1691</v>
      </c>
      <c r="C78" s="1161">
        <v>0.9</v>
      </c>
    </row>
    <row r="79" spans="2:17">
      <c r="B79" t="s">
        <v>1692</v>
      </c>
      <c r="C79" s="1165">
        <v>65</v>
      </c>
    </row>
    <row r="80" spans="2:17">
      <c r="B80" t="s">
        <v>1693</v>
      </c>
      <c r="C80" s="1165">
        <v>30</v>
      </c>
    </row>
    <row r="81" spans="2:3">
      <c r="B81" t="s">
        <v>1694</v>
      </c>
      <c r="C81" s="1161">
        <v>0.25</v>
      </c>
    </row>
    <row r="82" spans="2:3">
      <c r="B82" t="s">
        <v>1695</v>
      </c>
      <c r="C82" s="1161">
        <v>0.45</v>
      </c>
    </row>
    <row r="83" spans="2:3">
      <c r="B83" t="s">
        <v>1696</v>
      </c>
      <c r="C83" s="1161">
        <v>0.83</v>
      </c>
    </row>
    <row r="84" spans="2:3">
      <c r="B84" t="s">
        <v>1697</v>
      </c>
      <c r="C84" s="1161">
        <v>0.93</v>
      </c>
    </row>
    <row r="85" spans="2:3">
      <c r="B85" t="s">
        <v>1698</v>
      </c>
      <c r="C85" s="1161">
        <v>1</v>
      </c>
    </row>
    <row r="86" spans="2:3">
      <c r="B86" s="1156" t="s">
        <v>1699</v>
      </c>
    </row>
    <row r="87" spans="2:3">
      <c r="B87" t="s">
        <v>1700</v>
      </c>
      <c r="C87" s="1177">
        <f>_xlfn.XLOOKUP($C$88,Data_2!$D$4:$BM$4,Data_2!$D$6:$BM$6)</f>
        <v>0.73509174311926606</v>
      </c>
    </row>
    <row r="88" spans="2:3">
      <c r="B88" t="s">
        <v>1701</v>
      </c>
      <c r="C88" s="1175">
        <f>MAX($B$62,_xlfn.MAXIFS(Data_2!$D$4:$BM$4,Data_2!$D$6:$BM$6,"&gt;0"))</f>
        <v>46244</v>
      </c>
    </row>
    <row r="89" spans="2:3">
      <c r="B89" t="s">
        <v>1702</v>
      </c>
      <c r="C89" s="1173">
        <f>ROUND(C87*$C$71,0)</f>
        <v>647</v>
      </c>
    </row>
  </sheetData>
  <pageMargins left="0.75" right="0.75" top="1" bottom="1" header="0.511811023622047" footer="0.511811023622047"/>
  <pageSetup paperSize="9" orientation="portrait" horizontalDpi="300" verticalDpi="300" r:id="rId1"/>
  <drawing r:id="rId2"/>
  <legacyDrawing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D0D198-83C0-4E02-ADFF-98EFF545E072}">
  <sheetPr>
    <tabColor rgb="FF00B0F0"/>
  </sheetPr>
  <dimension ref="A1:AJ56"/>
  <sheetViews>
    <sheetView showGridLines="0" zoomScaleNormal="100" workbookViewId="0">
      <pane xSplit="2" ySplit="4" topLeftCell="C5" activePane="bottomRight" state="frozen"/>
      <selection pane="topRight" activeCell="AV34" sqref="AV34"/>
      <selection pane="bottomLeft" activeCell="AV34" sqref="AV34"/>
      <selection pane="bottomRight" activeCell="D33" sqref="D33"/>
    </sheetView>
  </sheetViews>
  <sheetFormatPr defaultRowHeight="14.4"/>
  <cols>
    <col min="1" max="1" width="5.6640625" customWidth="1"/>
    <col min="2" max="2" width="13.33203125" customWidth="1"/>
    <col min="3" max="35" width="11.88671875" customWidth="1"/>
    <col min="36" max="36" width="10.44140625" customWidth="1"/>
  </cols>
  <sheetData>
    <row r="1" spans="1:36" ht="18">
      <c r="A1" s="1178" t="s">
        <v>1703</v>
      </c>
    </row>
    <row r="2" spans="1:36">
      <c r="A2" s="1179" t="s">
        <v>1704</v>
      </c>
    </row>
    <row r="3" spans="1:36">
      <c r="C3" s="1270" t="s">
        <v>931</v>
      </c>
      <c r="D3" s="1271"/>
      <c r="E3" s="1272"/>
      <c r="F3" s="1267" t="s">
        <v>937</v>
      </c>
      <c r="G3" s="1268"/>
      <c r="H3" s="1269"/>
      <c r="I3" s="1270" t="s">
        <v>1650</v>
      </c>
      <c r="J3" s="1271"/>
      <c r="K3" s="1272"/>
      <c r="L3" s="1267" t="s">
        <v>939</v>
      </c>
      <c r="M3" s="1268"/>
      <c r="N3" s="1269"/>
      <c r="O3" s="1270" t="s">
        <v>940</v>
      </c>
      <c r="P3" s="1271"/>
      <c r="Q3" s="1272"/>
      <c r="R3" s="1267" t="s">
        <v>956</v>
      </c>
      <c r="S3" s="1268"/>
      <c r="T3" s="1269"/>
      <c r="U3" s="1270" t="s">
        <v>1053</v>
      </c>
      <c r="V3" s="1271"/>
      <c r="W3" s="1272"/>
      <c r="X3" s="1267" t="s">
        <v>1705</v>
      </c>
      <c r="Y3" s="1268"/>
      <c r="Z3" s="1269"/>
      <c r="AA3" s="1270" t="s">
        <v>1706</v>
      </c>
      <c r="AB3" s="1271"/>
      <c r="AC3" s="1272"/>
      <c r="AD3" s="1267" t="s">
        <v>1657</v>
      </c>
      <c r="AE3" s="1268"/>
      <c r="AF3" s="1269"/>
      <c r="AG3" s="1270" t="s">
        <v>1707</v>
      </c>
      <c r="AH3" s="1271"/>
      <c r="AI3" s="1272"/>
      <c r="AJ3" s="1190"/>
    </row>
    <row r="4" spans="1:36" ht="15" thickBot="1">
      <c r="A4" s="1180" t="s">
        <v>1708</v>
      </c>
      <c r="B4" s="1180" t="s">
        <v>1709</v>
      </c>
      <c r="C4" s="1186" t="s">
        <v>1710</v>
      </c>
      <c r="D4" s="1180" t="s">
        <v>1711</v>
      </c>
      <c r="E4" s="1180" t="s">
        <v>1712</v>
      </c>
      <c r="F4" s="1186" t="s">
        <v>1713</v>
      </c>
      <c r="G4" s="1180" t="s">
        <v>1714</v>
      </c>
      <c r="H4" s="1180" t="s">
        <v>1715</v>
      </c>
      <c r="I4" s="1186" t="s">
        <v>1716</v>
      </c>
      <c r="J4" s="1180" t="s">
        <v>1717</v>
      </c>
      <c r="K4" s="1180" t="s">
        <v>1718</v>
      </c>
      <c r="L4" s="1186" t="s">
        <v>1719</v>
      </c>
      <c r="M4" s="1180" t="s">
        <v>1720</v>
      </c>
      <c r="N4" s="1180" t="s">
        <v>1721</v>
      </c>
      <c r="O4" s="1186" t="s">
        <v>1722</v>
      </c>
      <c r="P4" s="1180" t="s">
        <v>1723</v>
      </c>
      <c r="Q4" s="1180" t="s">
        <v>1724</v>
      </c>
      <c r="R4" s="1186" t="s">
        <v>1725</v>
      </c>
      <c r="S4" s="1180" t="s">
        <v>1726</v>
      </c>
      <c r="T4" s="1180" t="s">
        <v>1727</v>
      </c>
      <c r="U4" s="1186" t="s">
        <v>1728</v>
      </c>
      <c r="V4" s="1180" t="s">
        <v>1729</v>
      </c>
      <c r="W4" s="1180" t="s">
        <v>1730</v>
      </c>
      <c r="X4" s="1186" t="s">
        <v>1731</v>
      </c>
      <c r="Y4" s="1180" t="s">
        <v>1732</v>
      </c>
      <c r="Z4" s="1180" t="s">
        <v>1733</v>
      </c>
      <c r="AA4" s="1186" t="s">
        <v>1734</v>
      </c>
      <c r="AB4" s="1180" t="s">
        <v>1735</v>
      </c>
      <c r="AC4" s="1180" t="s">
        <v>1736</v>
      </c>
      <c r="AD4" s="1186" t="s">
        <v>1737</v>
      </c>
      <c r="AE4" s="1180" t="s">
        <v>1738</v>
      </c>
      <c r="AF4" s="1180" t="s">
        <v>1739</v>
      </c>
      <c r="AG4" s="1186" t="s">
        <v>1740</v>
      </c>
      <c r="AH4" s="1180" t="s">
        <v>1741</v>
      </c>
      <c r="AI4" s="1180" t="s">
        <v>1742</v>
      </c>
      <c r="AJ4" s="1191" t="s">
        <v>1743</v>
      </c>
    </row>
    <row r="5" spans="1:36">
      <c r="A5" s="1181">
        <f>ROW()-4</f>
        <v>1</v>
      </c>
      <c r="B5" s="1175">
        <f>Targets!B5</f>
        <v>46028</v>
      </c>
      <c r="C5" s="1187">
        <f>IF(Targets!C5="","",Targets!C5)</f>
        <v>0.79400000000000004</v>
      </c>
      <c r="D5" s="1177" cm="1">
        <f t="array" ref="D5">IF($AJ5="","",IF(ISBLANK(INDEX(Data_2!$6:$6,1,$AJ5)),"",INDEX(Data_2!$6:$6,1,$AJ5)))</f>
        <v>0.8</v>
      </c>
      <c r="E5" s="1182">
        <f>IF(OR(D5="",C5=""),"",D5-C5)</f>
        <v>6.0000000000000053E-3</v>
      </c>
      <c r="F5" s="1188">
        <f>IF(Targets!F5="","",Targets!F5)</f>
        <v>20</v>
      </c>
      <c r="G5" s="1176" cm="1">
        <f t="array" ref="G5">IF($AJ5="","",IF(ISBLANK(INDEX(Data_2!$16:$16,1,$AJ5)),"",INDEX(Data_2!$16:$16,1,$AJ5)))</f>
        <v>14</v>
      </c>
      <c r="H5" s="1183">
        <f>IF(OR(G5="",F5=""),"",G5-F5)</f>
        <v>-6</v>
      </c>
      <c r="I5" s="1188">
        <f>IF(Targets!G5="","",Targets!G5)</f>
        <v>14</v>
      </c>
      <c r="J5" s="1176" cm="1">
        <f t="array" ref="J5">IF($AJ5="","",IF(ISBLANK(INDEX(Data_2!$18:$18,1,$AJ5)),"",INDEX(Data_2!$18:$18,1,$AJ5)))</f>
        <v>9</v>
      </c>
      <c r="K5" s="1183">
        <f>IF(OR(J5="",I5=""),"",J5-I5)</f>
        <v>-5</v>
      </c>
      <c r="L5" s="1188">
        <f>IF(Targets!H5="","",Targets!H5)</f>
        <v>10</v>
      </c>
      <c r="M5" s="1176" cm="1">
        <f t="array" ref="M5">IF($AJ5="","",IF(ISBLANK(INDEX(Data_2!$23:$23,1,$AJ5)),"",INDEX(Data_2!$23:$23,1,$AJ5)))</f>
        <v>8</v>
      </c>
      <c r="N5" s="1183">
        <f>IF(OR(M5="",L5=""),"",M5-L5)</f>
        <v>-2</v>
      </c>
      <c r="O5" s="1188">
        <f>IF(Targets!I5="","",Targets!I5)</f>
        <v>9</v>
      </c>
      <c r="P5" s="1176" cm="1">
        <f t="array" ref="P5">IF($AJ5="","",IF(ISBLANK(INDEX(Data_2!$26:$26,1,$AJ5)),"",INDEX(Data_2!$26:$26,1,$AJ5)))</f>
        <v>0</v>
      </c>
      <c r="Q5" s="1183">
        <f>IF(OR(P5="",O5=""),"",P5-O5)</f>
        <v>-9</v>
      </c>
      <c r="R5" s="1187">
        <f>IF(Targets!J5="","",Targets!J5)</f>
        <v>0.7</v>
      </c>
      <c r="S5" s="1177" t="str" cm="1">
        <f t="array" ref="S5">IF($AJ5="","",IFERROR(IF(ISBLANK(INDEX(Data_2!$A:$BM,MATCH(EOMONTH($B5,-1)+1,Data_2!$A:$A,0)+3,$AJ5)),"",INDEX(Data_2!$A:$BM,MATCH(EOMONTH($B5,-1)+1,Data_2!$A:$A,0)+3,$AJ5)),""))</f>
        <v/>
      </c>
      <c r="T5" s="1182" t="str">
        <f>IF(OR(S5="",R5=""),"",S5-R5)</f>
        <v/>
      </c>
      <c r="U5" s="1188">
        <f>IF(Targets!K5="","",Targets!K5)</f>
        <v>5</v>
      </c>
      <c r="V5" s="1176" cm="1">
        <f t="array" ref="V5">IF($AJ5="","",IF(ISBLANK(INDEX(Data_2!$93:$93,1,$AJ5)),"",INDEX(Data_2!$93:$93,1,$AJ5)))</f>
        <v>7</v>
      </c>
      <c r="W5" s="1183">
        <f>IF(OR(V5="",U5=""),"",V5-U5)</f>
        <v>2</v>
      </c>
      <c r="X5" s="1187" t="str">
        <f>IF(Targets!T5="","",Targets!T5)</f>
        <v/>
      </c>
      <c r="Y5" s="1177" t="str" cm="1">
        <f t="array" ref="Y5">IF($AJ5="","",IF(ISBLANK(INDEX(Data_2!$33:$33,1,$AJ5)),"",INDEX(Data_2!$33:$33,1,$AJ5)))</f>
        <v/>
      </c>
      <c r="Z5" s="1182" t="str">
        <f>IF(OR(Y5="",X5=""),"",Y5-X5)</f>
        <v/>
      </c>
      <c r="AA5" s="1187" t="str">
        <f>IF(Targets!U5="","",Targets!U5)</f>
        <v/>
      </c>
      <c r="AB5" s="1177" t="str" cm="1">
        <f t="array" ref="AB5">IF($AJ5="","",IF(ISBLANK(INDEX(Data_2!$34:$34,1,$AJ5)),"",INDEX(Data_2!$34:$34,1,$AJ5)))</f>
        <v/>
      </c>
      <c r="AC5" s="1182" t="str">
        <f>IF(OR(AB5="",AA5=""),"",AB5-AA5)</f>
        <v/>
      </c>
      <c r="AD5" s="1188" t="str">
        <f>IF(Targets!V5="","",Targets!V5)</f>
        <v/>
      </c>
      <c r="AE5" s="1176" t="str" cm="1">
        <f t="array" ref="AE5">IF($AJ5="","",IF(ISBLANK(INDEX(Data_2!$35:$35,1,$AJ5)),"",INDEX(Data_2!$35:$35,1,$AJ5)))</f>
        <v/>
      </c>
      <c r="AF5" s="1183" t="str">
        <f>IF(OR(AE5="",AD5=""),"",AE5-AD5)</f>
        <v/>
      </c>
      <c r="AG5" s="1189" t="str">
        <f>IF(Targets!W5="","",Targets!W5)</f>
        <v/>
      </c>
      <c r="AH5" s="1184" t="str" cm="1">
        <f t="array" ref="AH5">IF($AJ5="","",IF(ISBLANK(INDEX(Data_2!$36:$36,1,$AJ5)),"",INDEX(Data_2!$36:$36,1,$AJ5)))</f>
        <v/>
      </c>
      <c r="AI5" s="1185" t="str">
        <f>IF(OR(AH5="",AG5=""),"",AH5-AG5)</f>
        <v/>
      </c>
      <c r="AJ5" s="1192" cm="1">
        <f t="array" ref="AJ5">IFERROR(LOOKUP(2,1/((Data_2!$D$4:$BM$4&gt;=$B5-6)*(Data_2!$D$4:$BM$4&lt;=$B5)),COLUMN(Data_2!$D$4:$BM$4)),"")</f>
        <v>6</v>
      </c>
    </row>
    <row r="6" spans="1:36">
      <c r="A6" s="1181">
        <f t="shared" ref="A6:A56" si="0">ROW()-4</f>
        <v>2</v>
      </c>
      <c r="B6" s="1175">
        <f>Targets!B6</f>
        <v>46035</v>
      </c>
      <c r="C6" s="1187">
        <f>IF(Targets!C6="","",Targets!C6)</f>
        <v>0.8</v>
      </c>
      <c r="D6" s="1177" cm="1">
        <f t="array" ref="D6">IF($AJ6="","",IF(ISBLANK(INDEX(Data_2!$6:$6,1,$AJ6)),"",INDEX(Data_2!$6:$6,1,$AJ6)))</f>
        <v>0.8</v>
      </c>
      <c r="E6" s="1182">
        <f t="shared" ref="E6:E56" si="1">IF(OR(D6="",C6=""),"",D6-C6)</f>
        <v>0</v>
      </c>
      <c r="F6" s="1188">
        <f>IF(Targets!F6="","",Targets!F6)</f>
        <v>21</v>
      </c>
      <c r="G6" s="1176" cm="1">
        <f t="array" ref="G6">IF($AJ6="","",IF(ISBLANK(INDEX(Data_2!$16:$16,1,$AJ6)),"",INDEX(Data_2!$16:$16,1,$AJ6)))</f>
        <v>14</v>
      </c>
      <c r="H6" s="1183">
        <f t="shared" ref="H6:H56" si="2">IF(OR(G6="",F6=""),"",G6-F6)</f>
        <v>-7</v>
      </c>
      <c r="I6" s="1188">
        <f>IF(Targets!G6="","",Targets!G6)</f>
        <v>15</v>
      </c>
      <c r="J6" s="1176" cm="1">
        <f t="array" ref="J6">IF($AJ6="","",IF(ISBLANK(INDEX(Data_2!$18:$18,1,$AJ6)),"",INDEX(Data_2!$18:$18,1,$AJ6)))</f>
        <v>9</v>
      </c>
      <c r="K6" s="1183">
        <f t="shared" ref="K6:K56" si="3">IF(OR(J6="",I6=""),"",J6-I6)</f>
        <v>-6</v>
      </c>
      <c r="L6" s="1188">
        <f>IF(Targets!H6="","",Targets!H6)</f>
        <v>11</v>
      </c>
      <c r="M6" s="1176" cm="1">
        <f t="array" ref="M6">IF($AJ6="","",IF(ISBLANK(INDEX(Data_2!$23:$23,1,$AJ6)),"",INDEX(Data_2!$23:$23,1,$AJ6)))</f>
        <v>8</v>
      </c>
      <c r="N6" s="1183">
        <f t="shared" ref="N6:N56" si="4">IF(OR(M6="",L6=""),"",M6-L6)</f>
        <v>-3</v>
      </c>
      <c r="O6" s="1188">
        <f>IF(Targets!I6="","",Targets!I6)</f>
        <v>9</v>
      </c>
      <c r="P6" s="1176" cm="1">
        <f t="array" ref="P6">IF($AJ6="","",IF(ISBLANK(INDEX(Data_2!$26:$26,1,$AJ6)),"",INDEX(Data_2!$26:$26,1,$AJ6)))</f>
        <v>3</v>
      </c>
      <c r="Q6" s="1183">
        <f t="shared" ref="Q6:Q56" si="5">IF(OR(P6="",O6=""),"",P6-O6)</f>
        <v>-6</v>
      </c>
      <c r="R6" s="1187">
        <f>IF(Targets!J6="","",Targets!J6)</f>
        <v>0.7</v>
      </c>
      <c r="S6" s="1177" t="str" cm="1">
        <f t="array" ref="S6">IF($AJ6="","",IFERROR(IF(ISBLANK(INDEX(Data_2!$A:$BM,MATCH(EOMONTH($B6,-1)+1,Data_2!$A:$A,0)+3,$AJ6)),"",INDEX(Data_2!$A:$BM,MATCH(EOMONTH($B6,-1)+1,Data_2!$A:$A,0)+3,$AJ6)),""))</f>
        <v/>
      </c>
      <c r="T6" s="1182" t="str">
        <f t="shared" ref="T6:T56" si="6">IF(OR(S6="",R6=""),"",S6-R6)</f>
        <v/>
      </c>
      <c r="U6" s="1188">
        <f>IF(Targets!K6="","",Targets!K6)</f>
        <v>5</v>
      </c>
      <c r="V6" s="1176" cm="1">
        <f t="array" ref="V6">IF($AJ6="","",IF(ISBLANK(INDEX(Data_2!$93:$93,1,$AJ6)),"",INDEX(Data_2!$93:$93,1,$AJ6)))</f>
        <v>0</v>
      </c>
      <c r="W6" s="1183">
        <f t="shared" ref="W6:W56" si="7">IF(OR(V6="",U6=""),"",V6-U6)</f>
        <v>-5</v>
      </c>
      <c r="X6" s="1187" t="str">
        <f>IF(Targets!T6="","",Targets!T6)</f>
        <v/>
      </c>
      <c r="Y6" s="1177" t="str" cm="1">
        <f t="array" ref="Y6">IF($AJ6="","",IF(ISBLANK(INDEX(Data_2!$33:$33,1,$AJ6)),"",INDEX(Data_2!$33:$33,1,$AJ6)))</f>
        <v/>
      </c>
      <c r="Z6" s="1182" t="str">
        <f t="shared" ref="Z6:Z56" si="8">IF(OR(Y6="",X6=""),"",Y6-X6)</f>
        <v/>
      </c>
      <c r="AA6" s="1187" t="str">
        <f>IF(Targets!U6="","",Targets!U6)</f>
        <v/>
      </c>
      <c r="AB6" s="1177" t="str" cm="1">
        <f t="array" ref="AB6">IF($AJ6="","",IF(ISBLANK(INDEX(Data_2!$34:$34,1,$AJ6)),"",INDEX(Data_2!$34:$34,1,$AJ6)))</f>
        <v/>
      </c>
      <c r="AC6" s="1182" t="str">
        <f t="shared" ref="AC6:AC56" si="9">IF(OR(AB6="",AA6=""),"",AB6-AA6)</f>
        <v/>
      </c>
      <c r="AD6" s="1188" t="str">
        <f>IF(Targets!V6="","",Targets!V6)</f>
        <v/>
      </c>
      <c r="AE6" s="1176" t="str" cm="1">
        <f t="array" ref="AE6">IF($AJ6="","",IF(ISBLANK(INDEX(Data_2!$35:$35,1,$AJ6)),"",INDEX(Data_2!$35:$35,1,$AJ6)))</f>
        <v/>
      </c>
      <c r="AF6" s="1183" t="str">
        <f t="shared" ref="AF6:AF56" si="10">IF(OR(AE6="",AD6=""),"",AE6-AD6)</f>
        <v/>
      </c>
      <c r="AG6" s="1189" t="str">
        <f>IF(Targets!W6="","",Targets!W6)</f>
        <v/>
      </c>
      <c r="AH6" s="1184" t="str" cm="1">
        <f t="array" ref="AH6">IF($AJ6="","",IF(ISBLANK(INDEX(Data_2!$36:$36,1,$AJ6)),"",INDEX(Data_2!$36:$36,1,$AJ6)))</f>
        <v/>
      </c>
      <c r="AI6" s="1185" t="str">
        <f t="shared" ref="AI6:AI56" si="11">IF(OR(AH6="",AG6=""),"",AH6-AG6)</f>
        <v/>
      </c>
      <c r="AJ6" s="1192" cm="1">
        <f t="array" ref="AJ6">IFERROR(LOOKUP(2,1/((Data_2!$D$4:$BM$4&gt;=$B6-6)*(Data_2!$D$4:$BM$4&lt;=$B6)),COLUMN(Data_2!$D$4:$BM$4)),"")</f>
        <v>7</v>
      </c>
    </row>
    <row r="7" spans="1:36">
      <c r="A7" s="1181">
        <f t="shared" si="0"/>
        <v>3</v>
      </c>
      <c r="B7" s="1175">
        <f>Targets!B7</f>
        <v>46042</v>
      </c>
      <c r="C7" s="1187">
        <f>IF(Targets!C7="","",Targets!C7)</f>
        <v>0.80600000000000005</v>
      </c>
      <c r="D7" s="1177" cm="1">
        <f t="array" ref="D7">IF($AJ7="","",IF(ISBLANK(INDEX(Data_2!$6:$6,1,$AJ7)),"",INDEX(Data_2!$6:$6,1,$AJ7)))</f>
        <v>0.81142857142857139</v>
      </c>
      <c r="E7" s="1182">
        <f t="shared" si="1"/>
        <v>5.4285714285713382E-3</v>
      </c>
      <c r="F7" s="1188">
        <f>IF(Targets!F7="","",Targets!F7)</f>
        <v>22</v>
      </c>
      <c r="G7" s="1176" cm="1">
        <f t="array" ref="G7">IF($AJ7="","",IF(ISBLANK(INDEX(Data_2!$16:$16,1,$AJ7)),"",INDEX(Data_2!$16:$16,1,$AJ7)))</f>
        <v>26</v>
      </c>
      <c r="H7" s="1183">
        <f t="shared" si="2"/>
        <v>4</v>
      </c>
      <c r="I7" s="1188">
        <f>IF(Targets!G7="","",Targets!G7)</f>
        <v>15</v>
      </c>
      <c r="J7" s="1176" cm="1">
        <f t="array" ref="J7">IF($AJ7="","",IF(ISBLANK(INDEX(Data_2!$18:$18,1,$AJ7)),"",INDEX(Data_2!$18:$18,1,$AJ7)))</f>
        <v>7</v>
      </c>
      <c r="K7" s="1183">
        <f t="shared" si="3"/>
        <v>-8</v>
      </c>
      <c r="L7" s="1188">
        <f>IF(Targets!H7="","",Targets!H7)</f>
        <v>12</v>
      </c>
      <c r="M7" s="1176" cm="1">
        <f t="array" ref="M7">IF($AJ7="","",IF(ISBLANK(INDEX(Data_2!$23:$23,1,$AJ7)),"",INDEX(Data_2!$23:$23,1,$AJ7)))</f>
        <v>3</v>
      </c>
      <c r="N7" s="1183">
        <f t="shared" si="4"/>
        <v>-9</v>
      </c>
      <c r="O7" s="1188">
        <f>IF(Targets!I7="","",Targets!I7)</f>
        <v>10</v>
      </c>
      <c r="P7" s="1176" cm="1">
        <f t="array" ref="P7">IF($AJ7="","",IF(ISBLANK(INDEX(Data_2!$26:$26,1,$AJ7)),"",INDEX(Data_2!$26:$26,1,$AJ7)))</f>
        <v>4</v>
      </c>
      <c r="Q7" s="1183">
        <f t="shared" si="5"/>
        <v>-6</v>
      </c>
      <c r="R7" s="1187">
        <f>IF(Targets!J7="","",Targets!J7)</f>
        <v>0.7</v>
      </c>
      <c r="S7" s="1177" t="str" cm="1">
        <f t="array" ref="S7">IF($AJ7="","",IFERROR(IF(ISBLANK(INDEX(Data_2!$A:$BM,MATCH(EOMONTH($B7,-1)+1,Data_2!$A:$A,0)+3,$AJ7)),"",INDEX(Data_2!$A:$BM,MATCH(EOMONTH($B7,-1)+1,Data_2!$A:$A,0)+3,$AJ7)),""))</f>
        <v/>
      </c>
      <c r="T7" s="1182" t="str">
        <f t="shared" si="6"/>
        <v/>
      </c>
      <c r="U7" s="1188">
        <f>IF(Targets!K7="","",Targets!K7)</f>
        <v>5</v>
      </c>
      <c r="V7" s="1176" cm="1">
        <f t="array" ref="V7">IF($AJ7="","",IF(ISBLANK(INDEX(Data_2!$93:$93,1,$AJ7)),"",INDEX(Data_2!$93:$93,1,$AJ7)))</f>
        <v>0</v>
      </c>
      <c r="W7" s="1183">
        <f t="shared" si="7"/>
        <v>-5</v>
      </c>
      <c r="X7" s="1187" t="str">
        <f>IF(Targets!T7="","",Targets!T7)</f>
        <v/>
      </c>
      <c r="Y7" s="1177" t="str" cm="1">
        <f t="array" ref="Y7">IF($AJ7="","",IF(ISBLANK(INDEX(Data_2!$33:$33,1,$AJ7)),"",INDEX(Data_2!$33:$33,1,$AJ7)))</f>
        <v/>
      </c>
      <c r="Z7" s="1182" t="str">
        <f t="shared" si="8"/>
        <v/>
      </c>
      <c r="AA7" s="1187" t="str">
        <f>IF(Targets!U7="","",Targets!U7)</f>
        <v/>
      </c>
      <c r="AB7" s="1177" t="str" cm="1">
        <f t="array" ref="AB7">IF($AJ7="","",IF(ISBLANK(INDEX(Data_2!$34:$34,1,$AJ7)),"",INDEX(Data_2!$34:$34,1,$AJ7)))</f>
        <v/>
      </c>
      <c r="AC7" s="1182" t="str">
        <f t="shared" si="9"/>
        <v/>
      </c>
      <c r="AD7" s="1188" t="str">
        <f>IF(Targets!V7="","",Targets!V7)</f>
        <v/>
      </c>
      <c r="AE7" s="1176" t="str" cm="1">
        <f t="array" ref="AE7">IF($AJ7="","",IF(ISBLANK(INDEX(Data_2!$35:$35,1,$AJ7)),"",INDEX(Data_2!$35:$35,1,$AJ7)))</f>
        <v/>
      </c>
      <c r="AF7" s="1183" t="str">
        <f t="shared" si="10"/>
        <v/>
      </c>
      <c r="AG7" s="1189" t="str">
        <f>IF(Targets!W7="","",Targets!W7)</f>
        <v/>
      </c>
      <c r="AH7" s="1184" t="str" cm="1">
        <f t="array" ref="AH7">IF($AJ7="","",IF(ISBLANK(INDEX(Data_2!$36:$36,1,$AJ7)),"",INDEX(Data_2!$36:$36,1,$AJ7)))</f>
        <v/>
      </c>
      <c r="AI7" s="1185" t="str">
        <f t="shared" si="11"/>
        <v/>
      </c>
      <c r="AJ7" s="1192" cm="1">
        <f t="array" ref="AJ7">IFERROR(LOOKUP(2,1/((Data_2!$D$4:$BM$4&gt;=$B7-6)*(Data_2!$D$4:$BM$4&lt;=$B7)),COLUMN(Data_2!$D$4:$BM$4)),"")</f>
        <v>8</v>
      </c>
    </row>
    <row r="8" spans="1:36">
      <c r="A8" s="1181">
        <f t="shared" si="0"/>
        <v>4</v>
      </c>
      <c r="B8" s="1175">
        <f>Targets!B8</f>
        <v>46049</v>
      </c>
      <c r="C8" s="1187">
        <f>IF(Targets!C8="","",Targets!C8)</f>
        <v>0.81</v>
      </c>
      <c r="D8" s="1177" cm="1">
        <f t="array" ref="D8">IF($AJ8="","",IF(ISBLANK(INDEX(Data_2!$6:$6,1,$AJ8)),"",INDEX(Data_2!$6:$6,1,$AJ8)))</f>
        <v>0.77828571428571425</v>
      </c>
      <c r="E8" s="1182">
        <f t="shared" si="1"/>
        <v>-3.1714285714285806E-2</v>
      </c>
      <c r="F8" s="1188">
        <f>IF(Targets!F8="","",Targets!F8)</f>
        <v>22</v>
      </c>
      <c r="G8" s="1176" cm="1">
        <f t="array" ref="G8">IF($AJ8="","",IF(ISBLANK(INDEX(Data_2!$16:$16,1,$AJ8)),"",INDEX(Data_2!$16:$16,1,$AJ8)))</f>
        <v>18</v>
      </c>
      <c r="H8" s="1183">
        <f t="shared" si="2"/>
        <v>-4</v>
      </c>
      <c r="I8" s="1188">
        <f>IF(Targets!G8="","",Targets!G8)</f>
        <v>16</v>
      </c>
      <c r="J8" s="1176" cm="1">
        <f t="array" ref="J8">IF($AJ8="","",IF(ISBLANK(INDEX(Data_2!$18:$18,1,$AJ8)),"",INDEX(Data_2!$18:$18,1,$AJ8)))</f>
        <v>5</v>
      </c>
      <c r="K8" s="1183">
        <f t="shared" si="3"/>
        <v>-11</v>
      </c>
      <c r="L8" s="1188">
        <f>IF(Targets!H8="","",Targets!H8)</f>
        <v>12</v>
      </c>
      <c r="M8" s="1176" cm="1">
        <f t="array" ref="M8">IF($AJ8="","",IF(ISBLANK(INDEX(Data_2!$23:$23,1,$AJ8)),"",INDEX(Data_2!$23:$23,1,$AJ8)))</f>
        <v>-1</v>
      </c>
      <c r="N8" s="1183">
        <f t="shared" si="4"/>
        <v>-13</v>
      </c>
      <c r="O8" s="1188">
        <f>IF(Targets!I8="","",Targets!I8)</f>
        <v>10</v>
      </c>
      <c r="P8" s="1176" cm="1">
        <f t="array" ref="P8">IF($AJ8="","",IF(ISBLANK(INDEX(Data_2!$26:$26,1,$AJ8)),"",INDEX(Data_2!$26:$26,1,$AJ8)))</f>
        <v>2</v>
      </c>
      <c r="Q8" s="1183">
        <f t="shared" si="5"/>
        <v>-8</v>
      </c>
      <c r="R8" s="1187">
        <f>IF(Targets!J8="","",Targets!J8)</f>
        <v>0.7</v>
      </c>
      <c r="S8" s="1177" t="str" cm="1">
        <f t="array" ref="S8">IF($AJ8="","",IFERROR(IF(ISBLANK(INDEX(Data_2!$A:$BM,MATCH(EOMONTH($B8,-1)+1,Data_2!$A:$A,0)+3,$AJ8)),"",INDEX(Data_2!$A:$BM,MATCH(EOMONTH($B8,-1)+1,Data_2!$A:$A,0)+3,$AJ8)),""))</f>
        <v/>
      </c>
      <c r="T8" s="1182" t="str">
        <f t="shared" si="6"/>
        <v/>
      </c>
      <c r="U8" s="1188">
        <f>IF(Targets!K8="","",Targets!K8)</f>
        <v>5</v>
      </c>
      <c r="V8" s="1176" cm="1">
        <f t="array" ref="V8">IF($AJ8="","",IF(ISBLANK(INDEX(Data_2!$93:$93,1,$AJ8)),"",INDEX(Data_2!$93:$93,1,$AJ8)))</f>
        <v>14</v>
      </c>
      <c r="W8" s="1183">
        <f t="shared" si="7"/>
        <v>9</v>
      </c>
      <c r="X8" s="1187" t="str">
        <f>IF(Targets!T8="","",Targets!T8)</f>
        <v/>
      </c>
      <c r="Y8" s="1177" t="str" cm="1">
        <f t="array" ref="Y8">IF($AJ8="","",IF(ISBLANK(INDEX(Data_2!$33:$33,1,$AJ8)),"",INDEX(Data_2!$33:$33,1,$AJ8)))</f>
        <v/>
      </c>
      <c r="Z8" s="1182" t="str">
        <f t="shared" si="8"/>
        <v/>
      </c>
      <c r="AA8" s="1187" t="str">
        <f>IF(Targets!U8="","",Targets!U8)</f>
        <v/>
      </c>
      <c r="AB8" s="1177" t="str" cm="1">
        <f t="array" ref="AB8">IF($AJ8="","",IF(ISBLANK(INDEX(Data_2!$34:$34,1,$AJ8)),"",INDEX(Data_2!$34:$34,1,$AJ8)))</f>
        <v/>
      </c>
      <c r="AC8" s="1182" t="str">
        <f t="shared" si="9"/>
        <v/>
      </c>
      <c r="AD8" s="1188" t="str">
        <f>IF(Targets!V8="","",Targets!V8)</f>
        <v/>
      </c>
      <c r="AE8" s="1176" t="str" cm="1">
        <f t="array" ref="AE8">IF($AJ8="","",IF(ISBLANK(INDEX(Data_2!$35:$35,1,$AJ8)),"",INDEX(Data_2!$35:$35,1,$AJ8)))</f>
        <v/>
      </c>
      <c r="AF8" s="1183" t="str">
        <f t="shared" si="10"/>
        <v/>
      </c>
      <c r="AG8" s="1189" t="str">
        <f>IF(Targets!W8="","",Targets!W8)</f>
        <v/>
      </c>
      <c r="AH8" s="1184" t="str" cm="1">
        <f t="array" ref="AH8">IF($AJ8="","",IF(ISBLANK(INDEX(Data_2!$36:$36,1,$AJ8)),"",INDEX(Data_2!$36:$36,1,$AJ8)))</f>
        <v/>
      </c>
      <c r="AI8" s="1185" t="str">
        <f t="shared" si="11"/>
        <v/>
      </c>
      <c r="AJ8" s="1192" cm="1">
        <f t="array" ref="AJ8">IFERROR(LOOKUP(2,1/((Data_2!$D$4:$BM$4&gt;=$B8-6)*(Data_2!$D$4:$BM$4&lt;=$B8)),COLUMN(Data_2!$D$4:$BM$4)),"")</f>
        <v>9</v>
      </c>
    </row>
    <row r="9" spans="1:36">
      <c r="A9" s="1181">
        <f t="shared" si="0"/>
        <v>5</v>
      </c>
      <c r="B9" s="1175">
        <f>Targets!B9</f>
        <v>46056</v>
      </c>
      <c r="C9" s="1187">
        <f>IF(Targets!C9="","",Targets!C9)</f>
        <v>0.81499999999999995</v>
      </c>
      <c r="D9" s="1177" cm="1">
        <f t="array" ref="D9">IF($AJ9="","",IF(ISBLANK(INDEX(Data_2!$6:$6,1,$AJ9)),"",INDEX(Data_2!$6:$6,1,$AJ9)))</f>
        <v>0.77829999999999999</v>
      </c>
      <c r="E9" s="1182">
        <f t="shared" si="1"/>
        <v>-3.6699999999999955E-2</v>
      </c>
      <c r="F9" s="1188">
        <f>IF(Targets!F9="","",Targets!F9)</f>
        <v>22</v>
      </c>
      <c r="G9" s="1176" cm="1">
        <f t="array" ref="G9">IF($AJ9="","",IF(ISBLANK(INDEX(Data_2!$16:$16,1,$AJ9)),"",INDEX(Data_2!$16:$16,1,$AJ9)))</f>
        <v>10</v>
      </c>
      <c r="H9" s="1183">
        <f t="shared" si="2"/>
        <v>-12</v>
      </c>
      <c r="I9" s="1188">
        <f>IF(Targets!G9="","",Targets!G9)</f>
        <v>16</v>
      </c>
      <c r="J9" s="1176" cm="1">
        <f t="array" ref="J9">IF($AJ9="","",IF(ISBLANK(INDEX(Data_2!$18:$18,1,$AJ9)),"",INDEX(Data_2!$18:$18,1,$AJ9)))</f>
        <v>12</v>
      </c>
      <c r="K9" s="1183">
        <f t="shared" si="3"/>
        <v>-4</v>
      </c>
      <c r="L9" s="1188">
        <f>IF(Targets!H9="","",Targets!H9)</f>
        <v>12</v>
      </c>
      <c r="M9" s="1176" cm="1">
        <f t="array" ref="M9">IF($AJ9="","",IF(ISBLANK(INDEX(Data_2!$23:$23,1,$AJ9)),"",INDEX(Data_2!$23:$23,1,$AJ9)))</f>
        <v>9</v>
      </c>
      <c r="N9" s="1183">
        <f t="shared" si="4"/>
        <v>-3</v>
      </c>
      <c r="O9" s="1188">
        <f>IF(Targets!I9="","",Targets!I9)</f>
        <v>10</v>
      </c>
      <c r="P9" s="1176" cm="1">
        <f t="array" ref="P9">IF($AJ9="","",IF(ISBLANK(INDEX(Data_2!$26:$26,1,$AJ9)),"",INDEX(Data_2!$26:$26,1,$AJ9)))</f>
        <v>5</v>
      </c>
      <c r="Q9" s="1183">
        <f t="shared" si="5"/>
        <v>-5</v>
      </c>
      <c r="R9" s="1187">
        <f>IF(Targets!J9="","",Targets!J9)</f>
        <v>0.7</v>
      </c>
      <c r="S9" s="1177" t="str" cm="1">
        <f t="array" ref="S9">IF($AJ9="","",IFERROR(IF(ISBLANK(INDEX(Data_2!$A:$BM,MATCH(EOMONTH($B9,-1)+1,Data_2!$A:$A,0)+3,$AJ9)),"",INDEX(Data_2!$A:$BM,MATCH(EOMONTH($B9,-1)+1,Data_2!$A:$A,0)+3,$AJ9)),""))</f>
        <v/>
      </c>
      <c r="T9" s="1182" t="str">
        <f t="shared" si="6"/>
        <v/>
      </c>
      <c r="U9" s="1188">
        <f>IF(Targets!K9="","",Targets!K9)</f>
        <v>6</v>
      </c>
      <c r="V9" s="1176" cm="1">
        <f t="array" ref="V9">IF($AJ9="","",IF(ISBLANK(INDEX(Data_2!$93:$93,1,$AJ9)),"",INDEX(Data_2!$93:$93,1,$AJ9)))</f>
        <v>1</v>
      </c>
      <c r="W9" s="1183">
        <f t="shared" si="7"/>
        <v>-5</v>
      </c>
      <c r="X9" s="1187" t="str">
        <f>IF(Targets!T9="","",Targets!T9)</f>
        <v/>
      </c>
      <c r="Y9" s="1177" t="str" cm="1">
        <f t="array" ref="Y9">IF($AJ9="","",IF(ISBLANK(INDEX(Data_2!$33:$33,1,$AJ9)),"",INDEX(Data_2!$33:$33,1,$AJ9)))</f>
        <v/>
      </c>
      <c r="Z9" s="1182" t="str">
        <f t="shared" si="8"/>
        <v/>
      </c>
      <c r="AA9" s="1187" t="str">
        <f>IF(Targets!U9="","",Targets!U9)</f>
        <v/>
      </c>
      <c r="AB9" s="1177" t="str" cm="1">
        <f t="array" ref="AB9">IF($AJ9="","",IF(ISBLANK(INDEX(Data_2!$34:$34,1,$AJ9)),"",INDEX(Data_2!$34:$34,1,$AJ9)))</f>
        <v/>
      </c>
      <c r="AC9" s="1182" t="str">
        <f t="shared" si="9"/>
        <v/>
      </c>
      <c r="AD9" s="1188" t="str">
        <f>IF(Targets!V9="","",Targets!V9)</f>
        <v/>
      </c>
      <c r="AE9" s="1176" t="str" cm="1">
        <f t="array" ref="AE9">IF($AJ9="","",IF(ISBLANK(INDEX(Data_2!$35:$35,1,$AJ9)),"",INDEX(Data_2!$35:$35,1,$AJ9)))</f>
        <v/>
      </c>
      <c r="AF9" s="1183" t="str">
        <f t="shared" si="10"/>
        <v/>
      </c>
      <c r="AG9" s="1189" t="str">
        <f>IF(Targets!W9="","",Targets!W9)</f>
        <v/>
      </c>
      <c r="AH9" s="1184" t="str" cm="1">
        <f t="array" ref="AH9">IF($AJ9="","",IF(ISBLANK(INDEX(Data_2!$36:$36,1,$AJ9)),"",INDEX(Data_2!$36:$36,1,$AJ9)))</f>
        <v/>
      </c>
      <c r="AI9" s="1185" t="str">
        <f t="shared" si="11"/>
        <v/>
      </c>
      <c r="AJ9" s="1192" cm="1">
        <f t="array" ref="AJ9">IFERROR(LOOKUP(2,1/((Data_2!$D$4:$BM$4&gt;=$B9-6)*(Data_2!$D$4:$BM$4&lt;=$B9)),COLUMN(Data_2!$D$4:$BM$4)),"")</f>
        <v>10</v>
      </c>
    </row>
    <row r="10" spans="1:36">
      <c r="A10" s="1181">
        <f t="shared" si="0"/>
        <v>6</v>
      </c>
      <c r="B10" s="1175">
        <f>Targets!B10</f>
        <v>46063</v>
      </c>
      <c r="C10" s="1187">
        <f>IF(Targets!C10="","",Targets!C10)</f>
        <v>0.81899999999999995</v>
      </c>
      <c r="D10" s="1177" cm="1">
        <f t="array" ref="D10">IF($AJ10="","",IF(ISBLANK(INDEX(Data_2!$6:$6,1,$AJ10)),"",INDEX(Data_2!$6:$6,1,$AJ10)))</f>
        <v>0.76773455377574373</v>
      </c>
      <c r="E10" s="1182">
        <f t="shared" si="1"/>
        <v>-5.1265446224256217E-2</v>
      </c>
      <c r="F10" s="1188">
        <f>IF(Targets!F10="","",Targets!F10)</f>
        <v>23</v>
      </c>
      <c r="G10" s="1176" cm="1">
        <f t="array" ref="G10">IF($AJ10="","",IF(ISBLANK(INDEX(Data_2!$16:$16,1,$AJ10)),"",INDEX(Data_2!$16:$16,1,$AJ10)))</f>
        <v>28</v>
      </c>
      <c r="H10" s="1183">
        <f t="shared" si="2"/>
        <v>5</v>
      </c>
      <c r="I10" s="1188">
        <f>IF(Targets!G10="","",Targets!G10)</f>
        <v>16</v>
      </c>
      <c r="J10" s="1176" cm="1">
        <f t="array" ref="J10">IF($AJ10="","",IF(ISBLANK(INDEX(Data_2!$18:$18,1,$AJ10)),"",INDEX(Data_2!$18:$18,1,$AJ10)))</f>
        <v>29</v>
      </c>
      <c r="K10" s="1183">
        <f t="shared" si="3"/>
        <v>13</v>
      </c>
      <c r="L10" s="1188">
        <f>IF(Targets!H10="","",Targets!H10)</f>
        <v>12</v>
      </c>
      <c r="M10" s="1176" cm="1">
        <f t="array" ref="M10">IF($AJ10="","",IF(ISBLANK(INDEX(Data_2!$23:$23,1,$AJ10)),"",INDEX(Data_2!$23:$23,1,$AJ10)))</f>
        <v>25</v>
      </c>
      <c r="N10" s="1183">
        <f t="shared" si="4"/>
        <v>13</v>
      </c>
      <c r="O10" s="1188">
        <f>IF(Targets!I10="","",Targets!I10)</f>
        <v>11</v>
      </c>
      <c r="P10" s="1176" cm="1">
        <f t="array" ref="P10">IF($AJ10="","",IF(ISBLANK(INDEX(Data_2!$26:$26,1,$AJ10)),"",INDEX(Data_2!$26:$26,1,$AJ10)))</f>
        <v>2</v>
      </c>
      <c r="Q10" s="1183">
        <f t="shared" si="5"/>
        <v>-9</v>
      </c>
      <c r="R10" s="1187">
        <f>IF(Targets!J10="","",Targets!J10)</f>
        <v>0.7</v>
      </c>
      <c r="S10" s="1177" t="str" cm="1">
        <f t="array" ref="S10">IF($AJ10="","",IFERROR(IF(ISBLANK(INDEX(Data_2!$A:$BM,MATCH(EOMONTH($B10,-1)+1,Data_2!$A:$A,0)+3,$AJ10)),"",INDEX(Data_2!$A:$BM,MATCH(EOMONTH($B10,-1)+1,Data_2!$A:$A,0)+3,$AJ10)),""))</f>
        <v/>
      </c>
      <c r="T10" s="1182" t="str">
        <f t="shared" si="6"/>
        <v/>
      </c>
      <c r="U10" s="1188">
        <f>IF(Targets!K10="","",Targets!K10)</f>
        <v>7</v>
      </c>
      <c r="V10" s="1176" cm="1">
        <f t="array" ref="V10">IF($AJ10="","",IF(ISBLANK(INDEX(Data_2!$93:$93,1,$AJ10)),"",INDEX(Data_2!$93:$93,1,$AJ10)))</f>
        <v>2</v>
      </c>
      <c r="W10" s="1183">
        <f t="shared" si="7"/>
        <v>-5</v>
      </c>
      <c r="X10" s="1187" t="str">
        <f>IF(Targets!T10="","",Targets!T10)</f>
        <v/>
      </c>
      <c r="Y10" s="1177" t="str" cm="1">
        <f t="array" ref="Y10">IF($AJ10="","",IF(ISBLANK(INDEX(Data_2!$33:$33,1,$AJ10)),"",INDEX(Data_2!$33:$33,1,$AJ10)))</f>
        <v/>
      </c>
      <c r="Z10" s="1182" t="str">
        <f t="shared" si="8"/>
        <v/>
      </c>
      <c r="AA10" s="1187" t="str">
        <f>IF(Targets!U10="","",Targets!U10)</f>
        <v/>
      </c>
      <c r="AB10" s="1177" t="str" cm="1">
        <f t="array" ref="AB10">IF($AJ10="","",IF(ISBLANK(INDEX(Data_2!$34:$34,1,$AJ10)),"",INDEX(Data_2!$34:$34,1,$AJ10)))</f>
        <v/>
      </c>
      <c r="AC10" s="1182" t="str">
        <f t="shared" si="9"/>
        <v/>
      </c>
      <c r="AD10" s="1188" t="str">
        <f>IF(Targets!V10="","",Targets!V10)</f>
        <v/>
      </c>
      <c r="AE10" s="1176" t="str" cm="1">
        <f t="array" ref="AE10">IF($AJ10="","",IF(ISBLANK(INDEX(Data_2!$35:$35,1,$AJ10)),"",INDEX(Data_2!$35:$35,1,$AJ10)))</f>
        <v/>
      </c>
      <c r="AF10" s="1183" t="str">
        <f t="shared" si="10"/>
        <v/>
      </c>
      <c r="AG10" s="1189" t="str">
        <f>IF(Targets!W10="","",Targets!W10)</f>
        <v/>
      </c>
      <c r="AH10" s="1184" t="str" cm="1">
        <f t="array" ref="AH10">IF($AJ10="","",IF(ISBLANK(INDEX(Data_2!$36:$36,1,$AJ10)),"",INDEX(Data_2!$36:$36,1,$AJ10)))</f>
        <v/>
      </c>
      <c r="AI10" s="1185" t="str">
        <f t="shared" si="11"/>
        <v/>
      </c>
      <c r="AJ10" s="1192" cm="1">
        <f t="array" ref="AJ10">IFERROR(LOOKUP(2,1/((Data_2!$D$4:$BM$4&gt;=$B10-6)*(Data_2!$D$4:$BM$4&lt;=$B10)),COLUMN(Data_2!$D$4:$BM$4)),"")</f>
        <v>11</v>
      </c>
    </row>
    <row r="11" spans="1:36">
      <c r="A11" s="1181">
        <f t="shared" si="0"/>
        <v>7</v>
      </c>
      <c r="B11" s="1175">
        <f>Targets!B11</f>
        <v>46070</v>
      </c>
      <c r="C11" s="1187">
        <f>IF(Targets!C11="","",Targets!C11)</f>
        <v>0.82399999999999995</v>
      </c>
      <c r="D11" s="1177" cm="1">
        <f t="array" ref="D11">IF($AJ11="","",IF(ISBLANK(INDEX(Data_2!$6:$6,1,$AJ11)),"",INDEX(Data_2!$6:$6,1,$AJ11)))</f>
        <v>0.75629290617848965</v>
      </c>
      <c r="E11" s="1182">
        <f t="shared" si="1"/>
        <v>-6.77070938215103E-2</v>
      </c>
      <c r="F11" s="1188">
        <f>IF(Targets!F11="","",Targets!F11)</f>
        <v>23</v>
      </c>
      <c r="G11" s="1176" cm="1">
        <f t="array" ref="G11">IF($AJ11="","",IF(ISBLANK(INDEX(Data_2!$16:$16,1,$AJ11)),"",INDEX(Data_2!$16:$16,1,$AJ11)))</f>
        <v>26</v>
      </c>
      <c r="H11" s="1183">
        <f t="shared" si="2"/>
        <v>3</v>
      </c>
      <c r="I11" s="1188">
        <f>IF(Targets!G11="","",Targets!G11)</f>
        <v>16</v>
      </c>
      <c r="J11" s="1176" cm="1">
        <f t="array" ref="J11">IF($AJ11="","",IF(ISBLANK(INDEX(Data_2!$18:$18,1,$AJ11)),"",INDEX(Data_2!$18:$18,1,$AJ11)))</f>
        <v>23</v>
      </c>
      <c r="K11" s="1183">
        <f t="shared" si="3"/>
        <v>7</v>
      </c>
      <c r="L11" s="1188">
        <f>IF(Targets!H11="","",Targets!H11)</f>
        <v>12</v>
      </c>
      <c r="M11" s="1176" cm="1">
        <f t="array" ref="M11">IF($AJ11="","",IF(ISBLANK(INDEX(Data_2!$23:$23,1,$AJ11)),"",INDEX(Data_2!$23:$23,1,$AJ11)))</f>
        <v>13</v>
      </c>
      <c r="N11" s="1183">
        <f t="shared" si="4"/>
        <v>1</v>
      </c>
      <c r="O11" s="1188">
        <f>IF(Targets!I11="","",Targets!I11)</f>
        <v>10</v>
      </c>
      <c r="P11" s="1176" cm="1">
        <f t="array" ref="P11">IF($AJ11="","",IF(ISBLANK(INDEX(Data_2!$26:$26,1,$AJ11)),"",INDEX(Data_2!$26:$26,1,$AJ11)))</f>
        <v>1</v>
      </c>
      <c r="Q11" s="1183">
        <f t="shared" si="5"/>
        <v>-9</v>
      </c>
      <c r="R11" s="1187">
        <f>IF(Targets!J11="","",Targets!J11)</f>
        <v>0.7</v>
      </c>
      <c r="S11" s="1177" t="str" cm="1">
        <f t="array" ref="S11">IF($AJ11="","",IFERROR(IF(ISBLANK(INDEX(Data_2!$A:$BM,MATCH(EOMONTH($B11,-1)+1,Data_2!$A:$A,0)+3,$AJ11)),"",INDEX(Data_2!$A:$BM,MATCH(EOMONTH($B11,-1)+1,Data_2!$A:$A,0)+3,$AJ11)),""))</f>
        <v/>
      </c>
      <c r="T11" s="1182" t="str">
        <f t="shared" si="6"/>
        <v/>
      </c>
      <c r="U11" s="1188">
        <f>IF(Targets!K11="","",Targets!K11)</f>
        <v>6</v>
      </c>
      <c r="V11" s="1176" cm="1">
        <f t="array" ref="V11">IF($AJ11="","",IF(ISBLANK(INDEX(Data_2!$93:$93,1,$AJ11)),"",INDEX(Data_2!$93:$93,1,$AJ11)))</f>
        <v>5</v>
      </c>
      <c r="W11" s="1183">
        <f t="shared" si="7"/>
        <v>-1</v>
      </c>
      <c r="X11" s="1187" t="str">
        <f>IF(Targets!T11="","",Targets!T11)</f>
        <v/>
      </c>
      <c r="Y11" s="1177" t="str" cm="1">
        <f t="array" ref="Y11">IF($AJ11="","",IF(ISBLANK(INDEX(Data_2!$33:$33,1,$AJ11)),"",INDEX(Data_2!$33:$33,1,$AJ11)))</f>
        <v/>
      </c>
      <c r="Z11" s="1182" t="str">
        <f t="shared" si="8"/>
        <v/>
      </c>
      <c r="AA11" s="1187" t="str">
        <f>IF(Targets!U11="","",Targets!U11)</f>
        <v/>
      </c>
      <c r="AB11" s="1177" t="str" cm="1">
        <f t="array" ref="AB11">IF($AJ11="","",IF(ISBLANK(INDEX(Data_2!$34:$34,1,$AJ11)),"",INDEX(Data_2!$34:$34,1,$AJ11)))</f>
        <v/>
      </c>
      <c r="AC11" s="1182" t="str">
        <f t="shared" si="9"/>
        <v/>
      </c>
      <c r="AD11" s="1188" t="str">
        <f>IF(Targets!V11="","",Targets!V11)</f>
        <v/>
      </c>
      <c r="AE11" s="1176" t="str" cm="1">
        <f t="array" ref="AE11">IF($AJ11="","",IF(ISBLANK(INDEX(Data_2!$35:$35,1,$AJ11)),"",INDEX(Data_2!$35:$35,1,$AJ11)))</f>
        <v/>
      </c>
      <c r="AF11" s="1183" t="str">
        <f t="shared" si="10"/>
        <v/>
      </c>
      <c r="AG11" s="1189" t="str">
        <f>IF(Targets!W11="","",Targets!W11)</f>
        <v/>
      </c>
      <c r="AH11" s="1184" t="str" cm="1">
        <f t="array" ref="AH11">IF($AJ11="","",IF(ISBLANK(INDEX(Data_2!$36:$36,1,$AJ11)),"",INDEX(Data_2!$36:$36,1,$AJ11)))</f>
        <v/>
      </c>
      <c r="AI11" s="1185" t="str">
        <f t="shared" si="11"/>
        <v/>
      </c>
      <c r="AJ11" s="1192" cm="1">
        <f t="array" ref="AJ11">IFERROR(LOOKUP(2,1/((Data_2!$D$4:$BM$4&gt;=$B11-6)*(Data_2!$D$4:$BM$4&lt;=$B11)),COLUMN(Data_2!$D$4:$BM$4)),"")</f>
        <v>12</v>
      </c>
    </row>
    <row r="12" spans="1:36">
      <c r="A12" s="1181">
        <f t="shared" si="0"/>
        <v>8</v>
      </c>
      <c r="B12" s="1175">
        <f>Targets!B12</f>
        <v>46077</v>
      </c>
      <c r="C12" s="1187">
        <f>IF(Targets!C12="","",Targets!C12)</f>
        <v>0.82899999999999996</v>
      </c>
      <c r="D12" s="1177" cm="1">
        <f t="array" ref="D12">IF($AJ12="","",IF(ISBLANK(INDEX(Data_2!$6:$6,1,$AJ12)),"",INDEX(Data_2!$6:$6,1,$AJ12)))</f>
        <v>0.75171624713958807</v>
      </c>
      <c r="E12" s="1182">
        <f t="shared" si="1"/>
        <v>-7.7283752860411892E-2</v>
      </c>
      <c r="F12" s="1188">
        <f>IF(Targets!F12="","",Targets!F12)</f>
        <v>23</v>
      </c>
      <c r="G12" s="1176" cm="1">
        <f t="array" ref="G12">IF($AJ12="","",IF(ISBLANK(INDEX(Data_2!$16:$16,1,$AJ12)),"",INDEX(Data_2!$16:$16,1,$AJ12)))</f>
        <v>28</v>
      </c>
      <c r="H12" s="1183">
        <f t="shared" si="2"/>
        <v>5</v>
      </c>
      <c r="I12" s="1188">
        <f>IF(Targets!G12="","",Targets!G12)</f>
        <v>17</v>
      </c>
      <c r="J12" s="1176" cm="1">
        <f t="array" ref="J12">IF($AJ12="","",IF(ISBLANK(INDEX(Data_2!$18:$18,1,$AJ12)),"",INDEX(Data_2!$18:$18,1,$AJ12)))</f>
        <v>16</v>
      </c>
      <c r="K12" s="1183">
        <f t="shared" si="3"/>
        <v>-1</v>
      </c>
      <c r="L12" s="1188">
        <f>IF(Targets!H12="","",Targets!H12)</f>
        <v>13</v>
      </c>
      <c r="M12" s="1176" cm="1">
        <f t="array" ref="M12">IF($AJ12="","",IF(ISBLANK(INDEX(Data_2!$23:$23,1,$AJ12)),"",INDEX(Data_2!$23:$23,1,$AJ12)))</f>
        <v>-2</v>
      </c>
      <c r="N12" s="1183">
        <f t="shared" si="4"/>
        <v>-15</v>
      </c>
      <c r="O12" s="1188">
        <f>IF(Targets!I12="","",Targets!I12)</f>
        <v>11</v>
      </c>
      <c r="P12" s="1176" cm="1">
        <f t="array" ref="P12">IF($AJ12="","",IF(ISBLANK(INDEX(Data_2!$26:$26,1,$AJ12)),"",INDEX(Data_2!$26:$26,1,$AJ12)))</f>
        <v>1</v>
      </c>
      <c r="Q12" s="1183">
        <f t="shared" si="5"/>
        <v>-10</v>
      </c>
      <c r="R12" s="1187">
        <f>IF(Targets!J12="","",Targets!J12)</f>
        <v>0.7</v>
      </c>
      <c r="S12" s="1177" t="str" cm="1">
        <f t="array" ref="S12">IF($AJ12="","",IFERROR(IF(ISBLANK(INDEX(Data_2!$A:$BM,MATCH(EOMONTH($B12,-1)+1,Data_2!$A:$A,0)+3,$AJ12)),"",INDEX(Data_2!$A:$BM,MATCH(EOMONTH($B12,-1)+1,Data_2!$A:$A,0)+3,$AJ12)),""))</f>
        <v/>
      </c>
      <c r="T12" s="1182" t="str">
        <f t="shared" si="6"/>
        <v/>
      </c>
      <c r="U12" s="1188">
        <f>IF(Targets!K12="","",Targets!K12)</f>
        <v>6</v>
      </c>
      <c r="V12" s="1176" cm="1">
        <f t="array" ref="V12">IF($AJ12="","",IF(ISBLANK(INDEX(Data_2!$93:$93,1,$AJ12)),"",INDEX(Data_2!$93:$93,1,$AJ12)))</f>
        <v>4</v>
      </c>
      <c r="W12" s="1183">
        <f t="shared" si="7"/>
        <v>-2</v>
      </c>
      <c r="X12" s="1187" t="str">
        <f>IF(Targets!T12="","",Targets!T12)</f>
        <v/>
      </c>
      <c r="Y12" s="1177" t="str" cm="1">
        <f t="array" ref="Y12">IF($AJ12="","",IF(ISBLANK(INDEX(Data_2!$33:$33,1,$AJ12)),"",INDEX(Data_2!$33:$33,1,$AJ12)))</f>
        <v/>
      </c>
      <c r="Z12" s="1182" t="str">
        <f t="shared" si="8"/>
        <v/>
      </c>
      <c r="AA12" s="1187" t="str">
        <f>IF(Targets!U12="","",Targets!U12)</f>
        <v/>
      </c>
      <c r="AB12" s="1177" t="str" cm="1">
        <f t="array" ref="AB12">IF($AJ12="","",IF(ISBLANK(INDEX(Data_2!$34:$34,1,$AJ12)),"",INDEX(Data_2!$34:$34,1,$AJ12)))</f>
        <v/>
      </c>
      <c r="AC12" s="1182" t="str">
        <f t="shared" si="9"/>
        <v/>
      </c>
      <c r="AD12" s="1188" t="str">
        <f>IF(Targets!V12="","",Targets!V12)</f>
        <v/>
      </c>
      <c r="AE12" s="1176" t="str" cm="1">
        <f t="array" ref="AE12">IF($AJ12="","",IF(ISBLANK(INDEX(Data_2!$35:$35,1,$AJ12)),"",INDEX(Data_2!$35:$35,1,$AJ12)))</f>
        <v/>
      </c>
      <c r="AF12" s="1183" t="str">
        <f t="shared" si="10"/>
        <v/>
      </c>
      <c r="AG12" s="1189" t="str">
        <f>IF(Targets!W12="","",Targets!W12)</f>
        <v/>
      </c>
      <c r="AH12" s="1184" t="str" cm="1">
        <f t="array" ref="AH12">IF($AJ12="","",IF(ISBLANK(INDEX(Data_2!$36:$36,1,$AJ12)),"",INDEX(Data_2!$36:$36,1,$AJ12)))</f>
        <v/>
      </c>
      <c r="AI12" s="1185" t="str">
        <f t="shared" si="11"/>
        <v/>
      </c>
      <c r="AJ12" s="1192" cm="1">
        <f t="array" ref="AJ12">IFERROR(LOOKUP(2,1/((Data_2!$D$4:$BM$4&gt;=$B12-6)*(Data_2!$D$4:$BM$4&lt;=$B12)),COLUMN(Data_2!$D$4:$BM$4)),"")</f>
        <v>13</v>
      </c>
    </row>
    <row r="13" spans="1:36">
      <c r="A13" s="1181">
        <f t="shared" si="0"/>
        <v>9</v>
      </c>
      <c r="B13" s="1175">
        <f>Targets!B13</f>
        <v>46084</v>
      </c>
      <c r="C13" s="1187">
        <f>IF(Targets!C13="","",Targets!C13)</f>
        <v>0.83499999999999996</v>
      </c>
      <c r="D13" s="1177" cm="1">
        <f t="array" ref="D13">IF($AJ13="","",IF(ISBLANK(INDEX(Data_2!$6:$6,1,$AJ13)),"",INDEX(Data_2!$6:$6,1,$AJ13)))</f>
        <v>0.74828375286041193</v>
      </c>
      <c r="E13" s="1182">
        <f t="shared" si="1"/>
        <v>-8.6716247139588032E-2</v>
      </c>
      <c r="F13" s="1188">
        <f>IF(Targets!F13="","",Targets!F13)</f>
        <v>24</v>
      </c>
      <c r="G13" s="1176" cm="1">
        <f t="array" ref="G13">IF($AJ13="","",IF(ISBLANK(INDEX(Data_2!$16:$16,1,$AJ13)),"",INDEX(Data_2!$16:$16,1,$AJ13)))</f>
        <v>34</v>
      </c>
      <c r="H13" s="1183">
        <f t="shared" si="2"/>
        <v>10</v>
      </c>
      <c r="I13" s="1188">
        <f>IF(Targets!G13="","",Targets!G13)</f>
        <v>17</v>
      </c>
      <c r="J13" s="1176" cm="1">
        <f t="array" ref="J13">IF($AJ13="","",IF(ISBLANK(INDEX(Data_2!$18:$18,1,$AJ13)),"",INDEX(Data_2!$18:$18,1,$AJ13)))</f>
        <v>13</v>
      </c>
      <c r="K13" s="1183">
        <f t="shared" si="3"/>
        <v>-4</v>
      </c>
      <c r="L13" s="1188">
        <f>IF(Targets!H13="","",Targets!H13)</f>
        <v>13</v>
      </c>
      <c r="M13" s="1176" cm="1">
        <f t="array" ref="M13">IF($AJ13="","",IF(ISBLANK(INDEX(Data_2!$23:$23,1,$AJ13)),"",INDEX(Data_2!$23:$23,1,$AJ13)))</f>
        <v>-13</v>
      </c>
      <c r="N13" s="1183">
        <f t="shared" si="4"/>
        <v>-26</v>
      </c>
      <c r="O13" s="1188">
        <f>IF(Targets!I13="","",Targets!I13)</f>
        <v>11</v>
      </c>
      <c r="P13" s="1176" cm="1">
        <f t="array" ref="P13">IF($AJ13="","",IF(ISBLANK(INDEX(Data_2!$26:$26,1,$AJ13)),"",INDEX(Data_2!$26:$26,1,$AJ13)))</f>
        <v>3</v>
      </c>
      <c r="Q13" s="1183">
        <f t="shared" si="5"/>
        <v>-8</v>
      </c>
      <c r="R13" s="1187">
        <f>IF(Targets!J13="","",Targets!J13)</f>
        <v>0.7</v>
      </c>
      <c r="S13" s="1177" cm="1">
        <f t="array" ref="S13">IF($AJ13="","",IFERROR(IF(ISBLANK(INDEX(Data_2!$A:$BM,MATCH(EOMONTH($B13,-1)+1,Data_2!$A:$A,0)+3,$AJ13)),"",INDEX(Data_2!$A:$BM,MATCH(EOMONTH($B13,-1)+1,Data_2!$A:$A,0)+3,$AJ13)),""))</f>
        <v>0.17460000000000001</v>
      </c>
      <c r="T13" s="1182">
        <f t="shared" si="6"/>
        <v>-0.52539999999999998</v>
      </c>
      <c r="U13" s="1188">
        <f>IF(Targets!K13="","",Targets!K13)</f>
        <v>7</v>
      </c>
      <c r="V13" s="1176" cm="1">
        <f t="array" ref="V13">IF($AJ13="","",IF(ISBLANK(INDEX(Data_2!$93:$93,1,$AJ13)),"",INDEX(Data_2!$93:$93,1,$AJ13)))</f>
        <v>6</v>
      </c>
      <c r="W13" s="1183">
        <f t="shared" si="7"/>
        <v>-1</v>
      </c>
      <c r="X13" s="1187" t="str">
        <f>IF(Targets!T13="","",Targets!T13)</f>
        <v/>
      </c>
      <c r="Y13" s="1177" cm="1">
        <f t="array" ref="Y13">IF($AJ13="","",IF(ISBLANK(INDEX(Data_2!$33:$33,1,$AJ13)),"",INDEX(Data_2!$33:$33,1,$AJ13)))</f>
        <v>5.5555555555555552E-2</v>
      </c>
      <c r="Z13" s="1182" t="str">
        <f t="shared" si="8"/>
        <v/>
      </c>
      <c r="AA13" s="1187" t="str">
        <f>IF(Targets!U13="","",Targets!U13)</f>
        <v/>
      </c>
      <c r="AB13" s="1177" cm="1">
        <f t="array" ref="AB13">IF($AJ13="","",IF(ISBLANK(INDEX(Data_2!$34:$34,1,$AJ13)),"",INDEX(Data_2!$34:$34,1,$AJ13)))</f>
        <v>0.28888888888888886</v>
      </c>
      <c r="AC13" s="1182" t="str">
        <f t="shared" si="9"/>
        <v/>
      </c>
      <c r="AD13" s="1188" t="str">
        <f>IF(Targets!V13="","",Targets!V13)</f>
        <v/>
      </c>
      <c r="AE13" s="1176" cm="1">
        <f t="array" ref="AE13">IF($AJ13="","",IF(ISBLANK(INDEX(Data_2!$35:$35,1,$AJ13)),"",INDEX(Data_2!$35:$35,1,$AJ13)))</f>
        <v>21</v>
      </c>
      <c r="AF13" s="1183" t="str">
        <f t="shared" si="10"/>
        <v/>
      </c>
      <c r="AG13" s="1189" t="str">
        <f>IF(Targets!W13="","",Targets!W13)</f>
        <v/>
      </c>
      <c r="AH13" s="1184" cm="1">
        <f t="array" ref="AH13">IF($AJ13="","",IF(ISBLANK(INDEX(Data_2!$36:$36,1,$AJ13)),"",INDEX(Data_2!$36:$36,1,$AJ13)))</f>
        <v>11</v>
      </c>
      <c r="AI13" s="1185" t="str">
        <f t="shared" si="11"/>
        <v/>
      </c>
      <c r="AJ13" s="1192" cm="1">
        <f t="array" ref="AJ13">IFERROR(LOOKUP(2,1/((Data_2!$D$4:$BM$4&gt;=$B13-6)*(Data_2!$D$4:$BM$4&lt;=$B13)),COLUMN(Data_2!$D$4:$BM$4)),"")</f>
        <v>14</v>
      </c>
    </row>
    <row r="14" spans="1:36">
      <c r="A14" s="1181">
        <f t="shared" si="0"/>
        <v>10</v>
      </c>
      <c r="B14" s="1175">
        <f>Targets!B14</f>
        <v>46091</v>
      </c>
      <c r="C14" s="1187">
        <f>IF(Targets!C14="","",Targets!C14)</f>
        <v>0.84099999999999997</v>
      </c>
      <c r="D14" s="1177" cm="1">
        <f t="array" ref="D14">IF($AJ14="","",IF(ISBLANK(INDEX(Data_2!$6:$6,1,$AJ14)),"",INDEX(Data_2!$6:$6,1,$AJ14)))</f>
        <v>0.74141876430205955</v>
      </c>
      <c r="E14" s="1182">
        <f t="shared" si="1"/>
        <v>-9.9581235697940418E-2</v>
      </c>
      <c r="F14" s="1188">
        <f>IF(Targets!F14="","",Targets!F14)</f>
        <v>24</v>
      </c>
      <c r="G14" s="1176" cm="1">
        <f t="array" ref="G14">IF($AJ14="","",IF(ISBLANK(INDEX(Data_2!$16:$16,1,$AJ14)),"",INDEX(Data_2!$16:$16,1,$AJ14)))</f>
        <v>28</v>
      </c>
      <c r="H14" s="1183">
        <f t="shared" si="2"/>
        <v>4</v>
      </c>
      <c r="I14" s="1188">
        <f>IF(Targets!G14="","",Targets!G14)</f>
        <v>17</v>
      </c>
      <c r="J14" s="1176" cm="1">
        <f t="array" ref="J14">IF($AJ14="","",IF(ISBLANK(INDEX(Data_2!$18:$18,1,$AJ14)),"",INDEX(Data_2!$18:$18,1,$AJ14)))</f>
        <v>21</v>
      </c>
      <c r="K14" s="1183">
        <f t="shared" si="3"/>
        <v>4</v>
      </c>
      <c r="L14" s="1188">
        <f>IF(Targets!H14="","",Targets!H14)</f>
        <v>13</v>
      </c>
      <c r="M14" s="1176" cm="1">
        <f t="array" ref="M14">IF($AJ14="","",IF(ISBLANK(INDEX(Data_2!$23:$23,1,$AJ14)),"",INDEX(Data_2!$23:$23,1,$AJ14)))</f>
        <v>-1</v>
      </c>
      <c r="N14" s="1183">
        <f t="shared" si="4"/>
        <v>-14</v>
      </c>
      <c r="O14" s="1188">
        <f>IF(Targets!I14="","",Targets!I14)</f>
        <v>11</v>
      </c>
      <c r="P14" s="1176" cm="1">
        <f t="array" ref="P14">IF($AJ14="","",IF(ISBLANK(INDEX(Data_2!$26:$26,1,$AJ14)),"",INDEX(Data_2!$26:$26,1,$AJ14)))</f>
        <v>7</v>
      </c>
      <c r="Q14" s="1183">
        <f t="shared" si="5"/>
        <v>-4</v>
      </c>
      <c r="R14" s="1187">
        <f>IF(Targets!J14="","",Targets!J14)</f>
        <v>0.7</v>
      </c>
      <c r="S14" s="1177" cm="1">
        <f t="array" ref="S14">IF($AJ14="","",IFERROR(IF(ISBLANK(INDEX(Data_2!$A:$BM,MATCH(EOMONTH($B14,-1)+1,Data_2!$A:$A,0)+3,$AJ14)),"",INDEX(Data_2!$A:$BM,MATCH(EOMONTH($B14,-1)+1,Data_2!$A:$A,0)+3,$AJ14)),""))</f>
        <v>0.18461538461538499</v>
      </c>
      <c r="T14" s="1182">
        <f t="shared" si="6"/>
        <v>-0.515384615384615</v>
      </c>
      <c r="U14" s="1188">
        <f>IF(Targets!K14="","",Targets!K14)</f>
        <v>7</v>
      </c>
      <c r="V14" s="1176" cm="1">
        <f t="array" ref="V14">IF($AJ14="","",IF(ISBLANK(INDEX(Data_2!$93:$93,1,$AJ14)),"",INDEX(Data_2!$93:$93,1,$AJ14)))</f>
        <v>2</v>
      </c>
      <c r="W14" s="1183">
        <f t="shared" si="7"/>
        <v>-5</v>
      </c>
      <c r="X14" s="1187">
        <f>IF(Targets!T14="","",Targets!T14)</f>
        <v>0.08</v>
      </c>
      <c r="Y14" s="1177" cm="1">
        <f t="array" ref="Y14">IF($AJ14="","",IF(ISBLANK(INDEX(Data_2!$33:$33,1,$AJ14)),"",INDEX(Data_2!$33:$33,1,$AJ14)))</f>
        <v>6.7961165048543687E-2</v>
      </c>
      <c r="Z14" s="1182">
        <f t="shared" si="8"/>
        <v>-1.2038834951456315E-2</v>
      </c>
      <c r="AA14" s="1187">
        <f>IF(Targets!U14="","",Targets!U14)</f>
        <v>0.32</v>
      </c>
      <c r="AB14" s="1177" cm="1">
        <f t="array" ref="AB14">IF($AJ14="","",IF(ISBLANK(INDEX(Data_2!$34:$34,1,$AJ14)),"",INDEX(Data_2!$34:$34,1,$AJ14)))</f>
        <v>0.36893203883495146</v>
      </c>
      <c r="AC14" s="1182">
        <f t="shared" si="9"/>
        <v>4.8932038834951452E-2</v>
      </c>
      <c r="AD14" s="1188">
        <f>IF(Targets!V14="","",Targets!V14)</f>
        <v>18</v>
      </c>
      <c r="AE14" s="1176" cm="1">
        <f t="array" ref="AE14">IF($AJ14="","",IF(ISBLANK(INDEX(Data_2!$35:$35,1,$AJ14)),"",INDEX(Data_2!$35:$35,1,$AJ14)))</f>
        <v>25</v>
      </c>
      <c r="AF14" s="1183">
        <f t="shared" si="10"/>
        <v>7</v>
      </c>
      <c r="AG14" s="1189">
        <f>IF(Targets!W14="","",Targets!W14)</f>
        <v>10</v>
      </c>
      <c r="AH14" s="1184" cm="1">
        <f t="array" ref="AH14">IF($AJ14="","",IF(ISBLANK(INDEX(Data_2!$36:$36,1,$AJ14)),"",INDEX(Data_2!$36:$36,1,$AJ14)))</f>
        <v>11.9</v>
      </c>
      <c r="AI14" s="1185">
        <f t="shared" si="11"/>
        <v>1.9000000000000004</v>
      </c>
      <c r="AJ14" s="1192" cm="1">
        <f t="array" ref="AJ14">IFERROR(LOOKUP(2,1/((Data_2!$D$4:$BM$4&gt;=$B14-6)*(Data_2!$D$4:$BM$4&lt;=$B14)),COLUMN(Data_2!$D$4:$BM$4)),"")</f>
        <v>15</v>
      </c>
    </row>
    <row r="15" spans="1:36">
      <c r="A15" s="1181">
        <f t="shared" si="0"/>
        <v>11</v>
      </c>
      <c r="B15" s="1175">
        <f>Targets!B15</f>
        <v>46098</v>
      </c>
      <c r="C15" s="1187">
        <f>IF(Targets!C15="","",Targets!C15)</f>
        <v>0.84499999999999997</v>
      </c>
      <c r="D15" s="1177" cm="1">
        <f t="array" ref="D15">IF($AJ15="","",IF(ISBLANK(INDEX(Data_2!$6:$6,1,$AJ15)),"",INDEX(Data_2!$6:$6,1,$AJ15)))</f>
        <v>0.73913043478260865</v>
      </c>
      <c r="E15" s="1182">
        <f t="shared" si="1"/>
        <v>-0.10586956521739133</v>
      </c>
      <c r="F15" s="1188">
        <f>IF(Targets!F15="","",Targets!F15)</f>
        <v>24</v>
      </c>
      <c r="G15" s="1176" cm="1">
        <f t="array" ref="G15">IF($AJ15="","",IF(ISBLANK(INDEX(Data_2!$16:$16,1,$AJ15)),"",INDEX(Data_2!$16:$16,1,$AJ15)))</f>
        <v>39</v>
      </c>
      <c r="H15" s="1183">
        <f t="shared" si="2"/>
        <v>15</v>
      </c>
      <c r="I15" s="1188">
        <f>IF(Targets!G15="","",Targets!G15)</f>
        <v>18</v>
      </c>
      <c r="J15" s="1176" cm="1">
        <f t="array" ref="J15">IF($AJ15="","",IF(ISBLANK(INDEX(Data_2!$18:$18,1,$AJ15)),"",INDEX(Data_2!$18:$18,1,$AJ15)))</f>
        <v>26</v>
      </c>
      <c r="K15" s="1183">
        <f t="shared" si="3"/>
        <v>8</v>
      </c>
      <c r="L15" s="1188">
        <f>IF(Targets!H15="","",Targets!H15)</f>
        <v>13</v>
      </c>
      <c r="M15" s="1176" cm="1">
        <f t="array" ref="M15">IF($AJ15="","",IF(ISBLANK(INDEX(Data_2!$23:$23,1,$AJ15)),"",INDEX(Data_2!$23:$23,1,$AJ15)))</f>
        <v>17</v>
      </c>
      <c r="N15" s="1183">
        <f t="shared" si="4"/>
        <v>4</v>
      </c>
      <c r="O15" s="1188">
        <f>IF(Targets!I15="","",Targets!I15)</f>
        <v>11</v>
      </c>
      <c r="P15" s="1176" cm="1">
        <f t="array" ref="P15">IF($AJ15="","",IF(ISBLANK(INDEX(Data_2!$26:$26,1,$AJ15)),"",INDEX(Data_2!$26:$26,1,$AJ15)))</f>
        <v>11</v>
      </c>
      <c r="Q15" s="1183">
        <f t="shared" si="5"/>
        <v>0</v>
      </c>
      <c r="R15" s="1187">
        <f>IF(Targets!J15="","",Targets!J15)</f>
        <v>0.7</v>
      </c>
      <c r="S15" s="1177" cm="1">
        <f t="array" ref="S15">IF($AJ15="","",IFERROR(IF(ISBLANK(INDEX(Data_2!$A:$BM,MATCH(EOMONTH($B15,-1)+1,Data_2!$A:$A,0)+3,$AJ15)),"",INDEX(Data_2!$A:$BM,MATCH(EOMONTH($B15,-1)+1,Data_2!$A:$A,0)+3,$AJ15)),""))</f>
        <v>0.28787878787878801</v>
      </c>
      <c r="T15" s="1182">
        <f t="shared" si="6"/>
        <v>-0.41212121212121194</v>
      </c>
      <c r="U15" s="1188">
        <f>IF(Targets!K15="","",Targets!K15)</f>
        <v>7</v>
      </c>
      <c r="V15" s="1176" cm="1">
        <f t="array" ref="V15">IF($AJ15="","",IF(ISBLANK(INDEX(Data_2!$93:$93,1,$AJ15)),"",INDEX(Data_2!$93:$93,1,$AJ15)))</f>
        <v>6</v>
      </c>
      <c r="W15" s="1183">
        <f t="shared" si="7"/>
        <v>-1</v>
      </c>
      <c r="X15" s="1187">
        <f>IF(Targets!T15="","",Targets!T15)</f>
        <v>0.08</v>
      </c>
      <c r="Y15" s="1177" cm="1">
        <f t="array" ref="Y15">IF($AJ15="","",IF(ISBLANK(INDEX(Data_2!$33:$33,1,$AJ15)),"",INDEX(Data_2!$33:$33,1,$AJ15)))</f>
        <v>9.7345132743362831E-2</v>
      </c>
      <c r="Z15" s="1182">
        <f t="shared" si="8"/>
        <v>1.7345132743362829E-2</v>
      </c>
      <c r="AA15" s="1187">
        <f>IF(Targets!U15="","",Targets!U15)</f>
        <v>0.32</v>
      </c>
      <c r="AB15" s="1177" cm="1">
        <f t="array" ref="AB15">IF($AJ15="","",IF(ISBLANK(INDEX(Data_2!$34:$34,1,$AJ15)),"",INDEX(Data_2!$34:$34,1,$AJ15)))</f>
        <v>0.37168141592920356</v>
      </c>
      <c r="AC15" s="1182">
        <f t="shared" si="9"/>
        <v>5.1681415929203556E-2</v>
      </c>
      <c r="AD15" s="1188">
        <f>IF(Targets!V15="","",Targets!V15)</f>
        <v>18</v>
      </c>
      <c r="AE15" s="1176" cm="1">
        <f t="array" ref="AE15">IF($AJ15="","",IF(ISBLANK(INDEX(Data_2!$35:$35,1,$AJ15)),"",INDEX(Data_2!$35:$35,1,$AJ15)))</f>
        <v>20</v>
      </c>
      <c r="AF15" s="1183">
        <f t="shared" si="10"/>
        <v>2</v>
      </c>
      <c r="AG15" s="1189">
        <f>IF(Targets!W15="","",Targets!W15)</f>
        <v>10</v>
      </c>
      <c r="AH15" s="1184" cm="1">
        <f t="array" ref="AH15">IF($AJ15="","",IF(ISBLANK(INDEX(Data_2!$36:$36,1,$AJ15)),"",INDEX(Data_2!$36:$36,1,$AJ15)))</f>
        <v>11.2</v>
      </c>
      <c r="AI15" s="1185">
        <f t="shared" si="11"/>
        <v>1.1999999999999993</v>
      </c>
      <c r="AJ15" s="1192" cm="1">
        <f t="array" ref="AJ15">IFERROR(LOOKUP(2,1/((Data_2!$D$4:$BM$4&gt;=$B15-6)*(Data_2!$D$4:$BM$4&lt;=$B15)),COLUMN(Data_2!$D$4:$BM$4)),"")</f>
        <v>16</v>
      </c>
    </row>
    <row r="16" spans="1:36">
      <c r="A16" s="1181">
        <f t="shared" si="0"/>
        <v>12</v>
      </c>
      <c r="B16" s="1175">
        <f>Targets!B16</f>
        <v>46105</v>
      </c>
      <c r="C16" s="1187">
        <f>IF(Targets!C16="","",Targets!C16)</f>
        <v>0.85</v>
      </c>
      <c r="D16" s="1177" cm="1">
        <f t="array" ref="D16">IF($AJ16="","",IF(ISBLANK(INDEX(Data_2!$6:$6,1,$AJ16)),"",INDEX(Data_2!$6:$6,1,$AJ16)))</f>
        <v>0.73913043478260865</v>
      </c>
      <c r="E16" s="1182">
        <f t="shared" si="1"/>
        <v>-0.11086956521739133</v>
      </c>
      <c r="F16" s="1188">
        <f>IF(Targets!F16="","",Targets!F16)</f>
        <v>24</v>
      </c>
      <c r="G16" s="1176" cm="1">
        <f t="array" ref="G16">IF($AJ16="","",IF(ISBLANK(INDEX(Data_2!$16:$16,1,$AJ16)),"",INDEX(Data_2!$16:$16,1,$AJ16)))</f>
        <v>38</v>
      </c>
      <c r="H16" s="1183">
        <f t="shared" si="2"/>
        <v>14</v>
      </c>
      <c r="I16" s="1188">
        <f>IF(Targets!G16="","",Targets!G16)</f>
        <v>18</v>
      </c>
      <c r="J16" s="1176" cm="1">
        <f t="array" ref="J16">IF($AJ16="","",IF(ISBLANK(INDEX(Data_2!$18:$18,1,$AJ16)),"",INDEX(Data_2!$18:$18,1,$AJ16)))</f>
        <v>15</v>
      </c>
      <c r="K16" s="1183">
        <f t="shared" si="3"/>
        <v>-3</v>
      </c>
      <c r="L16" s="1188">
        <f>IF(Targets!H16="","",Targets!H16)</f>
        <v>13</v>
      </c>
      <c r="M16" s="1176" cm="1">
        <f t="array" ref="M16">IF($AJ16="","",IF(ISBLANK(INDEX(Data_2!$23:$23,1,$AJ16)),"",INDEX(Data_2!$23:$23,1,$AJ16)))</f>
        <v>-5</v>
      </c>
      <c r="N16" s="1183">
        <f t="shared" si="4"/>
        <v>-18</v>
      </c>
      <c r="O16" s="1188">
        <f>IF(Targets!I16="","",Targets!I16)</f>
        <v>11</v>
      </c>
      <c r="P16" s="1176" cm="1">
        <f t="array" ref="P16">IF($AJ16="","",IF(ISBLANK(INDEX(Data_2!$26:$26,1,$AJ16)),"",INDEX(Data_2!$26:$26,1,$AJ16)))</f>
        <v>7</v>
      </c>
      <c r="Q16" s="1183">
        <f t="shared" si="5"/>
        <v>-4</v>
      </c>
      <c r="R16" s="1187">
        <f>IF(Targets!J16="","",Targets!J16)</f>
        <v>0.7</v>
      </c>
      <c r="S16" s="1177" cm="1">
        <f t="array" ref="S16">IF($AJ16="","",IFERROR(IF(ISBLANK(INDEX(Data_2!$A:$BM,MATCH(EOMONTH($B16,-1)+1,Data_2!$A:$A,0)+3,$AJ16)),"",INDEX(Data_2!$A:$BM,MATCH(EOMONTH($B16,-1)+1,Data_2!$A:$A,0)+3,$AJ16)),""))</f>
        <v>0.39393939393939398</v>
      </c>
      <c r="T16" s="1182">
        <f t="shared" si="6"/>
        <v>-0.30606060606060598</v>
      </c>
      <c r="U16" s="1188">
        <f>IF(Targets!K16="","",Targets!K16)</f>
        <v>6</v>
      </c>
      <c r="V16" s="1176" cm="1">
        <f t="array" ref="V16">IF($AJ16="","",IF(ISBLANK(INDEX(Data_2!$93:$93,1,$AJ16)),"",INDEX(Data_2!$93:$93,1,$AJ16)))</f>
        <v>7</v>
      </c>
      <c r="W16" s="1183">
        <f t="shared" si="7"/>
        <v>1</v>
      </c>
      <c r="X16" s="1187">
        <f>IF(Targets!T16="","",Targets!T16)</f>
        <v>0.1</v>
      </c>
      <c r="Y16" s="1177" cm="1">
        <f t="array" ref="Y16">IF($AJ16="","",IF(ISBLANK(INDEX(Data_2!$33:$33,1,$AJ16)),"",INDEX(Data_2!$33:$33,1,$AJ16)))</f>
        <v>6.0344827586206899E-2</v>
      </c>
      <c r="Z16" s="1182">
        <f t="shared" si="8"/>
        <v>-3.9655172413793106E-2</v>
      </c>
      <c r="AA16" s="1187">
        <f>IF(Targets!U16="","",Targets!U16)</f>
        <v>0.3</v>
      </c>
      <c r="AB16" s="1177" cm="1">
        <f t="array" ref="AB16">IF($AJ16="","",IF(ISBLANK(INDEX(Data_2!$34:$34,1,$AJ16)),"",INDEX(Data_2!$34:$34,1,$AJ16)))</f>
        <v>0.34482758620689657</v>
      </c>
      <c r="AC16" s="1182">
        <f t="shared" si="9"/>
        <v>4.4827586206896586E-2</v>
      </c>
      <c r="AD16" s="1188">
        <f>IF(Targets!V16="","",Targets!V16)</f>
        <v>15</v>
      </c>
      <c r="AE16" s="1176" cm="1">
        <f t="array" ref="AE16">IF($AJ16="","",IF(ISBLANK(INDEX(Data_2!$35:$35,1,$AJ16)),"",INDEX(Data_2!$35:$35,1,$AJ16)))</f>
        <v>25</v>
      </c>
      <c r="AF16" s="1183">
        <f t="shared" si="10"/>
        <v>10</v>
      </c>
      <c r="AG16" s="1189">
        <f>IF(Targets!W16="","",Targets!W16)</f>
        <v>10</v>
      </c>
      <c r="AH16" s="1184" cm="1">
        <f t="array" ref="AH16">IF($AJ16="","",IF(ISBLANK(INDEX(Data_2!$36:$36,1,$AJ16)),"",INDEX(Data_2!$36:$36,1,$AJ16)))</f>
        <v>18.100000000000001</v>
      </c>
      <c r="AI16" s="1185">
        <f t="shared" si="11"/>
        <v>8.1000000000000014</v>
      </c>
      <c r="AJ16" s="1192" cm="1">
        <f t="array" ref="AJ16">IFERROR(LOOKUP(2,1/((Data_2!$D$4:$BM$4&gt;=$B16-6)*(Data_2!$D$4:$BM$4&lt;=$B16)),COLUMN(Data_2!$D$4:$BM$4)),"")</f>
        <v>17</v>
      </c>
    </row>
    <row r="17" spans="1:36">
      <c r="A17" s="1181">
        <f t="shared" si="0"/>
        <v>13</v>
      </c>
      <c r="B17" s="1175">
        <f>Targets!B17</f>
        <v>46111</v>
      </c>
      <c r="C17" s="1187">
        <f>IF(Targets!C17="","",Targets!C17)</f>
        <v>0.85499999999999998</v>
      </c>
      <c r="D17" s="1177" cm="1">
        <f t="array" ref="D17">IF($AJ17="","",IF(ISBLANK(INDEX(Data_2!$6:$6,1,$AJ17)),"",INDEX(Data_2!$6:$6,1,$AJ17)))</f>
        <v>0.74141876430205955</v>
      </c>
      <c r="E17" s="1182">
        <f t="shared" si="1"/>
        <v>-0.11358123569794043</v>
      </c>
      <c r="F17" s="1188">
        <f>IF(Targets!F17="","",Targets!F17)</f>
        <v>24</v>
      </c>
      <c r="G17" s="1176" cm="1">
        <f t="array" ref="G17">IF($AJ17="","",IF(ISBLANK(INDEX(Data_2!$16:$16,1,$AJ17)),"",INDEX(Data_2!$16:$16,1,$AJ17)))</f>
        <v>24</v>
      </c>
      <c r="H17" s="1183">
        <f t="shared" si="2"/>
        <v>0</v>
      </c>
      <c r="I17" s="1188">
        <f>IF(Targets!G17="","",Targets!G17)</f>
        <v>18</v>
      </c>
      <c r="J17" s="1176" cm="1">
        <f t="array" ref="J17">IF($AJ17="","",IF(ISBLANK(INDEX(Data_2!$18:$18,1,$AJ17)),"",INDEX(Data_2!$18:$18,1,$AJ17)))</f>
        <v>23</v>
      </c>
      <c r="K17" s="1183">
        <f t="shared" si="3"/>
        <v>5</v>
      </c>
      <c r="L17" s="1188">
        <f>IF(Targets!H17="","",Targets!H17)</f>
        <v>13</v>
      </c>
      <c r="M17" s="1176" cm="1">
        <f t="array" ref="M17">IF($AJ17="","",IF(ISBLANK(INDEX(Data_2!$23:$23,1,$AJ17)),"",INDEX(Data_2!$23:$23,1,$AJ17)))</f>
        <v>13</v>
      </c>
      <c r="N17" s="1183">
        <f t="shared" si="4"/>
        <v>0</v>
      </c>
      <c r="O17" s="1188">
        <f>IF(Targets!I17="","",Targets!I17)</f>
        <v>11</v>
      </c>
      <c r="P17" s="1176" cm="1">
        <f t="array" ref="P17">IF($AJ17="","",IF(ISBLANK(INDEX(Data_2!$26:$26,1,$AJ17)),"",INDEX(Data_2!$26:$26,1,$AJ17)))</f>
        <v>8</v>
      </c>
      <c r="Q17" s="1183">
        <f t="shared" si="5"/>
        <v>-3</v>
      </c>
      <c r="R17" s="1187">
        <f>IF(Targets!J17="","",Targets!J17)</f>
        <v>0.7</v>
      </c>
      <c r="S17" s="1177" cm="1">
        <f t="array" ref="S17">IF($AJ17="","",IFERROR(IF(ISBLANK(INDEX(Data_2!$A:$BM,MATCH(EOMONTH($B17,-1)+1,Data_2!$A:$A,0)+3,$AJ17)),"",INDEX(Data_2!$A:$BM,MATCH(EOMONTH($B17,-1)+1,Data_2!$A:$A,0)+3,$AJ17)),""))</f>
        <v>0.453125</v>
      </c>
      <c r="T17" s="1182">
        <f t="shared" si="6"/>
        <v>-0.24687499999999996</v>
      </c>
      <c r="U17" s="1188">
        <f>IF(Targets!K17="","",Targets!K17)</f>
        <v>7</v>
      </c>
      <c r="V17" s="1176" cm="1">
        <f t="array" ref="V17">IF($AJ17="","",IF(ISBLANK(INDEX(Data_2!$93:$93,1,$AJ17)),"",INDEX(Data_2!$93:$93,1,$AJ17)))</f>
        <v>2</v>
      </c>
      <c r="W17" s="1183">
        <f t="shared" si="7"/>
        <v>-5</v>
      </c>
      <c r="X17" s="1187">
        <f>IF(Targets!T17="","",Targets!T17)</f>
        <v>0.12</v>
      </c>
      <c r="Y17" s="1177" cm="1">
        <f t="array" ref="Y17">IF($AJ17="","",IF(ISBLANK(INDEX(Data_2!$33:$33,1,$AJ17)),"",INDEX(Data_2!$33:$33,1,$AJ17)))</f>
        <v>6.3492063492063489E-2</v>
      </c>
      <c r="Z17" s="1182">
        <f t="shared" si="8"/>
        <v>-5.6507936507936507E-2</v>
      </c>
      <c r="AA17" s="1187">
        <f>IF(Targets!U17="","",Targets!U17)</f>
        <v>0.28000000000000003</v>
      </c>
      <c r="AB17" s="1177" cm="1">
        <f t="array" ref="AB17">IF($AJ17="","",IF(ISBLANK(INDEX(Data_2!$34:$34,1,$AJ17)),"",INDEX(Data_2!$34:$34,1,$AJ17)))</f>
        <v>0.31746031746031744</v>
      </c>
      <c r="AC17" s="1182">
        <f t="shared" si="9"/>
        <v>3.7460317460317416E-2</v>
      </c>
      <c r="AD17" s="1188">
        <f>IF(Targets!V17="","",Targets!V17)</f>
        <v>12</v>
      </c>
      <c r="AE17" s="1176" cm="1">
        <f t="array" ref="AE17">IF($AJ17="","",IF(ISBLANK(INDEX(Data_2!$35:$35,1,$AJ17)),"",INDEX(Data_2!$35:$35,1,$AJ17)))</f>
        <v>30</v>
      </c>
      <c r="AF17" s="1183">
        <f t="shared" si="10"/>
        <v>18</v>
      </c>
      <c r="AG17" s="1189">
        <f>IF(Targets!W17="","",Targets!W17)</f>
        <v>9</v>
      </c>
      <c r="AH17" s="1184" cm="1">
        <f t="array" ref="AH17">IF($AJ17="","",IF(ISBLANK(INDEX(Data_2!$36:$36,1,$AJ17)),"",INDEX(Data_2!$36:$36,1,$AJ17)))</f>
        <v>11.8</v>
      </c>
      <c r="AI17" s="1185">
        <f t="shared" si="11"/>
        <v>2.8000000000000007</v>
      </c>
      <c r="AJ17" s="1192" cm="1">
        <f t="array" ref="AJ17">IFERROR(LOOKUP(2,1/((Data_2!$D$4:$BM$4&gt;=$B17-6)*(Data_2!$D$4:$BM$4&lt;=$B17)),COLUMN(Data_2!$D$4:$BM$4)),"")</f>
        <v>18</v>
      </c>
    </row>
    <row r="18" spans="1:36">
      <c r="A18" s="1181">
        <f t="shared" si="0"/>
        <v>14</v>
      </c>
      <c r="B18" s="1175">
        <f>Targets!B18</f>
        <v>46118</v>
      </c>
      <c r="C18" s="1187">
        <f>IF(Targets!C18="","",Targets!C18)</f>
        <v>0.85899999999999999</v>
      </c>
      <c r="D18" s="1177" cm="1">
        <f t="array" ref="D18">IF($AJ18="","",IF(ISBLANK(INDEX(Data_2!$6:$6,1,$AJ18)),"",INDEX(Data_2!$6:$6,1,$AJ18)))</f>
        <v>0.72883295194508013</v>
      </c>
      <c r="E18" s="1182">
        <f t="shared" si="1"/>
        <v>-0.13016704805491985</v>
      </c>
      <c r="F18" s="1188">
        <f>IF(Targets!F18="","",Targets!F18)</f>
        <v>24</v>
      </c>
      <c r="G18" s="1176" cm="1">
        <f t="array" ref="G18">IF($AJ18="","",IF(ISBLANK(INDEX(Data_2!$16:$16,1,$AJ18)),"",INDEX(Data_2!$16:$16,1,$AJ18)))</f>
        <v>26</v>
      </c>
      <c r="H18" s="1183">
        <f t="shared" si="2"/>
        <v>2</v>
      </c>
      <c r="I18" s="1188">
        <f>IF(Targets!G18="","",Targets!G18)</f>
        <v>18</v>
      </c>
      <c r="J18" s="1176" cm="1">
        <f t="array" ref="J18">IF($AJ18="","",IF(ISBLANK(INDEX(Data_2!$18:$18,1,$AJ18)),"",INDEX(Data_2!$18:$18,1,$AJ18)))</f>
        <v>12</v>
      </c>
      <c r="K18" s="1183">
        <f t="shared" si="3"/>
        <v>-6</v>
      </c>
      <c r="L18" s="1188">
        <f>IF(Targets!H18="","",Targets!H18)</f>
        <v>13</v>
      </c>
      <c r="M18" s="1176" cm="1">
        <f t="array" ref="M18">IF($AJ18="","",IF(ISBLANK(INDEX(Data_2!$23:$23,1,$AJ18)),"",INDEX(Data_2!$23:$23,1,$AJ18)))</f>
        <v>-2</v>
      </c>
      <c r="N18" s="1183">
        <f t="shared" si="4"/>
        <v>-15</v>
      </c>
      <c r="O18" s="1188">
        <f>IF(Targets!I18="","",Targets!I18)</f>
        <v>11</v>
      </c>
      <c r="P18" s="1176" cm="1">
        <f t="array" ref="P18">IF($AJ18="","",IF(ISBLANK(INDEX(Data_2!$26:$26,1,$AJ18)),"",INDEX(Data_2!$26:$26,1,$AJ18)))</f>
        <v>7</v>
      </c>
      <c r="Q18" s="1183">
        <f t="shared" si="5"/>
        <v>-4</v>
      </c>
      <c r="R18" s="1187">
        <f>IF(Targets!J18="","",Targets!J18)</f>
        <v>0.8</v>
      </c>
      <c r="S18" s="1177" cm="1">
        <f t="array" ref="S18">IF($AJ18="","",IFERROR(IF(ISBLANK(INDEX(Data_2!$A:$BM,MATCH(EOMONTH($B18,-1)+1,Data_2!$A:$A,0)+3,$AJ18)),"",INDEX(Data_2!$A:$BM,MATCH(EOMONTH($B18,-1)+1,Data_2!$A:$A,0)+3,$AJ18)),""))</f>
        <v>0.38709677419354799</v>
      </c>
      <c r="T18" s="1182">
        <f t="shared" si="6"/>
        <v>-0.41290322580645206</v>
      </c>
      <c r="U18" s="1188">
        <f>IF(Targets!K18="","",Targets!K18)</f>
        <v>7</v>
      </c>
      <c r="V18" s="1176" cm="1">
        <f t="array" ref="V18">IF($AJ18="","",IF(ISBLANK(INDEX(Data_2!$93:$93,1,$AJ18)),"",INDEX(Data_2!$93:$93,1,$AJ18)))</f>
        <v>14</v>
      </c>
      <c r="W18" s="1183">
        <f t="shared" si="7"/>
        <v>7</v>
      </c>
      <c r="X18" s="1187">
        <f>IF(Targets!T18="","",Targets!T18)</f>
        <v>0.12</v>
      </c>
      <c r="Y18" s="1177" cm="1">
        <f t="array" ref="Y18">IF($AJ18="","",IF(ISBLANK(INDEX(Data_2!$33:$33,1,$AJ18)),"",INDEX(Data_2!$33:$33,1,$AJ18)))</f>
        <v>5.1470588235294115E-2</v>
      </c>
      <c r="Z18" s="1182">
        <f t="shared" si="8"/>
        <v>-6.852941176470588E-2</v>
      </c>
      <c r="AA18" s="1187">
        <f>IF(Targets!U18="","",Targets!U18)</f>
        <v>0.28000000000000003</v>
      </c>
      <c r="AB18" s="1177" cm="1">
        <f t="array" ref="AB18">IF($AJ18="","",IF(ISBLANK(INDEX(Data_2!$34:$34,1,$AJ18)),"",INDEX(Data_2!$34:$34,1,$AJ18)))</f>
        <v>0.53676470588235292</v>
      </c>
      <c r="AC18" s="1182">
        <f t="shared" si="9"/>
        <v>0.25676470588235289</v>
      </c>
      <c r="AD18" s="1188">
        <f>IF(Targets!V18="","",Targets!V18)</f>
        <v>12</v>
      </c>
      <c r="AE18" s="1176" cm="1">
        <f t="array" ref="AE18">IF($AJ18="","",IF(ISBLANK(INDEX(Data_2!$35:$35,1,$AJ18)),"",INDEX(Data_2!$35:$35,1,$AJ18)))</f>
        <v>11</v>
      </c>
      <c r="AF18" s="1183">
        <f t="shared" si="10"/>
        <v>-1</v>
      </c>
      <c r="AG18" s="1189">
        <f>IF(Targets!W18="","",Targets!W18)</f>
        <v>9</v>
      </c>
      <c r="AH18" s="1184" cm="1">
        <f t="array" ref="AH18">IF($AJ18="","",IF(ISBLANK(INDEX(Data_2!$36:$36,1,$AJ18)),"",INDEX(Data_2!$36:$36,1,$AJ18)))</f>
        <v>9.8000000000000007</v>
      </c>
      <c r="AI18" s="1185">
        <f t="shared" si="11"/>
        <v>0.80000000000000071</v>
      </c>
      <c r="AJ18" s="1192" cm="1">
        <f t="array" ref="AJ18">IFERROR(LOOKUP(2,1/((Data_2!$D$4:$BM$4&gt;=$B18-6)*(Data_2!$D$4:$BM$4&lt;=$B18)),COLUMN(Data_2!$D$4:$BM$4)),"")</f>
        <v>19</v>
      </c>
    </row>
    <row r="19" spans="1:36">
      <c r="A19" s="1181">
        <f t="shared" si="0"/>
        <v>15</v>
      </c>
      <c r="B19" s="1175">
        <f>Targets!B19</f>
        <v>46125</v>
      </c>
      <c r="C19" s="1187">
        <f>IF(Targets!C19="","",Targets!C19)</f>
        <v>0.86399999999999999</v>
      </c>
      <c r="D19" s="1177" cm="1">
        <f t="array" ref="D19">IF($AJ19="","",IF(ISBLANK(INDEX(Data_2!$6:$6,1,$AJ19)),"",INDEX(Data_2!$6:$6,1,$AJ19)))</f>
        <v>0.72311212814645309</v>
      </c>
      <c r="E19" s="1182">
        <f t="shared" si="1"/>
        <v>-0.1408878718535469</v>
      </c>
      <c r="F19" s="1188">
        <f>IF(Targets!F19="","",Targets!F19)</f>
        <v>24</v>
      </c>
      <c r="G19" s="1176" cm="1">
        <f t="array" ref="G19">IF($AJ19="","",IF(ISBLANK(INDEX(Data_2!$16:$16,1,$AJ19)),"",INDEX(Data_2!$16:$16,1,$AJ19)))</f>
        <v>25</v>
      </c>
      <c r="H19" s="1183">
        <f t="shared" si="2"/>
        <v>1</v>
      </c>
      <c r="I19" s="1188">
        <f>IF(Targets!G19="","",Targets!G19)</f>
        <v>17</v>
      </c>
      <c r="J19" s="1176" cm="1">
        <f t="array" ref="J19">IF($AJ19="","",IF(ISBLANK(INDEX(Data_2!$18:$18,1,$AJ19)),"",INDEX(Data_2!$18:$18,1,$AJ19)))</f>
        <v>19</v>
      </c>
      <c r="K19" s="1183">
        <f t="shared" si="3"/>
        <v>2</v>
      </c>
      <c r="L19" s="1188">
        <f>IF(Targets!H19="","",Targets!H19)</f>
        <v>13</v>
      </c>
      <c r="M19" s="1176" cm="1">
        <f t="array" ref="M19">IF($AJ19="","",IF(ISBLANK(INDEX(Data_2!$23:$23,1,$AJ19)),"",INDEX(Data_2!$23:$23,1,$AJ19)))</f>
        <v>10</v>
      </c>
      <c r="N19" s="1183">
        <f t="shared" si="4"/>
        <v>-3</v>
      </c>
      <c r="O19" s="1188">
        <f>IF(Targets!I19="","",Targets!I19)</f>
        <v>10</v>
      </c>
      <c r="P19" s="1176" cm="1">
        <f t="array" ref="P19">IF($AJ19="","",IF(ISBLANK(INDEX(Data_2!$26:$26,1,$AJ19)),"",INDEX(Data_2!$26:$26,1,$AJ19)))</f>
        <v>3</v>
      </c>
      <c r="Q19" s="1183">
        <f t="shared" si="5"/>
        <v>-7</v>
      </c>
      <c r="R19" s="1187">
        <f>IF(Targets!J19="","",Targets!J19)</f>
        <v>0.8</v>
      </c>
      <c r="S19" s="1177" cm="1">
        <f t="array" ref="S19">IF($AJ19="","",IFERROR(IF(ISBLANK(INDEX(Data_2!$A:$BM,MATCH(EOMONTH($B19,-1)+1,Data_2!$A:$A,0)+3,$AJ19)),"",INDEX(Data_2!$A:$BM,MATCH(EOMONTH($B19,-1)+1,Data_2!$A:$A,0)+3,$AJ19)),""))</f>
        <v>0.40322580645161299</v>
      </c>
      <c r="T19" s="1182">
        <f t="shared" si="6"/>
        <v>-0.39677419354838706</v>
      </c>
      <c r="U19" s="1188">
        <f>IF(Targets!K19="","",Targets!K19)</f>
        <v>7</v>
      </c>
      <c r="V19" s="1176" cm="1">
        <f t="array" ref="V19">IF($AJ19="","",IF(ISBLANK(INDEX(Data_2!$93:$93,1,$AJ19)),"",INDEX(Data_2!$93:$93,1,$AJ19)))</f>
        <v>6</v>
      </c>
      <c r="W19" s="1183">
        <f t="shared" si="7"/>
        <v>-1</v>
      </c>
      <c r="X19" s="1187">
        <f>IF(Targets!T19="","",Targets!T19)</f>
        <v>0.13</v>
      </c>
      <c r="Y19" s="1177" cm="1">
        <f t="array" ref="Y19">IF($AJ19="","",IF(ISBLANK(INDEX(Data_2!$33:$33,1,$AJ19)),"",INDEX(Data_2!$33:$33,1,$AJ19)))</f>
        <v>2.1276595744680851E-2</v>
      </c>
      <c r="Z19" s="1182">
        <f t="shared" si="8"/>
        <v>-0.10872340425531915</v>
      </c>
      <c r="AA19" s="1187">
        <f>IF(Targets!U19="","",Targets!U19)</f>
        <v>0.27</v>
      </c>
      <c r="AB19" s="1177" cm="1">
        <f t="array" ref="AB19">IF($AJ19="","",IF(ISBLANK(INDEX(Data_2!$34:$34,1,$AJ19)),"",INDEX(Data_2!$34:$34,1,$AJ19)))</f>
        <v>0.53191489361702127</v>
      </c>
      <c r="AC19" s="1182">
        <f t="shared" si="9"/>
        <v>0.26191489361702125</v>
      </c>
      <c r="AD19" s="1188">
        <f>IF(Targets!V19="","",Targets!V19)</f>
        <v>10</v>
      </c>
      <c r="AE19" s="1176" cm="1">
        <f t="array" ref="AE19">IF($AJ19="","",IF(ISBLANK(INDEX(Data_2!$35:$35,1,$AJ19)),"",INDEX(Data_2!$35:$35,1,$AJ19)))</f>
        <v>13</v>
      </c>
      <c r="AF19" s="1183">
        <f t="shared" si="10"/>
        <v>3</v>
      </c>
      <c r="AG19" s="1189">
        <f>IF(Targets!W19="","",Targets!W19)</f>
        <v>8</v>
      </c>
      <c r="AH19" s="1184" cm="1">
        <f t="array" ref="AH19">IF($AJ19="","",IF(ISBLANK(INDEX(Data_2!$36:$36,1,$AJ19)),"",INDEX(Data_2!$36:$36,1,$AJ19)))</f>
        <v>12.8</v>
      </c>
      <c r="AI19" s="1185">
        <f t="shared" si="11"/>
        <v>4.8000000000000007</v>
      </c>
      <c r="AJ19" s="1192" cm="1">
        <f t="array" ref="AJ19">IFERROR(LOOKUP(2,1/((Data_2!$D$4:$BM$4&gt;=$B19-6)*(Data_2!$D$4:$BM$4&lt;=$B19)),COLUMN(Data_2!$D$4:$BM$4)),"")</f>
        <v>20</v>
      </c>
    </row>
    <row r="20" spans="1:36">
      <c r="A20" s="1181">
        <f t="shared" si="0"/>
        <v>16</v>
      </c>
      <c r="B20" s="1175">
        <f>Targets!B20</f>
        <v>46132</v>
      </c>
      <c r="C20" s="1187">
        <f>IF(Targets!C20="","",Targets!C20)</f>
        <v>0.86799999999999999</v>
      </c>
      <c r="D20" s="1177" cm="1">
        <f t="array" ref="D20">IF($AJ20="","",IF(ISBLANK(INDEX(Data_2!$6:$6,1,$AJ20)),"",INDEX(Data_2!$6:$6,1,$AJ20)))</f>
        <v>0.73229999999999995</v>
      </c>
      <c r="E20" s="1182">
        <f t="shared" si="1"/>
        <v>-0.13570000000000004</v>
      </c>
      <c r="F20" s="1188">
        <f>IF(Targets!F20="","",Targets!F20)</f>
        <v>24</v>
      </c>
      <c r="G20" s="1176" cm="1">
        <f t="array" ref="G20">IF($AJ20="","",IF(ISBLANK(INDEX(Data_2!$16:$16,1,$AJ20)),"",INDEX(Data_2!$16:$16,1,$AJ20)))</f>
        <v>19</v>
      </c>
      <c r="H20" s="1183">
        <f t="shared" si="2"/>
        <v>-5</v>
      </c>
      <c r="I20" s="1188">
        <f>IF(Targets!G20="","",Targets!G20)</f>
        <v>17</v>
      </c>
      <c r="J20" s="1176" cm="1">
        <f t="array" ref="J20">IF($AJ20="","",IF(ISBLANK(INDEX(Data_2!$18:$18,1,$AJ20)),"",INDEX(Data_2!$18:$18,1,$AJ20)))</f>
        <v>13</v>
      </c>
      <c r="K20" s="1183">
        <f t="shared" si="3"/>
        <v>-4</v>
      </c>
      <c r="L20" s="1188">
        <f>IF(Targets!H20="","",Targets!H20)</f>
        <v>13</v>
      </c>
      <c r="M20" s="1176" cm="1">
        <f t="array" ref="M20">IF($AJ20="","",IF(ISBLANK(INDEX(Data_2!$23:$23,1,$AJ20)),"",INDEX(Data_2!$23:$23,1,$AJ20)))</f>
        <v>4</v>
      </c>
      <c r="N20" s="1183">
        <f t="shared" si="4"/>
        <v>-9</v>
      </c>
      <c r="O20" s="1188">
        <f>IF(Targets!I20="","",Targets!I20)</f>
        <v>10</v>
      </c>
      <c r="P20" s="1176" cm="1">
        <f t="array" ref="P20">IF($AJ20="","",IF(ISBLANK(INDEX(Data_2!$26:$26,1,$AJ20)),"",INDEX(Data_2!$26:$26,1,$AJ20)))</f>
        <v>14</v>
      </c>
      <c r="Q20" s="1183">
        <f t="shared" si="5"/>
        <v>4</v>
      </c>
      <c r="R20" s="1187">
        <f>IF(Targets!J20="","",Targets!J20)</f>
        <v>0.8</v>
      </c>
      <c r="S20" s="1177" cm="1">
        <f t="array" ref="S20">IF($AJ20="","",IFERROR(IF(ISBLANK(INDEX(Data_2!$A:$BM,MATCH(EOMONTH($B20,-1)+1,Data_2!$A:$A,0)+3,$AJ20)),"",INDEX(Data_2!$A:$BM,MATCH(EOMONTH($B20,-1)+1,Data_2!$A:$A,0)+3,$AJ20)),""))</f>
        <v>0.40300000000000002</v>
      </c>
      <c r="T20" s="1182">
        <f t="shared" si="6"/>
        <v>-0.39700000000000002</v>
      </c>
      <c r="U20" s="1188">
        <f>IF(Targets!K20="","",Targets!K20)</f>
        <v>6</v>
      </c>
      <c r="V20" s="1176" cm="1">
        <f t="array" ref="V20">IF($AJ20="","",IF(ISBLANK(INDEX(Data_2!$93:$93,1,$AJ20)),"",INDEX(Data_2!$93:$93,1,$AJ20)))</f>
        <v>2</v>
      </c>
      <c r="W20" s="1183">
        <f t="shared" si="7"/>
        <v>-4</v>
      </c>
      <c r="X20" s="1187">
        <f>IF(Targets!T20="","",Targets!T20)</f>
        <v>0.14000000000000001</v>
      </c>
      <c r="Y20" s="1177" cm="1">
        <f t="array" ref="Y20">IF($AJ20="","",IF(ISBLANK(INDEX(Data_2!$33:$33,1,$AJ20)),"",INDEX(Data_2!$33:$33,1,$AJ20)))</f>
        <v>9.7000000000000003E-2</v>
      </c>
      <c r="Z20" s="1182">
        <f t="shared" si="8"/>
        <v>-4.300000000000001E-2</v>
      </c>
      <c r="AA20" s="1187">
        <f>IF(Targets!U20="","",Targets!U20)</f>
        <v>0.27</v>
      </c>
      <c r="AB20" s="1177" cm="1">
        <f t="array" ref="AB20">IF($AJ20="","",IF(ISBLANK(INDEX(Data_2!$34:$34,1,$AJ20)),"",INDEX(Data_2!$34:$34,1,$AJ20)))</f>
        <v>0.51</v>
      </c>
      <c r="AC20" s="1182">
        <f t="shared" si="9"/>
        <v>0.24</v>
      </c>
      <c r="AD20" s="1188">
        <f>IF(Targets!V20="","",Targets!V20)</f>
        <v>10</v>
      </c>
      <c r="AE20" s="1176" cm="1">
        <f t="array" ref="AE20">IF($AJ20="","",IF(ISBLANK(INDEX(Data_2!$35:$35,1,$AJ20)),"",INDEX(Data_2!$35:$35,1,$AJ20)))</f>
        <v>18</v>
      </c>
      <c r="AF20" s="1183">
        <f t="shared" si="10"/>
        <v>8</v>
      </c>
      <c r="AG20" s="1189">
        <f>IF(Targets!W20="","",Targets!W20)</f>
        <v>8</v>
      </c>
      <c r="AH20" s="1184" cm="1">
        <f t="array" ref="AH20">IF($AJ20="","",IF(ISBLANK(INDEX(Data_2!$36:$36,1,$AJ20)),"",INDEX(Data_2!$36:$36,1,$AJ20)))</f>
        <v>18.100000000000001</v>
      </c>
      <c r="AI20" s="1185">
        <f t="shared" si="11"/>
        <v>10.100000000000001</v>
      </c>
      <c r="AJ20" s="1192" cm="1">
        <f t="array" ref="AJ20">IFERROR(LOOKUP(2,1/((Data_2!$D$4:$BM$4&gt;=$B20-6)*(Data_2!$D$4:$BM$4&lt;=$B20)),COLUMN(Data_2!$D$4:$BM$4)),"")</f>
        <v>21</v>
      </c>
    </row>
    <row r="21" spans="1:36">
      <c r="A21" s="1181">
        <f t="shared" si="0"/>
        <v>17</v>
      </c>
      <c r="B21" s="1175">
        <f>Targets!B21</f>
        <v>46139</v>
      </c>
      <c r="C21" s="1187">
        <f>IF(Targets!C21="","",Targets!C21)</f>
        <v>0.87</v>
      </c>
      <c r="D21" s="1177" cm="1">
        <f t="array" ref="D21">IF($AJ21="","",IF(ISBLANK(INDEX(Data_2!$6:$6,1,$AJ21)),"",INDEX(Data_2!$6:$6,1,$AJ21)))</f>
        <v>0.73112128146453093</v>
      </c>
      <c r="E21" s="1182">
        <f t="shared" si="1"/>
        <v>-0.13887871853546907</v>
      </c>
      <c r="F21" s="1188">
        <f>IF(Targets!F21="","",Targets!F21)</f>
        <v>23</v>
      </c>
      <c r="G21" s="1176" cm="1">
        <f t="array" ref="G21">IF($AJ21="","",IF(ISBLANK(INDEX(Data_2!$16:$16,1,$AJ21)),"",INDEX(Data_2!$16:$16,1,$AJ21)))</f>
        <v>26</v>
      </c>
      <c r="H21" s="1183">
        <f t="shared" si="2"/>
        <v>3</v>
      </c>
      <c r="I21" s="1188">
        <f>IF(Targets!G21="","",Targets!G21)</f>
        <v>16</v>
      </c>
      <c r="J21" s="1176" cm="1">
        <f t="array" ref="J21">IF($AJ21="","",IF(ISBLANK(INDEX(Data_2!$18:$18,1,$AJ21)),"",INDEX(Data_2!$18:$18,1,$AJ21)))</f>
        <v>20</v>
      </c>
      <c r="K21" s="1183">
        <f t="shared" si="3"/>
        <v>4</v>
      </c>
      <c r="L21" s="1188">
        <f>IF(Targets!H21="","",Targets!H21)</f>
        <v>12</v>
      </c>
      <c r="M21" s="1176" cm="1">
        <f t="array" ref="M21">IF($AJ21="","",IF(ISBLANK(INDEX(Data_2!$23:$23,1,$AJ21)),"",INDEX(Data_2!$23:$23,1,$AJ21)))</f>
        <v>10</v>
      </c>
      <c r="N21" s="1183">
        <f t="shared" si="4"/>
        <v>-2</v>
      </c>
      <c r="O21" s="1188">
        <f>IF(Targets!I21="","",Targets!I21)</f>
        <v>10</v>
      </c>
      <c r="P21" s="1176" cm="1">
        <f t="array" ref="P21">IF($AJ21="","",IF(ISBLANK(INDEX(Data_2!$26:$26,1,$AJ21)),"",INDEX(Data_2!$26:$26,1,$AJ21)))</f>
        <v>7</v>
      </c>
      <c r="Q21" s="1183">
        <f t="shared" si="5"/>
        <v>-3</v>
      </c>
      <c r="R21" s="1187">
        <f>IF(Targets!J21="","",Targets!J21)</f>
        <v>0.8</v>
      </c>
      <c r="S21" s="1177" cm="1">
        <f t="array" ref="S21">IF($AJ21="","",IFERROR(IF(ISBLANK(INDEX(Data_2!$A:$BM,MATCH(EOMONTH($B21,-1)+1,Data_2!$A:$A,0)+3,$AJ21)),"",INDEX(Data_2!$A:$BM,MATCH(EOMONTH($B21,-1)+1,Data_2!$A:$A,0)+3,$AJ21)),""))</f>
        <v>0.483333333333333</v>
      </c>
      <c r="T21" s="1182">
        <f t="shared" si="6"/>
        <v>-0.31666666666666704</v>
      </c>
      <c r="U21" s="1188">
        <f>IF(Targets!K21="","",Targets!K21)</f>
        <v>7</v>
      </c>
      <c r="V21" s="1176" cm="1">
        <f t="array" ref="V21">IF($AJ21="","",IF(ISBLANK(INDEX(Data_2!$93:$93,1,$AJ21)),"",INDEX(Data_2!$93:$93,1,$AJ21)))</f>
        <v>4</v>
      </c>
      <c r="W21" s="1183">
        <f t="shared" si="7"/>
        <v>-3</v>
      </c>
      <c r="X21" s="1187">
        <f>IF(Targets!T21="","",Targets!T21)</f>
        <v>0.15</v>
      </c>
      <c r="Y21" s="1177" cm="1">
        <f t="array" ref="Y21">IF($AJ21="","",IF(ISBLANK(INDEX(Data_2!$33:$33,1,$AJ21)),"",INDEX(Data_2!$33:$33,1,$AJ21)))</f>
        <v>4.1666666666666664E-2</v>
      </c>
      <c r="Z21" s="1182">
        <f t="shared" si="8"/>
        <v>-0.10833333333333334</v>
      </c>
      <c r="AA21" s="1187">
        <f>IF(Targets!U21="","",Targets!U21)</f>
        <v>0.25</v>
      </c>
      <c r="AB21" s="1177" cm="1">
        <f t="array" ref="AB21">IF($AJ21="","",IF(ISBLANK(INDEX(Data_2!$34:$34,1,$AJ21)),"",INDEX(Data_2!$34:$34,1,$AJ21)))</f>
        <v>0.47619047619047616</v>
      </c>
      <c r="AC21" s="1182">
        <f t="shared" si="9"/>
        <v>0.22619047619047616</v>
      </c>
      <c r="AD21" s="1188">
        <f>IF(Targets!V21="","",Targets!V21)</f>
        <v>8</v>
      </c>
      <c r="AE21" s="1176" cm="1">
        <f t="array" ref="AE21">IF($AJ21="","",IF(ISBLANK(INDEX(Data_2!$35:$35,1,$AJ21)),"",INDEX(Data_2!$35:$35,1,$AJ21)))</f>
        <v>21</v>
      </c>
      <c r="AF21" s="1183">
        <f t="shared" si="10"/>
        <v>13</v>
      </c>
      <c r="AG21" s="1189">
        <f>IF(Targets!W21="","",Targets!W21)</f>
        <v>7</v>
      </c>
      <c r="AH21" s="1184" cm="1">
        <f t="array" ref="AH21">IF($AJ21="","",IF(ISBLANK(INDEX(Data_2!$36:$36,1,$AJ21)),"",INDEX(Data_2!$36:$36,1,$AJ21)))</f>
        <v>15.8</v>
      </c>
      <c r="AI21" s="1185">
        <f t="shared" si="11"/>
        <v>8.8000000000000007</v>
      </c>
      <c r="AJ21" s="1192" cm="1">
        <f t="array" ref="AJ21">IFERROR(LOOKUP(2,1/((Data_2!$D$4:$BM$4&gt;=$B21-6)*(Data_2!$D$4:$BM$4&lt;=$B21)),COLUMN(Data_2!$D$4:$BM$4)),"")</f>
        <v>22</v>
      </c>
    </row>
    <row r="22" spans="1:36">
      <c r="A22" s="1181">
        <f t="shared" si="0"/>
        <v>18</v>
      </c>
      <c r="B22" s="1175">
        <f>Targets!B22</f>
        <v>46146</v>
      </c>
      <c r="C22" s="1187">
        <f>IF(Targets!C22="","",Targets!C22)</f>
        <v>0.875</v>
      </c>
      <c r="D22" s="1177" cm="1">
        <f t="array" ref="D22">IF($AJ22="","",IF(ISBLANK(INDEX(Data_2!$6:$6,1,$AJ22)),"",INDEX(Data_2!$6:$6,1,$AJ22)))</f>
        <v>0.73</v>
      </c>
      <c r="E22" s="1182">
        <f t="shared" si="1"/>
        <v>-0.14500000000000002</v>
      </c>
      <c r="F22" s="1188">
        <f>IF(Targets!F22="","",Targets!F22)</f>
        <v>23</v>
      </c>
      <c r="G22" s="1176" cm="1">
        <f t="array" ref="G22">IF($AJ22="","",IF(ISBLANK(INDEX(Data_2!$16:$16,1,$AJ22)),"",INDEX(Data_2!$16:$16,1,$AJ22)))</f>
        <v>28</v>
      </c>
      <c r="H22" s="1183">
        <f t="shared" si="2"/>
        <v>5</v>
      </c>
      <c r="I22" s="1188">
        <f>IF(Targets!G22="","",Targets!G22)</f>
        <v>16</v>
      </c>
      <c r="J22" s="1176" cm="1">
        <f t="array" ref="J22">IF($AJ22="","",IF(ISBLANK(INDEX(Data_2!$18:$18,1,$AJ22)),"",INDEX(Data_2!$18:$18,1,$AJ22)))</f>
        <v>15</v>
      </c>
      <c r="K22" s="1183">
        <f t="shared" si="3"/>
        <v>-1</v>
      </c>
      <c r="L22" s="1188">
        <f>IF(Targets!H22="","",Targets!H22)</f>
        <v>12</v>
      </c>
      <c r="M22" s="1176" cm="1">
        <f t="array" ref="M22">IF($AJ22="","",IF(ISBLANK(INDEX(Data_2!$23:$23,1,$AJ22)),"",INDEX(Data_2!$23:$23,1,$AJ22)))</f>
        <v>11</v>
      </c>
      <c r="N22" s="1183">
        <f t="shared" si="4"/>
        <v>-1</v>
      </c>
      <c r="O22" s="1188">
        <f>IF(Targets!I22="","",Targets!I22)</f>
        <v>10</v>
      </c>
      <c r="P22" s="1176" cm="1">
        <f t="array" ref="P22">IF($AJ22="","",IF(ISBLANK(INDEX(Data_2!$26:$26,1,$AJ22)),"",INDEX(Data_2!$26:$26,1,$AJ22)))</f>
        <v>7</v>
      </c>
      <c r="Q22" s="1183">
        <f t="shared" si="5"/>
        <v>-3</v>
      </c>
      <c r="R22" s="1187">
        <f>IF(Targets!J22="","",Targets!J22)</f>
        <v>0.8</v>
      </c>
      <c r="S22" s="1177" cm="1">
        <f t="array" ref="S22">IF($AJ22="","",IFERROR(IF(ISBLANK(INDEX(Data_2!$A:$BM,MATCH(EOMONTH($B22,-1)+1,Data_2!$A:$A,0)+3,$AJ22)),"",INDEX(Data_2!$A:$BM,MATCH(EOMONTH($B22,-1)+1,Data_2!$A:$A,0)+3,$AJ22)),""))</f>
        <v>0.50900000000000001</v>
      </c>
      <c r="T22" s="1182">
        <f t="shared" si="6"/>
        <v>-0.29100000000000004</v>
      </c>
      <c r="U22" s="1188">
        <f>IF(Targets!K22="","",Targets!K22)</f>
        <v>7</v>
      </c>
      <c r="V22" s="1176" cm="1">
        <f t="array" ref="V22">IF($AJ22="","",IF(ISBLANK(INDEX(Data_2!$93:$93,1,$AJ22)),"",INDEX(Data_2!$93:$93,1,$AJ22)))</f>
        <v>12</v>
      </c>
      <c r="W22" s="1183">
        <f t="shared" si="7"/>
        <v>5</v>
      </c>
      <c r="X22" s="1187">
        <f>IF(Targets!T22="","",Targets!T22)</f>
        <v>0.15</v>
      </c>
      <c r="Y22" s="1177" cm="1">
        <f t="array" ref="Y22">IF($AJ22="","",IF(ISBLANK(INDEX(Data_2!$33:$33,1,$AJ22)),"",INDEX(Data_2!$33:$33,1,$AJ22)))</f>
        <v>3.9E-2</v>
      </c>
      <c r="Z22" s="1182">
        <f t="shared" si="8"/>
        <v>-0.11099999999999999</v>
      </c>
      <c r="AA22" s="1187">
        <f>IF(Targets!U22="","",Targets!U22)</f>
        <v>0.25</v>
      </c>
      <c r="AB22" s="1177" cm="1">
        <f t="array" ref="AB22">IF($AJ22="","",IF(ISBLANK(INDEX(Data_2!$34:$34,1,$AJ22)),"",INDEX(Data_2!$34:$34,1,$AJ22)))</f>
        <v>0.39800000000000002</v>
      </c>
      <c r="AC22" s="1182">
        <f t="shared" si="9"/>
        <v>0.14800000000000002</v>
      </c>
      <c r="AD22" s="1188">
        <f>IF(Targets!V22="","",Targets!V22)</f>
        <v>8</v>
      </c>
      <c r="AE22" s="1176" cm="1">
        <f t="array" ref="AE22">IF($AJ22="","",IF(ISBLANK(INDEX(Data_2!$35:$35,1,$AJ22)),"",INDEX(Data_2!$35:$35,1,$AJ22)))</f>
        <v>22</v>
      </c>
      <c r="AF22" s="1183">
        <f t="shared" si="10"/>
        <v>14</v>
      </c>
      <c r="AG22" s="1189">
        <f>IF(Targets!W22="","",Targets!W22)</f>
        <v>7</v>
      </c>
      <c r="AH22" s="1184" cm="1">
        <f t="array" ref="AH22">IF($AJ22="","",IF(ISBLANK(INDEX(Data_2!$36:$36,1,$AJ22)),"",INDEX(Data_2!$36:$36,1,$AJ22)))</f>
        <v>8.4</v>
      </c>
      <c r="AI22" s="1185">
        <f t="shared" si="11"/>
        <v>1.4000000000000004</v>
      </c>
      <c r="AJ22" s="1192" cm="1">
        <f t="array" ref="AJ22">IFERROR(LOOKUP(2,1/((Data_2!$D$4:$BM$4&gt;=$B22-6)*(Data_2!$D$4:$BM$4&lt;=$B22)),COLUMN(Data_2!$D$4:$BM$4)),"")</f>
        <v>23</v>
      </c>
    </row>
    <row r="23" spans="1:36">
      <c r="A23" s="1181">
        <f t="shared" si="0"/>
        <v>19</v>
      </c>
      <c r="B23" s="1175">
        <f>Targets!B23</f>
        <v>46153</v>
      </c>
      <c r="C23" s="1187">
        <f>IF(Targets!C23="","",Targets!C23)</f>
        <v>0.878</v>
      </c>
      <c r="D23" s="1177" cm="1">
        <f t="array" ref="D23">IF($AJ23="","",IF(ISBLANK(INDEX(Data_2!$6:$6,1,$AJ23)),"",INDEX(Data_2!$6:$6,1,$AJ23)))</f>
        <v>0.72654462242562934</v>
      </c>
      <c r="E23" s="1182">
        <f t="shared" si="1"/>
        <v>-0.15145537757437066</v>
      </c>
      <c r="F23" s="1188">
        <f>IF(Targets!F23="","",Targets!F23)</f>
        <v>22</v>
      </c>
      <c r="G23" s="1176" cm="1">
        <f t="array" ref="G23">IF($AJ23="","",IF(ISBLANK(INDEX(Data_2!$16:$16,1,$AJ23)),"",INDEX(Data_2!$16:$16,1,$AJ23)))</f>
        <v>38</v>
      </c>
      <c r="H23" s="1183">
        <f t="shared" si="2"/>
        <v>16</v>
      </c>
      <c r="I23" s="1188">
        <f>IF(Targets!G23="","",Targets!G23)</f>
        <v>16</v>
      </c>
      <c r="J23" s="1176" cm="1">
        <f t="array" ref="J23">IF($AJ23="","",IF(ISBLANK(INDEX(Data_2!$18:$18,1,$AJ23)),"",INDEX(Data_2!$18:$18,1,$AJ23)))</f>
        <v>2</v>
      </c>
      <c r="K23" s="1183">
        <f t="shared" si="3"/>
        <v>-14</v>
      </c>
      <c r="L23" s="1188">
        <f>IF(Targets!H23="","",Targets!H23)</f>
        <v>12</v>
      </c>
      <c r="M23" s="1176" cm="1">
        <f t="array" ref="M23">IF($AJ23="","",IF(ISBLANK(INDEX(Data_2!$23:$23,1,$AJ23)),"",INDEX(Data_2!$23:$23,1,$AJ23)))</f>
        <v>-24</v>
      </c>
      <c r="N23" s="1183">
        <f t="shared" si="4"/>
        <v>-36</v>
      </c>
      <c r="O23" s="1188">
        <f>IF(Targets!I23="","",Targets!I23)</f>
        <v>10</v>
      </c>
      <c r="P23" s="1176" cm="1">
        <f t="array" ref="P23">IF($AJ23="","",IF(ISBLANK(INDEX(Data_2!$26:$26,1,$AJ23)),"",INDEX(Data_2!$26:$26,1,$AJ23)))</f>
        <v>11</v>
      </c>
      <c r="Q23" s="1183">
        <f t="shared" si="5"/>
        <v>1</v>
      </c>
      <c r="R23" s="1187">
        <f>IF(Targets!J23="","",Targets!J23)</f>
        <v>0.8</v>
      </c>
      <c r="S23" s="1177" cm="1">
        <f t="array" ref="S23">IF($AJ23="","",IFERROR(IF(ISBLANK(INDEX(Data_2!$A:$BM,MATCH(EOMONTH($B23,-1)+1,Data_2!$A:$A,0)+3,$AJ23)),"",INDEX(Data_2!$A:$BM,MATCH(EOMONTH($B23,-1)+1,Data_2!$A:$A,0)+3,$AJ23)),""))</f>
        <v>0.5636363636363636</v>
      </c>
      <c r="T23" s="1182">
        <f t="shared" si="6"/>
        <v>-0.23636363636363644</v>
      </c>
      <c r="U23" s="1188">
        <f>IF(Targets!K23="","",Targets!K23)</f>
        <v>7</v>
      </c>
      <c r="V23" s="1176" cm="1">
        <f t="array" ref="V23">IF($AJ23="","",IF(ISBLANK(INDEX(Data_2!$93:$93,1,$AJ23)),"",INDEX(Data_2!$93:$93,1,$AJ23)))</f>
        <v>8</v>
      </c>
      <c r="W23" s="1183">
        <f t="shared" si="7"/>
        <v>1</v>
      </c>
      <c r="X23" s="1187">
        <f>IF(Targets!T23="","",Targets!T23)</f>
        <v>0.16</v>
      </c>
      <c r="Y23" s="1177" cm="1">
        <f t="array" ref="Y23">IF($AJ23="","",IF(ISBLANK(INDEX(Data_2!$33:$33,1,$AJ23)),"",INDEX(Data_2!$33:$33,1,$AJ23)))</f>
        <v>5.7894736842105263E-2</v>
      </c>
      <c r="Z23" s="1182">
        <f t="shared" si="8"/>
        <v>-0.10210526315789474</v>
      </c>
      <c r="AA23" s="1187">
        <f>IF(Targets!U23="","",Targets!U23)</f>
        <v>0.25</v>
      </c>
      <c r="AB23" s="1177" cm="1">
        <f t="array" ref="AB23">IF($AJ23="","",IF(ISBLANK(INDEX(Data_2!$34:$34,1,$AJ23)),"",INDEX(Data_2!$34:$34,1,$AJ23)))</f>
        <v>0.3473684210526316</v>
      </c>
      <c r="AC23" s="1182">
        <f t="shared" si="9"/>
        <v>9.7368421052631604E-2</v>
      </c>
      <c r="AD23" s="1188">
        <f>IF(Targets!V23="","",Targets!V23)</f>
        <v>6</v>
      </c>
      <c r="AE23" s="1176" cm="1">
        <f t="array" ref="AE23">IF($AJ23="","",IF(ISBLANK(INDEX(Data_2!$35:$35,1,$AJ23)),"",INDEX(Data_2!$35:$35,1,$AJ23)))</f>
        <v>17</v>
      </c>
      <c r="AF23" s="1183">
        <f t="shared" si="10"/>
        <v>11</v>
      </c>
      <c r="AG23" s="1189">
        <f>IF(Targets!W23="","",Targets!W23)</f>
        <v>7</v>
      </c>
      <c r="AH23" s="1184" cm="1">
        <f t="array" ref="AH23">IF($AJ23="","",IF(ISBLANK(INDEX(Data_2!$36:$36,1,$AJ23)),"",INDEX(Data_2!$36:$36,1,$AJ23)))</f>
        <v>9.5</v>
      </c>
      <c r="AI23" s="1185">
        <f t="shared" si="11"/>
        <v>2.5</v>
      </c>
      <c r="AJ23" s="1192" cm="1">
        <f t="array" ref="AJ23">IFERROR(LOOKUP(2,1/((Data_2!$D$4:$BM$4&gt;=$B23-6)*(Data_2!$D$4:$BM$4&lt;=$B23)),COLUMN(Data_2!$D$4:$BM$4)),"")</f>
        <v>24</v>
      </c>
    </row>
    <row r="24" spans="1:36">
      <c r="A24" s="1181">
        <f t="shared" si="0"/>
        <v>20</v>
      </c>
      <c r="B24" s="1175">
        <f>Targets!B24</f>
        <v>46160</v>
      </c>
      <c r="C24" s="1187">
        <f>IF(Targets!C24="","",Targets!C24)</f>
        <v>0.88200000000000001</v>
      </c>
      <c r="D24" s="1177" cm="1">
        <f t="array" ref="D24">IF($AJ24="","",IF(ISBLANK(INDEX(Data_2!$6:$6,1,$AJ24)),"",INDEX(Data_2!$6:$6,1,$AJ24)))</f>
        <v>0.72425629290617854</v>
      </c>
      <c r="E24" s="1182">
        <f t="shared" si="1"/>
        <v>-0.15774370709382146</v>
      </c>
      <c r="F24" s="1188">
        <f>IF(Targets!F24="","",Targets!F24)</f>
        <v>22</v>
      </c>
      <c r="G24" s="1176" cm="1">
        <f t="array" ref="G24">IF($AJ24="","",IF(ISBLANK(INDEX(Data_2!$16:$16,1,$AJ24)),"",INDEX(Data_2!$16:$16,1,$AJ24)))</f>
        <v>31</v>
      </c>
      <c r="H24" s="1183">
        <f t="shared" si="2"/>
        <v>9</v>
      </c>
      <c r="I24" s="1188">
        <f>IF(Targets!G24="","",Targets!G24)</f>
        <v>16</v>
      </c>
      <c r="J24" s="1176" cm="1">
        <f t="array" ref="J24">IF($AJ24="","",IF(ISBLANK(INDEX(Data_2!$18:$18,1,$AJ24)),"",INDEX(Data_2!$18:$18,1,$AJ24)))</f>
        <v>20</v>
      </c>
      <c r="K24" s="1183">
        <f t="shared" si="3"/>
        <v>4</v>
      </c>
      <c r="L24" s="1188">
        <f>IF(Targets!H24="","",Targets!H24)</f>
        <v>12</v>
      </c>
      <c r="M24" s="1176" cm="1">
        <f t="array" ref="M24">IF($AJ24="","",IF(ISBLANK(INDEX(Data_2!$23:$23,1,$AJ24)),"",INDEX(Data_2!$23:$23,1,$AJ24)))</f>
        <v>11</v>
      </c>
      <c r="N24" s="1183">
        <f t="shared" si="4"/>
        <v>-1</v>
      </c>
      <c r="O24" s="1188">
        <f>IF(Targets!I24="","",Targets!I24)</f>
        <v>10</v>
      </c>
      <c r="P24" s="1176" cm="1">
        <f t="array" ref="P24">IF($AJ24="","",IF(ISBLANK(INDEX(Data_2!$26:$26,1,$AJ24)),"",INDEX(Data_2!$26:$26,1,$AJ24)))</f>
        <v>11</v>
      </c>
      <c r="Q24" s="1183">
        <f t="shared" si="5"/>
        <v>1</v>
      </c>
      <c r="R24" s="1187">
        <f>IF(Targets!J24="","",Targets!J24)</f>
        <v>0.8</v>
      </c>
      <c r="S24" s="1177" cm="1">
        <f t="array" ref="S24">IF($AJ24="","",IFERROR(IF(ISBLANK(INDEX(Data_2!$A:$BM,MATCH(EOMONTH($B24,-1)+1,Data_2!$A:$A,0)+3,$AJ24)),"",INDEX(Data_2!$A:$BM,MATCH(EOMONTH($B24,-1)+1,Data_2!$A:$A,0)+3,$AJ24)),""))</f>
        <v>0.6</v>
      </c>
      <c r="T24" s="1182">
        <f t="shared" si="6"/>
        <v>-0.20000000000000007</v>
      </c>
      <c r="U24" s="1188">
        <f>IF(Targets!K24="","",Targets!K24)</f>
        <v>7</v>
      </c>
      <c r="V24" s="1176" cm="1">
        <f t="array" ref="V24">IF($AJ24="","",IF(ISBLANK(INDEX(Data_2!$93:$93,1,$AJ24)),"",INDEX(Data_2!$93:$93,1,$AJ24)))</f>
        <v>4</v>
      </c>
      <c r="W24" s="1183">
        <f t="shared" si="7"/>
        <v>-3</v>
      </c>
      <c r="X24" s="1187">
        <f>IF(Targets!T24="","",Targets!T24)</f>
        <v>0.16</v>
      </c>
      <c r="Y24" s="1177" cm="1">
        <f t="array" ref="Y24">IF($AJ24="","",IF(ISBLANK(INDEX(Data_2!$33:$33,1,$AJ24)),"",INDEX(Data_2!$33:$33,1,$AJ24)))</f>
        <v>5.5555555555555552E-2</v>
      </c>
      <c r="Z24" s="1182">
        <f t="shared" si="8"/>
        <v>-0.10444444444444445</v>
      </c>
      <c r="AA24" s="1187">
        <f>IF(Targets!U24="","",Targets!U24)</f>
        <v>0.25</v>
      </c>
      <c r="AB24" s="1177" cm="1">
        <f t="array" ref="AB24">IF($AJ24="","",IF(ISBLANK(INDEX(Data_2!$34:$34,1,$AJ24)),"",INDEX(Data_2!$34:$34,1,$AJ24)))</f>
        <v>0.36363636363636365</v>
      </c>
      <c r="AC24" s="1182">
        <f t="shared" si="9"/>
        <v>0.11363636363636365</v>
      </c>
      <c r="AD24" s="1188">
        <f>IF(Targets!V24="","",Targets!V24)</f>
        <v>6</v>
      </c>
      <c r="AE24" s="1176" cm="1">
        <f t="array" ref="AE24">IF($AJ24="","",IF(ISBLANK(INDEX(Data_2!$35:$35,1,$AJ24)),"",INDEX(Data_2!$35:$35,1,$AJ24)))</f>
        <v>13</v>
      </c>
      <c r="AF24" s="1183">
        <f t="shared" si="10"/>
        <v>7</v>
      </c>
      <c r="AG24" s="1189">
        <f>IF(Targets!W24="","",Targets!W24)</f>
        <v>7</v>
      </c>
      <c r="AH24" s="1184" cm="1">
        <f t="array" ref="AH24">IF($AJ24="","",IF(ISBLANK(INDEX(Data_2!$36:$36,1,$AJ24)),"",INDEX(Data_2!$36:$36,1,$AJ24)))</f>
        <v>10.5</v>
      </c>
      <c r="AI24" s="1185">
        <f t="shared" si="11"/>
        <v>3.5</v>
      </c>
      <c r="AJ24" s="1192" cm="1">
        <f t="array" ref="AJ24">IFERROR(LOOKUP(2,1/((Data_2!$D$4:$BM$4&gt;=$B24-6)*(Data_2!$D$4:$BM$4&lt;=$B24)),COLUMN(Data_2!$D$4:$BM$4)),"")</f>
        <v>25</v>
      </c>
    </row>
    <row r="25" spans="1:36">
      <c r="A25" s="1181">
        <f t="shared" si="0"/>
        <v>21</v>
      </c>
      <c r="B25" s="1175">
        <f>Targets!B25</f>
        <v>46167</v>
      </c>
      <c r="C25" s="1187">
        <f>IF(Targets!C25="","",Targets!C25)</f>
        <v>0.88500000000000001</v>
      </c>
      <c r="D25" s="1177" cm="1">
        <f t="array" ref="D25">IF($AJ25="","",IF(ISBLANK(INDEX(Data_2!$6:$6,1,$AJ25)),"",INDEX(Data_2!$6:$6,1,$AJ25)))</f>
        <v>0.73340961098398172</v>
      </c>
      <c r="E25" s="1182">
        <f t="shared" si="1"/>
        <v>-0.15159038901601829</v>
      </c>
      <c r="F25" s="1188">
        <f>IF(Targets!F25="","",Targets!F25)</f>
        <v>22</v>
      </c>
      <c r="G25" s="1176" cm="1">
        <f t="array" ref="G25">IF($AJ25="","",IF(ISBLANK(INDEX(Data_2!$16:$16,1,$AJ25)),"",INDEX(Data_2!$16:$16,1,$AJ25)))</f>
        <v>33</v>
      </c>
      <c r="H25" s="1183">
        <f t="shared" si="2"/>
        <v>11</v>
      </c>
      <c r="I25" s="1188">
        <f>IF(Targets!G25="","",Targets!G25)</f>
        <v>15</v>
      </c>
      <c r="J25" s="1176" cm="1">
        <f t="array" ref="J25">IF($AJ25="","",IF(ISBLANK(INDEX(Data_2!$18:$18,1,$AJ25)),"",INDEX(Data_2!$18:$18,1,$AJ25)))</f>
        <v>23</v>
      </c>
      <c r="K25" s="1183">
        <f t="shared" si="3"/>
        <v>8</v>
      </c>
      <c r="L25" s="1188">
        <f>IF(Targets!H25="","",Targets!H25)</f>
        <v>11</v>
      </c>
      <c r="M25" s="1176" cm="1">
        <f t="array" ref="M25">IF($AJ25="","",IF(ISBLANK(INDEX(Data_2!$23:$23,1,$AJ25)),"",INDEX(Data_2!$23:$23,1,$AJ25)))</f>
        <v>10</v>
      </c>
      <c r="N25" s="1183">
        <f t="shared" si="4"/>
        <v>-1</v>
      </c>
      <c r="O25" s="1188">
        <f>IF(Targets!I25="","",Targets!I25)</f>
        <v>9</v>
      </c>
      <c r="P25" s="1176" cm="1">
        <f t="array" ref="P25">IF($AJ25="","",IF(ISBLANK(INDEX(Data_2!$26:$26,1,$AJ25)),"",INDEX(Data_2!$26:$26,1,$AJ25)))</f>
        <v>11</v>
      </c>
      <c r="Q25" s="1183">
        <f t="shared" si="5"/>
        <v>2</v>
      </c>
      <c r="R25" s="1187">
        <f>IF(Targets!J25="","",Targets!J25)</f>
        <v>0.8</v>
      </c>
      <c r="S25" s="1177" cm="1">
        <f t="array" ref="S25">IF($AJ25="","",IFERROR(IF(ISBLANK(INDEX(Data_2!$A:$BM,MATCH(EOMONTH($B25,-1)+1,Data_2!$A:$A,0)+3,$AJ25)),"",INDEX(Data_2!$A:$BM,MATCH(EOMONTH($B25,-1)+1,Data_2!$A:$A,0)+3,$AJ25)),""))</f>
        <v>0.64814814814814814</v>
      </c>
      <c r="T25" s="1182">
        <f t="shared" si="6"/>
        <v>-0.1518518518518519</v>
      </c>
      <c r="U25" s="1188">
        <f>IF(Targets!K25="","",Targets!K25)</f>
        <v>6</v>
      </c>
      <c r="V25" s="1176" cm="1">
        <f t="array" ref="V25">IF($AJ25="","",IF(ISBLANK(INDEX(Data_2!$93:$93,1,$AJ25)),"",INDEX(Data_2!$93:$93,1,$AJ25)))</f>
        <v>1</v>
      </c>
      <c r="W25" s="1183">
        <f t="shared" si="7"/>
        <v>-5</v>
      </c>
      <c r="X25" s="1187">
        <f>IF(Targets!T25="","",Targets!T25)</f>
        <v>0.17</v>
      </c>
      <c r="Y25" s="1177" cm="1">
        <f t="array" ref="Y25">IF($AJ25="","",IF(ISBLANK(INDEX(Data_2!$33:$33,1,$AJ25)),"",INDEX(Data_2!$33:$33,1,$AJ25)))</f>
        <v>5.3658536585365853E-2</v>
      </c>
      <c r="Z25" s="1182">
        <f t="shared" si="8"/>
        <v>-0.11634146341463417</v>
      </c>
      <c r="AA25" s="1187">
        <f>IF(Targets!U25="","",Targets!U25)</f>
        <v>0.25</v>
      </c>
      <c r="AB25" s="1177" cm="1">
        <f t="array" ref="AB25">IF($AJ25="","",IF(ISBLANK(INDEX(Data_2!$34:$34,1,$AJ25)),"",INDEX(Data_2!$34:$34,1,$AJ25)))</f>
        <v>0.33658536585365856</v>
      </c>
      <c r="AC25" s="1182">
        <f t="shared" si="9"/>
        <v>8.6585365853658558E-2</v>
      </c>
      <c r="AD25" s="1188">
        <f>IF(Targets!V25="","",Targets!V25)</f>
        <v>5</v>
      </c>
      <c r="AE25" s="1176" cm="1">
        <f t="array" ref="AE25">IF($AJ25="","",IF(ISBLANK(INDEX(Data_2!$35:$35,1,$AJ25)),"",INDEX(Data_2!$35:$35,1,$AJ25)))</f>
        <v>16</v>
      </c>
      <c r="AF25" s="1183">
        <f t="shared" si="10"/>
        <v>11</v>
      </c>
      <c r="AG25" s="1189">
        <f>IF(Targets!W25="","",Targets!W25)</f>
        <v>7</v>
      </c>
      <c r="AH25" s="1184" cm="1">
        <f t="array" ref="AH25">IF($AJ25="","",IF(ISBLANK(INDEX(Data_2!$36:$36,1,$AJ25)),"",INDEX(Data_2!$36:$36,1,$AJ25)))</f>
        <v>10.199999999999999</v>
      </c>
      <c r="AI25" s="1185">
        <f t="shared" si="11"/>
        <v>3.1999999999999993</v>
      </c>
      <c r="AJ25" s="1192" cm="1">
        <f t="array" ref="AJ25">IFERROR(LOOKUP(2,1/((Data_2!$D$4:$BM$4&gt;=$B25-6)*(Data_2!$D$4:$BM$4&lt;=$B25)),COLUMN(Data_2!$D$4:$BM$4)),"")</f>
        <v>26</v>
      </c>
    </row>
    <row r="26" spans="1:36">
      <c r="A26" s="1181">
        <f t="shared" si="0"/>
        <v>22</v>
      </c>
      <c r="B26" s="1175">
        <f>Targets!B26</f>
        <v>46174</v>
      </c>
      <c r="C26" s="1187">
        <f>IF(Targets!C26="","",Targets!C26)</f>
        <v>0.88900000000000001</v>
      </c>
      <c r="D26" s="1177" cm="1">
        <f t="array" ref="D26">IF($AJ26="","",IF(ISBLANK(INDEX(Data_2!$6:$6,1,$AJ26)),"",INDEX(Data_2!$6:$6,1,$AJ26)))</f>
        <v>0.73112128146453093</v>
      </c>
      <c r="E26" s="1182">
        <f t="shared" si="1"/>
        <v>-0.15787871853546909</v>
      </c>
      <c r="F26" s="1188">
        <f>IF(Targets!F26="","",Targets!F26)</f>
        <v>21</v>
      </c>
      <c r="G26" s="1176" cm="1">
        <f t="array" ref="G26">IF($AJ26="","",IF(ISBLANK(INDEX(Data_2!$16:$16,1,$AJ26)),"",INDEX(Data_2!$16:$16,1,$AJ26)))</f>
        <v>18</v>
      </c>
      <c r="H26" s="1183">
        <f t="shared" si="2"/>
        <v>-3</v>
      </c>
      <c r="I26" s="1188">
        <f>IF(Targets!G26="","",Targets!G26)</f>
        <v>15</v>
      </c>
      <c r="J26" s="1176" cm="1">
        <f t="array" ref="J26">IF($AJ26="","",IF(ISBLANK(INDEX(Data_2!$18:$18,1,$AJ26)),"",INDEX(Data_2!$18:$18,1,$AJ26)))</f>
        <v>21</v>
      </c>
      <c r="K26" s="1183">
        <f t="shared" si="3"/>
        <v>6</v>
      </c>
      <c r="L26" s="1188">
        <f>IF(Targets!H26="","",Targets!H26)</f>
        <v>11</v>
      </c>
      <c r="M26" s="1176" cm="1">
        <f t="array" ref="M26">IF($AJ26="","",IF(ISBLANK(INDEX(Data_2!$23:$23,1,$AJ26)),"",INDEX(Data_2!$23:$23,1,$AJ26)))</f>
        <v>17</v>
      </c>
      <c r="N26" s="1183">
        <f t="shared" si="4"/>
        <v>6</v>
      </c>
      <c r="O26" s="1188">
        <f>IF(Targets!I26="","",Targets!I26)</f>
        <v>9</v>
      </c>
      <c r="P26" s="1176" cm="1">
        <f t="array" ref="P26">IF($AJ26="","",IF(ISBLANK(INDEX(Data_2!$26:$26,1,$AJ26)),"",INDEX(Data_2!$26:$26,1,$AJ26)))</f>
        <v>12</v>
      </c>
      <c r="Q26" s="1183">
        <f t="shared" si="5"/>
        <v>3</v>
      </c>
      <c r="R26" s="1187">
        <f>IF(Targets!J26="","",Targets!J26)</f>
        <v>0.8</v>
      </c>
      <c r="S26" s="1177" cm="1">
        <f t="array" ref="S26">IF($AJ26="","",IFERROR(IF(ISBLANK(INDEX(Data_2!$A:$BM,MATCH(EOMONTH($B26,-1)+1,Data_2!$A:$A,0)+3,$AJ26)),"",INDEX(Data_2!$A:$BM,MATCH(EOMONTH($B26,-1)+1,Data_2!$A:$A,0)+3,$AJ26)),""))</f>
        <v>0.39655172413793105</v>
      </c>
      <c r="T26" s="1182">
        <f t="shared" si="6"/>
        <v>-0.40344827586206899</v>
      </c>
      <c r="U26" s="1188">
        <f>IF(Targets!K26="","",Targets!K26)</f>
        <v>6</v>
      </c>
      <c r="V26" s="1176" cm="1">
        <f t="array" ref="V26">IF($AJ26="","",IF(ISBLANK(INDEX(Data_2!$93:$93,1,$AJ26)),"",INDEX(Data_2!$93:$93,1,$AJ26)))</f>
        <v>17</v>
      </c>
      <c r="W26" s="1183">
        <f t="shared" si="7"/>
        <v>11</v>
      </c>
      <c r="X26" s="1187">
        <f>IF(Targets!T26="","",Targets!T26)</f>
        <v>0.17</v>
      </c>
      <c r="Y26" s="1177" cm="1">
        <f t="array" ref="Y26">IF($AJ26="","",IF(ISBLANK(INDEX(Data_2!$33:$33,1,$AJ26)),"",INDEX(Data_2!$33:$33,1,$AJ26)))</f>
        <v>5.4794520547945202E-2</v>
      </c>
      <c r="Z26" s="1182">
        <f t="shared" si="8"/>
        <v>-0.11520547945205481</v>
      </c>
      <c r="AA26" s="1187">
        <f>IF(Targets!U26="","",Targets!U26)</f>
        <v>0.25</v>
      </c>
      <c r="AB26" s="1177" cm="1">
        <f t="array" ref="AB26">IF($AJ26="","",IF(ISBLANK(INDEX(Data_2!$34:$34,1,$AJ26)),"",INDEX(Data_2!$34:$34,1,$AJ26)))</f>
        <v>0.28310502283105021</v>
      </c>
      <c r="AC26" s="1182">
        <f t="shared" si="9"/>
        <v>3.3105022831050213E-2</v>
      </c>
      <c r="AD26" s="1188">
        <f>IF(Targets!V26="","",Targets!V26)</f>
        <v>5</v>
      </c>
      <c r="AE26" s="1176" cm="1">
        <f t="array" ref="AE26">IF($AJ26="","",IF(ISBLANK(INDEX(Data_2!$35:$35,1,$AJ26)),"",INDEX(Data_2!$35:$35,1,$AJ26)))</f>
        <v>21</v>
      </c>
      <c r="AF26" s="1183">
        <f t="shared" si="10"/>
        <v>16</v>
      </c>
      <c r="AG26" s="1189">
        <f>IF(Targets!W26="","",Targets!W26)</f>
        <v>7</v>
      </c>
      <c r="AH26" s="1184" cm="1">
        <f t="array" ref="AH26">IF($AJ26="","",IF(ISBLANK(INDEX(Data_2!$36:$36,1,$AJ26)),"",INDEX(Data_2!$36:$36,1,$AJ26)))</f>
        <v>10.4</v>
      </c>
      <c r="AI26" s="1185">
        <f t="shared" si="11"/>
        <v>3.4000000000000004</v>
      </c>
      <c r="AJ26" s="1192" cm="1">
        <f t="array" ref="AJ26">IFERROR(LOOKUP(2,1/((Data_2!$D$4:$BM$4&gt;=$B26-6)*(Data_2!$D$4:$BM$4&lt;=$B26)),COLUMN(Data_2!$D$4:$BM$4)),"")</f>
        <v>27</v>
      </c>
    </row>
    <row r="27" spans="1:36">
      <c r="A27" s="1181">
        <f t="shared" si="0"/>
        <v>23</v>
      </c>
      <c r="B27" s="1175">
        <f>Targets!B27</f>
        <v>46181</v>
      </c>
      <c r="C27" s="1187">
        <f>IF(Targets!C27="","",Targets!C27)</f>
        <v>0.89400000000000002</v>
      </c>
      <c r="D27" s="1177" cm="1">
        <f t="array" ref="D27">IF($AJ27="","",IF(ISBLANK(INDEX(Data_2!$6:$6,1,$AJ27)),"",INDEX(Data_2!$6:$6,1,$AJ27)))</f>
        <v>0.72852233676975942</v>
      </c>
      <c r="E27" s="1182">
        <f t="shared" si="1"/>
        <v>-0.1654776632302406</v>
      </c>
      <c r="F27" s="1188">
        <f>IF(Targets!F27="","",Targets!F27)</f>
        <v>21</v>
      </c>
      <c r="G27" s="1176" cm="1">
        <f t="array" ref="G27">IF($AJ27="","",IF(ISBLANK(INDEX(Data_2!$16:$16,1,$AJ27)),"",INDEX(Data_2!$16:$16,1,$AJ27)))</f>
        <v>70</v>
      </c>
      <c r="H27" s="1183">
        <f t="shared" si="2"/>
        <v>49</v>
      </c>
      <c r="I27" s="1188">
        <f>IF(Targets!G27="","",Targets!G27)</f>
        <v>15</v>
      </c>
      <c r="J27" s="1176" cm="1">
        <f t="array" ref="J27">IF($AJ27="","",IF(ISBLANK(INDEX(Data_2!$18:$18,1,$AJ27)),"",INDEX(Data_2!$18:$18,1,$AJ27)))</f>
        <v>17</v>
      </c>
      <c r="K27" s="1183">
        <f t="shared" si="3"/>
        <v>2</v>
      </c>
      <c r="L27" s="1188">
        <f>IF(Targets!H27="","",Targets!H27)</f>
        <v>11</v>
      </c>
      <c r="M27" s="1176" cm="1">
        <f t="array" ref="M27">IF($AJ27="","",IF(ISBLANK(INDEX(Data_2!$23:$23,1,$AJ27)),"",INDEX(Data_2!$23:$23,1,$AJ27)))</f>
        <v>2</v>
      </c>
      <c r="N27" s="1183">
        <f t="shared" si="4"/>
        <v>-9</v>
      </c>
      <c r="O27" s="1188">
        <f>IF(Targets!I27="","",Targets!I27)</f>
        <v>9</v>
      </c>
      <c r="P27" s="1176" cm="1">
        <f t="array" ref="P27">IF($AJ27="","",IF(ISBLANK(INDEX(Data_2!$26:$26,1,$AJ27)),"",INDEX(Data_2!$26:$26,1,$AJ27)))</f>
        <v>5</v>
      </c>
      <c r="Q27" s="1183">
        <f t="shared" si="5"/>
        <v>-4</v>
      </c>
      <c r="R27" s="1187">
        <f>IF(Targets!J27="","",Targets!J27)</f>
        <v>0.8</v>
      </c>
      <c r="S27" s="1177" cm="1">
        <f t="array" ref="S27">IF($AJ27="","",IFERROR(IF(ISBLANK(INDEX(Data_2!$A:$BM,MATCH(EOMONTH($B27,-1)+1,Data_2!$A:$A,0)+3,$AJ27)),"",INDEX(Data_2!$A:$BM,MATCH(EOMONTH($B27,-1)+1,Data_2!$A:$A,0)+3,$AJ27)),""))</f>
        <v>0.39655172413793105</v>
      </c>
      <c r="T27" s="1182">
        <f t="shared" si="6"/>
        <v>-0.40344827586206899</v>
      </c>
      <c r="U27" s="1188">
        <f>IF(Targets!K27="","",Targets!K27)</f>
        <v>6</v>
      </c>
      <c r="V27" s="1176" cm="1">
        <f t="array" ref="V27">IF($AJ27="","",IF(ISBLANK(INDEX(Data_2!$93:$93,1,$AJ27)),"",INDEX(Data_2!$93:$93,1,$AJ27)))</f>
        <v>5</v>
      </c>
      <c r="W27" s="1183">
        <f t="shared" si="7"/>
        <v>-1</v>
      </c>
      <c r="X27" s="1187">
        <f>IF(Targets!T27="","",Targets!T27)</f>
        <v>0.17</v>
      </c>
      <c r="Y27" s="1177" cm="1">
        <f t="array" ref="Y27">IF($AJ27="","",IF(ISBLANK(INDEX(Data_2!$33:$33,1,$AJ27)),"",INDEX(Data_2!$33:$33,1,$AJ27)))</f>
        <v>2.4509803921568627E-2</v>
      </c>
      <c r="Z27" s="1182">
        <f t="shared" si="8"/>
        <v>-0.14549019607843139</v>
      </c>
      <c r="AA27" s="1187">
        <f>IF(Targets!U27="","",Targets!U27)</f>
        <v>0.25</v>
      </c>
      <c r="AB27" s="1177" cm="1">
        <f t="array" ref="AB27">IF($AJ27="","",IF(ISBLANK(INDEX(Data_2!$34:$34,1,$AJ27)),"",INDEX(Data_2!$34:$34,1,$AJ27)))</f>
        <v>0.21568627450980393</v>
      </c>
      <c r="AC27" s="1182">
        <f t="shared" si="9"/>
        <v>-3.4313725490196068E-2</v>
      </c>
      <c r="AD27" s="1188">
        <f>IF(Targets!V27="","",Targets!V27)</f>
        <v>5</v>
      </c>
      <c r="AE27" s="1176" cm="1">
        <f t="array" ref="AE27">IF($AJ27="","",IF(ISBLANK(INDEX(Data_2!$35:$35,1,$AJ27)),"",INDEX(Data_2!$35:$35,1,$AJ27)))</f>
        <v>58</v>
      </c>
      <c r="AF27" s="1183">
        <f t="shared" si="10"/>
        <v>53</v>
      </c>
      <c r="AG27" s="1189">
        <f>IF(Targets!W27="","",Targets!W27)</f>
        <v>7</v>
      </c>
      <c r="AH27" s="1184" cm="1">
        <f t="array" ref="AH27">IF($AJ27="","",IF(ISBLANK(INDEX(Data_2!$36:$36,1,$AJ27)),"",INDEX(Data_2!$36:$36,1,$AJ27)))</f>
        <v>9.9</v>
      </c>
      <c r="AI27" s="1185">
        <f t="shared" si="11"/>
        <v>2.9000000000000004</v>
      </c>
      <c r="AJ27" s="1192" cm="1">
        <f t="array" ref="AJ27">IFERROR(LOOKUP(2,1/((Data_2!$D$4:$BM$4&gt;=$B27-6)*(Data_2!$D$4:$BM$4&lt;=$B27)),COLUMN(Data_2!$D$4:$BM$4)),"")</f>
        <v>28</v>
      </c>
    </row>
    <row r="28" spans="1:36">
      <c r="A28" s="1181">
        <f t="shared" si="0"/>
        <v>24</v>
      </c>
      <c r="B28" s="1175">
        <f>Targets!B28</f>
        <v>46188</v>
      </c>
      <c r="C28" s="1187">
        <f>IF(Targets!C28="","",Targets!C28)</f>
        <v>0.9</v>
      </c>
      <c r="D28" s="1177" cm="1">
        <f t="array" ref="D28">IF($AJ28="","",IF(ISBLANK(INDEX(Data_2!$6:$6,1,$AJ28)),"",INDEX(Data_2!$6:$6,1,$AJ28)))</f>
        <v>0.72623138602520043</v>
      </c>
      <c r="E28" s="1182">
        <f t="shared" si="1"/>
        <v>-0.17376861397479959</v>
      </c>
      <c r="F28" s="1188">
        <f>IF(Targets!F28="","",Targets!F28)</f>
        <v>21</v>
      </c>
      <c r="G28" s="1176" cm="1">
        <f t="array" ref="G28">IF($AJ28="","",IF(ISBLANK(INDEX(Data_2!$16:$16,1,$AJ28)),"",INDEX(Data_2!$16:$16,1,$AJ28)))</f>
        <v>35</v>
      </c>
      <c r="H28" s="1183">
        <f t="shared" si="2"/>
        <v>14</v>
      </c>
      <c r="I28" s="1188">
        <f>IF(Targets!G28="","",Targets!G28)</f>
        <v>15</v>
      </c>
      <c r="J28" s="1176" cm="1">
        <f t="array" ref="J28">IF($AJ28="","",IF(ISBLANK(INDEX(Data_2!$18:$18,1,$AJ28)),"",INDEX(Data_2!$18:$18,1,$AJ28)))</f>
        <v>18</v>
      </c>
      <c r="K28" s="1183">
        <f t="shared" si="3"/>
        <v>3</v>
      </c>
      <c r="L28" s="1188">
        <f>IF(Targets!H28="","",Targets!H28)</f>
        <v>11</v>
      </c>
      <c r="M28" s="1176" cm="1">
        <f t="array" ref="M28">IF($AJ28="","",IF(ISBLANK(INDEX(Data_2!$23:$23,1,$AJ28)),"",INDEX(Data_2!$23:$23,1,$AJ28)))</f>
        <v>2</v>
      </c>
      <c r="N28" s="1183">
        <f t="shared" si="4"/>
        <v>-9</v>
      </c>
      <c r="O28" s="1188">
        <f>IF(Targets!I28="","",Targets!I28)</f>
        <v>9</v>
      </c>
      <c r="P28" s="1176" cm="1">
        <f t="array" ref="P28">IF($AJ28="","",IF(ISBLANK(INDEX(Data_2!$26:$26,1,$AJ28)),"",INDEX(Data_2!$26:$26,1,$AJ28)))</f>
        <v>14</v>
      </c>
      <c r="Q28" s="1183">
        <f t="shared" si="5"/>
        <v>5</v>
      </c>
      <c r="R28" s="1187">
        <f>IF(Targets!J28="","",Targets!J28)</f>
        <v>0.8</v>
      </c>
      <c r="S28" s="1177" cm="1">
        <f t="array" ref="S28">IF($AJ28="","",IFERROR(IF(ISBLANK(INDEX(Data_2!$A:$BM,MATCH(EOMONTH($B28,-1)+1,Data_2!$A:$A,0)+3,$AJ28)),"",INDEX(Data_2!$A:$BM,MATCH(EOMONTH($B28,-1)+1,Data_2!$A:$A,0)+3,$AJ28)),""))</f>
        <v>0.39655172413793105</v>
      </c>
      <c r="T28" s="1182">
        <f t="shared" si="6"/>
        <v>-0.40344827586206899</v>
      </c>
      <c r="U28" s="1188">
        <f>IF(Targets!K28="","",Targets!K28)</f>
        <v>6</v>
      </c>
      <c r="V28" s="1176" cm="1">
        <f t="array" ref="V28">IF($AJ28="","",IF(ISBLANK(INDEX(Data_2!$93:$93,1,$AJ28)),"",INDEX(Data_2!$93:$93,1,$AJ28)))</f>
        <v>7</v>
      </c>
      <c r="W28" s="1183">
        <f t="shared" si="7"/>
        <v>1</v>
      </c>
      <c r="X28" s="1187">
        <f>IF(Targets!T28="","",Targets!T28)</f>
        <v>0.17</v>
      </c>
      <c r="Y28" s="1177" cm="1">
        <f t="array" ref="Y28">IF($AJ28="","",IF(ISBLANK(INDEX(Data_2!$33:$33,1,$AJ28)),"",INDEX(Data_2!$33:$33,1,$AJ28)))</f>
        <v>6.3926940639269403E-2</v>
      </c>
      <c r="Z28" s="1182">
        <f t="shared" si="8"/>
        <v>-0.10607305936073061</v>
      </c>
      <c r="AA28" s="1187">
        <f>IF(Targets!U28="","",Targets!U28)</f>
        <v>0.25</v>
      </c>
      <c r="AB28" s="1177" cm="1">
        <f t="array" ref="AB28">IF($AJ28="","",IF(ISBLANK(INDEX(Data_2!$34:$34,1,$AJ28)),"",INDEX(Data_2!$34:$34,1,$AJ28)))</f>
        <v>0.28767123287671231</v>
      </c>
      <c r="AC28" s="1182">
        <f t="shared" si="9"/>
        <v>3.7671232876712313E-2</v>
      </c>
      <c r="AD28" s="1188">
        <f>IF(Targets!V28="","",Targets!V28)</f>
        <v>5</v>
      </c>
      <c r="AE28" s="1176" cm="1">
        <f t="array" ref="AE28">IF($AJ28="","",IF(ISBLANK(INDEX(Data_2!$35:$35,1,$AJ28)),"",INDEX(Data_2!$35:$35,1,$AJ28)))</f>
        <v>48</v>
      </c>
      <c r="AF28" s="1183">
        <f t="shared" si="10"/>
        <v>43</v>
      </c>
      <c r="AG28" s="1189">
        <f>IF(Targets!W28="","",Targets!W28)</f>
        <v>7</v>
      </c>
      <c r="AH28" s="1184" cm="1">
        <f t="array" ref="AH28">IF($AJ28="","",IF(ISBLANK(INDEX(Data_2!$36:$36,1,$AJ28)),"",INDEX(Data_2!$36:$36,1,$AJ28)))</f>
        <v>10.4</v>
      </c>
      <c r="AI28" s="1185">
        <f t="shared" si="11"/>
        <v>3.4000000000000004</v>
      </c>
      <c r="AJ28" s="1192" cm="1">
        <f t="array" ref="AJ28">IFERROR(LOOKUP(2,1/((Data_2!$D$4:$BM$4&gt;=$B28-6)*(Data_2!$D$4:$BM$4&lt;=$B28)),COLUMN(Data_2!$D$4:$BM$4)),"")</f>
        <v>29</v>
      </c>
    </row>
    <row r="29" spans="1:36">
      <c r="A29" s="1181">
        <f t="shared" si="0"/>
        <v>25</v>
      </c>
      <c r="B29" s="1175">
        <f>Targets!B29</f>
        <v>46195</v>
      </c>
      <c r="C29" s="1187">
        <f>IF(Targets!C29="","",Targets!C29)</f>
        <v>0.9</v>
      </c>
      <c r="D29" s="1177" cm="1">
        <f t="array" ref="D29">IF($AJ29="","",IF(ISBLANK(INDEX(Data_2!$6:$6,1,$AJ29)),"",INDEX(Data_2!$6:$6,1,$AJ29)))</f>
        <v>0.72821100917431192</v>
      </c>
      <c r="E29" s="1182">
        <f t="shared" si="1"/>
        <v>-0.1717889908256881</v>
      </c>
      <c r="F29" s="1188">
        <f>IF(Targets!F29="","",Targets!F29)</f>
        <v>21</v>
      </c>
      <c r="G29" s="1176" cm="1">
        <f t="array" ref="G29">IF($AJ29="","",IF(ISBLANK(INDEX(Data_2!$16:$16,1,$AJ29)),"",INDEX(Data_2!$16:$16,1,$AJ29)))</f>
        <v>33</v>
      </c>
      <c r="H29" s="1183">
        <f t="shared" si="2"/>
        <v>12</v>
      </c>
      <c r="I29" s="1188">
        <f>IF(Targets!G29="","",Targets!G29)</f>
        <v>15</v>
      </c>
      <c r="J29" s="1176" cm="1">
        <f t="array" ref="J29">IF($AJ29="","",IF(ISBLANK(INDEX(Data_2!$18:$18,1,$AJ29)),"",INDEX(Data_2!$18:$18,1,$AJ29)))</f>
        <v>19</v>
      </c>
      <c r="K29" s="1183">
        <f t="shared" si="3"/>
        <v>4</v>
      </c>
      <c r="L29" s="1188">
        <f>IF(Targets!H29="","",Targets!H29)</f>
        <v>11</v>
      </c>
      <c r="M29" s="1176" cm="1">
        <f t="array" ref="M29">IF($AJ29="","",IF(ISBLANK(INDEX(Data_2!$23:$23,1,$AJ29)),"",INDEX(Data_2!$23:$23,1,$AJ29)))</f>
        <v>13</v>
      </c>
      <c r="N29" s="1183">
        <f t="shared" si="4"/>
        <v>2</v>
      </c>
      <c r="O29" s="1188">
        <f>IF(Targets!I29="","",Targets!I29)</f>
        <v>9</v>
      </c>
      <c r="P29" s="1176" cm="1">
        <f t="array" ref="P29">IF($AJ29="","",IF(ISBLANK(INDEX(Data_2!$26:$26,1,$AJ29)),"",INDEX(Data_2!$26:$26,1,$AJ29)))</f>
        <v>7</v>
      </c>
      <c r="Q29" s="1183">
        <f t="shared" si="5"/>
        <v>-2</v>
      </c>
      <c r="R29" s="1187">
        <f>IF(Targets!J29="","",Targets!J29)</f>
        <v>0.8</v>
      </c>
      <c r="S29" s="1177" cm="1">
        <f t="array" ref="S29">IF($AJ29="","",IFERROR(IF(ISBLANK(INDEX(Data_2!$A:$BM,MATCH(EOMONTH($B29,-1)+1,Data_2!$A:$A,0)+3,$AJ29)),"",INDEX(Data_2!$A:$BM,MATCH(EOMONTH($B29,-1)+1,Data_2!$A:$A,0)+3,$AJ29)),""))</f>
        <v>0.42592592592592593</v>
      </c>
      <c r="T29" s="1182">
        <f t="shared" si="6"/>
        <v>-0.37407407407407411</v>
      </c>
      <c r="U29" s="1188">
        <f>IF(Targets!K29="","",Targets!K29)</f>
        <v>6</v>
      </c>
      <c r="V29" s="1176" cm="1">
        <f t="array" ref="V29">IF($AJ29="","",IF(ISBLANK(INDEX(Data_2!$93:$93,1,$AJ29)),"",INDEX(Data_2!$93:$93,1,$AJ29)))</f>
        <v>5</v>
      </c>
      <c r="W29" s="1183">
        <f t="shared" si="7"/>
        <v>-1</v>
      </c>
      <c r="X29" s="1187">
        <f>IF(Targets!T29="","",Targets!T29)</f>
        <v>0.17</v>
      </c>
      <c r="Y29" s="1177" cm="1">
        <f t="array" ref="Y29">IF($AJ29="","",IF(ISBLANK(INDEX(Data_2!$33:$33,1,$AJ29)),"",INDEX(Data_2!$33:$33,1,$AJ29)))</f>
        <v>3.1963470319634701E-2</v>
      </c>
      <c r="Z29" s="1182">
        <f t="shared" si="8"/>
        <v>-0.13803652968036531</v>
      </c>
      <c r="AA29" s="1187">
        <f>IF(Targets!U29="","",Targets!U29)</f>
        <v>0.25</v>
      </c>
      <c r="AB29" s="1177" cm="1">
        <f t="array" ref="AB29">IF($AJ29="","",IF(ISBLANK(INDEX(Data_2!$34:$34,1,$AJ29)),"",INDEX(Data_2!$34:$34,1,$AJ29)))</f>
        <v>0.28767123287671231</v>
      </c>
      <c r="AC29" s="1182">
        <f t="shared" si="9"/>
        <v>3.7671232876712313E-2</v>
      </c>
      <c r="AD29" s="1188">
        <f>IF(Targets!V29="","",Targets!V29)</f>
        <v>5</v>
      </c>
      <c r="AE29" s="1176" cm="1">
        <f t="array" ref="AE29">IF($AJ29="","",IF(ISBLANK(INDEX(Data_2!$35:$35,1,$AJ29)),"",INDEX(Data_2!$35:$35,1,$AJ29)))</f>
        <v>48</v>
      </c>
      <c r="AF29" s="1183">
        <f t="shared" si="10"/>
        <v>43</v>
      </c>
      <c r="AG29" s="1189">
        <f>IF(Targets!W29="","",Targets!W29)</f>
        <v>7</v>
      </c>
      <c r="AH29" s="1184" cm="1">
        <f t="array" ref="AH29">IF($AJ29="","",IF(ISBLANK(INDEX(Data_2!$36:$36,1,$AJ29)),"",INDEX(Data_2!$36:$36,1,$AJ29)))</f>
        <v>10.4</v>
      </c>
      <c r="AI29" s="1185">
        <f t="shared" si="11"/>
        <v>3.4000000000000004</v>
      </c>
      <c r="AJ29" s="1192" cm="1">
        <f t="array" ref="AJ29">IFERROR(LOOKUP(2,1/((Data_2!$D$4:$BM$4&gt;=$B29-6)*(Data_2!$D$4:$BM$4&lt;=$B29)),COLUMN(Data_2!$D$4:$BM$4)),"")</f>
        <v>30</v>
      </c>
    </row>
    <row r="30" spans="1:36">
      <c r="A30" s="1181">
        <f t="shared" si="0"/>
        <v>26</v>
      </c>
      <c r="B30" s="1175">
        <f>Targets!B30</f>
        <v>46202</v>
      </c>
      <c r="C30" s="1187">
        <f>IF(Targets!C30="","",Targets!C30)</f>
        <v>0.70113636363636367</v>
      </c>
      <c r="D30" s="1177" cm="1">
        <f t="array" ref="D30">IF($AJ30="","",IF(ISBLANK(INDEX(Data_2!$6:$6,1,$AJ30)),"",INDEX(Data_2!$6:$6,1,$AJ30)))</f>
        <v>0.7259174311926605</v>
      </c>
      <c r="E30" s="1182">
        <f t="shared" si="1"/>
        <v>2.4781067556296832E-2</v>
      </c>
      <c r="F30" s="1188">
        <f>IF(Targets!F30="","",Targets!F30)</f>
        <v>39</v>
      </c>
      <c r="G30" s="1176" cm="1">
        <f t="array" ref="G30">IF($AJ30="","",IF(ISBLANK(INDEX(Data_2!$16:$16,1,$AJ30)),"",INDEX(Data_2!$16:$16,1,$AJ30)))</f>
        <v>31</v>
      </c>
      <c r="H30" s="1183">
        <f t="shared" si="2"/>
        <v>-8</v>
      </c>
      <c r="I30" s="1188">
        <f>IF(Targets!G30="","",Targets!G30)</f>
        <v>24</v>
      </c>
      <c r="J30" s="1176" cm="1">
        <f t="array" ref="J30">IF($AJ30="","",IF(ISBLANK(INDEX(Data_2!$18:$18,1,$AJ30)),"",INDEX(Data_2!$18:$18,1,$AJ30)))</f>
        <v>18</v>
      </c>
      <c r="K30" s="1183">
        <f t="shared" si="3"/>
        <v>-6</v>
      </c>
      <c r="L30" s="1188">
        <f>IF(Targets!H30="","",Targets!H30)</f>
        <v>16</v>
      </c>
      <c r="M30" s="1176" cm="1">
        <f t="array" ref="M30">IF($AJ30="","",IF(ISBLANK(INDEX(Data_2!$23:$23,1,$AJ30)),"",INDEX(Data_2!$23:$23,1,$AJ30)))</f>
        <v>10</v>
      </c>
      <c r="N30" s="1183">
        <f t="shared" si="4"/>
        <v>-6</v>
      </c>
      <c r="O30" s="1188">
        <f>IF(Targets!I30="","",Targets!I30)</f>
        <v>14</v>
      </c>
      <c r="P30" s="1176" cm="1">
        <f t="array" ref="P30">IF($AJ30="","",IF(ISBLANK(INDEX(Data_2!$26:$26,1,$AJ30)),"",INDEX(Data_2!$26:$26,1,$AJ30)))</f>
        <v>9</v>
      </c>
      <c r="Q30" s="1183">
        <f t="shared" si="5"/>
        <v>-5</v>
      </c>
      <c r="R30" s="1187">
        <f>IF(Targets!J30="","",Targets!J30)</f>
        <v>0.65</v>
      </c>
      <c r="S30" s="1177" cm="1">
        <f t="array" ref="S30">IF($AJ30="","",IFERROR(IF(ISBLANK(INDEX(Data_2!$A:$BM,MATCH(EOMONTH($B30,-1)+1,Data_2!$A:$A,0)+3,$AJ30)),"",INDEX(Data_2!$A:$BM,MATCH(EOMONTH($B30,-1)+1,Data_2!$A:$A,0)+3,$AJ30)),""))</f>
        <v>0.44444444444444442</v>
      </c>
      <c r="T30" s="1182">
        <f t="shared" si="6"/>
        <v>-0.2055555555555556</v>
      </c>
      <c r="U30" s="1188">
        <f>IF(Targets!K30="","",Targets!K30)</f>
        <v>11</v>
      </c>
      <c r="V30" s="1176" cm="1">
        <f t="array" ref="V30">IF($AJ30="","",IF(ISBLANK(INDEX(Data_2!$93:$93,1,$AJ30)),"",INDEX(Data_2!$93:$93,1,$AJ30)))</f>
        <v>10</v>
      </c>
      <c r="W30" s="1183">
        <f t="shared" si="7"/>
        <v>-1</v>
      </c>
      <c r="X30" s="1187">
        <f>IF(Targets!T30="","",Targets!T30)</f>
        <v>0.24615384615384617</v>
      </c>
      <c r="Y30" s="1177" cm="1">
        <f t="array" ref="Y30">IF($AJ30="","",IF(ISBLANK(INDEX(Data_2!$33:$33,1,$AJ30)),"",INDEX(Data_2!$33:$33,1,$AJ30)))</f>
        <v>4.1095890410958902E-2</v>
      </c>
      <c r="Z30" s="1182">
        <f t="shared" si="8"/>
        <v>-0.20505795574288727</v>
      </c>
      <c r="AA30" s="1187">
        <f>IF(Targets!U30="","",Targets!U30)</f>
        <v>0.24615384615384617</v>
      </c>
      <c r="AB30" s="1177" cm="1">
        <f t="array" ref="AB30">IF($AJ30="","",IF(ISBLANK(INDEX(Data_2!$34:$34,1,$AJ30)),"",INDEX(Data_2!$34:$34,1,$AJ30)))</f>
        <v>0.28767123287671231</v>
      </c>
      <c r="AC30" s="1182">
        <f t="shared" si="9"/>
        <v>4.1517386722866145E-2</v>
      </c>
      <c r="AD30" s="1188">
        <f>IF(Targets!V30="","",Targets!V30)</f>
        <v>5</v>
      </c>
      <c r="AE30" s="1176" cm="1">
        <f t="array" ref="AE30">IF($AJ30="","",IF(ISBLANK(INDEX(Data_2!$35:$35,1,$AJ30)),"",INDEX(Data_2!$35:$35,1,$AJ30)))</f>
        <v>48</v>
      </c>
      <c r="AF30" s="1183">
        <f t="shared" si="10"/>
        <v>43</v>
      </c>
      <c r="AG30" s="1189">
        <f>IF(Targets!W30="","",Targets!W30)</f>
        <v>10</v>
      </c>
      <c r="AH30" s="1184" cm="1">
        <f t="array" ref="AH30">IF($AJ30="","",IF(ISBLANK(INDEX(Data_2!$36:$36,1,$AJ30)),"",INDEX(Data_2!$36:$36,1,$AJ30)))</f>
        <v>10.4</v>
      </c>
      <c r="AI30" s="1185">
        <f t="shared" si="11"/>
        <v>0.40000000000000036</v>
      </c>
      <c r="AJ30" s="1192" cm="1">
        <f t="array" ref="AJ30">IFERROR(LOOKUP(2,1/((Data_2!$D$4:$BM$4&gt;=$B30-6)*(Data_2!$D$4:$BM$4&lt;=$B30)),COLUMN(Data_2!$D$4:$BM$4)),"")</f>
        <v>31</v>
      </c>
    </row>
    <row r="31" spans="1:36">
      <c r="A31" s="1181">
        <f t="shared" si="0"/>
        <v>27</v>
      </c>
      <c r="B31" s="1175">
        <f>Targets!B31</f>
        <v>46209</v>
      </c>
      <c r="C31" s="1187">
        <f>IF(Targets!C31="","",Targets!C31)</f>
        <v>0.70568181818181819</v>
      </c>
      <c r="D31" s="1177" cm="1">
        <f t="array" ref="D31">IF($AJ31="","",IF(ISBLANK(INDEX(Data_2!$6:$6,1,$AJ31)),"",INDEX(Data_2!$6:$6,1,$AJ31)))</f>
        <v>0.7178899082568807</v>
      </c>
      <c r="E31" s="1182">
        <f t="shared" si="1"/>
        <v>1.2208090075062517E-2</v>
      </c>
      <c r="F31" s="1188">
        <f>IF(Targets!F31="","",Targets!F31)</f>
        <v>39</v>
      </c>
      <c r="G31" s="1176" cm="1">
        <f t="array" ref="G31">IF($AJ31="","",IF(ISBLANK(INDEX(Data_2!$16:$16,1,$AJ31)),"",INDEX(Data_2!$16:$16,1,$AJ31)))</f>
        <v>28</v>
      </c>
      <c r="H31" s="1183">
        <f t="shared" si="2"/>
        <v>-11</v>
      </c>
      <c r="I31" s="1188">
        <f>IF(Targets!G31="","",Targets!G31)</f>
        <v>24</v>
      </c>
      <c r="J31" s="1176" cm="1">
        <f t="array" ref="J31">IF($AJ31="","",IF(ISBLANK(INDEX(Data_2!$18:$18,1,$AJ31)),"",INDEX(Data_2!$18:$18,1,$AJ31)))</f>
        <v>16</v>
      </c>
      <c r="K31" s="1183">
        <f t="shared" si="3"/>
        <v>-8</v>
      </c>
      <c r="L31" s="1188">
        <f>IF(Targets!H31="","",Targets!H31)</f>
        <v>16</v>
      </c>
      <c r="M31" s="1176" cm="1">
        <f t="array" ref="M31">IF($AJ31="","",IF(ISBLANK(INDEX(Data_2!$23:$23,1,$AJ31)),"",INDEX(Data_2!$23:$23,1,$AJ31)))</f>
        <v>8</v>
      </c>
      <c r="N31" s="1183">
        <f t="shared" si="4"/>
        <v>-8</v>
      </c>
      <c r="O31" s="1188">
        <f>IF(Targets!I31="","",Targets!I31)</f>
        <v>14</v>
      </c>
      <c r="P31" s="1176" cm="1">
        <f t="array" ref="P31">IF($AJ31="","",IF(ISBLANK(INDEX(Data_2!$26:$26,1,$AJ31)),"",INDEX(Data_2!$26:$26,1,$AJ31)))</f>
        <v>12</v>
      </c>
      <c r="Q31" s="1183">
        <f t="shared" si="5"/>
        <v>-2</v>
      </c>
      <c r="R31" s="1187">
        <f>IF(Targets!J31="","",Targets!J31)</f>
        <v>0.65</v>
      </c>
      <c r="S31" s="1177" cm="1">
        <f t="array" ref="S31">IF($AJ31="","",IFERROR(IF(ISBLANK(INDEX(Data_2!$A:$BM,MATCH(EOMONTH($B31,-1)+1,Data_2!$A:$A,0)+3,$AJ31)),"",INDEX(Data_2!$A:$BM,MATCH(EOMONTH($B31,-1)+1,Data_2!$A:$A,0)+3,$AJ31)),""))</f>
        <v>0.45945945945945948</v>
      </c>
      <c r="T31" s="1182">
        <f t="shared" si="6"/>
        <v>-0.19054054054054054</v>
      </c>
      <c r="U31" s="1188">
        <f>IF(Targets!K31="","",Targets!K31)</f>
        <v>10</v>
      </c>
      <c r="V31" s="1176" cm="1">
        <f t="array" ref="V31">IF($AJ31="","",IF(ISBLANK(INDEX(Data_2!$93:$93,1,$AJ31)),"",INDEX(Data_2!$93:$93,1,$AJ31)))</f>
        <v>11</v>
      </c>
      <c r="W31" s="1183">
        <f t="shared" si="7"/>
        <v>1</v>
      </c>
      <c r="X31" s="1187">
        <f>IF(Targets!T31="","",Targets!T31)</f>
        <v>0.24615384615384617</v>
      </c>
      <c r="Y31" s="1177" cm="1">
        <f t="array" ref="Y31">IF($AJ31="","",IF(ISBLANK(INDEX(Data_2!$33:$33,1,$AJ31)),"",INDEX(Data_2!$33:$33,1,$AJ31)))</f>
        <v>5.4794520547945202E-2</v>
      </c>
      <c r="Z31" s="1182">
        <f t="shared" si="8"/>
        <v>-0.19135932560590097</v>
      </c>
      <c r="AA31" s="1187">
        <f>IF(Targets!U31="","",Targets!U31)</f>
        <v>0.24615384615384617</v>
      </c>
      <c r="AB31" s="1177" cm="1">
        <f t="array" ref="AB31">IF($AJ31="","",IF(ISBLANK(INDEX(Data_2!$34:$34,1,$AJ31)),"",INDEX(Data_2!$34:$34,1,$AJ31)))</f>
        <v>0.29223744292237441</v>
      </c>
      <c r="AC31" s="1182">
        <f t="shared" si="9"/>
        <v>4.6083596768528245E-2</v>
      </c>
      <c r="AD31" s="1188">
        <f>IF(Targets!V31="","",Targets!V31)</f>
        <v>5</v>
      </c>
      <c r="AE31" s="1176" cm="1">
        <f t="array" ref="AE31">IF($AJ31="","",IF(ISBLANK(INDEX(Data_2!$35:$35,1,$AJ31)),"",INDEX(Data_2!$35:$35,1,$AJ31)))</f>
        <v>48</v>
      </c>
      <c r="AF31" s="1183">
        <f t="shared" si="10"/>
        <v>43</v>
      </c>
      <c r="AG31" s="1189">
        <f>IF(Targets!W31="","",Targets!W31)</f>
        <v>10</v>
      </c>
      <c r="AH31" s="1184" cm="1">
        <f t="array" ref="AH31">IF($AJ31="","",IF(ISBLANK(INDEX(Data_2!$36:$36,1,$AJ31)),"",INDEX(Data_2!$36:$36,1,$AJ31)))</f>
        <v>10.4</v>
      </c>
      <c r="AI31" s="1185">
        <f t="shared" si="11"/>
        <v>0.40000000000000036</v>
      </c>
      <c r="AJ31" s="1192" cm="1">
        <f t="array" ref="AJ31">IFERROR(LOOKUP(2,1/((Data_2!$D$4:$BM$4&gt;=$B31-6)*(Data_2!$D$4:$BM$4&lt;=$B31)),COLUMN(Data_2!$D$4:$BM$4)),"")</f>
        <v>32</v>
      </c>
    </row>
    <row r="32" spans="1:36">
      <c r="A32" s="1181">
        <f t="shared" si="0"/>
        <v>28</v>
      </c>
      <c r="B32" s="1175">
        <f>Targets!B32</f>
        <v>46216</v>
      </c>
      <c r="C32" s="1187">
        <f>IF(Targets!C32="","",Targets!C32)</f>
        <v>0.71022727272727271</v>
      </c>
      <c r="D32" s="1177" cm="1">
        <f t="array" ref="D32">IF($AJ32="","",IF(ISBLANK(INDEX(Data_2!$6:$6,1,$AJ32)),"",INDEX(Data_2!$6:$6,1,$AJ32)))</f>
        <v>0.72133027522935778</v>
      </c>
      <c r="E32" s="1182">
        <f t="shared" si="1"/>
        <v>1.1103002502085069E-2</v>
      </c>
      <c r="F32" s="1188">
        <f>IF(Targets!F32="","",Targets!F32)</f>
        <v>39</v>
      </c>
      <c r="G32" s="1176" cm="1">
        <f t="array" ref="G32">IF($AJ32="","",IF(ISBLANK(INDEX(Data_2!$16:$16,1,$AJ32)),"",INDEX(Data_2!$16:$16,1,$AJ32)))</f>
        <v>38</v>
      </c>
      <c r="H32" s="1183">
        <f t="shared" si="2"/>
        <v>-1</v>
      </c>
      <c r="I32" s="1188">
        <f>IF(Targets!G32="","",Targets!G32)</f>
        <v>24</v>
      </c>
      <c r="J32" s="1176" cm="1">
        <f t="array" ref="J32">IF($AJ32="","",IF(ISBLANK(INDEX(Data_2!$18:$18,1,$AJ32)),"",INDEX(Data_2!$18:$18,1,$AJ32)))</f>
        <v>27</v>
      </c>
      <c r="K32" s="1183">
        <f t="shared" si="3"/>
        <v>3</v>
      </c>
      <c r="L32" s="1188">
        <f>IF(Targets!H32="","",Targets!H32)</f>
        <v>16</v>
      </c>
      <c r="M32" s="1176" cm="1">
        <f t="array" ref="M32">IF($AJ32="","",IF(ISBLANK(INDEX(Data_2!$23:$23,1,$AJ32)),"",INDEX(Data_2!$23:$23,1,$AJ32)))</f>
        <v>23</v>
      </c>
      <c r="N32" s="1183">
        <f t="shared" si="4"/>
        <v>7</v>
      </c>
      <c r="O32" s="1188">
        <f>IF(Targets!I32="","",Targets!I32)</f>
        <v>14</v>
      </c>
      <c r="P32" s="1176" cm="1">
        <f t="array" ref="P32">IF($AJ32="","",IF(ISBLANK(INDEX(Data_2!$26:$26,1,$AJ32)),"",INDEX(Data_2!$26:$26,1,$AJ32)))</f>
        <v>11</v>
      </c>
      <c r="Q32" s="1183">
        <f t="shared" si="5"/>
        <v>-3</v>
      </c>
      <c r="R32" s="1187">
        <f>IF(Targets!J32="","",Targets!J32)</f>
        <v>0.65</v>
      </c>
      <c r="S32" s="1177" cm="1">
        <f t="array" ref="S32">IF($AJ32="","",IFERROR(IF(ISBLANK(INDEX(Data_2!$A:$BM,MATCH(EOMONTH($B32,-1)+1,Data_2!$A:$A,0)+3,$AJ32)),"",INDEX(Data_2!$A:$BM,MATCH(EOMONTH($B32,-1)+1,Data_2!$A:$A,0)+3,$AJ32)),""))</f>
        <v>0.45945945945945948</v>
      </c>
      <c r="T32" s="1182">
        <f t="shared" si="6"/>
        <v>-0.19054054054054054</v>
      </c>
      <c r="U32" s="1188">
        <f>IF(Targets!K32="","",Targets!K32)</f>
        <v>11</v>
      </c>
      <c r="V32" s="1176" cm="1">
        <f t="array" ref="V32">IF($AJ32="","",IF(ISBLANK(INDEX(Data_2!$93:$93,1,$AJ32)),"",INDEX(Data_2!$93:$93,1,$AJ32)))</f>
        <v>6</v>
      </c>
      <c r="W32" s="1183">
        <f t="shared" si="7"/>
        <v>-5</v>
      </c>
      <c r="X32" s="1187">
        <f>IF(Targets!T32="","",Targets!T32)</f>
        <v>0.24615384615384617</v>
      </c>
      <c r="Y32" s="1177" cm="1">
        <f t="array" ref="Y32">IF($AJ32="","",IF(ISBLANK(INDEX(Data_2!$33:$33,1,$AJ32)),"",INDEX(Data_2!$33:$33,1,$AJ32)))</f>
        <v>5.0228310502283102E-2</v>
      </c>
      <c r="Z32" s="1182">
        <f t="shared" si="8"/>
        <v>-0.19592553565156307</v>
      </c>
      <c r="AA32" s="1187">
        <f>IF(Targets!U32="","",Targets!U32)</f>
        <v>0.24615384615384617</v>
      </c>
      <c r="AB32" s="1177" cm="1">
        <f t="array" ref="AB32">IF($AJ32="","",IF(ISBLANK(INDEX(Data_2!$34:$34,1,$AJ32)),"",INDEX(Data_2!$34:$34,1,$AJ32)))</f>
        <v>0.29223744292237441</v>
      </c>
      <c r="AC32" s="1182">
        <f t="shared" si="9"/>
        <v>4.6083596768528245E-2</v>
      </c>
      <c r="AD32" s="1188">
        <f>IF(Targets!V32="","",Targets!V32)</f>
        <v>5</v>
      </c>
      <c r="AE32" s="1176" cm="1">
        <f t="array" ref="AE32">IF($AJ32="","",IF(ISBLANK(INDEX(Data_2!$35:$35,1,$AJ32)),"",INDEX(Data_2!$35:$35,1,$AJ32)))</f>
        <v>48</v>
      </c>
      <c r="AF32" s="1183">
        <f t="shared" si="10"/>
        <v>43</v>
      </c>
      <c r="AG32" s="1189">
        <f>IF(Targets!W32="","",Targets!W32)</f>
        <v>10</v>
      </c>
      <c r="AH32" s="1184" cm="1">
        <f t="array" ref="AH32">IF($AJ32="","",IF(ISBLANK(INDEX(Data_2!$36:$36,1,$AJ32)),"",INDEX(Data_2!$36:$36,1,$AJ32)))</f>
        <v>10.4</v>
      </c>
      <c r="AI32" s="1185">
        <f t="shared" si="11"/>
        <v>0.40000000000000036</v>
      </c>
      <c r="AJ32" s="1192" cm="1">
        <f t="array" ref="AJ32">IFERROR(LOOKUP(2,1/((Data_2!$D$4:$BM$4&gt;=$B32-6)*(Data_2!$D$4:$BM$4&lt;=$B32)),COLUMN(Data_2!$D$4:$BM$4)),"")</f>
        <v>33</v>
      </c>
    </row>
    <row r="33" spans="1:36">
      <c r="A33" s="1181">
        <f t="shared" si="0"/>
        <v>29</v>
      </c>
      <c r="B33" s="1175">
        <f>Targets!B33</f>
        <v>46223</v>
      </c>
      <c r="C33" s="1187">
        <f>IF(Targets!C33="","",Targets!C33)</f>
        <v>0.71477272727272723</v>
      </c>
      <c r="D33" s="1177" cm="1">
        <f t="array" ref="D33">IF($AJ33="","",IF(ISBLANK(INDEX(Data_2!$6:$6,1,$AJ33)),"",INDEX(Data_2!$6:$6,1,$AJ33)))</f>
        <v>0.71903669724770647</v>
      </c>
      <c r="E33" s="1182">
        <f t="shared" si="1"/>
        <v>4.2639699749792426E-3</v>
      </c>
      <c r="F33" s="1188">
        <f>IF(Targets!F33="","",Targets!F33)</f>
        <v>39</v>
      </c>
      <c r="G33" s="1176" cm="1">
        <f t="array" ref="G33">IF($AJ33="","",IF(ISBLANK(INDEX(Data_2!$16:$16,1,$AJ33)),"",INDEX(Data_2!$16:$16,1,$AJ33)))</f>
        <v>44</v>
      </c>
      <c r="H33" s="1183">
        <f t="shared" si="2"/>
        <v>5</v>
      </c>
      <c r="I33" s="1188">
        <f>IF(Targets!G33="","",Targets!G33)</f>
        <v>24</v>
      </c>
      <c r="J33" s="1176" cm="1">
        <f t="array" ref="J33">IF($AJ33="","",IF(ISBLANK(INDEX(Data_2!$18:$18,1,$AJ33)),"",INDEX(Data_2!$18:$18,1,$AJ33)))</f>
        <v>25</v>
      </c>
      <c r="K33" s="1183">
        <f t="shared" si="3"/>
        <v>1</v>
      </c>
      <c r="L33" s="1188">
        <f>IF(Targets!H33="","",Targets!H33)</f>
        <v>16</v>
      </c>
      <c r="M33" s="1176" cm="1">
        <f t="array" ref="M33">IF($AJ33="","",IF(ISBLANK(INDEX(Data_2!$23:$23,1,$AJ33)),"",INDEX(Data_2!$23:$23,1,$AJ33)))</f>
        <v>15</v>
      </c>
      <c r="N33" s="1183">
        <f t="shared" si="4"/>
        <v>-1</v>
      </c>
      <c r="O33" s="1188">
        <f>IF(Targets!I33="","",Targets!I33)</f>
        <v>14</v>
      </c>
      <c r="P33" s="1176" cm="1">
        <f t="array" ref="P33">IF($AJ33="","",IF(ISBLANK(INDEX(Data_2!$26:$26,1,$AJ33)),"",INDEX(Data_2!$26:$26,1,$AJ33)))</f>
        <v>12</v>
      </c>
      <c r="Q33" s="1183">
        <f t="shared" si="5"/>
        <v>-2</v>
      </c>
      <c r="R33" s="1187">
        <f>IF(Targets!J33="","",Targets!J33)</f>
        <v>0.65</v>
      </c>
      <c r="S33" s="1177" cm="1">
        <f t="array" ref="S33">IF($AJ33="","",IFERROR(IF(ISBLANK(INDEX(Data_2!$A:$BM,MATCH(EOMONTH($B33,-1)+1,Data_2!$A:$A,0)+3,$AJ33)),"",INDEX(Data_2!$A:$BM,MATCH(EOMONTH($B33,-1)+1,Data_2!$A:$A,0)+3,$AJ33)),""))</f>
        <v>0.47297297297297297</v>
      </c>
      <c r="T33" s="1182">
        <f t="shared" si="6"/>
        <v>-0.17702702702702705</v>
      </c>
      <c r="U33" s="1188">
        <f>IF(Targets!K33="","",Targets!K33)</f>
        <v>10</v>
      </c>
      <c r="V33" s="1176" cm="1">
        <f t="array" ref="V33">IF($AJ33="","",IF(ISBLANK(INDEX(Data_2!$93:$93,1,$AJ33)),"",INDEX(Data_2!$93:$93,1,$AJ33)))</f>
        <v>7</v>
      </c>
      <c r="W33" s="1183">
        <f t="shared" si="7"/>
        <v>-3</v>
      </c>
      <c r="X33" s="1187">
        <f>IF(Targets!T33="","",Targets!T33)</f>
        <v>0.24615384615384617</v>
      </c>
      <c r="Y33" s="1177" cm="1">
        <f t="array" ref="Y33">IF($AJ33="","",IF(ISBLANK(INDEX(Data_2!$33:$33,1,$AJ33)),"",INDEX(Data_2!$33:$33,1,$AJ33)))</f>
        <v>5.4794520547945202E-2</v>
      </c>
      <c r="Z33" s="1182">
        <f t="shared" si="8"/>
        <v>-0.19135932560590097</v>
      </c>
      <c r="AA33" s="1187">
        <f>IF(Targets!U33="","",Targets!U33)</f>
        <v>0.24615384615384617</v>
      </c>
      <c r="AB33" s="1177" cm="1">
        <f t="array" ref="AB33">IF($AJ33="","",IF(ISBLANK(INDEX(Data_2!$34:$34,1,$AJ33)),"",INDEX(Data_2!$34:$34,1,$AJ33)))</f>
        <v>0.28310502283105021</v>
      </c>
      <c r="AC33" s="1182">
        <f t="shared" si="9"/>
        <v>3.6951176677204045E-2</v>
      </c>
      <c r="AD33" s="1188">
        <f>IF(Targets!V33="","",Targets!V33)</f>
        <v>5</v>
      </c>
      <c r="AE33" s="1176" cm="1">
        <f t="array" ref="AE33">IF($AJ33="","",IF(ISBLANK(INDEX(Data_2!$35:$35,1,$AJ33)),"",INDEX(Data_2!$35:$35,1,$AJ33)))</f>
        <v>48</v>
      </c>
      <c r="AF33" s="1183">
        <f t="shared" si="10"/>
        <v>43</v>
      </c>
      <c r="AG33" s="1189">
        <f>IF(Targets!W33="","",Targets!W33)</f>
        <v>10</v>
      </c>
      <c r="AH33" s="1184" cm="1">
        <f t="array" ref="AH33">IF($AJ33="","",IF(ISBLANK(INDEX(Data_2!$36:$36,1,$AJ33)),"",INDEX(Data_2!$36:$36,1,$AJ33)))</f>
        <v>10.4</v>
      </c>
      <c r="AI33" s="1185">
        <f t="shared" si="11"/>
        <v>0.40000000000000036</v>
      </c>
      <c r="AJ33" s="1192" cm="1">
        <f t="array" ref="AJ33">IFERROR(LOOKUP(2,1/((Data_2!$D$4:$BM$4&gt;=$B33-6)*(Data_2!$D$4:$BM$4&lt;=$B33)),COLUMN(Data_2!$D$4:$BM$4)),"")</f>
        <v>34</v>
      </c>
    </row>
    <row r="34" spans="1:36">
      <c r="A34" s="1181">
        <f t="shared" si="0"/>
        <v>30</v>
      </c>
      <c r="B34" s="1175">
        <f>Targets!B34</f>
        <v>46230</v>
      </c>
      <c r="C34" s="1187">
        <f>IF(Targets!C34="","",Targets!C34)</f>
        <v>0.72045454545454546</v>
      </c>
      <c r="D34" s="1177" cm="1">
        <f t="array" ref="D34">IF($AJ34="","",IF(ISBLANK(INDEX(Data_2!$6:$6,1,$AJ34)),"",INDEX(Data_2!$6:$6,1,$AJ34)))</f>
        <v>0.7259174311926605</v>
      </c>
      <c r="E34" s="1182">
        <f t="shared" si="1"/>
        <v>5.462885738115042E-3</v>
      </c>
      <c r="F34" s="1188">
        <f>IF(Targets!F34="","",Targets!F34)</f>
        <v>39</v>
      </c>
      <c r="G34" s="1176" cm="1">
        <f t="array" ref="G34">IF($AJ34="","",IF(ISBLANK(INDEX(Data_2!$16:$16,1,$AJ34)),"",INDEX(Data_2!$16:$16,1,$AJ34)))</f>
        <v>30</v>
      </c>
      <c r="H34" s="1183">
        <f t="shared" si="2"/>
        <v>-9</v>
      </c>
      <c r="I34" s="1188">
        <f>IF(Targets!G34="","",Targets!G34)</f>
        <v>24</v>
      </c>
      <c r="J34" s="1176" cm="1">
        <f t="array" ref="J34">IF($AJ34="","",IF(ISBLANK(INDEX(Data_2!$18:$18,1,$AJ34)),"",INDEX(Data_2!$18:$18,1,$AJ34)))</f>
        <v>19</v>
      </c>
      <c r="K34" s="1183">
        <f t="shared" si="3"/>
        <v>-5</v>
      </c>
      <c r="L34" s="1188">
        <f>IF(Targets!H34="","",Targets!H34)</f>
        <v>16</v>
      </c>
      <c r="M34" s="1176" cm="1">
        <f t="array" ref="M34">IF($AJ34="","",IF(ISBLANK(INDEX(Data_2!$23:$23,1,$AJ34)),"",INDEX(Data_2!$23:$23,1,$AJ34)))</f>
        <v>14</v>
      </c>
      <c r="N34" s="1183">
        <f t="shared" si="4"/>
        <v>-2</v>
      </c>
      <c r="O34" s="1188">
        <f>IF(Targets!I34="","",Targets!I34)</f>
        <v>14</v>
      </c>
      <c r="P34" s="1176" cm="1">
        <f t="array" ref="P34">IF($AJ34="","",IF(ISBLANK(INDEX(Data_2!$26:$26,1,$AJ34)),"",INDEX(Data_2!$26:$26,1,$AJ34)))</f>
        <v>11</v>
      </c>
      <c r="Q34" s="1183">
        <f t="shared" si="5"/>
        <v>-3</v>
      </c>
      <c r="R34" s="1187">
        <f>IF(Targets!J34="","",Targets!J34)</f>
        <v>0.65</v>
      </c>
      <c r="S34" s="1177" cm="1">
        <f t="array" ref="S34">IF($AJ34="","",IFERROR(IF(ISBLANK(INDEX(Data_2!$A:$BM,MATCH(EOMONTH($B34,-1)+1,Data_2!$A:$A,0)+3,$AJ34)),"",INDEX(Data_2!$A:$BM,MATCH(EOMONTH($B34,-1)+1,Data_2!$A:$A,0)+3,$AJ34)),""))</f>
        <v>0.47297297297297297</v>
      </c>
      <c r="T34" s="1182">
        <f t="shared" si="6"/>
        <v>-0.17702702702702705</v>
      </c>
      <c r="U34" s="1188">
        <f>IF(Targets!K34="","",Targets!K34)</f>
        <v>7</v>
      </c>
      <c r="V34" s="1176" cm="1">
        <f t="array" ref="V34">IF($AJ34="","",IF(ISBLANK(INDEX(Data_2!$93:$93,1,$AJ34)),"",INDEX(Data_2!$93:$93,1,$AJ34)))</f>
        <v>4</v>
      </c>
      <c r="W34" s="1183">
        <f t="shared" si="7"/>
        <v>-3</v>
      </c>
      <c r="X34" s="1187">
        <f>IF(Targets!T34="","",Targets!T34)</f>
        <v>0.24615384615384617</v>
      </c>
      <c r="Y34" s="1177" cm="1">
        <f t="array" ref="Y34">IF($AJ34="","",IF(ISBLANK(INDEX(Data_2!$33:$33,1,$AJ34)),"",INDEX(Data_2!$33:$33,1,$AJ34)))</f>
        <v>5.0228310502283102E-2</v>
      </c>
      <c r="Z34" s="1182">
        <f t="shared" si="8"/>
        <v>-0.19592553565156307</v>
      </c>
      <c r="AA34" s="1187">
        <f>IF(Targets!U34="","",Targets!U34)</f>
        <v>0.24615384615384617</v>
      </c>
      <c r="AB34" s="1177" cm="1">
        <f t="array" ref="AB34">IF($AJ34="","",IF(ISBLANK(INDEX(Data_2!$34:$34,1,$AJ34)),"",INDEX(Data_2!$34:$34,1,$AJ34)))</f>
        <v>0.28310502283105021</v>
      </c>
      <c r="AC34" s="1182">
        <f t="shared" si="9"/>
        <v>3.6951176677204045E-2</v>
      </c>
      <c r="AD34" s="1188">
        <f>IF(Targets!V34="","",Targets!V34)</f>
        <v>5</v>
      </c>
      <c r="AE34" s="1176" cm="1">
        <f t="array" ref="AE34">IF($AJ34="","",IF(ISBLANK(INDEX(Data_2!$35:$35,1,$AJ34)),"",INDEX(Data_2!$35:$35,1,$AJ34)))</f>
        <v>48</v>
      </c>
      <c r="AF34" s="1183">
        <f t="shared" si="10"/>
        <v>43</v>
      </c>
      <c r="AG34" s="1189">
        <f>IF(Targets!W34="","",Targets!W34)</f>
        <v>10</v>
      </c>
      <c r="AH34" s="1184" cm="1">
        <f t="array" ref="AH34">IF($AJ34="","",IF(ISBLANK(INDEX(Data_2!$36:$36,1,$AJ34)),"",INDEX(Data_2!$36:$36,1,$AJ34)))</f>
        <v>10.4</v>
      </c>
      <c r="AI34" s="1185">
        <f t="shared" si="11"/>
        <v>0.40000000000000036</v>
      </c>
      <c r="AJ34" s="1192" cm="1">
        <f t="array" ref="AJ34">IFERROR(LOOKUP(2,1/((Data_2!$D$4:$BM$4&gt;=$B34-6)*(Data_2!$D$4:$BM$4&lt;=$B34)),COLUMN(Data_2!$D$4:$BM$4)),"")</f>
        <v>35</v>
      </c>
    </row>
    <row r="35" spans="1:36">
      <c r="A35" s="1181">
        <f t="shared" si="0"/>
        <v>31</v>
      </c>
      <c r="B35" s="1175">
        <f>Targets!B35</f>
        <v>46237</v>
      </c>
      <c r="C35" s="1187">
        <f>IF(Targets!C35="","",Targets!C35)</f>
        <v>0.72727272727272729</v>
      </c>
      <c r="D35" s="1177" cm="1">
        <f t="array" ref="D35">IF($AJ35="","",IF(ISBLANK(INDEX(Data_2!$6:$6,1,$AJ35)),"",INDEX(Data_2!$6:$6,1,$AJ35)))</f>
        <v>0.73165137614678899</v>
      </c>
      <c r="E35" s="1182">
        <f t="shared" si="1"/>
        <v>4.3786488740616969E-3</v>
      </c>
      <c r="F35" s="1188">
        <f>IF(Targets!F35="","",Targets!F35)</f>
        <v>39</v>
      </c>
      <c r="G35" s="1176" cm="1">
        <f t="array" ref="G35">IF($AJ35="","",IF(ISBLANK(INDEX(Data_2!$16:$16,1,$AJ35)),"",INDEX(Data_2!$16:$16,1,$AJ35)))</f>
        <v>28</v>
      </c>
      <c r="H35" s="1183">
        <f t="shared" si="2"/>
        <v>-11</v>
      </c>
      <c r="I35" s="1188">
        <f>IF(Targets!G35="","",Targets!G35)</f>
        <v>24</v>
      </c>
      <c r="J35" s="1176" cm="1">
        <f t="array" ref="J35">IF($AJ35="","",IF(ISBLANK(INDEX(Data_2!$18:$18,1,$AJ35)),"",INDEX(Data_2!$18:$18,1,$AJ35)))</f>
        <v>23</v>
      </c>
      <c r="K35" s="1183">
        <f t="shared" si="3"/>
        <v>-1</v>
      </c>
      <c r="L35" s="1188">
        <f>IF(Targets!H35="","",Targets!H35)</f>
        <v>16</v>
      </c>
      <c r="M35" s="1176" cm="1">
        <f t="array" ref="M35">IF($AJ35="","",IF(ISBLANK(INDEX(Data_2!$23:$23,1,$AJ35)),"",INDEX(Data_2!$23:$23,1,$AJ35)))</f>
        <v>13</v>
      </c>
      <c r="N35" s="1183">
        <f t="shared" si="4"/>
        <v>-3</v>
      </c>
      <c r="O35" s="1188">
        <f>IF(Targets!I35="","",Targets!I35)</f>
        <v>14</v>
      </c>
      <c r="P35" s="1176" cm="1">
        <f t="array" ref="P35">IF($AJ35="","",IF(ISBLANK(INDEX(Data_2!$26:$26,1,$AJ35)),"",INDEX(Data_2!$26:$26,1,$AJ35)))</f>
        <v>15</v>
      </c>
      <c r="Q35" s="1183">
        <f t="shared" si="5"/>
        <v>1</v>
      </c>
      <c r="R35" s="1187">
        <f>IF(Targets!J35="","",Targets!J35)</f>
        <v>0.65</v>
      </c>
      <c r="S35" s="1177" cm="1">
        <f t="array" ref="S35">IF($AJ35="","",IFERROR(IF(ISBLANK(INDEX(Data_2!$A:$BM,MATCH(EOMONTH($B35,-1)+1,Data_2!$A:$A,0)+3,$AJ35)),"",INDEX(Data_2!$A:$BM,MATCH(EOMONTH($B35,-1)+1,Data_2!$A:$A,0)+3,$AJ35)),""))</f>
        <v>0.60784313725490191</v>
      </c>
      <c r="T35" s="1182">
        <f t="shared" si="6"/>
        <v>-4.2156862745098111E-2</v>
      </c>
      <c r="U35" s="1188">
        <f>IF(Targets!K35="","",Targets!K35)</f>
        <v>6</v>
      </c>
      <c r="V35" s="1176" cm="1">
        <f t="array" ref="V35">IF($AJ35="","",IF(ISBLANK(INDEX(Data_2!$93:$93,1,$AJ35)),"",INDEX(Data_2!$93:$93,1,$AJ35)))</f>
        <v>11</v>
      </c>
      <c r="W35" s="1183">
        <f t="shared" si="7"/>
        <v>5</v>
      </c>
      <c r="X35" s="1187">
        <f>IF(Targets!T35="","",Targets!T35)</f>
        <v>0.24615384615384617</v>
      </c>
      <c r="Y35" s="1177" cm="1">
        <f t="array" ref="Y35">IF($AJ35="","",IF(ISBLANK(INDEX(Data_2!$33:$33,1,$AJ35)),"",INDEX(Data_2!$33:$33,1,$AJ35)))</f>
        <v>6.8493150684931503E-2</v>
      </c>
      <c r="Z35" s="1182">
        <f t="shared" si="8"/>
        <v>-0.17766069546891466</v>
      </c>
      <c r="AA35" s="1187">
        <f>IF(Targets!U35="","",Targets!U35)</f>
        <v>0.24615384615384617</v>
      </c>
      <c r="AB35" s="1177" cm="1">
        <f t="array" ref="AB35">IF($AJ35="","",IF(ISBLANK(INDEX(Data_2!$34:$34,1,$AJ35)),"",INDEX(Data_2!$34:$34,1,$AJ35)))</f>
        <v>0.28310502283105021</v>
      </c>
      <c r="AC35" s="1182">
        <f t="shared" si="9"/>
        <v>3.6951176677204045E-2</v>
      </c>
      <c r="AD35" s="1188">
        <f>IF(Targets!V35="","",Targets!V35)</f>
        <v>5</v>
      </c>
      <c r="AE35" s="1176" cm="1">
        <f t="array" ref="AE35">IF($AJ35="","",IF(ISBLANK(INDEX(Data_2!$35:$35,1,$AJ35)),"",INDEX(Data_2!$35:$35,1,$AJ35)))</f>
        <v>48</v>
      </c>
      <c r="AF35" s="1183">
        <f t="shared" si="10"/>
        <v>43</v>
      </c>
      <c r="AG35" s="1189">
        <f>IF(Targets!W35="","",Targets!W35)</f>
        <v>10</v>
      </c>
      <c r="AH35" s="1184" cm="1">
        <f t="array" ref="AH35">IF($AJ35="","",IF(ISBLANK(INDEX(Data_2!$36:$36,1,$AJ35)),"",INDEX(Data_2!$36:$36,1,$AJ35)))</f>
        <v>10.4</v>
      </c>
      <c r="AI35" s="1185">
        <f t="shared" si="11"/>
        <v>0.40000000000000036</v>
      </c>
      <c r="AJ35" s="1192" cm="1">
        <f t="array" ref="AJ35">IFERROR(LOOKUP(2,1/((Data_2!$D$4:$BM$4&gt;=$B35-6)*(Data_2!$D$4:$BM$4&lt;=$B35)),COLUMN(Data_2!$D$4:$BM$4)),"")</f>
        <v>36</v>
      </c>
    </row>
    <row r="36" spans="1:36">
      <c r="A36" s="1181">
        <f t="shared" si="0"/>
        <v>32</v>
      </c>
      <c r="B36" s="1175">
        <f>Targets!B36</f>
        <v>46244</v>
      </c>
      <c r="C36" s="1187">
        <f>IF(Targets!C36="","",Targets!C36)</f>
        <v>0.73522727272727273</v>
      </c>
      <c r="D36" s="1177" cm="1">
        <f t="array" ref="D36">IF($AJ36="","",IF(ISBLANK(INDEX(Data_2!$6:$6,1,$AJ36)),"",INDEX(Data_2!$6:$6,1,$AJ36)))</f>
        <v>0.73509174311926606</v>
      </c>
      <c r="E36" s="1182">
        <f t="shared" si="1"/>
        <v>-1.3552960800666813E-4</v>
      </c>
      <c r="F36" s="1188">
        <f>IF(Targets!F36="","",Targets!F36)</f>
        <v>39</v>
      </c>
      <c r="G36" s="1176" cm="1">
        <f t="array" ref="G36">IF($AJ36="","",IF(ISBLANK(INDEX(Data_2!$16:$16,1,$AJ36)),"",INDEX(Data_2!$16:$16,1,$AJ36)))</f>
        <v>29</v>
      </c>
      <c r="H36" s="1183">
        <f t="shared" si="2"/>
        <v>-10</v>
      </c>
      <c r="I36" s="1188">
        <f>IF(Targets!G36="","",Targets!G36)</f>
        <v>24</v>
      </c>
      <c r="J36" s="1176" cm="1">
        <f t="array" ref="J36">IF($AJ36="","",IF(ISBLANK(INDEX(Data_2!$18:$18,1,$AJ36)),"",INDEX(Data_2!$18:$18,1,$AJ36)))</f>
        <v>17</v>
      </c>
      <c r="K36" s="1183">
        <f t="shared" si="3"/>
        <v>-7</v>
      </c>
      <c r="L36" s="1188">
        <f>IF(Targets!H36="","",Targets!H36)</f>
        <v>16</v>
      </c>
      <c r="M36" s="1176" cm="1">
        <f t="array" ref="M36">IF($AJ36="","",IF(ISBLANK(INDEX(Data_2!$23:$23,1,$AJ36)),"",INDEX(Data_2!$23:$23,1,$AJ36)))</f>
        <v>5</v>
      </c>
      <c r="N36" s="1183">
        <f t="shared" si="4"/>
        <v>-11</v>
      </c>
      <c r="O36" s="1188">
        <f>IF(Targets!I36="","",Targets!I36)</f>
        <v>14</v>
      </c>
      <c r="P36" s="1176" cm="1">
        <f t="array" ref="P36">IF($AJ36="","",IF(ISBLANK(INDEX(Data_2!$26:$26,1,$AJ36)),"",INDEX(Data_2!$26:$26,1,$AJ36)))</f>
        <v>3</v>
      </c>
      <c r="Q36" s="1183">
        <f t="shared" si="5"/>
        <v>-11</v>
      </c>
      <c r="R36" s="1187">
        <f>IF(Targets!J36="","",Targets!J36)</f>
        <v>0.65</v>
      </c>
      <c r="S36" s="1177" cm="1">
        <f t="array" ref="S36">IF($AJ36="","",IFERROR(IF(ISBLANK(INDEX(Data_2!$A:$BM,MATCH(EOMONTH($B36,-1)+1,Data_2!$A:$A,0)+3,$AJ36)),"",INDEX(Data_2!$A:$BM,MATCH(EOMONTH($B36,-1)+1,Data_2!$A:$A,0)+3,$AJ36)),""))</f>
        <v>0.60784313725490191</v>
      </c>
      <c r="T36" s="1182">
        <f t="shared" si="6"/>
        <v>-4.2156862745098111E-2</v>
      </c>
      <c r="U36" s="1188">
        <f>IF(Targets!K36="","",Targets!K36)</f>
        <v>7</v>
      </c>
      <c r="V36" s="1176" cm="1">
        <f t="array" ref="V36">IF($AJ36="","",IF(ISBLANK(INDEX(Data_2!$93:$93,1,$AJ36)),"",INDEX(Data_2!$93:$93,1,$AJ36)))</f>
        <v>5</v>
      </c>
      <c r="W36" s="1183">
        <f t="shared" si="7"/>
        <v>-2</v>
      </c>
      <c r="X36" s="1187">
        <f>IF(Targets!T36="","",Targets!T36)</f>
        <v>0.24615384615384617</v>
      </c>
      <c r="Y36" s="1177" cm="1">
        <f t="array" ref="Y36">IF($AJ36="","",IF(ISBLANK(INDEX(Data_2!$33:$33,1,$AJ36)),"",INDEX(Data_2!$33:$33,1,$AJ36)))</f>
        <v>1.3698630136986301E-2</v>
      </c>
      <c r="Z36" s="1182">
        <f t="shared" si="8"/>
        <v>-0.23245521601685987</v>
      </c>
      <c r="AA36" s="1187">
        <f>IF(Targets!U36="","",Targets!U36)</f>
        <v>0.24615384615384617</v>
      </c>
      <c r="AB36" s="1177" cm="1">
        <f t="array" ref="AB36">IF($AJ36="","",IF(ISBLANK(INDEX(Data_2!$34:$34,1,$AJ36)),"",INDEX(Data_2!$34:$34,1,$AJ36)))</f>
        <v>0.28310502283105021</v>
      </c>
      <c r="AC36" s="1182">
        <f t="shared" si="9"/>
        <v>3.6951176677204045E-2</v>
      </c>
      <c r="AD36" s="1188">
        <f>IF(Targets!V36="","",Targets!V36)</f>
        <v>5</v>
      </c>
      <c r="AE36" s="1176" cm="1">
        <f t="array" ref="AE36">IF($AJ36="","",IF(ISBLANK(INDEX(Data_2!$35:$35,1,$AJ36)),"",INDEX(Data_2!$35:$35,1,$AJ36)))</f>
        <v>48</v>
      </c>
      <c r="AF36" s="1183">
        <f t="shared" si="10"/>
        <v>43</v>
      </c>
      <c r="AG36" s="1189">
        <f>IF(Targets!W36="","",Targets!W36)</f>
        <v>10</v>
      </c>
      <c r="AH36" s="1184" cm="1">
        <f t="array" ref="AH36">IF($AJ36="","",IF(ISBLANK(INDEX(Data_2!$36:$36,1,$AJ36)),"",INDEX(Data_2!$36:$36,1,$AJ36)))</f>
        <v>10.4</v>
      </c>
      <c r="AI36" s="1185">
        <f t="shared" si="11"/>
        <v>0.40000000000000036</v>
      </c>
      <c r="AJ36" s="1192" cm="1">
        <f t="array" ref="AJ36">IFERROR(LOOKUP(2,1/((Data_2!$D$4:$BM$4&gt;=$B36-6)*(Data_2!$D$4:$BM$4&lt;=$B36)),COLUMN(Data_2!$D$4:$BM$4)),"")</f>
        <v>37</v>
      </c>
    </row>
    <row r="37" spans="1:36">
      <c r="A37" s="1181">
        <f t="shared" si="0"/>
        <v>33</v>
      </c>
      <c r="B37" s="1175">
        <f>Targets!B37</f>
        <v>46251</v>
      </c>
      <c r="C37" s="1187">
        <f>IF(Targets!C37="","",Targets!C37)</f>
        <v>0.74318181818181817</v>
      </c>
      <c r="D37" s="1177" t="str" cm="1">
        <f t="array" ref="D37">IF($AJ37="","",IF(ISBLANK(INDEX(Data_2!$6:$6,1,$AJ37)),"",INDEX(Data_2!$6:$6,1,$AJ37)))</f>
        <v/>
      </c>
      <c r="E37" s="1182" t="str">
        <f t="shared" si="1"/>
        <v/>
      </c>
      <c r="F37" s="1188">
        <f>IF(Targets!F37="","",Targets!F37)</f>
        <v>39</v>
      </c>
      <c r="G37" s="1176" t="str" cm="1">
        <f t="array" ref="G37">IF($AJ37="","",IF(ISBLANK(INDEX(Data_2!$16:$16,1,$AJ37)),"",INDEX(Data_2!$16:$16,1,$AJ37)))</f>
        <v/>
      </c>
      <c r="H37" s="1183" t="str">
        <f t="shared" si="2"/>
        <v/>
      </c>
      <c r="I37" s="1188">
        <f>IF(Targets!G37="","",Targets!G37)</f>
        <v>24</v>
      </c>
      <c r="J37" s="1176" t="str" cm="1">
        <f t="array" ref="J37">IF($AJ37="","",IF(ISBLANK(INDEX(Data_2!$18:$18,1,$AJ37)),"",INDEX(Data_2!$18:$18,1,$AJ37)))</f>
        <v/>
      </c>
      <c r="K37" s="1183" t="str">
        <f t="shared" si="3"/>
        <v/>
      </c>
      <c r="L37" s="1188">
        <f>IF(Targets!H37="","",Targets!H37)</f>
        <v>16</v>
      </c>
      <c r="M37" s="1176" t="str" cm="1">
        <f t="array" ref="M37">IF($AJ37="","",IF(ISBLANK(INDEX(Data_2!$23:$23,1,$AJ37)),"",INDEX(Data_2!$23:$23,1,$AJ37)))</f>
        <v/>
      </c>
      <c r="N37" s="1183" t="str">
        <f t="shared" si="4"/>
        <v/>
      </c>
      <c r="O37" s="1188">
        <f>IF(Targets!I37="","",Targets!I37)</f>
        <v>14</v>
      </c>
      <c r="P37" s="1176" t="str" cm="1">
        <f t="array" ref="P37">IF($AJ37="","",IF(ISBLANK(INDEX(Data_2!$26:$26,1,$AJ37)),"",INDEX(Data_2!$26:$26,1,$AJ37)))</f>
        <v/>
      </c>
      <c r="Q37" s="1183" t="str">
        <f t="shared" si="5"/>
        <v/>
      </c>
      <c r="R37" s="1187">
        <f>IF(Targets!J37="","",Targets!J37)</f>
        <v>0.65</v>
      </c>
      <c r="S37" s="1177" t="str" cm="1">
        <f t="array" ref="S37">IF($AJ37="","",IFERROR(IF(ISBLANK(INDEX(Data_2!$A:$BM,MATCH(EOMONTH($B37,-1)+1,Data_2!$A:$A,0)+3,$AJ37)),"",INDEX(Data_2!$A:$BM,MATCH(EOMONTH($B37,-1)+1,Data_2!$A:$A,0)+3,$AJ37)),""))</f>
        <v/>
      </c>
      <c r="T37" s="1182" t="str">
        <f t="shared" si="6"/>
        <v/>
      </c>
      <c r="U37" s="1188">
        <f>IF(Targets!K37="","",Targets!K37)</f>
        <v>6</v>
      </c>
      <c r="V37" s="1176" t="str" cm="1">
        <f t="array" ref="V37">IF($AJ37="","",IF(ISBLANK(INDEX(Data_2!$93:$93,1,$AJ37)),"",INDEX(Data_2!$93:$93,1,$AJ37)))</f>
        <v/>
      </c>
      <c r="W37" s="1183" t="str">
        <f t="shared" si="7"/>
        <v/>
      </c>
      <c r="X37" s="1187">
        <f>IF(Targets!T37="","",Targets!T37)</f>
        <v>0.24615384615384617</v>
      </c>
      <c r="Y37" s="1177" t="str" cm="1">
        <f t="array" ref="Y37">IF($AJ37="","",IF(ISBLANK(INDEX(Data_2!$33:$33,1,$AJ37)),"",INDEX(Data_2!$33:$33,1,$AJ37)))</f>
        <v/>
      </c>
      <c r="Z37" s="1182" t="str">
        <f t="shared" si="8"/>
        <v/>
      </c>
      <c r="AA37" s="1187">
        <f>IF(Targets!U37="","",Targets!U37)</f>
        <v>0.24615384615384617</v>
      </c>
      <c r="AB37" s="1177" t="str" cm="1">
        <f t="array" ref="AB37">IF($AJ37="","",IF(ISBLANK(INDEX(Data_2!$34:$34,1,$AJ37)),"",INDEX(Data_2!$34:$34,1,$AJ37)))</f>
        <v/>
      </c>
      <c r="AC37" s="1182" t="str">
        <f t="shared" si="9"/>
        <v/>
      </c>
      <c r="AD37" s="1188">
        <f>IF(Targets!V37="","",Targets!V37)</f>
        <v>5</v>
      </c>
      <c r="AE37" s="1176" t="str" cm="1">
        <f t="array" ref="AE37">IF($AJ37="","",IF(ISBLANK(INDEX(Data_2!$35:$35,1,$AJ37)),"",INDEX(Data_2!$35:$35,1,$AJ37)))</f>
        <v/>
      </c>
      <c r="AF37" s="1183" t="str">
        <f t="shared" si="10"/>
        <v/>
      </c>
      <c r="AG37" s="1189">
        <f>IF(Targets!W37="","",Targets!W37)</f>
        <v>10</v>
      </c>
      <c r="AH37" s="1184" t="str" cm="1">
        <f t="array" ref="AH37">IF($AJ37="","",IF(ISBLANK(INDEX(Data_2!$36:$36,1,$AJ37)),"",INDEX(Data_2!$36:$36,1,$AJ37)))</f>
        <v/>
      </c>
      <c r="AI37" s="1185" t="str">
        <f t="shared" si="11"/>
        <v/>
      </c>
      <c r="AJ37" s="1192" t="str" cm="1">
        <f t="array" ref="AJ37">IFERROR(LOOKUP(2,1/((Data_2!$D$4:$BM$4&gt;=$B37-6)*(Data_2!$D$4:$BM$4&lt;=$B37)),COLUMN(Data_2!$D$4:$BM$4)),"")</f>
        <v/>
      </c>
    </row>
    <row r="38" spans="1:36">
      <c r="A38" s="1181">
        <f t="shared" si="0"/>
        <v>34</v>
      </c>
      <c r="B38" s="1175">
        <f>Targets!B38</f>
        <v>46258</v>
      </c>
      <c r="C38" s="1187">
        <f>IF(Targets!C38="","",Targets!C38)</f>
        <v>0.75</v>
      </c>
      <c r="D38" s="1177" t="str" cm="1">
        <f t="array" ref="D38">IF($AJ38="","",IF(ISBLANK(INDEX(Data_2!$6:$6,1,$AJ38)),"",INDEX(Data_2!$6:$6,1,$AJ38)))</f>
        <v/>
      </c>
      <c r="E38" s="1182" t="str">
        <f t="shared" si="1"/>
        <v/>
      </c>
      <c r="F38" s="1188">
        <f>IF(Targets!F38="","",Targets!F38)</f>
        <v>39</v>
      </c>
      <c r="G38" s="1176" t="str" cm="1">
        <f t="array" ref="G38">IF($AJ38="","",IF(ISBLANK(INDEX(Data_2!$16:$16,1,$AJ38)),"",INDEX(Data_2!$16:$16,1,$AJ38)))</f>
        <v/>
      </c>
      <c r="H38" s="1183" t="str">
        <f t="shared" si="2"/>
        <v/>
      </c>
      <c r="I38" s="1188">
        <f>IF(Targets!G38="","",Targets!G38)</f>
        <v>24</v>
      </c>
      <c r="J38" s="1176" t="str" cm="1">
        <f t="array" ref="J38">IF($AJ38="","",IF(ISBLANK(INDEX(Data_2!$18:$18,1,$AJ38)),"",INDEX(Data_2!$18:$18,1,$AJ38)))</f>
        <v/>
      </c>
      <c r="K38" s="1183" t="str">
        <f t="shared" si="3"/>
        <v/>
      </c>
      <c r="L38" s="1188">
        <f>IF(Targets!H38="","",Targets!H38)</f>
        <v>16</v>
      </c>
      <c r="M38" s="1176" t="str" cm="1">
        <f t="array" ref="M38">IF($AJ38="","",IF(ISBLANK(INDEX(Data_2!$23:$23,1,$AJ38)),"",INDEX(Data_2!$23:$23,1,$AJ38)))</f>
        <v/>
      </c>
      <c r="N38" s="1183" t="str">
        <f t="shared" si="4"/>
        <v/>
      </c>
      <c r="O38" s="1188">
        <f>IF(Targets!I38="","",Targets!I38)</f>
        <v>14</v>
      </c>
      <c r="P38" s="1176" t="str" cm="1">
        <f t="array" ref="P38">IF($AJ38="","",IF(ISBLANK(INDEX(Data_2!$26:$26,1,$AJ38)),"",INDEX(Data_2!$26:$26,1,$AJ38)))</f>
        <v/>
      </c>
      <c r="Q38" s="1183" t="str">
        <f t="shared" si="5"/>
        <v/>
      </c>
      <c r="R38" s="1187">
        <f>IF(Targets!J38="","",Targets!J38)</f>
        <v>0.65</v>
      </c>
      <c r="S38" s="1177" t="str" cm="1">
        <f t="array" ref="S38">IF($AJ38="","",IFERROR(IF(ISBLANK(INDEX(Data_2!$A:$BM,MATCH(EOMONTH($B38,-1)+1,Data_2!$A:$A,0)+3,$AJ38)),"",INDEX(Data_2!$A:$BM,MATCH(EOMONTH($B38,-1)+1,Data_2!$A:$A,0)+3,$AJ38)),""))</f>
        <v/>
      </c>
      <c r="T38" s="1182" t="str">
        <f t="shared" si="6"/>
        <v/>
      </c>
      <c r="U38" s="1188">
        <f>IF(Targets!K38="","",Targets!K38)</f>
        <v>7</v>
      </c>
      <c r="V38" s="1176" t="str" cm="1">
        <f t="array" ref="V38">IF($AJ38="","",IF(ISBLANK(INDEX(Data_2!$93:$93,1,$AJ38)),"",INDEX(Data_2!$93:$93,1,$AJ38)))</f>
        <v/>
      </c>
      <c r="W38" s="1183" t="str">
        <f t="shared" si="7"/>
        <v/>
      </c>
      <c r="X38" s="1187">
        <f>IF(Targets!T38="","",Targets!T38)</f>
        <v>0.24615384615384617</v>
      </c>
      <c r="Y38" s="1177" t="str" cm="1">
        <f t="array" ref="Y38">IF($AJ38="","",IF(ISBLANK(INDEX(Data_2!$33:$33,1,$AJ38)),"",INDEX(Data_2!$33:$33,1,$AJ38)))</f>
        <v/>
      </c>
      <c r="Z38" s="1182" t="str">
        <f t="shared" si="8"/>
        <v/>
      </c>
      <c r="AA38" s="1187">
        <f>IF(Targets!U38="","",Targets!U38)</f>
        <v>0.24615384615384617</v>
      </c>
      <c r="AB38" s="1177" t="str" cm="1">
        <f t="array" ref="AB38">IF($AJ38="","",IF(ISBLANK(INDEX(Data_2!$34:$34,1,$AJ38)),"",INDEX(Data_2!$34:$34,1,$AJ38)))</f>
        <v/>
      </c>
      <c r="AC38" s="1182" t="str">
        <f t="shared" si="9"/>
        <v/>
      </c>
      <c r="AD38" s="1188">
        <f>IF(Targets!V38="","",Targets!V38)</f>
        <v>5</v>
      </c>
      <c r="AE38" s="1176" t="str" cm="1">
        <f t="array" ref="AE38">IF($AJ38="","",IF(ISBLANK(INDEX(Data_2!$35:$35,1,$AJ38)),"",INDEX(Data_2!$35:$35,1,$AJ38)))</f>
        <v/>
      </c>
      <c r="AF38" s="1183" t="str">
        <f t="shared" si="10"/>
        <v/>
      </c>
      <c r="AG38" s="1189">
        <f>IF(Targets!W38="","",Targets!W38)</f>
        <v>10</v>
      </c>
      <c r="AH38" s="1184" t="str" cm="1">
        <f t="array" ref="AH38">IF($AJ38="","",IF(ISBLANK(INDEX(Data_2!$36:$36,1,$AJ38)),"",INDEX(Data_2!$36:$36,1,$AJ38)))</f>
        <v/>
      </c>
      <c r="AI38" s="1185" t="str">
        <f t="shared" si="11"/>
        <v/>
      </c>
      <c r="AJ38" s="1192" t="str" cm="1">
        <f t="array" ref="AJ38">IFERROR(LOOKUP(2,1/((Data_2!$D$4:$BM$4&gt;=$B38-6)*(Data_2!$D$4:$BM$4&lt;=$B38)),COLUMN(Data_2!$D$4:$BM$4)),"")</f>
        <v/>
      </c>
    </row>
    <row r="39" spans="1:36">
      <c r="A39" s="1181">
        <f t="shared" si="0"/>
        <v>35</v>
      </c>
      <c r="B39" s="1175">
        <f>Targets!B39</f>
        <v>46265</v>
      </c>
      <c r="C39" s="1187">
        <f>IF(Targets!C39="","",Targets!C39)</f>
        <v>0.75795454545454544</v>
      </c>
      <c r="D39" s="1177" t="str" cm="1">
        <f t="array" ref="D39">IF($AJ39="","",IF(ISBLANK(INDEX(Data_2!$6:$6,1,$AJ39)),"",INDEX(Data_2!$6:$6,1,$AJ39)))</f>
        <v/>
      </c>
      <c r="E39" s="1182" t="str">
        <f t="shared" si="1"/>
        <v/>
      </c>
      <c r="F39" s="1188">
        <f>IF(Targets!F39="","",Targets!F39)</f>
        <v>39</v>
      </c>
      <c r="G39" s="1176" t="str" cm="1">
        <f t="array" ref="G39">IF($AJ39="","",IF(ISBLANK(INDEX(Data_2!$16:$16,1,$AJ39)),"",INDEX(Data_2!$16:$16,1,$AJ39)))</f>
        <v/>
      </c>
      <c r="H39" s="1183" t="str">
        <f t="shared" si="2"/>
        <v/>
      </c>
      <c r="I39" s="1188">
        <f>IF(Targets!G39="","",Targets!G39)</f>
        <v>24</v>
      </c>
      <c r="J39" s="1176" t="str" cm="1">
        <f t="array" ref="J39">IF($AJ39="","",IF(ISBLANK(INDEX(Data_2!$18:$18,1,$AJ39)),"",INDEX(Data_2!$18:$18,1,$AJ39)))</f>
        <v/>
      </c>
      <c r="K39" s="1183" t="str">
        <f t="shared" si="3"/>
        <v/>
      </c>
      <c r="L39" s="1188">
        <f>IF(Targets!H39="","",Targets!H39)</f>
        <v>16</v>
      </c>
      <c r="M39" s="1176" t="str" cm="1">
        <f t="array" ref="M39">IF($AJ39="","",IF(ISBLANK(INDEX(Data_2!$23:$23,1,$AJ39)),"",INDEX(Data_2!$23:$23,1,$AJ39)))</f>
        <v/>
      </c>
      <c r="N39" s="1183" t="str">
        <f t="shared" si="4"/>
        <v/>
      </c>
      <c r="O39" s="1188">
        <f>IF(Targets!I39="","",Targets!I39)</f>
        <v>14</v>
      </c>
      <c r="P39" s="1176" t="str" cm="1">
        <f t="array" ref="P39">IF($AJ39="","",IF(ISBLANK(INDEX(Data_2!$26:$26,1,$AJ39)),"",INDEX(Data_2!$26:$26,1,$AJ39)))</f>
        <v/>
      </c>
      <c r="Q39" s="1183" t="str">
        <f t="shared" si="5"/>
        <v/>
      </c>
      <c r="R39" s="1187">
        <f>IF(Targets!J39="","",Targets!J39)</f>
        <v>0.65</v>
      </c>
      <c r="S39" s="1177" t="str" cm="1">
        <f t="array" ref="S39">IF($AJ39="","",IFERROR(IF(ISBLANK(INDEX(Data_2!$A:$BM,MATCH(EOMONTH($B39,-1)+1,Data_2!$A:$A,0)+3,$AJ39)),"",INDEX(Data_2!$A:$BM,MATCH(EOMONTH($B39,-1)+1,Data_2!$A:$A,0)+3,$AJ39)),""))</f>
        <v/>
      </c>
      <c r="T39" s="1182" t="str">
        <f t="shared" si="6"/>
        <v/>
      </c>
      <c r="U39" s="1188">
        <f>IF(Targets!K39="","",Targets!K39)</f>
        <v>9</v>
      </c>
      <c r="V39" s="1176" t="str" cm="1">
        <f t="array" ref="V39">IF($AJ39="","",IF(ISBLANK(INDEX(Data_2!$93:$93,1,$AJ39)),"",INDEX(Data_2!$93:$93,1,$AJ39)))</f>
        <v/>
      </c>
      <c r="W39" s="1183" t="str">
        <f t="shared" si="7"/>
        <v/>
      </c>
      <c r="X39" s="1187">
        <f>IF(Targets!T39="","",Targets!T39)</f>
        <v>0.24615384615384617</v>
      </c>
      <c r="Y39" s="1177" t="str" cm="1">
        <f t="array" ref="Y39">IF($AJ39="","",IF(ISBLANK(INDEX(Data_2!$33:$33,1,$AJ39)),"",INDEX(Data_2!$33:$33,1,$AJ39)))</f>
        <v/>
      </c>
      <c r="Z39" s="1182" t="str">
        <f t="shared" si="8"/>
        <v/>
      </c>
      <c r="AA39" s="1187">
        <f>IF(Targets!U39="","",Targets!U39)</f>
        <v>0.24615384615384617</v>
      </c>
      <c r="AB39" s="1177" t="str" cm="1">
        <f t="array" ref="AB39">IF($AJ39="","",IF(ISBLANK(INDEX(Data_2!$34:$34,1,$AJ39)),"",INDEX(Data_2!$34:$34,1,$AJ39)))</f>
        <v/>
      </c>
      <c r="AC39" s="1182" t="str">
        <f t="shared" si="9"/>
        <v/>
      </c>
      <c r="AD39" s="1188">
        <f>IF(Targets!V39="","",Targets!V39)</f>
        <v>5</v>
      </c>
      <c r="AE39" s="1176" t="str" cm="1">
        <f t="array" ref="AE39">IF($AJ39="","",IF(ISBLANK(INDEX(Data_2!$35:$35,1,$AJ39)),"",INDEX(Data_2!$35:$35,1,$AJ39)))</f>
        <v/>
      </c>
      <c r="AF39" s="1183" t="str">
        <f t="shared" si="10"/>
        <v/>
      </c>
      <c r="AG39" s="1189">
        <f>IF(Targets!W39="","",Targets!W39)</f>
        <v>10</v>
      </c>
      <c r="AH39" s="1184" t="str" cm="1">
        <f t="array" ref="AH39">IF($AJ39="","",IF(ISBLANK(INDEX(Data_2!$36:$36,1,$AJ39)),"",INDEX(Data_2!$36:$36,1,$AJ39)))</f>
        <v/>
      </c>
      <c r="AI39" s="1185" t="str">
        <f t="shared" si="11"/>
        <v/>
      </c>
      <c r="AJ39" s="1192" t="str" cm="1">
        <f t="array" ref="AJ39">IFERROR(LOOKUP(2,1/((Data_2!$D$4:$BM$4&gt;=$B39-6)*(Data_2!$D$4:$BM$4&lt;=$B39)),COLUMN(Data_2!$D$4:$BM$4)),"")</f>
        <v/>
      </c>
    </row>
    <row r="40" spans="1:36">
      <c r="A40" s="1181">
        <f t="shared" si="0"/>
        <v>36</v>
      </c>
      <c r="B40" s="1175">
        <f>Targets!B40</f>
        <v>46272</v>
      </c>
      <c r="C40" s="1187">
        <f>IF(Targets!C40="","",Targets!C40)</f>
        <v>0.76477272727272727</v>
      </c>
      <c r="D40" s="1177" t="str" cm="1">
        <f t="array" ref="D40">IF($AJ40="","",IF(ISBLANK(INDEX(Data_2!$6:$6,1,$AJ40)),"",INDEX(Data_2!$6:$6,1,$AJ40)))</f>
        <v/>
      </c>
      <c r="E40" s="1182" t="str">
        <f t="shared" si="1"/>
        <v/>
      </c>
      <c r="F40" s="1188">
        <f>IF(Targets!F40="","",Targets!F40)</f>
        <v>39</v>
      </c>
      <c r="G40" s="1176" t="str" cm="1">
        <f t="array" ref="G40">IF($AJ40="","",IF(ISBLANK(INDEX(Data_2!$16:$16,1,$AJ40)),"",INDEX(Data_2!$16:$16,1,$AJ40)))</f>
        <v/>
      </c>
      <c r="H40" s="1183" t="str">
        <f t="shared" si="2"/>
        <v/>
      </c>
      <c r="I40" s="1188">
        <f>IF(Targets!G40="","",Targets!G40)</f>
        <v>24</v>
      </c>
      <c r="J40" s="1176" t="str" cm="1">
        <f t="array" ref="J40">IF($AJ40="","",IF(ISBLANK(INDEX(Data_2!$18:$18,1,$AJ40)),"",INDEX(Data_2!$18:$18,1,$AJ40)))</f>
        <v/>
      </c>
      <c r="K40" s="1183" t="str">
        <f t="shared" si="3"/>
        <v/>
      </c>
      <c r="L40" s="1188">
        <f>IF(Targets!H40="","",Targets!H40)</f>
        <v>16</v>
      </c>
      <c r="M40" s="1176" t="str" cm="1">
        <f t="array" ref="M40">IF($AJ40="","",IF(ISBLANK(INDEX(Data_2!$23:$23,1,$AJ40)),"",INDEX(Data_2!$23:$23,1,$AJ40)))</f>
        <v/>
      </c>
      <c r="N40" s="1183" t="str">
        <f t="shared" si="4"/>
        <v/>
      </c>
      <c r="O40" s="1188">
        <f>IF(Targets!I40="","",Targets!I40)</f>
        <v>14</v>
      </c>
      <c r="P40" s="1176" t="str" cm="1">
        <f t="array" ref="P40">IF($AJ40="","",IF(ISBLANK(INDEX(Data_2!$26:$26,1,$AJ40)),"",INDEX(Data_2!$26:$26,1,$AJ40)))</f>
        <v/>
      </c>
      <c r="Q40" s="1183" t="str">
        <f t="shared" si="5"/>
        <v/>
      </c>
      <c r="R40" s="1187">
        <f>IF(Targets!J40="","",Targets!J40)</f>
        <v>0.65</v>
      </c>
      <c r="S40" s="1177" t="str" cm="1">
        <f t="array" ref="S40">IF($AJ40="","",IFERROR(IF(ISBLANK(INDEX(Data_2!$A:$BM,MATCH(EOMONTH($B40,-1)+1,Data_2!$A:$A,0)+3,$AJ40)),"",INDEX(Data_2!$A:$BM,MATCH(EOMONTH($B40,-1)+1,Data_2!$A:$A,0)+3,$AJ40)),""))</f>
        <v/>
      </c>
      <c r="T40" s="1182" t="str">
        <f t="shared" si="6"/>
        <v/>
      </c>
      <c r="U40" s="1188">
        <f>IF(Targets!K40="","",Targets!K40)</f>
        <v>8</v>
      </c>
      <c r="V40" s="1176" t="str" cm="1">
        <f t="array" ref="V40">IF($AJ40="","",IF(ISBLANK(INDEX(Data_2!$93:$93,1,$AJ40)),"",INDEX(Data_2!$93:$93,1,$AJ40)))</f>
        <v/>
      </c>
      <c r="W40" s="1183" t="str">
        <f t="shared" si="7"/>
        <v/>
      </c>
      <c r="X40" s="1187">
        <f>IF(Targets!T40="","",Targets!T40)</f>
        <v>0.24615384615384617</v>
      </c>
      <c r="Y40" s="1177" t="str" cm="1">
        <f t="array" ref="Y40">IF($AJ40="","",IF(ISBLANK(INDEX(Data_2!$33:$33,1,$AJ40)),"",INDEX(Data_2!$33:$33,1,$AJ40)))</f>
        <v/>
      </c>
      <c r="Z40" s="1182" t="str">
        <f t="shared" si="8"/>
        <v/>
      </c>
      <c r="AA40" s="1187">
        <f>IF(Targets!U40="","",Targets!U40)</f>
        <v>0.24615384615384617</v>
      </c>
      <c r="AB40" s="1177" t="str" cm="1">
        <f t="array" ref="AB40">IF($AJ40="","",IF(ISBLANK(INDEX(Data_2!$34:$34,1,$AJ40)),"",INDEX(Data_2!$34:$34,1,$AJ40)))</f>
        <v/>
      </c>
      <c r="AC40" s="1182" t="str">
        <f t="shared" si="9"/>
        <v/>
      </c>
      <c r="AD40" s="1188">
        <f>IF(Targets!V40="","",Targets!V40)</f>
        <v>5</v>
      </c>
      <c r="AE40" s="1176" t="str" cm="1">
        <f t="array" ref="AE40">IF($AJ40="","",IF(ISBLANK(INDEX(Data_2!$35:$35,1,$AJ40)),"",INDEX(Data_2!$35:$35,1,$AJ40)))</f>
        <v/>
      </c>
      <c r="AF40" s="1183" t="str">
        <f t="shared" si="10"/>
        <v/>
      </c>
      <c r="AG40" s="1189">
        <f>IF(Targets!W40="","",Targets!W40)</f>
        <v>10</v>
      </c>
      <c r="AH40" s="1184" t="str" cm="1">
        <f t="array" ref="AH40">IF($AJ40="","",IF(ISBLANK(INDEX(Data_2!$36:$36,1,$AJ40)),"",INDEX(Data_2!$36:$36,1,$AJ40)))</f>
        <v/>
      </c>
      <c r="AI40" s="1185" t="str">
        <f t="shared" si="11"/>
        <v/>
      </c>
      <c r="AJ40" s="1192" t="str" cm="1">
        <f t="array" ref="AJ40">IFERROR(LOOKUP(2,1/((Data_2!$D$4:$BM$4&gt;=$B40-6)*(Data_2!$D$4:$BM$4&lt;=$B40)),COLUMN(Data_2!$D$4:$BM$4)),"")</f>
        <v/>
      </c>
    </row>
    <row r="41" spans="1:36">
      <c r="A41" s="1181">
        <f t="shared" si="0"/>
        <v>37</v>
      </c>
      <c r="B41" s="1175">
        <f>Targets!B41</f>
        <v>46279</v>
      </c>
      <c r="C41" s="1187">
        <f>IF(Targets!C41="","",Targets!C41)</f>
        <v>0.77159090909090911</v>
      </c>
      <c r="D41" s="1177" t="str" cm="1">
        <f t="array" ref="D41">IF($AJ41="","",IF(ISBLANK(INDEX(Data_2!$6:$6,1,$AJ41)),"",INDEX(Data_2!$6:$6,1,$AJ41)))</f>
        <v/>
      </c>
      <c r="E41" s="1182" t="str">
        <f t="shared" si="1"/>
        <v/>
      </c>
      <c r="F41" s="1188">
        <f>IF(Targets!F41="","",Targets!F41)</f>
        <v>39</v>
      </c>
      <c r="G41" s="1176" t="str" cm="1">
        <f t="array" ref="G41">IF($AJ41="","",IF(ISBLANK(INDEX(Data_2!$16:$16,1,$AJ41)),"",INDEX(Data_2!$16:$16,1,$AJ41)))</f>
        <v/>
      </c>
      <c r="H41" s="1183" t="str">
        <f t="shared" si="2"/>
        <v/>
      </c>
      <c r="I41" s="1188">
        <f>IF(Targets!G41="","",Targets!G41)</f>
        <v>24</v>
      </c>
      <c r="J41" s="1176" t="str" cm="1">
        <f t="array" ref="J41">IF($AJ41="","",IF(ISBLANK(INDEX(Data_2!$18:$18,1,$AJ41)),"",INDEX(Data_2!$18:$18,1,$AJ41)))</f>
        <v/>
      </c>
      <c r="K41" s="1183" t="str">
        <f t="shared" si="3"/>
        <v/>
      </c>
      <c r="L41" s="1188">
        <f>IF(Targets!H41="","",Targets!H41)</f>
        <v>16</v>
      </c>
      <c r="M41" s="1176" t="str" cm="1">
        <f t="array" ref="M41">IF($AJ41="","",IF(ISBLANK(INDEX(Data_2!$23:$23,1,$AJ41)),"",INDEX(Data_2!$23:$23,1,$AJ41)))</f>
        <v/>
      </c>
      <c r="N41" s="1183" t="str">
        <f t="shared" si="4"/>
        <v/>
      </c>
      <c r="O41" s="1188">
        <f>IF(Targets!I41="","",Targets!I41)</f>
        <v>14</v>
      </c>
      <c r="P41" s="1176" t="str" cm="1">
        <f t="array" ref="P41">IF($AJ41="","",IF(ISBLANK(INDEX(Data_2!$26:$26,1,$AJ41)),"",INDEX(Data_2!$26:$26,1,$AJ41)))</f>
        <v/>
      </c>
      <c r="Q41" s="1183" t="str">
        <f t="shared" si="5"/>
        <v/>
      </c>
      <c r="R41" s="1187">
        <f>IF(Targets!J41="","",Targets!J41)</f>
        <v>0.65</v>
      </c>
      <c r="S41" s="1177" t="str" cm="1">
        <f t="array" ref="S41">IF($AJ41="","",IFERROR(IF(ISBLANK(INDEX(Data_2!$A:$BM,MATCH(EOMONTH($B41,-1)+1,Data_2!$A:$A,0)+3,$AJ41)),"",INDEX(Data_2!$A:$BM,MATCH(EOMONTH($B41,-1)+1,Data_2!$A:$A,0)+3,$AJ41)),""))</f>
        <v/>
      </c>
      <c r="T41" s="1182" t="str">
        <f t="shared" si="6"/>
        <v/>
      </c>
      <c r="U41" s="1188">
        <f>IF(Targets!K41="","",Targets!K41)</f>
        <v>9</v>
      </c>
      <c r="V41" s="1176" t="str" cm="1">
        <f t="array" ref="V41">IF($AJ41="","",IF(ISBLANK(INDEX(Data_2!$93:$93,1,$AJ41)),"",INDEX(Data_2!$93:$93,1,$AJ41)))</f>
        <v/>
      </c>
      <c r="W41" s="1183" t="str">
        <f t="shared" si="7"/>
        <v/>
      </c>
      <c r="X41" s="1187">
        <f>IF(Targets!T41="","",Targets!T41)</f>
        <v>0.24615384615384617</v>
      </c>
      <c r="Y41" s="1177" t="str" cm="1">
        <f t="array" ref="Y41">IF($AJ41="","",IF(ISBLANK(INDEX(Data_2!$33:$33,1,$AJ41)),"",INDEX(Data_2!$33:$33,1,$AJ41)))</f>
        <v/>
      </c>
      <c r="Z41" s="1182" t="str">
        <f t="shared" si="8"/>
        <v/>
      </c>
      <c r="AA41" s="1187">
        <f>IF(Targets!U41="","",Targets!U41)</f>
        <v>0.24615384615384617</v>
      </c>
      <c r="AB41" s="1177" t="str" cm="1">
        <f t="array" ref="AB41">IF($AJ41="","",IF(ISBLANK(INDEX(Data_2!$34:$34,1,$AJ41)),"",INDEX(Data_2!$34:$34,1,$AJ41)))</f>
        <v/>
      </c>
      <c r="AC41" s="1182" t="str">
        <f t="shared" si="9"/>
        <v/>
      </c>
      <c r="AD41" s="1188">
        <f>IF(Targets!V41="","",Targets!V41)</f>
        <v>5</v>
      </c>
      <c r="AE41" s="1176" t="str" cm="1">
        <f t="array" ref="AE41">IF($AJ41="","",IF(ISBLANK(INDEX(Data_2!$35:$35,1,$AJ41)),"",INDEX(Data_2!$35:$35,1,$AJ41)))</f>
        <v/>
      </c>
      <c r="AF41" s="1183" t="str">
        <f t="shared" si="10"/>
        <v/>
      </c>
      <c r="AG41" s="1189">
        <f>IF(Targets!W41="","",Targets!W41)</f>
        <v>10</v>
      </c>
      <c r="AH41" s="1184" t="str" cm="1">
        <f t="array" ref="AH41">IF($AJ41="","",IF(ISBLANK(INDEX(Data_2!$36:$36,1,$AJ41)),"",INDEX(Data_2!$36:$36,1,$AJ41)))</f>
        <v/>
      </c>
      <c r="AI41" s="1185" t="str">
        <f t="shared" si="11"/>
        <v/>
      </c>
      <c r="AJ41" s="1192" t="str" cm="1">
        <f t="array" ref="AJ41">IFERROR(LOOKUP(2,1/((Data_2!$D$4:$BM$4&gt;=$B41-6)*(Data_2!$D$4:$BM$4&lt;=$B41)),COLUMN(Data_2!$D$4:$BM$4)),"")</f>
        <v/>
      </c>
    </row>
    <row r="42" spans="1:36">
      <c r="A42" s="1181">
        <f t="shared" si="0"/>
        <v>38</v>
      </c>
      <c r="B42" s="1175">
        <f>Targets!B42</f>
        <v>46286</v>
      </c>
      <c r="C42" s="1187">
        <f>IF(Targets!C42="","",Targets!C42)</f>
        <v>0.77840909090909094</v>
      </c>
      <c r="D42" s="1177" t="str" cm="1">
        <f t="array" ref="D42">IF($AJ42="","",IF(ISBLANK(INDEX(Data_2!$6:$6,1,$AJ42)),"",INDEX(Data_2!$6:$6,1,$AJ42)))</f>
        <v/>
      </c>
      <c r="E42" s="1182" t="str">
        <f t="shared" si="1"/>
        <v/>
      </c>
      <c r="F42" s="1188">
        <f>IF(Targets!F42="","",Targets!F42)</f>
        <v>39</v>
      </c>
      <c r="G42" s="1176" t="str" cm="1">
        <f t="array" ref="G42">IF($AJ42="","",IF(ISBLANK(INDEX(Data_2!$16:$16,1,$AJ42)),"",INDEX(Data_2!$16:$16,1,$AJ42)))</f>
        <v/>
      </c>
      <c r="H42" s="1183" t="str">
        <f t="shared" si="2"/>
        <v/>
      </c>
      <c r="I42" s="1188">
        <f>IF(Targets!G42="","",Targets!G42)</f>
        <v>24</v>
      </c>
      <c r="J42" s="1176" t="str" cm="1">
        <f t="array" ref="J42">IF($AJ42="","",IF(ISBLANK(INDEX(Data_2!$18:$18,1,$AJ42)),"",INDEX(Data_2!$18:$18,1,$AJ42)))</f>
        <v/>
      </c>
      <c r="K42" s="1183" t="str">
        <f t="shared" si="3"/>
        <v/>
      </c>
      <c r="L42" s="1188">
        <f>IF(Targets!H42="","",Targets!H42)</f>
        <v>16</v>
      </c>
      <c r="M42" s="1176" t="str" cm="1">
        <f t="array" ref="M42">IF($AJ42="","",IF(ISBLANK(INDEX(Data_2!$23:$23,1,$AJ42)),"",INDEX(Data_2!$23:$23,1,$AJ42)))</f>
        <v/>
      </c>
      <c r="N42" s="1183" t="str">
        <f t="shared" si="4"/>
        <v/>
      </c>
      <c r="O42" s="1188">
        <f>IF(Targets!I42="","",Targets!I42)</f>
        <v>14</v>
      </c>
      <c r="P42" s="1176" t="str" cm="1">
        <f t="array" ref="P42">IF($AJ42="","",IF(ISBLANK(INDEX(Data_2!$26:$26,1,$AJ42)),"",INDEX(Data_2!$26:$26,1,$AJ42)))</f>
        <v/>
      </c>
      <c r="Q42" s="1183" t="str">
        <f t="shared" si="5"/>
        <v/>
      </c>
      <c r="R42" s="1187">
        <f>IF(Targets!J42="","",Targets!J42)</f>
        <v>0.65</v>
      </c>
      <c r="S42" s="1177" t="str" cm="1">
        <f t="array" ref="S42">IF($AJ42="","",IFERROR(IF(ISBLANK(INDEX(Data_2!$A:$BM,MATCH(EOMONTH($B42,-1)+1,Data_2!$A:$A,0)+3,$AJ42)),"",INDEX(Data_2!$A:$BM,MATCH(EOMONTH($B42,-1)+1,Data_2!$A:$A,0)+3,$AJ42)),""))</f>
        <v/>
      </c>
      <c r="T42" s="1182" t="str">
        <f t="shared" si="6"/>
        <v/>
      </c>
      <c r="U42" s="1188">
        <f>IF(Targets!K42="","",Targets!K42)</f>
        <v>8</v>
      </c>
      <c r="V42" s="1176" t="str" cm="1">
        <f t="array" ref="V42">IF($AJ42="","",IF(ISBLANK(INDEX(Data_2!$93:$93,1,$AJ42)),"",INDEX(Data_2!$93:$93,1,$AJ42)))</f>
        <v/>
      </c>
      <c r="W42" s="1183" t="str">
        <f t="shared" si="7"/>
        <v/>
      </c>
      <c r="X42" s="1187">
        <f>IF(Targets!T42="","",Targets!T42)</f>
        <v>0.24615384615384617</v>
      </c>
      <c r="Y42" s="1177" t="str" cm="1">
        <f t="array" ref="Y42">IF($AJ42="","",IF(ISBLANK(INDEX(Data_2!$33:$33,1,$AJ42)),"",INDEX(Data_2!$33:$33,1,$AJ42)))</f>
        <v/>
      </c>
      <c r="Z42" s="1182" t="str">
        <f t="shared" si="8"/>
        <v/>
      </c>
      <c r="AA42" s="1187">
        <f>IF(Targets!U42="","",Targets!U42)</f>
        <v>0.24615384615384617</v>
      </c>
      <c r="AB42" s="1177" t="str" cm="1">
        <f t="array" ref="AB42">IF($AJ42="","",IF(ISBLANK(INDEX(Data_2!$34:$34,1,$AJ42)),"",INDEX(Data_2!$34:$34,1,$AJ42)))</f>
        <v/>
      </c>
      <c r="AC42" s="1182" t="str">
        <f t="shared" si="9"/>
        <v/>
      </c>
      <c r="AD42" s="1188">
        <f>IF(Targets!V42="","",Targets!V42)</f>
        <v>5</v>
      </c>
      <c r="AE42" s="1176" t="str" cm="1">
        <f t="array" ref="AE42">IF($AJ42="","",IF(ISBLANK(INDEX(Data_2!$35:$35,1,$AJ42)),"",INDEX(Data_2!$35:$35,1,$AJ42)))</f>
        <v/>
      </c>
      <c r="AF42" s="1183" t="str">
        <f t="shared" si="10"/>
        <v/>
      </c>
      <c r="AG42" s="1189">
        <f>IF(Targets!W42="","",Targets!W42)</f>
        <v>10</v>
      </c>
      <c r="AH42" s="1184" t="str" cm="1">
        <f t="array" ref="AH42">IF($AJ42="","",IF(ISBLANK(INDEX(Data_2!$36:$36,1,$AJ42)),"",INDEX(Data_2!$36:$36,1,$AJ42)))</f>
        <v/>
      </c>
      <c r="AI42" s="1185" t="str">
        <f t="shared" si="11"/>
        <v/>
      </c>
      <c r="AJ42" s="1192" t="str" cm="1">
        <f t="array" ref="AJ42">IFERROR(LOOKUP(2,1/((Data_2!$D$4:$BM$4&gt;=$B42-6)*(Data_2!$D$4:$BM$4&lt;=$B42)),COLUMN(Data_2!$D$4:$BM$4)),"")</f>
        <v/>
      </c>
    </row>
    <row r="43" spans="1:36">
      <c r="A43" s="1181">
        <f t="shared" si="0"/>
        <v>39</v>
      </c>
      <c r="B43" s="1175">
        <f>Targets!B43</f>
        <v>46293</v>
      </c>
      <c r="C43" s="1187">
        <f>IF(Targets!C43="","",Targets!C43)</f>
        <v>0.78522727272727277</v>
      </c>
      <c r="D43" s="1177" t="str" cm="1">
        <f t="array" ref="D43">IF($AJ43="","",IF(ISBLANK(INDEX(Data_2!$6:$6,1,$AJ43)),"",INDEX(Data_2!$6:$6,1,$AJ43)))</f>
        <v/>
      </c>
      <c r="E43" s="1182" t="str">
        <f t="shared" si="1"/>
        <v/>
      </c>
      <c r="F43" s="1188">
        <f>IF(Targets!F43="","",Targets!F43)</f>
        <v>33</v>
      </c>
      <c r="G43" s="1176" t="str" cm="1">
        <f t="array" ref="G43">IF($AJ43="","",IF(ISBLANK(INDEX(Data_2!$16:$16,1,$AJ43)),"",INDEX(Data_2!$16:$16,1,$AJ43)))</f>
        <v/>
      </c>
      <c r="H43" s="1183" t="str">
        <f t="shared" si="2"/>
        <v/>
      </c>
      <c r="I43" s="1188">
        <f>IF(Targets!G43="","",Targets!G43)</f>
        <v>20</v>
      </c>
      <c r="J43" s="1176" t="str" cm="1">
        <f t="array" ref="J43">IF($AJ43="","",IF(ISBLANK(INDEX(Data_2!$18:$18,1,$AJ43)),"",INDEX(Data_2!$18:$18,1,$AJ43)))</f>
        <v/>
      </c>
      <c r="K43" s="1183" t="str">
        <f t="shared" si="3"/>
        <v/>
      </c>
      <c r="L43" s="1188">
        <f>IF(Targets!H43="","",Targets!H43)</f>
        <v>13</v>
      </c>
      <c r="M43" s="1176" t="str" cm="1">
        <f t="array" ref="M43">IF($AJ43="","",IF(ISBLANK(INDEX(Data_2!$23:$23,1,$AJ43)),"",INDEX(Data_2!$23:$23,1,$AJ43)))</f>
        <v/>
      </c>
      <c r="N43" s="1183" t="str">
        <f t="shared" si="4"/>
        <v/>
      </c>
      <c r="O43" s="1188">
        <f>IF(Targets!I43="","",Targets!I43)</f>
        <v>11</v>
      </c>
      <c r="P43" s="1176" t="str" cm="1">
        <f t="array" ref="P43">IF($AJ43="","",IF(ISBLANK(INDEX(Data_2!$26:$26,1,$AJ43)),"",INDEX(Data_2!$26:$26,1,$AJ43)))</f>
        <v/>
      </c>
      <c r="Q43" s="1183" t="str">
        <f t="shared" si="5"/>
        <v/>
      </c>
      <c r="R43" s="1187">
        <f>IF(Targets!J43="","",Targets!J43)</f>
        <v>0.65</v>
      </c>
      <c r="S43" s="1177" t="str" cm="1">
        <f t="array" ref="S43">IF($AJ43="","",IFERROR(IF(ISBLANK(INDEX(Data_2!$A:$BM,MATCH(EOMONTH($B43,-1)+1,Data_2!$A:$A,0)+3,$AJ43)),"",INDEX(Data_2!$A:$BM,MATCH(EOMONTH($B43,-1)+1,Data_2!$A:$A,0)+3,$AJ43)),""))</f>
        <v/>
      </c>
      <c r="T43" s="1182" t="str">
        <f t="shared" si="6"/>
        <v/>
      </c>
      <c r="U43" s="1188">
        <f>IF(Targets!K43="","",Targets!K43)</f>
        <v>8</v>
      </c>
      <c r="V43" s="1176" t="str" cm="1">
        <f t="array" ref="V43">IF($AJ43="","",IF(ISBLANK(INDEX(Data_2!$93:$93,1,$AJ43)),"",INDEX(Data_2!$93:$93,1,$AJ43)))</f>
        <v/>
      </c>
      <c r="W43" s="1183" t="str">
        <f t="shared" si="7"/>
        <v/>
      </c>
      <c r="X43" s="1187">
        <f>IF(Targets!T43="","",Targets!T43)</f>
        <v>0.2</v>
      </c>
      <c r="Y43" s="1177" t="str" cm="1">
        <f t="array" ref="Y43">IF($AJ43="","",IF(ISBLANK(INDEX(Data_2!$33:$33,1,$AJ43)),"",INDEX(Data_2!$33:$33,1,$AJ43)))</f>
        <v/>
      </c>
      <c r="Z43" s="1182" t="str">
        <f t="shared" si="8"/>
        <v/>
      </c>
      <c r="AA43" s="1187">
        <f>IF(Targets!U43="","",Targets!U43)</f>
        <v>0.24615384615384617</v>
      </c>
      <c r="AB43" s="1177" t="str" cm="1">
        <f t="array" ref="AB43">IF($AJ43="","",IF(ISBLANK(INDEX(Data_2!$34:$34,1,$AJ43)),"",INDEX(Data_2!$34:$34,1,$AJ43)))</f>
        <v/>
      </c>
      <c r="AC43" s="1182" t="str">
        <f t="shared" si="9"/>
        <v/>
      </c>
      <c r="AD43" s="1188">
        <f>IF(Targets!V43="","",Targets!V43)</f>
        <v>4</v>
      </c>
      <c r="AE43" s="1176" t="str" cm="1">
        <f t="array" ref="AE43">IF($AJ43="","",IF(ISBLANK(INDEX(Data_2!$35:$35,1,$AJ43)),"",INDEX(Data_2!$35:$35,1,$AJ43)))</f>
        <v/>
      </c>
      <c r="AF43" s="1183" t="str">
        <f t="shared" si="10"/>
        <v/>
      </c>
      <c r="AG43" s="1189">
        <f>IF(Targets!W43="","",Targets!W43)</f>
        <v>10</v>
      </c>
      <c r="AH43" s="1184" t="str" cm="1">
        <f t="array" ref="AH43">IF($AJ43="","",IF(ISBLANK(INDEX(Data_2!$36:$36,1,$AJ43)),"",INDEX(Data_2!$36:$36,1,$AJ43)))</f>
        <v/>
      </c>
      <c r="AI43" s="1185" t="str">
        <f t="shared" si="11"/>
        <v/>
      </c>
      <c r="AJ43" s="1192" t="str" cm="1">
        <f t="array" ref="AJ43">IFERROR(LOOKUP(2,1/((Data_2!$D$4:$BM$4&gt;=$B43-6)*(Data_2!$D$4:$BM$4&lt;=$B43)),COLUMN(Data_2!$D$4:$BM$4)),"")</f>
        <v/>
      </c>
    </row>
    <row r="44" spans="1:36">
      <c r="A44" s="1181">
        <f t="shared" si="0"/>
        <v>40</v>
      </c>
      <c r="B44" s="1175">
        <f>Targets!B44</f>
        <v>46300</v>
      </c>
      <c r="C44" s="1187">
        <f>IF(Targets!C44="","",Targets!C44)</f>
        <v>0.78977272727272729</v>
      </c>
      <c r="D44" s="1177" t="str" cm="1">
        <f t="array" ref="D44">IF($AJ44="","",IF(ISBLANK(INDEX(Data_2!$6:$6,1,$AJ44)),"",INDEX(Data_2!$6:$6,1,$AJ44)))</f>
        <v/>
      </c>
      <c r="E44" s="1182" t="str">
        <f t="shared" si="1"/>
        <v/>
      </c>
      <c r="F44" s="1188">
        <f>IF(Targets!F44="","",Targets!F44)</f>
        <v>33</v>
      </c>
      <c r="G44" s="1176" t="str" cm="1">
        <f t="array" ref="G44">IF($AJ44="","",IF(ISBLANK(INDEX(Data_2!$16:$16,1,$AJ44)),"",INDEX(Data_2!$16:$16,1,$AJ44)))</f>
        <v/>
      </c>
      <c r="H44" s="1183" t="str">
        <f t="shared" si="2"/>
        <v/>
      </c>
      <c r="I44" s="1188">
        <f>IF(Targets!G44="","",Targets!G44)</f>
        <v>20</v>
      </c>
      <c r="J44" s="1176" t="str" cm="1">
        <f t="array" ref="J44">IF($AJ44="","",IF(ISBLANK(INDEX(Data_2!$18:$18,1,$AJ44)),"",INDEX(Data_2!$18:$18,1,$AJ44)))</f>
        <v/>
      </c>
      <c r="K44" s="1183" t="str">
        <f t="shared" si="3"/>
        <v/>
      </c>
      <c r="L44" s="1188">
        <f>IF(Targets!H44="","",Targets!H44)</f>
        <v>13</v>
      </c>
      <c r="M44" s="1176" t="str" cm="1">
        <f t="array" ref="M44">IF($AJ44="","",IF(ISBLANK(INDEX(Data_2!$23:$23,1,$AJ44)),"",INDEX(Data_2!$23:$23,1,$AJ44)))</f>
        <v/>
      </c>
      <c r="N44" s="1183" t="str">
        <f t="shared" si="4"/>
        <v/>
      </c>
      <c r="O44" s="1188">
        <f>IF(Targets!I44="","",Targets!I44)</f>
        <v>11</v>
      </c>
      <c r="P44" s="1176" t="str" cm="1">
        <f t="array" ref="P44">IF($AJ44="","",IF(ISBLANK(INDEX(Data_2!$26:$26,1,$AJ44)),"",INDEX(Data_2!$26:$26,1,$AJ44)))</f>
        <v/>
      </c>
      <c r="Q44" s="1183" t="str">
        <f t="shared" si="5"/>
        <v/>
      </c>
      <c r="R44" s="1187">
        <f>IF(Targets!J44="","",Targets!J44)</f>
        <v>0.65</v>
      </c>
      <c r="S44" s="1177" t="str" cm="1">
        <f t="array" ref="S44">IF($AJ44="","",IFERROR(IF(ISBLANK(INDEX(Data_2!$A:$BM,MATCH(EOMONTH($B44,-1)+1,Data_2!$A:$A,0)+3,$AJ44)),"",INDEX(Data_2!$A:$BM,MATCH(EOMONTH($B44,-1)+1,Data_2!$A:$A,0)+3,$AJ44)),""))</f>
        <v/>
      </c>
      <c r="T44" s="1182" t="str">
        <f t="shared" si="6"/>
        <v/>
      </c>
      <c r="U44" s="1188">
        <f>IF(Targets!K44="","",Targets!K44)</f>
        <v>7</v>
      </c>
      <c r="V44" s="1176" t="str" cm="1">
        <f t="array" ref="V44">IF($AJ44="","",IF(ISBLANK(INDEX(Data_2!$93:$93,1,$AJ44)),"",INDEX(Data_2!$93:$93,1,$AJ44)))</f>
        <v/>
      </c>
      <c r="W44" s="1183" t="str">
        <f t="shared" si="7"/>
        <v/>
      </c>
      <c r="X44" s="1187">
        <f>IF(Targets!T44="","",Targets!T44)</f>
        <v>0.2</v>
      </c>
      <c r="Y44" s="1177" t="str" cm="1">
        <f t="array" ref="Y44">IF($AJ44="","",IF(ISBLANK(INDEX(Data_2!$33:$33,1,$AJ44)),"",INDEX(Data_2!$33:$33,1,$AJ44)))</f>
        <v/>
      </c>
      <c r="Z44" s="1182" t="str">
        <f t="shared" si="8"/>
        <v/>
      </c>
      <c r="AA44" s="1187">
        <f>IF(Targets!U44="","",Targets!U44)</f>
        <v>0.24615384615384617</v>
      </c>
      <c r="AB44" s="1177" t="str" cm="1">
        <f t="array" ref="AB44">IF($AJ44="","",IF(ISBLANK(INDEX(Data_2!$34:$34,1,$AJ44)),"",INDEX(Data_2!$34:$34,1,$AJ44)))</f>
        <v/>
      </c>
      <c r="AC44" s="1182" t="str">
        <f t="shared" si="9"/>
        <v/>
      </c>
      <c r="AD44" s="1188">
        <f>IF(Targets!V44="","",Targets!V44)</f>
        <v>4</v>
      </c>
      <c r="AE44" s="1176" t="str" cm="1">
        <f t="array" ref="AE44">IF($AJ44="","",IF(ISBLANK(INDEX(Data_2!$35:$35,1,$AJ44)),"",INDEX(Data_2!$35:$35,1,$AJ44)))</f>
        <v/>
      </c>
      <c r="AF44" s="1183" t="str">
        <f t="shared" si="10"/>
        <v/>
      </c>
      <c r="AG44" s="1189">
        <f>IF(Targets!W44="","",Targets!W44)</f>
        <v>10</v>
      </c>
      <c r="AH44" s="1184" t="str" cm="1">
        <f t="array" ref="AH44">IF($AJ44="","",IF(ISBLANK(INDEX(Data_2!$36:$36,1,$AJ44)),"",INDEX(Data_2!$36:$36,1,$AJ44)))</f>
        <v/>
      </c>
      <c r="AI44" s="1185" t="str">
        <f t="shared" si="11"/>
        <v/>
      </c>
      <c r="AJ44" s="1192" t="str" cm="1">
        <f t="array" ref="AJ44">IFERROR(LOOKUP(2,1/((Data_2!$D$4:$BM$4&gt;=$B44-6)*(Data_2!$D$4:$BM$4&lt;=$B44)),COLUMN(Data_2!$D$4:$BM$4)),"")</f>
        <v/>
      </c>
    </row>
    <row r="45" spans="1:36">
      <c r="A45" s="1181">
        <f t="shared" si="0"/>
        <v>41</v>
      </c>
      <c r="B45" s="1175">
        <f>Targets!B45</f>
        <v>46307</v>
      </c>
      <c r="C45" s="1187">
        <f>IF(Targets!C45="","",Targets!C45)</f>
        <v>0.79431818181818181</v>
      </c>
      <c r="D45" s="1177" t="str" cm="1">
        <f t="array" ref="D45">IF($AJ45="","",IF(ISBLANK(INDEX(Data_2!$6:$6,1,$AJ45)),"",INDEX(Data_2!$6:$6,1,$AJ45)))</f>
        <v/>
      </c>
      <c r="E45" s="1182" t="str">
        <f t="shared" si="1"/>
        <v/>
      </c>
      <c r="F45" s="1188">
        <f>IF(Targets!F45="","",Targets!F45)</f>
        <v>33</v>
      </c>
      <c r="G45" s="1176" t="str" cm="1">
        <f t="array" ref="G45">IF($AJ45="","",IF(ISBLANK(INDEX(Data_2!$16:$16,1,$AJ45)),"",INDEX(Data_2!$16:$16,1,$AJ45)))</f>
        <v/>
      </c>
      <c r="H45" s="1183" t="str">
        <f t="shared" si="2"/>
        <v/>
      </c>
      <c r="I45" s="1188">
        <f>IF(Targets!G45="","",Targets!G45)</f>
        <v>20</v>
      </c>
      <c r="J45" s="1176" t="str" cm="1">
        <f t="array" ref="J45">IF($AJ45="","",IF(ISBLANK(INDEX(Data_2!$18:$18,1,$AJ45)),"",INDEX(Data_2!$18:$18,1,$AJ45)))</f>
        <v/>
      </c>
      <c r="K45" s="1183" t="str">
        <f t="shared" si="3"/>
        <v/>
      </c>
      <c r="L45" s="1188">
        <f>IF(Targets!H45="","",Targets!H45)</f>
        <v>13</v>
      </c>
      <c r="M45" s="1176" t="str" cm="1">
        <f t="array" ref="M45">IF($AJ45="","",IF(ISBLANK(INDEX(Data_2!$23:$23,1,$AJ45)),"",INDEX(Data_2!$23:$23,1,$AJ45)))</f>
        <v/>
      </c>
      <c r="N45" s="1183" t="str">
        <f t="shared" si="4"/>
        <v/>
      </c>
      <c r="O45" s="1188">
        <f>IF(Targets!I45="","",Targets!I45)</f>
        <v>11</v>
      </c>
      <c r="P45" s="1176" t="str" cm="1">
        <f t="array" ref="P45">IF($AJ45="","",IF(ISBLANK(INDEX(Data_2!$26:$26,1,$AJ45)),"",INDEX(Data_2!$26:$26,1,$AJ45)))</f>
        <v/>
      </c>
      <c r="Q45" s="1183" t="str">
        <f t="shared" si="5"/>
        <v/>
      </c>
      <c r="R45" s="1187">
        <f>IF(Targets!J45="","",Targets!J45)</f>
        <v>0.65</v>
      </c>
      <c r="S45" s="1177" t="str" cm="1">
        <f t="array" ref="S45">IF($AJ45="","",IFERROR(IF(ISBLANK(INDEX(Data_2!$A:$BM,MATCH(EOMONTH($B45,-1)+1,Data_2!$A:$A,0)+3,$AJ45)),"",INDEX(Data_2!$A:$BM,MATCH(EOMONTH($B45,-1)+1,Data_2!$A:$A,0)+3,$AJ45)),""))</f>
        <v/>
      </c>
      <c r="T45" s="1182" t="str">
        <f t="shared" si="6"/>
        <v/>
      </c>
      <c r="U45" s="1188">
        <f>IF(Targets!K45="","",Targets!K45)</f>
        <v>8</v>
      </c>
      <c r="V45" s="1176" t="str" cm="1">
        <f t="array" ref="V45">IF($AJ45="","",IF(ISBLANK(INDEX(Data_2!$93:$93,1,$AJ45)),"",INDEX(Data_2!$93:$93,1,$AJ45)))</f>
        <v/>
      </c>
      <c r="W45" s="1183" t="str">
        <f t="shared" si="7"/>
        <v/>
      </c>
      <c r="X45" s="1187">
        <f>IF(Targets!T45="","",Targets!T45)</f>
        <v>0.2</v>
      </c>
      <c r="Y45" s="1177" t="str" cm="1">
        <f t="array" ref="Y45">IF($AJ45="","",IF(ISBLANK(INDEX(Data_2!$33:$33,1,$AJ45)),"",INDEX(Data_2!$33:$33,1,$AJ45)))</f>
        <v/>
      </c>
      <c r="Z45" s="1182" t="str">
        <f t="shared" si="8"/>
        <v/>
      </c>
      <c r="AA45" s="1187">
        <f>IF(Targets!U45="","",Targets!U45)</f>
        <v>0.24615384615384617</v>
      </c>
      <c r="AB45" s="1177" t="str" cm="1">
        <f t="array" ref="AB45">IF($AJ45="","",IF(ISBLANK(INDEX(Data_2!$34:$34,1,$AJ45)),"",INDEX(Data_2!$34:$34,1,$AJ45)))</f>
        <v/>
      </c>
      <c r="AC45" s="1182" t="str">
        <f t="shared" si="9"/>
        <v/>
      </c>
      <c r="AD45" s="1188">
        <f>IF(Targets!V45="","",Targets!V45)</f>
        <v>4</v>
      </c>
      <c r="AE45" s="1176" t="str" cm="1">
        <f t="array" ref="AE45">IF($AJ45="","",IF(ISBLANK(INDEX(Data_2!$35:$35,1,$AJ45)),"",INDEX(Data_2!$35:$35,1,$AJ45)))</f>
        <v/>
      </c>
      <c r="AF45" s="1183" t="str">
        <f t="shared" si="10"/>
        <v/>
      </c>
      <c r="AG45" s="1189">
        <f>IF(Targets!W45="","",Targets!W45)</f>
        <v>10</v>
      </c>
      <c r="AH45" s="1184" t="str" cm="1">
        <f t="array" ref="AH45">IF($AJ45="","",IF(ISBLANK(INDEX(Data_2!$36:$36,1,$AJ45)),"",INDEX(Data_2!$36:$36,1,$AJ45)))</f>
        <v/>
      </c>
      <c r="AI45" s="1185" t="str">
        <f t="shared" si="11"/>
        <v/>
      </c>
      <c r="AJ45" s="1192" t="str" cm="1">
        <f t="array" ref="AJ45">IFERROR(LOOKUP(2,1/((Data_2!$D$4:$BM$4&gt;=$B45-6)*(Data_2!$D$4:$BM$4&lt;=$B45)),COLUMN(Data_2!$D$4:$BM$4)),"")</f>
        <v/>
      </c>
    </row>
    <row r="46" spans="1:36">
      <c r="A46" s="1181">
        <f t="shared" si="0"/>
        <v>42</v>
      </c>
      <c r="B46" s="1175">
        <f>Targets!B46</f>
        <v>46314</v>
      </c>
      <c r="C46" s="1187">
        <f>IF(Targets!C46="","",Targets!C46)</f>
        <v>0.79886363636363633</v>
      </c>
      <c r="D46" s="1177" t="str" cm="1">
        <f t="array" ref="D46">IF($AJ46="","",IF(ISBLANK(INDEX(Data_2!$6:$6,1,$AJ46)),"",INDEX(Data_2!$6:$6,1,$AJ46)))</f>
        <v/>
      </c>
      <c r="E46" s="1182" t="str">
        <f t="shared" si="1"/>
        <v/>
      </c>
      <c r="F46" s="1188">
        <f>IF(Targets!F46="","",Targets!F46)</f>
        <v>33</v>
      </c>
      <c r="G46" s="1176" t="str" cm="1">
        <f t="array" ref="G46">IF($AJ46="","",IF(ISBLANK(INDEX(Data_2!$16:$16,1,$AJ46)),"",INDEX(Data_2!$16:$16,1,$AJ46)))</f>
        <v/>
      </c>
      <c r="H46" s="1183" t="str">
        <f t="shared" si="2"/>
        <v/>
      </c>
      <c r="I46" s="1188">
        <f>IF(Targets!G46="","",Targets!G46)</f>
        <v>20</v>
      </c>
      <c r="J46" s="1176" t="str" cm="1">
        <f t="array" ref="J46">IF($AJ46="","",IF(ISBLANK(INDEX(Data_2!$18:$18,1,$AJ46)),"",INDEX(Data_2!$18:$18,1,$AJ46)))</f>
        <v/>
      </c>
      <c r="K46" s="1183" t="str">
        <f t="shared" si="3"/>
        <v/>
      </c>
      <c r="L46" s="1188">
        <f>IF(Targets!H46="","",Targets!H46)</f>
        <v>13</v>
      </c>
      <c r="M46" s="1176" t="str" cm="1">
        <f t="array" ref="M46">IF($AJ46="","",IF(ISBLANK(INDEX(Data_2!$23:$23,1,$AJ46)),"",INDEX(Data_2!$23:$23,1,$AJ46)))</f>
        <v/>
      </c>
      <c r="N46" s="1183" t="str">
        <f t="shared" si="4"/>
        <v/>
      </c>
      <c r="O46" s="1188">
        <f>IF(Targets!I46="","",Targets!I46)</f>
        <v>11</v>
      </c>
      <c r="P46" s="1176" t="str" cm="1">
        <f t="array" ref="P46">IF($AJ46="","",IF(ISBLANK(INDEX(Data_2!$26:$26,1,$AJ46)),"",INDEX(Data_2!$26:$26,1,$AJ46)))</f>
        <v/>
      </c>
      <c r="Q46" s="1183" t="str">
        <f t="shared" si="5"/>
        <v/>
      </c>
      <c r="R46" s="1187">
        <f>IF(Targets!J46="","",Targets!J46)</f>
        <v>0.65</v>
      </c>
      <c r="S46" s="1177" t="str" cm="1">
        <f t="array" ref="S46">IF($AJ46="","",IFERROR(IF(ISBLANK(INDEX(Data_2!$A:$BM,MATCH(EOMONTH($B46,-1)+1,Data_2!$A:$A,0)+3,$AJ46)),"",INDEX(Data_2!$A:$BM,MATCH(EOMONTH($B46,-1)+1,Data_2!$A:$A,0)+3,$AJ46)),""))</f>
        <v/>
      </c>
      <c r="T46" s="1182" t="str">
        <f t="shared" si="6"/>
        <v/>
      </c>
      <c r="U46" s="1188">
        <f>IF(Targets!K46="","",Targets!K46)</f>
        <v>7</v>
      </c>
      <c r="V46" s="1176" t="str" cm="1">
        <f t="array" ref="V46">IF($AJ46="","",IF(ISBLANK(INDEX(Data_2!$93:$93,1,$AJ46)),"",INDEX(Data_2!$93:$93,1,$AJ46)))</f>
        <v/>
      </c>
      <c r="W46" s="1183" t="str">
        <f t="shared" si="7"/>
        <v/>
      </c>
      <c r="X46" s="1187">
        <f>IF(Targets!T46="","",Targets!T46)</f>
        <v>0.2</v>
      </c>
      <c r="Y46" s="1177" t="str" cm="1">
        <f t="array" ref="Y46">IF($AJ46="","",IF(ISBLANK(INDEX(Data_2!$33:$33,1,$AJ46)),"",INDEX(Data_2!$33:$33,1,$AJ46)))</f>
        <v/>
      </c>
      <c r="Z46" s="1182" t="str">
        <f t="shared" si="8"/>
        <v/>
      </c>
      <c r="AA46" s="1187">
        <f>IF(Targets!U46="","",Targets!U46)</f>
        <v>0.24615384615384617</v>
      </c>
      <c r="AB46" s="1177" t="str" cm="1">
        <f t="array" ref="AB46">IF($AJ46="","",IF(ISBLANK(INDEX(Data_2!$34:$34,1,$AJ46)),"",INDEX(Data_2!$34:$34,1,$AJ46)))</f>
        <v/>
      </c>
      <c r="AC46" s="1182" t="str">
        <f t="shared" si="9"/>
        <v/>
      </c>
      <c r="AD46" s="1188">
        <f>IF(Targets!V46="","",Targets!V46)</f>
        <v>4</v>
      </c>
      <c r="AE46" s="1176" t="str" cm="1">
        <f t="array" ref="AE46">IF($AJ46="","",IF(ISBLANK(INDEX(Data_2!$35:$35,1,$AJ46)),"",INDEX(Data_2!$35:$35,1,$AJ46)))</f>
        <v/>
      </c>
      <c r="AF46" s="1183" t="str">
        <f t="shared" si="10"/>
        <v/>
      </c>
      <c r="AG46" s="1189">
        <f>IF(Targets!W46="","",Targets!W46)</f>
        <v>10</v>
      </c>
      <c r="AH46" s="1184" t="str" cm="1">
        <f t="array" ref="AH46">IF($AJ46="","",IF(ISBLANK(INDEX(Data_2!$36:$36,1,$AJ46)),"",INDEX(Data_2!$36:$36,1,$AJ46)))</f>
        <v/>
      </c>
      <c r="AI46" s="1185" t="str">
        <f t="shared" si="11"/>
        <v/>
      </c>
      <c r="AJ46" s="1192" t="str" cm="1">
        <f t="array" ref="AJ46">IFERROR(LOOKUP(2,1/((Data_2!$D$4:$BM$4&gt;=$B46-6)*(Data_2!$D$4:$BM$4&lt;=$B46)),COLUMN(Data_2!$D$4:$BM$4)),"")</f>
        <v/>
      </c>
    </row>
    <row r="47" spans="1:36">
      <c r="A47" s="1181">
        <f t="shared" si="0"/>
        <v>43</v>
      </c>
      <c r="B47" s="1175">
        <f>Targets!B47</f>
        <v>46321</v>
      </c>
      <c r="C47" s="1187">
        <f>IF(Targets!C47="","",Targets!C47)</f>
        <v>0.80340909090909096</v>
      </c>
      <c r="D47" s="1177" t="str" cm="1">
        <f t="array" ref="D47">IF($AJ47="","",IF(ISBLANK(INDEX(Data_2!$6:$6,1,$AJ47)),"",INDEX(Data_2!$6:$6,1,$AJ47)))</f>
        <v/>
      </c>
      <c r="E47" s="1182" t="str">
        <f t="shared" si="1"/>
        <v/>
      </c>
      <c r="F47" s="1188">
        <f>IF(Targets!F47="","",Targets!F47)</f>
        <v>33</v>
      </c>
      <c r="G47" s="1176" t="str" cm="1">
        <f t="array" ref="G47">IF($AJ47="","",IF(ISBLANK(INDEX(Data_2!$16:$16,1,$AJ47)),"",INDEX(Data_2!$16:$16,1,$AJ47)))</f>
        <v/>
      </c>
      <c r="H47" s="1183" t="str">
        <f t="shared" si="2"/>
        <v/>
      </c>
      <c r="I47" s="1188">
        <f>IF(Targets!G47="","",Targets!G47)</f>
        <v>20</v>
      </c>
      <c r="J47" s="1176" t="str" cm="1">
        <f t="array" ref="J47">IF($AJ47="","",IF(ISBLANK(INDEX(Data_2!$18:$18,1,$AJ47)),"",INDEX(Data_2!$18:$18,1,$AJ47)))</f>
        <v/>
      </c>
      <c r="K47" s="1183" t="str">
        <f t="shared" si="3"/>
        <v/>
      </c>
      <c r="L47" s="1188">
        <f>IF(Targets!H47="","",Targets!H47)</f>
        <v>13</v>
      </c>
      <c r="M47" s="1176" t="str" cm="1">
        <f t="array" ref="M47">IF($AJ47="","",IF(ISBLANK(INDEX(Data_2!$23:$23,1,$AJ47)),"",INDEX(Data_2!$23:$23,1,$AJ47)))</f>
        <v/>
      </c>
      <c r="N47" s="1183" t="str">
        <f t="shared" si="4"/>
        <v/>
      </c>
      <c r="O47" s="1188">
        <f>IF(Targets!I47="","",Targets!I47)</f>
        <v>11</v>
      </c>
      <c r="P47" s="1176" t="str" cm="1">
        <f t="array" ref="P47">IF($AJ47="","",IF(ISBLANK(INDEX(Data_2!$26:$26,1,$AJ47)),"",INDEX(Data_2!$26:$26,1,$AJ47)))</f>
        <v/>
      </c>
      <c r="Q47" s="1183" t="str">
        <f t="shared" si="5"/>
        <v/>
      </c>
      <c r="R47" s="1187">
        <f>IF(Targets!J47="","",Targets!J47)</f>
        <v>0.65</v>
      </c>
      <c r="S47" s="1177" t="str" cm="1">
        <f t="array" ref="S47">IF($AJ47="","",IFERROR(IF(ISBLANK(INDEX(Data_2!$A:$BM,MATCH(EOMONTH($B47,-1)+1,Data_2!$A:$A,0)+3,$AJ47)),"",INDEX(Data_2!$A:$BM,MATCH(EOMONTH($B47,-1)+1,Data_2!$A:$A,0)+3,$AJ47)),""))</f>
        <v/>
      </c>
      <c r="T47" s="1182" t="str">
        <f t="shared" si="6"/>
        <v/>
      </c>
      <c r="U47" s="1188">
        <f>IF(Targets!K47="","",Targets!K47)</f>
        <v>6</v>
      </c>
      <c r="V47" s="1176" t="str" cm="1">
        <f t="array" ref="V47">IF($AJ47="","",IF(ISBLANK(INDEX(Data_2!$93:$93,1,$AJ47)),"",INDEX(Data_2!$93:$93,1,$AJ47)))</f>
        <v/>
      </c>
      <c r="W47" s="1183" t="str">
        <f t="shared" si="7"/>
        <v/>
      </c>
      <c r="X47" s="1187">
        <f>IF(Targets!T47="","",Targets!T47)</f>
        <v>0.2</v>
      </c>
      <c r="Y47" s="1177" t="str" cm="1">
        <f t="array" ref="Y47">IF($AJ47="","",IF(ISBLANK(INDEX(Data_2!$33:$33,1,$AJ47)),"",INDEX(Data_2!$33:$33,1,$AJ47)))</f>
        <v/>
      </c>
      <c r="Z47" s="1182" t="str">
        <f t="shared" si="8"/>
        <v/>
      </c>
      <c r="AA47" s="1187">
        <f>IF(Targets!U47="","",Targets!U47)</f>
        <v>0.24615384615384617</v>
      </c>
      <c r="AB47" s="1177" t="str" cm="1">
        <f t="array" ref="AB47">IF($AJ47="","",IF(ISBLANK(INDEX(Data_2!$34:$34,1,$AJ47)),"",INDEX(Data_2!$34:$34,1,$AJ47)))</f>
        <v/>
      </c>
      <c r="AC47" s="1182" t="str">
        <f t="shared" si="9"/>
        <v/>
      </c>
      <c r="AD47" s="1188">
        <f>IF(Targets!V47="","",Targets!V47)</f>
        <v>4</v>
      </c>
      <c r="AE47" s="1176" t="str" cm="1">
        <f t="array" ref="AE47">IF($AJ47="","",IF(ISBLANK(INDEX(Data_2!$35:$35,1,$AJ47)),"",INDEX(Data_2!$35:$35,1,$AJ47)))</f>
        <v/>
      </c>
      <c r="AF47" s="1183" t="str">
        <f t="shared" si="10"/>
        <v/>
      </c>
      <c r="AG47" s="1189">
        <f>IF(Targets!W47="","",Targets!W47)</f>
        <v>10</v>
      </c>
      <c r="AH47" s="1184" t="str" cm="1">
        <f t="array" ref="AH47">IF($AJ47="","",IF(ISBLANK(INDEX(Data_2!$36:$36,1,$AJ47)),"",INDEX(Data_2!$36:$36,1,$AJ47)))</f>
        <v/>
      </c>
      <c r="AI47" s="1185" t="str">
        <f t="shared" si="11"/>
        <v/>
      </c>
      <c r="AJ47" s="1192" t="str" cm="1">
        <f t="array" ref="AJ47">IFERROR(LOOKUP(2,1/((Data_2!$D$4:$BM$4&gt;=$B47-6)*(Data_2!$D$4:$BM$4&lt;=$B47)),COLUMN(Data_2!$D$4:$BM$4)),"")</f>
        <v/>
      </c>
    </row>
    <row r="48" spans="1:36">
      <c r="A48" s="1181">
        <f t="shared" si="0"/>
        <v>44</v>
      </c>
      <c r="B48" s="1175">
        <f>Targets!B48</f>
        <v>46328</v>
      </c>
      <c r="C48" s="1187">
        <f>IF(Targets!C48="","",Targets!C48)</f>
        <v>0.80795454545454548</v>
      </c>
      <c r="D48" s="1177" t="str" cm="1">
        <f t="array" ref="D48">IF($AJ48="","",IF(ISBLANK(INDEX(Data_2!$6:$6,1,$AJ48)),"",INDEX(Data_2!$6:$6,1,$AJ48)))</f>
        <v/>
      </c>
      <c r="E48" s="1182" t="str">
        <f t="shared" si="1"/>
        <v/>
      </c>
      <c r="F48" s="1188">
        <f>IF(Targets!F48="","",Targets!F48)</f>
        <v>33</v>
      </c>
      <c r="G48" s="1176" t="str" cm="1">
        <f t="array" ref="G48">IF($AJ48="","",IF(ISBLANK(INDEX(Data_2!$16:$16,1,$AJ48)),"",INDEX(Data_2!$16:$16,1,$AJ48)))</f>
        <v/>
      </c>
      <c r="H48" s="1183" t="str">
        <f t="shared" si="2"/>
        <v/>
      </c>
      <c r="I48" s="1188">
        <f>IF(Targets!G48="","",Targets!G48)</f>
        <v>20</v>
      </c>
      <c r="J48" s="1176" t="str" cm="1">
        <f t="array" ref="J48">IF($AJ48="","",IF(ISBLANK(INDEX(Data_2!$18:$18,1,$AJ48)),"",INDEX(Data_2!$18:$18,1,$AJ48)))</f>
        <v/>
      </c>
      <c r="K48" s="1183" t="str">
        <f t="shared" si="3"/>
        <v/>
      </c>
      <c r="L48" s="1188">
        <f>IF(Targets!H48="","",Targets!H48)</f>
        <v>13</v>
      </c>
      <c r="M48" s="1176" t="str" cm="1">
        <f t="array" ref="M48">IF($AJ48="","",IF(ISBLANK(INDEX(Data_2!$23:$23,1,$AJ48)),"",INDEX(Data_2!$23:$23,1,$AJ48)))</f>
        <v/>
      </c>
      <c r="N48" s="1183" t="str">
        <f t="shared" si="4"/>
        <v/>
      </c>
      <c r="O48" s="1188">
        <f>IF(Targets!I48="","",Targets!I48)</f>
        <v>11</v>
      </c>
      <c r="P48" s="1176" t="str" cm="1">
        <f t="array" ref="P48">IF($AJ48="","",IF(ISBLANK(INDEX(Data_2!$26:$26,1,$AJ48)),"",INDEX(Data_2!$26:$26,1,$AJ48)))</f>
        <v/>
      </c>
      <c r="Q48" s="1183" t="str">
        <f t="shared" si="5"/>
        <v/>
      </c>
      <c r="R48" s="1187">
        <f>IF(Targets!J48="","",Targets!J48)</f>
        <v>0.65</v>
      </c>
      <c r="S48" s="1177" t="str" cm="1">
        <f t="array" ref="S48">IF($AJ48="","",IFERROR(IF(ISBLANK(INDEX(Data_2!$A:$BM,MATCH(EOMONTH($B48,-1)+1,Data_2!$A:$A,0)+3,$AJ48)),"",INDEX(Data_2!$A:$BM,MATCH(EOMONTH($B48,-1)+1,Data_2!$A:$A,0)+3,$AJ48)),""))</f>
        <v/>
      </c>
      <c r="T48" s="1182" t="str">
        <f t="shared" si="6"/>
        <v/>
      </c>
      <c r="U48" s="1188">
        <f>IF(Targets!K48="","",Targets!K48)</f>
        <v>6</v>
      </c>
      <c r="V48" s="1176" t="str" cm="1">
        <f t="array" ref="V48">IF($AJ48="","",IF(ISBLANK(INDEX(Data_2!$93:$93,1,$AJ48)),"",INDEX(Data_2!$93:$93,1,$AJ48)))</f>
        <v/>
      </c>
      <c r="W48" s="1183" t="str">
        <f t="shared" si="7"/>
        <v/>
      </c>
      <c r="X48" s="1187">
        <f>IF(Targets!T48="","",Targets!T48)</f>
        <v>0.2</v>
      </c>
      <c r="Y48" s="1177" t="str" cm="1">
        <f t="array" ref="Y48">IF($AJ48="","",IF(ISBLANK(INDEX(Data_2!$33:$33,1,$AJ48)),"",INDEX(Data_2!$33:$33,1,$AJ48)))</f>
        <v/>
      </c>
      <c r="Z48" s="1182" t="str">
        <f t="shared" si="8"/>
        <v/>
      </c>
      <c r="AA48" s="1187">
        <f>IF(Targets!U48="","",Targets!U48)</f>
        <v>0.24615384615384617</v>
      </c>
      <c r="AB48" s="1177" t="str" cm="1">
        <f t="array" ref="AB48">IF($AJ48="","",IF(ISBLANK(INDEX(Data_2!$34:$34,1,$AJ48)),"",INDEX(Data_2!$34:$34,1,$AJ48)))</f>
        <v/>
      </c>
      <c r="AC48" s="1182" t="str">
        <f t="shared" si="9"/>
        <v/>
      </c>
      <c r="AD48" s="1188">
        <f>IF(Targets!V48="","",Targets!V48)</f>
        <v>4</v>
      </c>
      <c r="AE48" s="1176" t="str" cm="1">
        <f t="array" ref="AE48">IF($AJ48="","",IF(ISBLANK(INDEX(Data_2!$35:$35,1,$AJ48)),"",INDEX(Data_2!$35:$35,1,$AJ48)))</f>
        <v/>
      </c>
      <c r="AF48" s="1183" t="str">
        <f t="shared" si="10"/>
        <v/>
      </c>
      <c r="AG48" s="1189">
        <f>IF(Targets!W48="","",Targets!W48)</f>
        <v>10</v>
      </c>
      <c r="AH48" s="1184" t="str" cm="1">
        <f t="array" ref="AH48">IF($AJ48="","",IF(ISBLANK(INDEX(Data_2!$36:$36,1,$AJ48)),"",INDEX(Data_2!$36:$36,1,$AJ48)))</f>
        <v/>
      </c>
      <c r="AI48" s="1185" t="str">
        <f t="shared" si="11"/>
        <v/>
      </c>
      <c r="AJ48" s="1192" t="str" cm="1">
        <f t="array" ref="AJ48">IFERROR(LOOKUP(2,1/((Data_2!$D$4:$BM$4&gt;=$B48-6)*(Data_2!$D$4:$BM$4&lt;=$B48)),COLUMN(Data_2!$D$4:$BM$4)),"")</f>
        <v/>
      </c>
    </row>
    <row r="49" spans="1:36">
      <c r="A49" s="1181">
        <f t="shared" si="0"/>
        <v>45</v>
      </c>
      <c r="B49" s="1175">
        <f>Targets!B49</f>
        <v>46335</v>
      </c>
      <c r="C49" s="1187">
        <f>IF(Targets!C49="","",Targets!C49)</f>
        <v>0.8125</v>
      </c>
      <c r="D49" s="1177" t="str" cm="1">
        <f t="array" ref="D49">IF($AJ49="","",IF(ISBLANK(INDEX(Data_2!$6:$6,1,$AJ49)),"",INDEX(Data_2!$6:$6,1,$AJ49)))</f>
        <v/>
      </c>
      <c r="E49" s="1182" t="str">
        <f t="shared" si="1"/>
        <v/>
      </c>
      <c r="F49" s="1188">
        <f>IF(Targets!F49="","",Targets!F49)</f>
        <v>33</v>
      </c>
      <c r="G49" s="1176" t="str" cm="1">
        <f t="array" ref="G49">IF($AJ49="","",IF(ISBLANK(INDEX(Data_2!$16:$16,1,$AJ49)),"",INDEX(Data_2!$16:$16,1,$AJ49)))</f>
        <v/>
      </c>
      <c r="H49" s="1183" t="str">
        <f t="shared" si="2"/>
        <v/>
      </c>
      <c r="I49" s="1188">
        <f>IF(Targets!G49="","",Targets!G49)</f>
        <v>20</v>
      </c>
      <c r="J49" s="1176" t="str" cm="1">
        <f t="array" ref="J49">IF($AJ49="","",IF(ISBLANK(INDEX(Data_2!$18:$18,1,$AJ49)),"",INDEX(Data_2!$18:$18,1,$AJ49)))</f>
        <v/>
      </c>
      <c r="K49" s="1183" t="str">
        <f t="shared" si="3"/>
        <v/>
      </c>
      <c r="L49" s="1188">
        <f>IF(Targets!H49="","",Targets!H49)</f>
        <v>13</v>
      </c>
      <c r="M49" s="1176" t="str" cm="1">
        <f t="array" ref="M49">IF($AJ49="","",IF(ISBLANK(INDEX(Data_2!$23:$23,1,$AJ49)),"",INDEX(Data_2!$23:$23,1,$AJ49)))</f>
        <v/>
      </c>
      <c r="N49" s="1183" t="str">
        <f t="shared" si="4"/>
        <v/>
      </c>
      <c r="O49" s="1188">
        <f>IF(Targets!I49="","",Targets!I49)</f>
        <v>11</v>
      </c>
      <c r="P49" s="1176" t="str" cm="1">
        <f t="array" ref="P49">IF($AJ49="","",IF(ISBLANK(INDEX(Data_2!$26:$26,1,$AJ49)),"",INDEX(Data_2!$26:$26,1,$AJ49)))</f>
        <v/>
      </c>
      <c r="Q49" s="1183" t="str">
        <f t="shared" si="5"/>
        <v/>
      </c>
      <c r="R49" s="1187">
        <f>IF(Targets!J49="","",Targets!J49)</f>
        <v>0.65</v>
      </c>
      <c r="S49" s="1177" t="str" cm="1">
        <f t="array" ref="S49">IF($AJ49="","",IFERROR(IF(ISBLANK(INDEX(Data_2!$A:$BM,MATCH(EOMONTH($B49,-1)+1,Data_2!$A:$A,0)+3,$AJ49)),"",INDEX(Data_2!$A:$BM,MATCH(EOMONTH($B49,-1)+1,Data_2!$A:$A,0)+3,$AJ49)),""))</f>
        <v/>
      </c>
      <c r="T49" s="1182" t="str">
        <f t="shared" si="6"/>
        <v/>
      </c>
      <c r="U49" s="1188">
        <f>IF(Targets!K49="","",Targets!K49)</f>
        <v>7</v>
      </c>
      <c r="V49" s="1176" t="str" cm="1">
        <f t="array" ref="V49">IF($AJ49="","",IF(ISBLANK(INDEX(Data_2!$93:$93,1,$AJ49)),"",INDEX(Data_2!$93:$93,1,$AJ49)))</f>
        <v/>
      </c>
      <c r="W49" s="1183" t="str">
        <f t="shared" si="7"/>
        <v/>
      </c>
      <c r="X49" s="1187">
        <f>IF(Targets!T49="","",Targets!T49)</f>
        <v>0.2</v>
      </c>
      <c r="Y49" s="1177" t="str" cm="1">
        <f t="array" ref="Y49">IF($AJ49="","",IF(ISBLANK(INDEX(Data_2!$33:$33,1,$AJ49)),"",INDEX(Data_2!$33:$33,1,$AJ49)))</f>
        <v/>
      </c>
      <c r="Z49" s="1182" t="str">
        <f t="shared" si="8"/>
        <v/>
      </c>
      <c r="AA49" s="1187">
        <f>IF(Targets!U49="","",Targets!U49)</f>
        <v>0.24615384615384617</v>
      </c>
      <c r="AB49" s="1177" t="str" cm="1">
        <f t="array" ref="AB49">IF($AJ49="","",IF(ISBLANK(INDEX(Data_2!$34:$34,1,$AJ49)),"",INDEX(Data_2!$34:$34,1,$AJ49)))</f>
        <v/>
      </c>
      <c r="AC49" s="1182" t="str">
        <f t="shared" si="9"/>
        <v/>
      </c>
      <c r="AD49" s="1188">
        <f>IF(Targets!V49="","",Targets!V49)</f>
        <v>4</v>
      </c>
      <c r="AE49" s="1176" t="str" cm="1">
        <f t="array" ref="AE49">IF($AJ49="","",IF(ISBLANK(INDEX(Data_2!$35:$35,1,$AJ49)),"",INDEX(Data_2!$35:$35,1,$AJ49)))</f>
        <v/>
      </c>
      <c r="AF49" s="1183" t="str">
        <f t="shared" si="10"/>
        <v/>
      </c>
      <c r="AG49" s="1189">
        <f>IF(Targets!W49="","",Targets!W49)</f>
        <v>10</v>
      </c>
      <c r="AH49" s="1184" t="str" cm="1">
        <f t="array" ref="AH49">IF($AJ49="","",IF(ISBLANK(INDEX(Data_2!$36:$36,1,$AJ49)),"",INDEX(Data_2!$36:$36,1,$AJ49)))</f>
        <v/>
      </c>
      <c r="AI49" s="1185" t="str">
        <f t="shared" si="11"/>
        <v/>
      </c>
      <c r="AJ49" s="1192" t="str" cm="1">
        <f t="array" ref="AJ49">IFERROR(LOOKUP(2,1/((Data_2!$D$4:$BM$4&gt;=$B49-6)*(Data_2!$D$4:$BM$4&lt;=$B49)),COLUMN(Data_2!$D$4:$BM$4)),"")</f>
        <v/>
      </c>
    </row>
    <row r="50" spans="1:36">
      <c r="A50" s="1181">
        <f t="shared" si="0"/>
        <v>46</v>
      </c>
      <c r="B50" s="1175">
        <f>Targets!B50</f>
        <v>46342</v>
      </c>
      <c r="C50" s="1187">
        <f>IF(Targets!C50="","",Targets!C50)</f>
        <v>0.81704545454545452</v>
      </c>
      <c r="D50" s="1177" t="str" cm="1">
        <f t="array" ref="D50">IF($AJ50="","",IF(ISBLANK(INDEX(Data_2!$6:$6,1,$AJ50)),"",INDEX(Data_2!$6:$6,1,$AJ50)))</f>
        <v/>
      </c>
      <c r="E50" s="1182" t="str">
        <f t="shared" si="1"/>
        <v/>
      </c>
      <c r="F50" s="1188">
        <f>IF(Targets!F50="","",Targets!F50)</f>
        <v>33</v>
      </c>
      <c r="G50" s="1176" t="str" cm="1">
        <f t="array" ref="G50">IF($AJ50="","",IF(ISBLANK(INDEX(Data_2!$16:$16,1,$AJ50)),"",INDEX(Data_2!$16:$16,1,$AJ50)))</f>
        <v/>
      </c>
      <c r="H50" s="1183" t="str">
        <f t="shared" si="2"/>
        <v/>
      </c>
      <c r="I50" s="1188">
        <f>IF(Targets!G50="","",Targets!G50)</f>
        <v>20</v>
      </c>
      <c r="J50" s="1176" t="str" cm="1">
        <f t="array" ref="J50">IF($AJ50="","",IF(ISBLANK(INDEX(Data_2!$18:$18,1,$AJ50)),"",INDEX(Data_2!$18:$18,1,$AJ50)))</f>
        <v/>
      </c>
      <c r="K50" s="1183" t="str">
        <f t="shared" si="3"/>
        <v/>
      </c>
      <c r="L50" s="1188">
        <f>IF(Targets!H50="","",Targets!H50)</f>
        <v>13</v>
      </c>
      <c r="M50" s="1176" t="str" cm="1">
        <f t="array" ref="M50">IF($AJ50="","",IF(ISBLANK(INDEX(Data_2!$23:$23,1,$AJ50)),"",INDEX(Data_2!$23:$23,1,$AJ50)))</f>
        <v/>
      </c>
      <c r="N50" s="1183" t="str">
        <f t="shared" si="4"/>
        <v/>
      </c>
      <c r="O50" s="1188">
        <f>IF(Targets!I50="","",Targets!I50)</f>
        <v>11</v>
      </c>
      <c r="P50" s="1176" t="str" cm="1">
        <f t="array" ref="P50">IF($AJ50="","",IF(ISBLANK(INDEX(Data_2!$26:$26,1,$AJ50)),"",INDEX(Data_2!$26:$26,1,$AJ50)))</f>
        <v/>
      </c>
      <c r="Q50" s="1183" t="str">
        <f t="shared" si="5"/>
        <v/>
      </c>
      <c r="R50" s="1187">
        <f>IF(Targets!J50="","",Targets!J50)</f>
        <v>0.65</v>
      </c>
      <c r="S50" s="1177" t="str" cm="1">
        <f t="array" ref="S50">IF($AJ50="","",IFERROR(IF(ISBLANK(INDEX(Data_2!$A:$BM,MATCH(EOMONTH($B50,-1)+1,Data_2!$A:$A,0)+3,$AJ50)),"",INDEX(Data_2!$A:$BM,MATCH(EOMONTH($B50,-1)+1,Data_2!$A:$A,0)+3,$AJ50)),""))</f>
        <v/>
      </c>
      <c r="T50" s="1182" t="str">
        <f t="shared" si="6"/>
        <v/>
      </c>
      <c r="U50" s="1188">
        <f>IF(Targets!K50="","",Targets!K50)</f>
        <v>6</v>
      </c>
      <c r="V50" s="1176" t="str" cm="1">
        <f t="array" ref="V50">IF($AJ50="","",IF(ISBLANK(INDEX(Data_2!$93:$93,1,$AJ50)),"",INDEX(Data_2!$93:$93,1,$AJ50)))</f>
        <v/>
      </c>
      <c r="W50" s="1183" t="str">
        <f t="shared" si="7"/>
        <v/>
      </c>
      <c r="X50" s="1187">
        <f>IF(Targets!T50="","",Targets!T50)</f>
        <v>0.2</v>
      </c>
      <c r="Y50" s="1177" t="str" cm="1">
        <f t="array" ref="Y50">IF($AJ50="","",IF(ISBLANK(INDEX(Data_2!$33:$33,1,$AJ50)),"",INDEX(Data_2!$33:$33,1,$AJ50)))</f>
        <v/>
      </c>
      <c r="Z50" s="1182" t="str">
        <f t="shared" si="8"/>
        <v/>
      </c>
      <c r="AA50" s="1187">
        <f>IF(Targets!U50="","",Targets!U50)</f>
        <v>0.24615384615384617</v>
      </c>
      <c r="AB50" s="1177" t="str" cm="1">
        <f t="array" ref="AB50">IF($AJ50="","",IF(ISBLANK(INDEX(Data_2!$34:$34,1,$AJ50)),"",INDEX(Data_2!$34:$34,1,$AJ50)))</f>
        <v/>
      </c>
      <c r="AC50" s="1182" t="str">
        <f t="shared" si="9"/>
        <v/>
      </c>
      <c r="AD50" s="1188">
        <f>IF(Targets!V50="","",Targets!V50)</f>
        <v>4</v>
      </c>
      <c r="AE50" s="1176" t="str" cm="1">
        <f t="array" ref="AE50">IF($AJ50="","",IF(ISBLANK(INDEX(Data_2!$35:$35,1,$AJ50)),"",INDEX(Data_2!$35:$35,1,$AJ50)))</f>
        <v/>
      </c>
      <c r="AF50" s="1183" t="str">
        <f t="shared" si="10"/>
        <v/>
      </c>
      <c r="AG50" s="1189">
        <f>IF(Targets!W50="","",Targets!W50)</f>
        <v>10</v>
      </c>
      <c r="AH50" s="1184" t="str" cm="1">
        <f t="array" ref="AH50">IF($AJ50="","",IF(ISBLANK(INDEX(Data_2!$36:$36,1,$AJ50)),"",INDEX(Data_2!$36:$36,1,$AJ50)))</f>
        <v/>
      </c>
      <c r="AI50" s="1185" t="str">
        <f t="shared" si="11"/>
        <v/>
      </c>
      <c r="AJ50" s="1192" t="str" cm="1">
        <f t="array" ref="AJ50">IFERROR(LOOKUP(2,1/((Data_2!$D$4:$BM$4&gt;=$B50-6)*(Data_2!$D$4:$BM$4&lt;=$B50)),COLUMN(Data_2!$D$4:$BM$4)),"")</f>
        <v/>
      </c>
    </row>
    <row r="51" spans="1:36">
      <c r="A51" s="1181">
        <f t="shared" si="0"/>
        <v>47</v>
      </c>
      <c r="B51" s="1175">
        <f>Targets!B51</f>
        <v>46349</v>
      </c>
      <c r="C51" s="1187">
        <f>IF(Targets!C51="","",Targets!C51)</f>
        <v>0.82159090909090904</v>
      </c>
      <c r="D51" s="1177" t="str" cm="1">
        <f t="array" ref="D51">IF($AJ51="","",IF(ISBLANK(INDEX(Data_2!$6:$6,1,$AJ51)),"",INDEX(Data_2!$6:$6,1,$AJ51)))</f>
        <v/>
      </c>
      <c r="E51" s="1182" t="str">
        <f t="shared" si="1"/>
        <v/>
      </c>
      <c r="F51" s="1188">
        <f>IF(Targets!F51="","",Targets!F51)</f>
        <v>33</v>
      </c>
      <c r="G51" s="1176" t="str" cm="1">
        <f t="array" ref="G51">IF($AJ51="","",IF(ISBLANK(INDEX(Data_2!$16:$16,1,$AJ51)),"",INDEX(Data_2!$16:$16,1,$AJ51)))</f>
        <v/>
      </c>
      <c r="H51" s="1183" t="str">
        <f t="shared" si="2"/>
        <v/>
      </c>
      <c r="I51" s="1188">
        <f>IF(Targets!G51="","",Targets!G51)</f>
        <v>20</v>
      </c>
      <c r="J51" s="1176" t="str" cm="1">
        <f t="array" ref="J51">IF($AJ51="","",IF(ISBLANK(INDEX(Data_2!$18:$18,1,$AJ51)),"",INDEX(Data_2!$18:$18,1,$AJ51)))</f>
        <v/>
      </c>
      <c r="K51" s="1183" t="str">
        <f t="shared" si="3"/>
        <v/>
      </c>
      <c r="L51" s="1188">
        <f>IF(Targets!H51="","",Targets!H51)</f>
        <v>13</v>
      </c>
      <c r="M51" s="1176" t="str" cm="1">
        <f t="array" ref="M51">IF($AJ51="","",IF(ISBLANK(INDEX(Data_2!$23:$23,1,$AJ51)),"",INDEX(Data_2!$23:$23,1,$AJ51)))</f>
        <v/>
      </c>
      <c r="N51" s="1183" t="str">
        <f t="shared" si="4"/>
        <v/>
      </c>
      <c r="O51" s="1188">
        <f>IF(Targets!I51="","",Targets!I51)</f>
        <v>11</v>
      </c>
      <c r="P51" s="1176" t="str" cm="1">
        <f t="array" ref="P51">IF($AJ51="","",IF(ISBLANK(INDEX(Data_2!$26:$26,1,$AJ51)),"",INDEX(Data_2!$26:$26,1,$AJ51)))</f>
        <v/>
      </c>
      <c r="Q51" s="1183" t="str">
        <f t="shared" si="5"/>
        <v/>
      </c>
      <c r="R51" s="1187">
        <f>IF(Targets!J51="","",Targets!J51)</f>
        <v>0.65</v>
      </c>
      <c r="S51" s="1177" t="str" cm="1">
        <f t="array" ref="S51">IF($AJ51="","",IFERROR(IF(ISBLANK(INDEX(Data_2!$A:$BM,MATCH(EOMONTH($B51,-1)+1,Data_2!$A:$A,0)+3,$AJ51)),"",INDEX(Data_2!$A:$BM,MATCH(EOMONTH($B51,-1)+1,Data_2!$A:$A,0)+3,$AJ51)),""))</f>
        <v/>
      </c>
      <c r="T51" s="1182" t="str">
        <f t="shared" si="6"/>
        <v/>
      </c>
      <c r="U51" s="1188">
        <f>IF(Targets!K51="","",Targets!K51)</f>
        <v>6</v>
      </c>
      <c r="V51" s="1176" t="str" cm="1">
        <f t="array" ref="V51">IF($AJ51="","",IF(ISBLANK(INDEX(Data_2!$93:$93,1,$AJ51)),"",INDEX(Data_2!$93:$93,1,$AJ51)))</f>
        <v/>
      </c>
      <c r="W51" s="1183" t="str">
        <f t="shared" si="7"/>
        <v/>
      </c>
      <c r="X51" s="1187">
        <f>IF(Targets!T51="","",Targets!T51)</f>
        <v>0.2</v>
      </c>
      <c r="Y51" s="1177" t="str" cm="1">
        <f t="array" ref="Y51">IF($AJ51="","",IF(ISBLANK(INDEX(Data_2!$33:$33,1,$AJ51)),"",INDEX(Data_2!$33:$33,1,$AJ51)))</f>
        <v/>
      </c>
      <c r="Z51" s="1182" t="str">
        <f t="shared" si="8"/>
        <v/>
      </c>
      <c r="AA51" s="1187">
        <f>IF(Targets!U51="","",Targets!U51)</f>
        <v>0.24615384615384617</v>
      </c>
      <c r="AB51" s="1177" t="str" cm="1">
        <f t="array" ref="AB51">IF($AJ51="","",IF(ISBLANK(INDEX(Data_2!$34:$34,1,$AJ51)),"",INDEX(Data_2!$34:$34,1,$AJ51)))</f>
        <v/>
      </c>
      <c r="AC51" s="1182" t="str">
        <f t="shared" si="9"/>
        <v/>
      </c>
      <c r="AD51" s="1188">
        <f>IF(Targets!V51="","",Targets!V51)</f>
        <v>4</v>
      </c>
      <c r="AE51" s="1176" t="str" cm="1">
        <f t="array" ref="AE51">IF($AJ51="","",IF(ISBLANK(INDEX(Data_2!$35:$35,1,$AJ51)),"",INDEX(Data_2!$35:$35,1,$AJ51)))</f>
        <v/>
      </c>
      <c r="AF51" s="1183" t="str">
        <f t="shared" si="10"/>
        <v/>
      </c>
      <c r="AG51" s="1189">
        <f>IF(Targets!W51="","",Targets!W51)</f>
        <v>10</v>
      </c>
      <c r="AH51" s="1184" t="str" cm="1">
        <f t="array" ref="AH51">IF($AJ51="","",IF(ISBLANK(INDEX(Data_2!$36:$36,1,$AJ51)),"",INDEX(Data_2!$36:$36,1,$AJ51)))</f>
        <v/>
      </c>
      <c r="AI51" s="1185" t="str">
        <f t="shared" si="11"/>
        <v/>
      </c>
      <c r="AJ51" s="1192" t="str" cm="1">
        <f t="array" ref="AJ51">IFERROR(LOOKUP(2,1/((Data_2!$D$4:$BM$4&gt;=$B51-6)*(Data_2!$D$4:$BM$4&lt;=$B51)),COLUMN(Data_2!$D$4:$BM$4)),"")</f>
        <v/>
      </c>
    </row>
    <row r="52" spans="1:36">
      <c r="A52" s="1181">
        <f t="shared" si="0"/>
        <v>48</v>
      </c>
      <c r="B52" s="1175">
        <f>Targets!B52</f>
        <v>46356</v>
      </c>
      <c r="C52" s="1187">
        <f>IF(Targets!C52="","",Targets!C52)</f>
        <v>0.82727272727272727</v>
      </c>
      <c r="D52" s="1177" t="str" cm="1">
        <f t="array" ref="D52">IF($AJ52="","",IF(ISBLANK(INDEX(Data_2!$6:$6,1,$AJ52)),"",INDEX(Data_2!$6:$6,1,$AJ52)))</f>
        <v/>
      </c>
      <c r="E52" s="1182" t="str">
        <f t="shared" si="1"/>
        <v/>
      </c>
      <c r="F52" s="1188">
        <f>IF(Targets!F52="","",Targets!F52)</f>
        <v>33</v>
      </c>
      <c r="G52" s="1176" t="str" cm="1">
        <f t="array" ref="G52">IF($AJ52="","",IF(ISBLANK(INDEX(Data_2!$16:$16,1,$AJ52)),"",INDEX(Data_2!$16:$16,1,$AJ52)))</f>
        <v/>
      </c>
      <c r="H52" s="1183" t="str">
        <f t="shared" si="2"/>
        <v/>
      </c>
      <c r="I52" s="1188">
        <f>IF(Targets!G52="","",Targets!G52)</f>
        <v>20</v>
      </c>
      <c r="J52" s="1176" t="str" cm="1">
        <f t="array" ref="J52">IF($AJ52="","",IF(ISBLANK(INDEX(Data_2!$18:$18,1,$AJ52)),"",INDEX(Data_2!$18:$18,1,$AJ52)))</f>
        <v/>
      </c>
      <c r="K52" s="1183" t="str">
        <f t="shared" si="3"/>
        <v/>
      </c>
      <c r="L52" s="1188">
        <f>IF(Targets!H52="","",Targets!H52)</f>
        <v>13</v>
      </c>
      <c r="M52" s="1176" t="str" cm="1">
        <f t="array" ref="M52">IF($AJ52="","",IF(ISBLANK(INDEX(Data_2!$23:$23,1,$AJ52)),"",INDEX(Data_2!$23:$23,1,$AJ52)))</f>
        <v/>
      </c>
      <c r="N52" s="1183" t="str">
        <f t="shared" si="4"/>
        <v/>
      </c>
      <c r="O52" s="1188">
        <f>IF(Targets!I52="","",Targets!I52)</f>
        <v>11</v>
      </c>
      <c r="P52" s="1176" t="str" cm="1">
        <f t="array" ref="P52">IF($AJ52="","",IF(ISBLANK(INDEX(Data_2!$26:$26,1,$AJ52)),"",INDEX(Data_2!$26:$26,1,$AJ52)))</f>
        <v/>
      </c>
      <c r="Q52" s="1183" t="str">
        <f t="shared" si="5"/>
        <v/>
      </c>
      <c r="R52" s="1187">
        <f>IF(Targets!J52="","",Targets!J52)</f>
        <v>0.65</v>
      </c>
      <c r="S52" s="1177" t="str" cm="1">
        <f t="array" ref="S52">IF($AJ52="","",IFERROR(IF(ISBLANK(INDEX(Data_2!$A:$BM,MATCH(EOMONTH($B52,-1)+1,Data_2!$A:$A,0)+3,$AJ52)),"",INDEX(Data_2!$A:$BM,MATCH(EOMONTH($B52,-1)+1,Data_2!$A:$A,0)+3,$AJ52)),""))</f>
        <v/>
      </c>
      <c r="T52" s="1182" t="str">
        <f t="shared" si="6"/>
        <v/>
      </c>
      <c r="U52" s="1188">
        <f>IF(Targets!K52="","",Targets!K52)</f>
        <v>5</v>
      </c>
      <c r="V52" s="1176" t="str" cm="1">
        <f t="array" ref="V52">IF($AJ52="","",IF(ISBLANK(INDEX(Data_2!$93:$93,1,$AJ52)),"",INDEX(Data_2!$93:$93,1,$AJ52)))</f>
        <v/>
      </c>
      <c r="W52" s="1183" t="str">
        <f t="shared" si="7"/>
        <v/>
      </c>
      <c r="X52" s="1187">
        <f>IF(Targets!T52="","",Targets!T52)</f>
        <v>0.2</v>
      </c>
      <c r="Y52" s="1177" t="str" cm="1">
        <f t="array" ref="Y52">IF($AJ52="","",IF(ISBLANK(INDEX(Data_2!$33:$33,1,$AJ52)),"",INDEX(Data_2!$33:$33,1,$AJ52)))</f>
        <v/>
      </c>
      <c r="Z52" s="1182" t="str">
        <f t="shared" si="8"/>
        <v/>
      </c>
      <c r="AA52" s="1187">
        <f>IF(Targets!U52="","",Targets!U52)</f>
        <v>0.24615384615384617</v>
      </c>
      <c r="AB52" s="1177" t="str" cm="1">
        <f t="array" ref="AB52">IF($AJ52="","",IF(ISBLANK(INDEX(Data_2!$34:$34,1,$AJ52)),"",INDEX(Data_2!$34:$34,1,$AJ52)))</f>
        <v/>
      </c>
      <c r="AC52" s="1182" t="str">
        <f t="shared" si="9"/>
        <v/>
      </c>
      <c r="AD52" s="1188">
        <f>IF(Targets!V52="","",Targets!V52)</f>
        <v>4</v>
      </c>
      <c r="AE52" s="1176" t="str" cm="1">
        <f t="array" ref="AE52">IF($AJ52="","",IF(ISBLANK(INDEX(Data_2!$35:$35,1,$AJ52)),"",INDEX(Data_2!$35:$35,1,$AJ52)))</f>
        <v/>
      </c>
      <c r="AF52" s="1183" t="str">
        <f t="shared" si="10"/>
        <v/>
      </c>
      <c r="AG52" s="1189">
        <f>IF(Targets!W52="","",Targets!W52)</f>
        <v>10</v>
      </c>
      <c r="AH52" s="1184" t="str" cm="1">
        <f t="array" ref="AH52">IF($AJ52="","",IF(ISBLANK(INDEX(Data_2!$36:$36,1,$AJ52)),"",INDEX(Data_2!$36:$36,1,$AJ52)))</f>
        <v/>
      </c>
      <c r="AI52" s="1185" t="str">
        <f t="shared" si="11"/>
        <v/>
      </c>
      <c r="AJ52" s="1192" t="str" cm="1">
        <f t="array" ref="AJ52">IFERROR(LOOKUP(2,1/((Data_2!$D$4:$BM$4&gt;=$B52-6)*(Data_2!$D$4:$BM$4&lt;=$B52)),COLUMN(Data_2!$D$4:$BM$4)),"")</f>
        <v/>
      </c>
    </row>
    <row r="53" spans="1:36">
      <c r="A53" s="1181">
        <f t="shared" si="0"/>
        <v>49</v>
      </c>
      <c r="B53" s="1175">
        <f>Targets!B53</f>
        <v>46363</v>
      </c>
      <c r="C53" s="1187">
        <f>IF(Targets!C53="","",Targets!C53)</f>
        <v>0.83522727272727271</v>
      </c>
      <c r="D53" s="1177" t="str" cm="1">
        <f t="array" ref="D53">IF($AJ53="","",IF(ISBLANK(INDEX(Data_2!$6:$6,1,$AJ53)),"",INDEX(Data_2!$6:$6,1,$AJ53)))</f>
        <v/>
      </c>
      <c r="E53" s="1182" t="str">
        <f t="shared" si="1"/>
        <v/>
      </c>
      <c r="F53" s="1188">
        <f>IF(Targets!F53="","",Targets!F53)</f>
        <v>33</v>
      </c>
      <c r="G53" s="1176" t="str" cm="1">
        <f t="array" ref="G53">IF($AJ53="","",IF(ISBLANK(INDEX(Data_2!$16:$16,1,$AJ53)),"",INDEX(Data_2!$16:$16,1,$AJ53)))</f>
        <v/>
      </c>
      <c r="H53" s="1183" t="str">
        <f t="shared" si="2"/>
        <v/>
      </c>
      <c r="I53" s="1188">
        <f>IF(Targets!G53="","",Targets!G53)</f>
        <v>20</v>
      </c>
      <c r="J53" s="1176" t="str" cm="1">
        <f t="array" ref="J53">IF($AJ53="","",IF(ISBLANK(INDEX(Data_2!$18:$18,1,$AJ53)),"",INDEX(Data_2!$18:$18,1,$AJ53)))</f>
        <v/>
      </c>
      <c r="K53" s="1183" t="str">
        <f t="shared" si="3"/>
        <v/>
      </c>
      <c r="L53" s="1188">
        <f>IF(Targets!H53="","",Targets!H53)</f>
        <v>13</v>
      </c>
      <c r="M53" s="1176" t="str" cm="1">
        <f t="array" ref="M53">IF($AJ53="","",IF(ISBLANK(INDEX(Data_2!$23:$23,1,$AJ53)),"",INDEX(Data_2!$23:$23,1,$AJ53)))</f>
        <v/>
      </c>
      <c r="N53" s="1183" t="str">
        <f t="shared" si="4"/>
        <v/>
      </c>
      <c r="O53" s="1188">
        <f>IF(Targets!I53="","",Targets!I53)</f>
        <v>11</v>
      </c>
      <c r="P53" s="1176" t="str" cm="1">
        <f t="array" ref="P53">IF($AJ53="","",IF(ISBLANK(INDEX(Data_2!$26:$26,1,$AJ53)),"",INDEX(Data_2!$26:$26,1,$AJ53)))</f>
        <v/>
      </c>
      <c r="Q53" s="1183" t="str">
        <f t="shared" si="5"/>
        <v/>
      </c>
      <c r="R53" s="1187">
        <f>IF(Targets!J53="","",Targets!J53)</f>
        <v>0.65</v>
      </c>
      <c r="S53" s="1177" t="str" cm="1">
        <f t="array" ref="S53">IF($AJ53="","",IFERROR(IF(ISBLANK(INDEX(Data_2!$A:$BM,MATCH(EOMONTH($B53,-1)+1,Data_2!$A:$A,0)+3,$AJ53)),"",INDEX(Data_2!$A:$BM,MATCH(EOMONTH($B53,-1)+1,Data_2!$A:$A,0)+3,$AJ53)),""))</f>
        <v/>
      </c>
      <c r="T53" s="1182" t="str">
        <f t="shared" si="6"/>
        <v/>
      </c>
      <c r="U53" s="1188">
        <f>IF(Targets!K53="","",Targets!K53)</f>
        <v>6</v>
      </c>
      <c r="V53" s="1176" t="str" cm="1">
        <f t="array" ref="V53">IF($AJ53="","",IF(ISBLANK(INDEX(Data_2!$93:$93,1,$AJ53)),"",INDEX(Data_2!$93:$93,1,$AJ53)))</f>
        <v/>
      </c>
      <c r="W53" s="1183" t="str">
        <f t="shared" si="7"/>
        <v/>
      </c>
      <c r="X53" s="1187">
        <f>IF(Targets!T53="","",Targets!T53)</f>
        <v>0.2</v>
      </c>
      <c r="Y53" s="1177" t="str" cm="1">
        <f t="array" ref="Y53">IF($AJ53="","",IF(ISBLANK(INDEX(Data_2!$33:$33,1,$AJ53)),"",INDEX(Data_2!$33:$33,1,$AJ53)))</f>
        <v/>
      </c>
      <c r="Z53" s="1182" t="str">
        <f t="shared" si="8"/>
        <v/>
      </c>
      <c r="AA53" s="1187">
        <f>IF(Targets!U53="","",Targets!U53)</f>
        <v>0.24615384615384617</v>
      </c>
      <c r="AB53" s="1177" t="str" cm="1">
        <f t="array" ref="AB53">IF($AJ53="","",IF(ISBLANK(INDEX(Data_2!$34:$34,1,$AJ53)),"",INDEX(Data_2!$34:$34,1,$AJ53)))</f>
        <v/>
      </c>
      <c r="AC53" s="1182" t="str">
        <f t="shared" si="9"/>
        <v/>
      </c>
      <c r="AD53" s="1188">
        <f>IF(Targets!V53="","",Targets!V53)</f>
        <v>4</v>
      </c>
      <c r="AE53" s="1176" t="str" cm="1">
        <f t="array" ref="AE53">IF($AJ53="","",IF(ISBLANK(INDEX(Data_2!$35:$35,1,$AJ53)),"",INDEX(Data_2!$35:$35,1,$AJ53)))</f>
        <v/>
      </c>
      <c r="AF53" s="1183" t="str">
        <f t="shared" si="10"/>
        <v/>
      </c>
      <c r="AG53" s="1189">
        <f>IF(Targets!W53="","",Targets!W53)</f>
        <v>10</v>
      </c>
      <c r="AH53" s="1184" t="str" cm="1">
        <f t="array" ref="AH53">IF($AJ53="","",IF(ISBLANK(INDEX(Data_2!$36:$36,1,$AJ53)),"",INDEX(Data_2!$36:$36,1,$AJ53)))</f>
        <v/>
      </c>
      <c r="AI53" s="1185" t="str">
        <f t="shared" si="11"/>
        <v/>
      </c>
      <c r="AJ53" s="1192" t="str" cm="1">
        <f t="array" ref="AJ53">IFERROR(LOOKUP(2,1/((Data_2!$D$4:$BM$4&gt;=$B53-6)*(Data_2!$D$4:$BM$4&lt;=$B53)),COLUMN(Data_2!$D$4:$BM$4)),"")</f>
        <v/>
      </c>
    </row>
    <row r="54" spans="1:36">
      <c r="A54" s="1181">
        <f t="shared" si="0"/>
        <v>50</v>
      </c>
      <c r="B54" s="1175">
        <f>Targets!B54</f>
        <v>46370</v>
      </c>
      <c r="C54" s="1187">
        <f>IF(Targets!C54="","",Targets!C54)</f>
        <v>0.84204545454545454</v>
      </c>
      <c r="D54" s="1177" t="str" cm="1">
        <f t="array" ref="D54">IF($AJ54="","",IF(ISBLANK(INDEX(Data_2!$6:$6,1,$AJ54)),"",INDEX(Data_2!$6:$6,1,$AJ54)))</f>
        <v/>
      </c>
      <c r="E54" s="1182" t="str">
        <f t="shared" si="1"/>
        <v/>
      </c>
      <c r="F54" s="1188">
        <f>IF(Targets!F54="","",Targets!F54)</f>
        <v>33</v>
      </c>
      <c r="G54" s="1176" t="str" cm="1">
        <f t="array" ref="G54">IF($AJ54="","",IF(ISBLANK(INDEX(Data_2!$16:$16,1,$AJ54)),"",INDEX(Data_2!$16:$16,1,$AJ54)))</f>
        <v/>
      </c>
      <c r="H54" s="1183" t="str">
        <f t="shared" si="2"/>
        <v/>
      </c>
      <c r="I54" s="1188">
        <f>IF(Targets!G54="","",Targets!G54)</f>
        <v>20</v>
      </c>
      <c r="J54" s="1176" t="str" cm="1">
        <f t="array" ref="J54">IF($AJ54="","",IF(ISBLANK(INDEX(Data_2!$18:$18,1,$AJ54)),"",INDEX(Data_2!$18:$18,1,$AJ54)))</f>
        <v/>
      </c>
      <c r="K54" s="1183" t="str">
        <f t="shared" si="3"/>
        <v/>
      </c>
      <c r="L54" s="1188">
        <f>IF(Targets!H54="","",Targets!H54)</f>
        <v>13</v>
      </c>
      <c r="M54" s="1176" t="str" cm="1">
        <f t="array" ref="M54">IF($AJ54="","",IF(ISBLANK(INDEX(Data_2!$23:$23,1,$AJ54)),"",INDEX(Data_2!$23:$23,1,$AJ54)))</f>
        <v/>
      </c>
      <c r="N54" s="1183" t="str">
        <f t="shared" si="4"/>
        <v/>
      </c>
      <c r="O54" s="1188">
        <f>IF(Targets!I54="","",Targets!I54)</f>
        <v>11</v>
      </c>
      <c r="P54" s="1176" t="str" cm="1">
        <f t="array" ref="P54">IF($AJ54="","",IF(ISBLANK(INDEX(Data_2!$26:$26,1,$AJ54)),"",INDEX(Data_2!$26:$26,1,$AJ54)))</f>
        <v/>
      </c>
      <c r="Q54" s="1183" t="str">
        <f t="shared" si="5"/>
        <v/>
      </c>
      <c r="R54" s="1187">
        <f>IF(Targets!J54="","",Targets!J54)</f>
        <v>0.65</v>
      </c>
      <c r="S54" s="1177" t="str" cm="1">
        <f t="array" ref="S54">IF($AJ54="","",IFERROR(IF(ISBLANK(INDEX(Data_2!$A:$BM,MATCH(EOMONTH($B54,-1)+1,Data_2!$A:$A,0)+3,$AJ54)),"",INDEX(Data_2!$A:$BM,MATCH(EOMONTH($B54,-1)+1,Data_2!$A:$A,0)+3,$AJ54)),""))</f>
        <v/>
      </c>
      <c r="T54" s="1182" t="str">
        <f t="shared" si="6"/>
        <v/>
      </c>
      <c r="U54" s="1188">
        <f>IF(Targets!K54="","",Targets!K54)</f>
        <v>5</v>
      </c>
      <c r="V54" s="1176" t="str" cm="1">
        <f t="array" ref="V54">IF($AJ54="","",IF(ISBLANK(INDEX(Data_2!$93:$93,1,$AJ54)),"",INDEX(Data_2!$93:$93,1,$AJ54)))</f>
        <v/>
      </c>
      <c r="W54" s="1183" t="str">
        <f t="shared" si="7"/>
        <v/>
      </c>
      <c r="X54" s="1187">
        <f>IF(Targets!T54="","",Targets!T54)</f>
        <v>0.2</v>
      </c>
      <c r="Y54" s="1177" t="str" cm="1">
        <f t="array" ref="Y54">IF($AJ54="","",IF(ISBLANK(INDEX(Data_2!$33:$33,1,$AJ54)),"",INDEX(Data_2!$33:$33,1,$AJ54)))</f>
        <v/>
      </c>
      <c r="Z54" s="1182" t="str">
        <f t="shared" si="8"/>
        <v/>
      </c>
      <c r="AA54" s="1187">
        <f>IF(Targets!U54="","",Targets!U54)</f>
        <v>0.24615384615384617</v>
      </c>
      <c r="AB54" s="1177" t="str" cm="1">
        <f t="array" ref="AB54">IF($AJ54="","",IF(ISBLANK(INDEX(Data_2!$34:$34,1,$AJ54)),"",INDEX(Data_2!$34:$34,1,$AJ54)))</f>
        <v/>
      </c>
      <c r="AC54" s="1182" t="str">
        <f t="shared" si="9"/>
        <v/>
      </c>
      <c r="AD54" s="1188">
        <f>IF(Targets!V54="","",Targets!V54)</f>
        <v>4</v>
      </c>
      <c r="AE54" s="1176" t="str" cm="1">
        <f t="array" ref="AE54">IF($AJ54="","",IF(ISBLANK(INDEX(Data_2!$35:$35,1,$AJ54)),"",INDEX(Data_2!$35:$35,1,$AJ54)))</f>
        <v/>
      </c>
      <c r="AF54" s="1183" t="str">
        <f t="shared" si="10"/>
        <v/>
      </c>
      <c r="AG54" s="1189">
        <f>IF(Targets!W54="","",Targets!W54)</f>
        <v>10</v>
      </c>
      <c r="AH54" s="1184" t="str" cm="1">
        <f t="array" ref="AH54">IF($AJ54="","",IF(ISBLANK(INDEX(Data_2!$36:$36,1,$AJ54)),"",INDEX(Data_2!$36:$36,1,$AJ54)))</f>
        <v/>
      </c>
      <c r="AI54" s="1185" t="str">
        <f t="shared" si="11"/>
        <v/>
      </c>
      <c r="AJ54" s="1192" t="str" cm="1">
        <f t="array" ref="AJ54">IFERROR(LOOKUP(2,1/((Data_2!$D$4:$BM$4&gt;=$B54-6)*(Data_2!$D$4:$BM$4&lt;=$B54)),COLUMN(Data_2!$D$4:$BM$4)),"")</f>
        <v/>
      </c>
    </row>
    <row r="55" spans="1:36">
      <c r="A55" s="1181">
        <f t="shared" si="0"/>
        <v>51</v>
      </c>
      <c r="B55" s="1175">
        <f>Targets!B55</f>
        <v>46377</v>
      </c>
      <c r="C55" s="1187">
        <f>IF(Targets!C55="","",Targets!C55)</f>
        <v>0.84886363636363638</v>
      </c>
      <c r="D55" s="1177" t="str" cm="1">
        <f t="array" ref="D55">IF($AJ55="","",IF(ISBLANK(INDEX(Data_2!$6:$6,1,$AJ55)),"",INDEX(Data_2!$6:$6,1,$AJ55)))</f>
        <v/>
      </c>
      <c r="E55" s="1182" t="str">
        <f t="shared" si="1"/>
        <v/>
      </c>
      <c r="F55" s="1188">
        <f>IF(Targets!F55="","",Targets!F55)</f>
        <v>33</v>
      </c>
      <c r="G55" s="1176" t="str" cm="1">
        <f t="array" ref="G55">IF($AJ55="","",IF(ISBLANK(INDEX(Data_2!$16:$16,1,$AJ55)),"",INDEX(Data_2!$16:$16,1,$AJ55)))</f>
        <v/>
      </c>
      <c r="H55" s="1183" t="str">
        <f t="shared" si="2"/>
        <v/>
      </c>
      <c r="I55" s="1188">
        <f>IF(Targets!G55="","",Targets!G55)</f>
        <v>20</v>
      </c>
      <c r="J55" s="1176" t="str" cm="1">
        <f t="array" ref="J55">IF($AJ55="","",IF(ISBLANK(INDEX(Data_2!$18:$18,1,$AJ55)),"",INDEX(Data_2!$18:$18,1,$AJ55)))</f>
        <v/>
      </c>
      <c r="K55" s="1183" t="str">
        <f t="shared" si="3"/>
        <v/>
      </c>
      <c r="L55" s="1188">
        <f>IF(Targets!H55="","",Targets!H55)</f>
        <v>13</v>
      </c>
      <c r="M55" s="1176" t="str" cm="1">
        <f t="array" ref="M55">IF($AJ55="","",IF(ISBLANK(INDEX(Data_2!$23:$23,1,$AJ55)),"",INDEX(Data_2!$23:$23,1,$AJ55)))</f>
        <v/>
      </c>
      <c r="N55" s="1183" t="str">
        <f t="shared" si="4"/>
        <v/>
      </c>
      <c r="O55" s="1188">
        <f>IF(Targets!I55="","",Targets!I55)</f>
        <v>11</v>
      </c>
      <c r="P55" s="1176" t="str" cm="1">
        <f t="array" ref="P55">IF($AJ55="","",IF(ISBLANK(INDEX(Data_2!$26:$26,1,$AJ55)),"",INDEX(Data_2!$26:$26,1,$AJ55)))</f>
        <v/>
      </c>
      <c r="Q55" s="1183" t="str">
        <f t="shared" si="5"/>
        <v/>
      </c>
      <c r="R55" s="1187">
        <f>IF(Targets!J55="","",Targets!J55)</f>
        <v>0.65</v>
      </c>
      <c r="S55" s="1177" t="str" cm="1">
        <f t="array" ref="S55">IF($AJ55="","",IFERROR(IF(ISBLANK(INDEX(Data_2!$A:$BM,MATCH(EOMONTH($B55,-1)+1,Data_2!$A:$A,0)+3,$AJ55)),"",INDEX(Data_2!$A:$BM,MATCH(EOMONTH($B55,-1)+1,Data_2!$A:$A,0)+3,$AJ55)),""))</f>
        <v/>
      </c>
      <c r="T55" s="1182" t="str">
        <f t="shared" si="6"/>
        <v/>
      </c>
      <c r="U55" s="1188">
        <f>IF(Targets!K55="","",Targets!K55)</f>
        <v>5</v>
      </c>
      <c r="V55" s="1176" t="str" cm="1">
        <f t="array" ref="V55">IF($AJ55="","",IF(ISBLANK(INDEX(Data_2!$93:$93,1,$AJ55)),"",INDEX(Data_2!$93:$93,1,$AJ55)))</f>
        <v/>
      </c>
      <c r="W55" s="1183" t="str">
        <f t="shared" si="7"/>
        <v/>
      </c>
      <c r="X55" s="1187">
        <f>IF(Targets!T55="","",Targets!T55)</f>
        <v>0.2</v>
      </c>
      <c r="Y55" s="1177" t="str" cm="1">
        <f t="array" ref="Y55">IF($AJ55="","",IF(ISBLANK(INDEX(Data_2!$33:$33,1,$AJ55)),"",INDEX(Data_2!$33:$33,1,$AJ55)))</f>
        <v/>
      </c>
      <c r="Z55" s="1182" t="str">
        <f t="shared" si="8"/>
        <v/>
      </c>
      <c r="AA55" s="1187">
        <f>IF(Targets!U55="","",Targets!U55)</f>
        <v>0.24615384615384617</v>
      </c>
      <c r="AB55" s="1177" t="str" cm="1">
        <f t="array" ref="AB55">IF($AJ55="","",IF(ISBLANK(INDEX(Data_2!$34:$34,1,$AJ55)),"",INDEX(Data_2!$34:$34,1,$AJ55)))</f>
        <v/>
      </c>
      <c r="AC55" s="1182" t="str">
        <f t="shared" si="9"/>
        <v/>
      </c>
      <c r="AD55" s="1188">
        <f>IF(Targets!V55="","",Targets!V55)</f>
        <v>4</v>
      </c>
      <c r="AE55" s="1176" t="str" cm="1">
        <f t="array" ref="AE55">IF($AJ55="","",IF(ISBLANK(INDEX(Data_2!$35:$35,1,$AJ55)),"",INDEX(Data_2!$35:$35,1,$AJ55)))</f>
        <v/>
      </c>
      <c r="AF55" s="1183" t="str">
        <f t="shared" si="10"/>
        <v/>
      </c>
      <c r="AG55" s="1189">
        <f>IF(Targets!W55="","",Targets!W55)</f>
        <v>10</v>
      </c>
      <c r="AH55" s="1184" t="str" cm="1">
        <f t="array" ref="AH55">IF($AJ55="","",IF(ISBLANK(INDEX(Data_2!$36:$36,1,$AJ55)),"",INDEX(Data_2!$36:$36,1,$AJ55)))</f>
        <v/>
      </c>
      <c r="AI55" s="1185" t="str">
        <f t="shared" si="11"/>
        <v/>
      </c>
      <c r="AJ55" s="1192" t="str" cm="1">
        <f t="array" ref="AJ55">IFERROR(LOOKUP(2,1/((Data_2!$D$4:$BM$4&gt;=$B55-6)*(Data_2!$D$4:$BM$4&lt;=$B55)),COLUMN(Data_2!$D$4:$BM$4)),"")</f>
        <v/>
      </c>
    </row>
    <row r="56" spans="1:36">
      <c r="A56" s="1193">
        <f t="shared" si="0"/>
        <v>52</v>
      </c>
      <c r="B56" s="1194">
        <f>Targets!B56</f>
        <v>46384</v>
      </c>
      <c r="C56" s="1195">
        <f>IF(Targets!C56="","",Targets!C56)</f>
        <v>0.85340909090909089</v>
      </c>
      <c r="D56" s="1196" t="str" cm="1">
        <f t="array" ref="D56">IF($AJ56="","",IF(ISBLANK(INDEX(Data_2!$6:$6,1,$AJ56)),"",INDEX(Data_2!$6:$6,1,$AJ56)))</f>
        <v/>
      </c>
      <c r="E56" s="1197" t="str">
        <f t="shared" si="1"/>
        <v/>
      </c>
      <c r="F56" s="1198">
        <f>IF(Targets!F56="","",Targets!F56)</f>
        <v>33</v>
      </c>
      <c r="G56" s="1199" t="str" cm="1">
        <f t="array" ref="G56">IF($AJ56="","",IF(ISBLANK(INDEX(Data_2!$16:$16,1,$AJ56)),"",INDEX(Data_2!$16:$16,1,$AJ56)))</f>
        <v/>
      </c>
      <c r="H56" s="1200" t="str">
        <f t="shared" si="2"/>
        <v/>
      </c>
      <c r="I56" s="1198">
        <f>IF(Targets!G56="","",Targets!G56)</f>
        <v>20</v>
      </c>
      <c r="J56" s="1199" t="str" cm="1">
        <f t="array" ref="J56">IF($AJ56="","",IF(ISBLANK(INDEX(Data_2!$18:$18,1,$AJ56)),"",INDEX(Data_2!$18:$18,1,$AJ56)))</f>
        <v/>
      </c>
      <c r="K56" s="1200" t="str">
        <f t="shared" si="3"/>
        <v/>
      </c>
      <c r="L56" s="1198">
        <f>IF(Targets!H56="","",Targets!H56)</f>
        <v>13</v>
      </c>
      <c r="M56" s="1199" t="str" cm="1">
        <f t="array" ref="M56">IF($AJ56="","",IF(ISBLANK(INDEX(Data_2!$23:$23,1,$AJ56)),"",INDEX(Data_2!$23:$23,1,$AJ56)))</f>
        <v/>
      </c>
      <c r="N56" s="1200" t="str">
        <f t="shared" si="4"/>
        <v/>
      </c>
      <c r="O56" s="1198">
        <f>IF(Targets!I56="","",Targets!I56)</f>
        <v>11</v>
      </c>
      <c r="P56" s="1199" t="str" cm="1">
        <f t="array" ref="P56">IF($AJ56="","",IF(ISBLANK(INDEX(Data_2!$26:$26,1,$AJ56)),"",INDEX(Data_2!$26:$26,1,$AJ56)))</f>
        <v/>
      </c>
      <c r="Q56" s="1200" t="str">
        <f t="shared" si="5"/>
        <v/>
      </c>
      <c r="R56" s="1195">
        <f>IF(Targets!J56="","",Targets!J56)</f>
        <v>0.65</v>
      </c>
      <c r="S56" s="1196" t="str" cm="1">
        <f t="array" ref="S56">IF($AJ56="","",IFERROR(IF(ISBLANK(INDEX(Data_2!$A:$BM,MATCH(EOMONTH($B56,-1)+1,Data_2!$A:$A,0)+3,$AJ56)),"",INDEX(Data_2!$A:$BM,MATCH(EOMONTH($B56,-1)+1,Data_2!$A:$A,0)+3,$AJ56)),""))</f>
        <v/>
      </c>
      <c r="T56" s="1197" t="str">
        <f t="shared" si="6"/>
        <v/>
      </c>
      <c r="U56" s="1198">
        <f>IF(Targets!K56="","",Targets!K56)</f>
        <v>5</v>
      </c>
      <c r="V56" s="1199" t="str" cm="1">
        <f t="array" ref="V56">IF($AJ56="","",IF(ISBLANK(INDEX(Data_2!$93:$93,1,$AJ56)),"",INDEX(Data_2!$93:$93,1,$AJ56)))</f>
        <v/>
      </c>
      <c r="W56" s="1200" t="str">
        <f t="shared" si="7"/>
        <v/>
      </c>
      <c r="X56" s="1195">
        <f>IF(Targets!T56="","",Targets!T56)</f>
        <v>0.2</v>
      </c>
      <c r="Y56" s="1196" t="str" cm="1">
        <f t="array" ref="Y56">IF($AJ56="","",IF(ISBLANK(INDEX(Data_2!$33:$33,1,$AJ56)),"",INDEX(Data_2!$33:$33,1,$AJ56)))</f>
        <v/>
      </c>
      <c r="Z56" s="1197" t="str">
        <f t="shared" si="8"/>
        <v/>
      </c>
      <c r="AA56" s="1195">
        <f>IF(Targets!U56="","",Targets!U56)</f>
        <v>0.24615384615384617</v>
      </c>
      <c r="AB56" s="1196" t="str" cm="1">
        <f t="array" ref="AB56">IF($AJ56="","",IF(ISBLANK(INDEX(Data_2!$34:$34,1,$AJ56)),"",INDEX(Data_2!$34:$34,1,$AJ56)))</f>
        <v/>
      </c>
      <c r="AC56" s="1197" t="str">
        <f t="shared" si="9"/>
        <v/>
      </c>
      <c r="AD56" s="1198">
        <f>IF(Targets!V56="","",Targets!V56)</f>
        <v>4</v>
      </c>
      <c r="AE56" s="1199" t="str" cm="1">
        <f t="array" ref="AE56">IF($AJ56="","",IF(ISBLANK(INDEX(Data_2!$35:$35,1,$AJ56)),"",INDEX(Data_2!$35:$35,1,$AJ56)))</f>
        <v/>
      </c>
      <c r="AF56" s="1200" t="str">
        <f t="shared" si="10"/>
        <v/>
      </c>
      <c r="AG56" s="1201">
        <f>IF(Targets!W56="","",Targets!W56)</f>
        <v>10</v>
      </c>
      <c r="AH56" s="1202" t="str" cm="1">
        <f t="array" ref="AH56">IF($AJ56="","",IF(ISBLANK(INDEX(Data_2!$36:$36,1,$AJ56)),"",INDEX(Data_2!$36:$36,1,$AJ56)))</f>
        <v/>
      </c>
      <c r="AI56" s="1203" t="str">
        <f t="shared" si="11"/>
        <v/>
      </c>
      <c r="AJ56" s="1204" t="str" cm="1">
        <f t="array" ref="AJ56">IFERROR(LOOKUP(2,1/((Data_2!$D$4:$BM$4&gt;=$B56-6)*(Data_2!$D$4:$BM$4&lt;=$B56)),COLUMN(Data_2!$D$4:$BM$4)),"")</f>
        <v/>
      </c>
    </row>
  </sheetData>
  <mergeCells count="11">
    <mergeCell ref="U3:W3"/>
    <mergeCell ref="X3:Z3"/>
    <mergeCell ref="AA3:AC3"/>
    <mergeCell ref="AD3:AF3"/>
    <mergeCell ref="AG3:AI3"/>
    <mergeCell ref="R3:T3"/>
    <mergeCell ref="C3:E3"/>
    <mergeCell ref="F3:H3"/>
    <mergeCell ref="I3:K3"/>
    <mergeCell ref="L3:N3"/>
    <mergeCell ref="O3:Q3"/>
  </mergeCells>
  <conditionalFormatting sqref="A5:AJ56">
    <cfRule type="expression" dxfId="32" priority="23">
      <formula>MOD(ROW(),2)=0</formula>
    </cfRule>
  </conditionalFormatting>
  <conditionalFormatting sqref="E5:E56">
    <cfRule type="expression" dxfId="31" priority="1">
      <formula>AND(ISNUMBER(E5),E5&gt;0)</formula>
    </cfRule>
    <cfRule type="expression" dxfId="30" priority="2">
      <formula>AND(ISNUMBER(E5),E5&lt;0)</formula>
    </cfRule>
  </conditionalFormatting>
  <conditionalFormatting sqref="H5:H56">
    <cfRule type="expression" dxfId="29" priority="3">
      <formula>AND(ISNUMBER(H5),H5&gt;0)</formula>
    </cfRule>
    <cfRule type="expression" dxfId="28" priority="4">
      <formula>AND(ISNUMBER(H5),H5&lt;0)</formula>
    </cfRule>
  </conditionalFormatting>
  <conditionalFormatting sqref="K5:K56">
    <cfRule type="expression" dxfId="27" priority="5">
      <formula>AND(ISNUMBER(K5),K5&gt;0)</formula>
    </cfRule>
    <cfRule type="expression" dxfId="26" priority="6">
      <formula>AND(ISNUMBER(K5),K5&lt;0)</formula>
    </cfRule>
  </conditionalFormatting>
  <conditionalFormatting sqref="N5:N56">
    <cfRule type="expression" dxfId="25" priority="7">
      <formula>AND(ISNUMBER(N5),N5&gt;0)</formula>
    </cfRule>
    <cfRule type="expression" dxfId="24" priority="8">
      <formula>AND(ISNUMBER(N5),N5&lt;0)</formula>
    </cfRule>
  </conditionalFormatting>
  <conditionalFormatting sqref="Q5:Q56">
    <cfRule type="expression" dxfId="23" priority="9">
      <formula>AND(ISNUMBER(Q5),Q5&gt;0)</formula>
    </cfRule>
    <cfRule type="expression" dxfId="22" priority="10">
      <formula>AND(ISNUMBER(Q5),Q5&lt;0)</formula>
    </cfRule>
  </conditionalFormatting>
  <conditionalFormatting sqref="T5:T56">
    <cfRule type="expression" dxfId="21" priority="11">
      <formula>AND(ISNUMBER(T5),T5&gt;0)</formula>
    </cfRule>
    <cfRule type="expression" dxfId="20" priority="12">
      <formula>AND(ISNUMBER(T5),T5&lt;0)</formula>
    </cfRule>
  </conditionalFormatting>
  <conditionalFormatting sqref="W5:W56">
    <cfRule type="expression" dxfId="19" priority="15">
      <formula>AND(ISNUMBER(W5),W5&lt;0)</formula>
    </cfRule>
    <cfRule type="expression" dxfId="18" priority="16">
      <formula>AND(ISNUMBER(W5),W5&gt;0)</formula>
    </cfRule>
  </conditionalFormatting>
  <conditionalFormatting sqref="Z5:Z56">
    <cfRule type="expression" dxfId="17" priority="13">
      <formula>AND(ISNUMBER(Z5),Z5&gt;0)</formula>
    </cfRule>
    <cfRule type="expression" dxfId="16" priority="14">
      <formula>AND(ISNUMBER(Z5),Z5&lt;0)</formula>
    </cfRule>
  </conditionalFormatting>
  <conditionalFormatting sqref="AC5:AC56">
    <cfRule type="expression" dxfId="15" priority="17">
      <formula>AND(ISNUMBER(AC5),AC5&lt;0)</formula>
    </cfRule>
    <cfRule type="expression" dxfId="14" priority="18">
      <formula>AND(ISNUMBER(AC5),AC5&gt;0)</formula>
    </cfRule>
  </conditionalFormatting>
  <conditionalFormatting sqref="AF5:AF56">
    <cfRule type="expression" dxfId="13" priority="19">
      <formula>AND(ISNUMBER(AF5),AF5&lt;0)</formula>
    </cfRule>
    <cfRule type="expression" dxfId="12" priority="20">
      <formula>AND(ISNUMBER(AF5),AF5&gt;0)</formula>
    </cfRule>
  </conditionalFormatting>
  <conditionalFormatting sqref="AI5:AI56">
    <cfRule type="expression" dxfId="11" priority="21">
      <formula>AND(ISNUMBER(AI5),AI5&lt;0)</formula>
    </cfRule>
    <cfRule type="expression" dxfId="10" priority="22">
      <formula>AND(ISNUMBER(AI5),AI5&gt;0)</formula>
    </cfRule>
  </conditionalFormatting>
  <pageMargins left="0.7" right="0.7" top="0.75" bottom="0.75" header="0.3" footer="0.3"/>
  <pageSetup orientation="portrait" r:id="rId1"/>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E64108-1B7C-4CBA-B8B2-48F7B9FC84E3}">
  <sheetPr>
    <tabColor rgb="FFC00000"/>
    <pageSetUpPr fitToPage="1"/>
  </sheetPr>
  <dimension ref="A1:V64"/>
  <sheetViews>
    <sheetView zoomScale="90" zoomScaleNormal="90" workbookViewId="0">
      <pane ySplit="6" topLeftCell="A12" activePane="bottomLeft" state="frozen"/>
      <selection pane="bottomLeft"/>
    </sheetView>
  </sheetViews>
  <sheetFormatPr defaultColWidth="8.6640625" defaultRowHeight="14.4"/>
  <cols>
    <col min="1" max="1" width="20" style="326" bestFit="1" customWidth="1"/>
    <col min="2" max="2" width="20.5546875" style="328" bestFit="1" customWidth="1"/>
    <col min="3" max="4" width="20" style="329" customWidth="1"/>
    <col min="5" max="5" width="12.109375" style="326" customWidth="1"/>
    <col min="6" max="7" width="20.6640625" style="326" customWidth="1"/>
    <col min="8" max="8" width="16.5546875" style="326" customWidth="1"/>
    <col min="9" max="9" width="20.44140625" style="326" customWidth="1"/>
    <col min="10" max="10" width="20.6640625" style="326" customWidth="1"/>
    <col min="11" max="11" width="16.33203125" style="326" customWidth="1"/>
    <col min="12" max="14" width="20.6640625" style="326" customWidth="1"/>
    <col min="15" max="16" width="25.5546875" style="326" customWidth="1"/>
    <col min="17" max="17" width="16" style="329" customWidth="1"/>
    <col min="18" max="18" width="25.5546875" style="327" customWidth="1"/>
    <col min="19" max="19" width="23.5546875" style="327" customWidth="1"/>
    <col min="20" max="20" width="32.5546875" style="326" customWidth="1"/>
    <col min="21" max="21" width="23.5546875" style="326" customWidth="1"/>
    <col min="22" max="22" width="17.44140625" style="326" customWidth="1"/>
    <col min="23" max="31" width="9.109375" style="326" customWidth="1"/>
    <col min="32" max="32" width="8.6640625" style="326"/>
    <col min="33" max="33" width="9.109375" style="326" customWidth="1"/>
    <col min="34" max="34" width="8.6640625" style="326"/>
    <col min="35" max="40" width="9.109375" style="326" customWidth="1"/>
    <col min="41" max="41" width="8.6640625" style="326"/>
    <col min="42" max="42" width="9.109375" style="326" customWidth="1"/>
    <col min="43" max="43" width="8.6640625" style="326"/>
    <col min="44" max="46" width="9.109375" style="326" customWidth="1"/>
    <col min="47" max="47" width="8.6640625" style="326"/>
    <col min="48" max="48" width="9.109375" style="326" customWidth="1"/>
    <col min="49" max="49" width="8.6640625" style="326"/>
    <col min="50" max="56" width="9.109375" style="326" customWidth="1"/>
    <col min="57" max="16384" width="8.6640625" style="326"/>
  </cols>
  <sheetData>
    <row r="1" spans="1:22" ht="26.25" customHeight="1">
      <c r="F1" s="1273" t="s">
        <v>1744</v>
      </c>
      <c r="G1" s="1273"/>
      <c r="H1" s="1273"/>
      <c r="I1" s="1273"/>
      <c r="J1" s="336" t="s">
        <v>1745</v>
      </c>
      <c r="L1" s="432" t="s">
        <v>1746</v>
      </c>
    </row>
    <row r="2" spans="1:22" ht="15.6">
      <c r="A2" s="706" t="s">
        <v>1747</v>
      </c>
      <c r="C2" s="707"/>
      <c r="D2" s="340" t="s">
        <v>1748</v>
      </c>
      <c r="F2" s="1273"/>
      <c r="G2" s="1273"/>
      <c r="H2" s="1273"/>
      <c r="I2" s="1273"/>
      <c r="J2" s="336" t="s">
        <v>1749</v>
      </c>
      <c r="L2" s="334" t="s">
        <v>1750</v>
      </c>
    </row>
    <row r="3" spans="1:22">
      <c r="A3" s="708" t="s">
        <v>1751</v>
      </c>
      <c r="C3" s="709"/>
      <c r="D3" s="339" t="s">
        <v>1752</v>
      </c>
      <c r="F3" s="1273"/>
      <c r="G3" s="1273"/>
      <c r="H3" s="1273"/>
      <c r="I3" s="1273"/>
      <c r="J3" s="336" t="s">
        <v>1753</v>
      </c>
      <c r="L3" s="338" t="s">
        <v>1754</v>
      </c>
    </row>
    <row r="4" spans="1:22">
      <c r="A4" s="710" t="s">
        <v>1755</v>
      </c>
      <c r="C4" s="709"/>
      <c r="D4" s="337" t="s">
        <v>1756</v>
      </c>
      <c r="F4" s="1273"/>
      <c r="G4" s="1273"/>
      <c r="H4" s="1273"/>
      <c r="I4" s="1273"/>
      <c r="J4" s="336" t="s">
        <v>1757</v>
      </c>
      <c r="L4" s="335" t="s">
        <v>1758</v>
      </c>
    </row>
    <row r="5" spans="1:22">
      <c r="F5" s="1273"/>
      <c r="G5" s="1273"/>
      <c r="H5" s="1273"/>
      <c r="I5" s="1273"/>
      <c r="L5" s="431" t="s">
        <v>1759</v>
      </c>
    </row>
    <row r="6" spans="1:22" ht="39.6">
      <c r="A6" s="711" t="s">
        <v>1760</v>
      </c>
      <c r="B6" s="712" t="s">
        <v>1761</v>
      </c>
      <c r="C6" s="711" t="s">
        <v>1762</v>
      </c>
      <c r="D6" s="711" t="s">
        <v>1763</v>
      </c>
      <c r="E6" s="711" t="s">
        <v>1764</v>
      </c>
      <c r="F6" s="713" t="s">
        <v>1765</v>
      </c>
      <c r="G6" s="714" t="s">
        <v>1766</v>
      </c>
      <c r="H6" s="715" t="s">
        <v>1767</v>
      </c>
      <c r="I6" s="713" t="s">
        <v>1768</v>
      </c>
      <c r="J6" s="715" t="s">
        <v>1769</v>
      </c>
      <c r="K6" s="715" t="s">
        <v>1770</v>
      </c>
      <c r="L6" s="715" t="s">
        <v>1771</v>
      </c>
      <c r="M6" s="715" t="s">
        <v>1772</v>
      </c>
      <c r="N6" s="715" t="s">
        <v>1773</v>
      </c>
      <c r="O6" s="711" t="s">
        <v>1774</v>
      </c>
      <c r="P6" s="711" t="s">
        <v>1775</v>
      </c>
      <c r="Q6" s="711" t="s">
        <v>1776</v>
      </c>
      <c r="R6" s="711" t="s">
        <v>1777</v>
      </c>
      <c r="S6" s="711" t="s">
        <v>1233</v>
      </c>
      <c r="T6" s="711" t="s">
        <v>1490</v>
      </c>
      <c r="U6" s="716" t="s">
        <v>1778</v>
      </c>
      <c r="V6" s="717" t="s">
        <v>1779</v>
      </c>
    </row>
    <row r="7" spans="1:22" s="521" customFormat="1">
      <c r="A7" s="461" t="s">
        <v>1780</v>
      </c>
      <c r="B7" s="524" t="s">
        <v>1781</v>
      </c>
      <c r="C7" s="718">
        <v>46076</v>
      </c>
      <c r="D7" s="523" t="s">
        <v>1752</v>
      </c>
      <c r="E7" s="719" t="b">
        <v>0</v>
      </c>
      <c r="F7" s="720" t="b">
        <v>0</v>
      </c>
      <c r="G7" s="720" t="b">
        <v>0</v>
      </c>
      <c r="H7" s="720" t="b">
        <v>0</v>
      </c>
      <c r="I7" s="720" t="b">
        <v>0</v>
      </c>
      <c r="J7" s="720" t="b">
        <v>0</v>
      </c>
      <c r="K7" s="720" t="b">
        <v>0</v>
      </c>
      <c r="L7" s="720" t="b">
        <v>0</v>
      </c>
      <c r="M7" s="720" t="b">
        <v>0</v>
      </c>
      <c r="N7" s="720" t="b">
        <v>0</v>
      </c>
      <c r="O7" s="720" t="b">
        <v>0</v>
      </c>
      <c r="P7" s="721" t="b">
        <v>0</v>
      </c>
      <c r="Q7" s="722"/>
      <c r="R7" s="723">
        <v>46091</v>
      </c>
      <c r="S7" s="724" t="s">
        <v>1782</v>
      </c>
      <c r="T7" s="522" t="s">
        <v>1783</v>
      </c>
      <c r="U7" s="725" t="s">
        <v>1751</v>
      </c>
      <c r="V7" s="330"/>
    </row>
    <row r="8" spans="1:22" s="338" customFormat="1" ht="15.75" customHeight="1">
      <c r="A8" s="726" t="s">
        <v>1784</v>
      </c>
      <c r="B8" s="520" t="s">
        <v>1785</v>
      </c>
      <c r="C8" s="727">
        <v>46088</v>
      </c>
      <c r="D8" s="519" t="s">
        <v>1756</v>
      </c>
      <c r="E8" s="728" t="b">
        <v>1</v>
      </c>
      <c r="F8" s="728" t="b">
        <v>1</v>
      </c>
      <c r="G8" s="728" t="b">
        <v>1</v>
      </c>
      <c r="H8" s="728" t="b">
        <v>1</v>
      </c>
      <c r="I8" s="728" t="b">
        <v>1</v>
      </c>
      <c r="J8" s="728" t="b">
        <v>1</v>
      </c>
      <c r="K8" s="728" t="b">
        <v>1</v>
      </c>
      <c r="L8" s="728" t="b">
        <v>1</v>
      </c>
      <c r="M8" s="728" t="b">
        <v>1</v>
      </c>
      <c r="N8" s="728" t="b">
        <v>1</v>
      </c>
      <c r="O8" s="728" t="b">
        <v>1</v>
      </c>
      <c r="P8" s="728" t="b">
        <v>0</v>
      </c>
      <c r="Q8" s="729"/>
      <c r="R8" s="730" t="s">
        <v>1786</v>
      </c>
      <c r="S8" s="730" t="s">
        <v>1239</v>
      </c>
      <c r="T8" s="518" t="s">
        <v>1787</v>
      </c>
      <c r="U8" s="520" t="s">
        <v>1751</v>
      </c>
      <c r="V8" s="488"/>
    </row>
    <row r="9" spans="1:22" s="338" customFormat="1">
      <c r="A9" s="726" t="s">
        <v>1541</v>
      </c>
      <c r="B9" s="731" t="s">
        <v>1788</v>
      </c>
      <c r="C9" s="732">
        <v>46085</v>
      </c>
      <c r="D9" s="517" t="s">
        <v>1756</v>
      </c>
      <c r="E9" s="733" t="b">
        <v>1</v>
      </c>
      <c r="F9" s="733" t="b">
        <v>1</v>
      </c>
      <c r="G9" s="733" t="b">
        <v>1</v>
      </c>
      <c r="H9" s="733" t="b">
        <v>1</v>
      </c>
      <c r="I9" s="733" t="b">
        <v>0</v>
      </c>
      <c r="J9" s="733" t="b">
        <v>1</v>
      </c>
      <c r="K9" s="733" t="b">
        <v>1</v>
      </c>
      <c r="L9" s="733" t="b">
        <v>0</v>
      </c>
      <c r="M9" s="733" t="b">
        <v>0</v>
      </c>
      <c r="N9" s="733" t="b">
        <v>0</v>
      </c>
      <c r="O9" s="733" t="b">
        <v>0</v>
      </c>
      <c r="P9" s="733" t="b">
        <v>0</v>
      </c>
      <c r="Q9" s="734"/>
      <c r="R9" s="735" t="s">
        <v>1789</v>
      </c>
      <c r="S9" s="735" t="s">
        <v>1244</v>
      </c>
      <c r="T9" s="516" t="s">
        <v>1790</v>
      </c>
      <c r="U9" s="731" t="s">
        <v>1751</v>
      </c>
      <c r="V9" s="488"/>
    </row>
    <row r="10" spans="1:22" s="335" customFormat="1" ht="28.8">
      <c r="A10" s="736" t="s">
        <v>1791</v>
      </c>
      <c r="B10" s="736" t="s">
        <v>1792</v>
      </c>
      <c r="C10" s="737">
        <v>46081</v>
      </c>
      <c r="D10" s="515" t="s">
        <v>1752</v>
      </c>
      <c r="E10" s="738" t="b">
        <v>0</v>
      </c>
      <c r="F10" s="738" t="b">
        <v>1</v>
      </c>
      <c r="G10" s="738" t="b">
        <v>1</v>
      </c>
      <c r="H10" s="738" t="b">
        <v>1</v>
      </c>
      <c r="I10" s="738" t="b">
        <v>1</v>
      </c>
      <c r="J10" s="738" t="b">
        <v>1</v>
      </c>
      <c r="K10" s="738" t="b">
        <v>1</v>
      </c>
      <c r="L10" s="738" t="b">
        <v>1</v>
      </c>
      <c r="M10" s="738" t="b">
        <v>1</v>
      </c>
      <c r="N10" s="738" t="b">
        <v>1</v>
      </c>
      <c r="O10" s="738" t="b">
        <v>1</v>
      </c>
      <c r="P10" s="738" t="b">
        <v>1</v>
      </c>
      <c r="Q10" s="430">
        <v>4798.3999999999996</v>
      </c>
      <c r="R10" s="739" t="s">
        <v>1793</v>
      </c>
      <c r="S10" s="739" t="s">
        <v>1238</v>
      </c>
      <c r="T10" s="429" t="s">
        <v>1794</v>
      </c>
      <c r="U10" s="736"/>
      <c r="V10" s="332"/>
    </row>
    <row r="11" spans="1:22" s="338" customFormat="1">
      <c r="A11" s="512" t="s">
        <v>1223</v>
      </c>
      <c r="B11" s="740" t="s">
        <v>1795</v>
      </c>
      <c r="C11" s="741">
        <v>46090</v>
      </c>
      <c r="D11" s="514" t="s">
        <v>1756</v>
      </c>
      <c r="E11" s="742" t="b">
        <v>1</v>
      </c>
      <c r="F11" s="742" t="b">
        <v>1</v>
      </c>
      <c r="G11" s="742" t="b">
        <v>1</v>
      </c>
      <c r="H11" s="742" t="b">
        <v>1</v>
      </c>
      <c r="I11" s="742" t="b">
        <v>1</v>
      </c>
      <c r="J11" s="742" t="b">
        <v>1</v>
      </c>
      <c r="K11" s="742" t="b">
        <v>1</v>
      </c>
      <c r="L11" s="742" t="b">
        <v>1</v>
      </c>
      <c r="M11" s="742" t="b">
        <v>1</v>
      </c>
      <c r="N11" s="742" t="b">
        <v>1</v>
      </c>
      <c r="O11" s="742" t="b">
        <v>1</v>
      </c>
      <c r="P11" s="742" t="b">
        <v>0</v>
      </c>
      <c r="Q11" s="743">
        <v>5300.73</v>
      </c>
      <c r="R11" s="744" t="s">
        <v>1786</v>
      </c>
      <c r="S11" s="744" t="s">
        <v>1239</v>
      </c>
      <c r="T11" s="513" t="s">
        <v>1787</v>
      </c>
      <c r="U11" s="740" t="s">
        <v>1751</v>
      </c>
      <c r="V11" s="478"/>
    </row>
    <row r="12" spans="1:22">
      <c r="A12" s="512" t="s">
        <v>1796</v>
      </c>
      <c r="B12" s="725" t="s">
        <v>1797</v>
      </c>
      <c r="C12" s="745">
        <v>46090</v>
      </c>
      <c r="D12" s="428" t="s">
        <v>1752</v>
      </c>
      <c r="E12" s="746" t="b">
        <v>1</v>
      </c>
      <c r="F12" s="746" t="b">
        <v>1</v>
      </c>
      <c r="G12" s="746" t="b">
        <v>1</v>
      </c>
      <c r="H12" s="746" t="b">
        <v>1</v>
      </c>
      <c r="I12" s="746" t="b">
        <v>0</v>
      </c>
      <c r="J12" s="746" t="b">
        <v>1</v>
      </c>
      <c r="K12" s="746" t="b">
        <v>1</v>
      </c>
      <c r="L12" s="746" t="b">
        <v>1</v>
      </c>
      <c r="M12" s="746" t="b">
        <v>0</v>
      </c>
      <c r="N12" s="746" t="b">
        <v>1</v>
      </c>
      <c r="O12" s="746" t="b">
        <v>0</v>
      </c>
      <c r="P12" s="746" t="b">
        <v>1</v>
      </c>
      <c r="Q12" s="722"/>
      <c r="R12" s="747" t="s">
        <v>1798</v>
      </c>
      <c r="S12" s="747" t="s">
        <v>1799</v>
      </c>
      <c r="T12" s="331" t="s">
        <v>1800</v>
      </c>
      <c r="U12" s="725" t="s">
        <v>1751</v>
      </c>
      <c r="V12" s="330"/>
    </row>
    <row r="13" spans="1:22" ht="28.8">
      <c r="A13" s="512" t="s">
        <v>1801</v>
      </c>
      <c r="B13" s="740" t="s">
        <v>1802</v>
      </c>
      <c r="C13" s="748">
        <v>46089</v>
      </c>
      <c r="D13" s="427" t="s">
        <v>1756</v>
      </c>
      <c r="E13" s="742" t="b">
        <v>1</v>
      </c>
      <c r="F13" s="742" t="b">
        <v>1</v>
      </c>
      <c r="G13" s="742" t="b">
        <v>1</v>
      </c>
      <c r="H13" s="742" t="b">
        <v>1</v>
      </c>
      <c r="I13" s="742" t="b">
        <v>1</v>
      </c>
      <c r="J13" s="742" t="b">
        <v>1</v>
      </c>
      <c r="K13" s="742" t="b">
        <v>1</v>
      </c>
      <c r="L13" s="742" t="b">
        <v>1</v>
      </c>
      <c r="M13" s="742" t="b">
        <v>1</v>
      </c>
      <c r="N13" s="742" t="b">
        <v>1</v>
      </c>
      <c r="O13" s="742" t="b">
        <v>1</v>
      </c>
      <c r="P13" s="742" t="b">
        <v>1</v>
      </c>
      <c r="Q13" s="743"/>
      <c r="R13" s="744" t="s">
        <v>1803</v>
      </c>
      <c r="S13" s="744" t="s">
        <v>1243</v>
      </c>
      <c r="T13" s="426" t="s">
        <v>1804</v>
      </c>
      <c r="U13" s="740"/>
      <c r="V13" s="425"/>
    </row>
    <row r="14" spans="1:22">
      <c r="A14" s="511" t="s">
        <v>1805</v>
      </c>
      <c r="B14" s="424" t="s">
        <v>1806</v>
      </c>
      <c r="C14" s="422">
        <v>46090</v>
      </c>
      <c r="D14" s="423" t="s">
        <v>1756</v>
      </c>
      <c r="E14" s="420" t="b">
        <v>1</v>
      </c>
      <c r="F14" s="420" t="b">
        <v>1</v>
      </c>
      <c r="G14" s="420" t="b">
        <v>1</v>
      </c>
      <c r="H14" s="420" t="b">
        <v>1</v>
      </c>
      <c r="I14" s="420" t="b">
        <v>0</v>
      </c>
      <c r="J14" s="420" t="b">
        <v>1</v>
      </c>
      <c r="K14" s="420" t="b">
        <v>0</v>
      </c>
      <c r="L14" s="420" t="b">
        <v>1</v>
      </c>
      <c r="M14" s="420" t="b">
        <v>1</v>
      </c>
      <c r="N14" s="420" t="b">
        <v>0</v>
      </c>
      <c r="O14" s="420" t="b">
        <v>0</v>
      </c>
      <c r="P14" s="420" t="b">
        <v>0</v>
      </c>
      <c r="Q14" s="510">
        <v>2547.9</v>
      </c>
      <c r="R14" s="419">
        <v>46109</v>
      </c>
      <c r="S14" s="418" t="s">
        <v>1239</v>
      </c>
      <c r="T14" s="417" t="s">
        <v>1807</v>
      </c>
      <c r="U14" s="417"/>
      <c r="V14" s="417"/>
    </row>
    <row r="15" spans="1:22" s="502" customFormat="1" ht="28.8">
      <c r="A15" s="749" t="s">
        <v>1808</v>
      </c>
      <c r="B15" s="750" t="s">
        <v>1809</v>
      </c>
      <c r="C15" s="751">
        <v>46094</v>
      </c>
      <c r="D15" s="509" t="s">
        <v>1752</v>
      </c>
      <c r="E15" s="508" t="b">
        <v>1</v>
      </c>
      <c r="F15" s="508" t="b">
        <v>1</v>
      </c>
      <c r="G15" s="508" t="b">
        <v>1</v>
      </c>
      <c r="H15" s="508" t="b">
        <v>1</v>
      </c>
      <c r="I15" s="508" t="b">
        <v>1</v>
      </c>
      <c r="J15" s="508" t="b">
        <v>1</v>
      </c>
      <c r="K15" s="508" t="b">
        <v>1</v>
      </c>
      <c r="L15" s="508" t="b">
        <v>1</v>
      </c>
      <c r="M15" s="508" t="b">
        <v>1</v>
      </c>
      <c r="N15" s="508" t="b">
        <v>1</v>
      </c>
      <c r="O15" s="508" t="b">
        <v>1</v>
      </c>
      <c r="P15" s="508" t="b">
        <v>0</v>
      </c>
      <c r="Q15" s="507">
        <v>5354.85</v>
      </c>
      <c r="R15" s="506">
        <v>46109</v>
      </c>
      <c r="S15" s="505" t="s">
        <v>1242</v>
      </c>
      <c r="T15" s="504" t="s">
        <v>1810</v>
      </c>
      <c r="U15" s="503" t="s">
        <v>1751</v>
      </c>
      <c r="V15" s="503"/>
    </row>
    <row r="16" spans="1:22">
      <c r="A16" s="749" t="s">
        <v>1811</v>
      </c>
      <c r="B16" s="752" t="s">
        <v>1812</v>
      </c>
      <c r="C16" s="753">
        <v>46093</v>
      </c>
      <c r="D16" s="501" t="s">
        <v>1756</v>
      </c>
      <c r="E16" s="495" t="b">
        <v>1</v>
      </c>
      <c r="F16" s="495" t="b">
        <v>1</v>
      </c>
      <c r="G16" s="495" t="b">
        <v>1</v>
      </c>
      <c r="H16" s="495" t="b">
        <v>1</v>
      </c>
      <c r="I16" s="495" t="b">
        <v>1</v>
      </c>
      <c r="J16" s="495" t="b">
        <v>1</v>
      </c>
      <c r="K16" s="495" t="b">
        <v>1</v>
      </c>
      <c r="L16" s="495" t="b">
        <v>1</v>
      </c>
      <c r="M16" s="495" t="b">
        <v>1</v>
      </c>
      <c r="N16" s="495" t="b">
        <v>1</v>
      </c>
      <c r="O16" s="495" t="b">
        <v>1</v>
      </c>
      <c r="P16" s="495" t="b">
        <v>1</v>
      </c>
      <c r="Q16" s="499">
        <v>5042.4399999999996</v>
      </c>
      <c r="R16" s="498">
        <v>46123</v>
      </c>
      <c r="S16" s="497" t="s">
        <v>1238</v>
      </c>
      <c r="T16" s="490" t="s">
        <v>1813</v>
      </c>
      <c r="U16" s="489" t="s">
        <v>1751</v>
      </c>
      <c r="V16" s="333"/>
    </row>
    <row r="17" spans="1:22" s="338" customFormat="1" ht="46.5" customHeight="1">
      <c r="A17" s="749" t="s">
        <v>1814</v>
      </c>
      <c r="B17" s="752" t="s">
        <v>1815</v>
      </c>
      <c r="C17" s="753">
        <v>46091</v>
      </c>
      <c r="D17" s="501" t="s">
        <v>1756</v>
      </c>
      <c r="E17" s="495" t="b">
        <v>1</v>
      </c>
      <c r="F17" s="495" t="b">
        <v>1</v>
      </c>
      <c r="G17" s="495" t="b">
        <v>1</v>
      </c>
      <c r="H17" s="495" t="b">
        <v>1</v>
      </c>
      <c r="I17" s="495" t="b">
        <v>1</v>
      </c>
      <c r="J17" s="495" t="b">
        <v>1</v>
      </c>
      <c r="K17" s="495" t="b">
        <v>1</v>
      </c>
      <c r="L17" s="495" t="b">
        <v>1</v>
      </c>
      <c r="M17" s="495" t="b">
        <v>1</v>
      </c>
      <c r="N17" s="495" t="b">
        <v>1</v>
      </c>
      <c r="O17" s="495" t="b">
        <v>1</v>
      </c>
      <c r="P17" s="495" t="b">
        <v>0</v>
      </c>
      <c r="Q17" s="499">
        <v>3611.83</v>
      </c>
      <c r="R17" s="498">
        <v>46109</v>
      </c>
      <c r="S17" s="497" t="s">
        <v>1242</v>
      </c>
      <c r="T17" s="429" t="s">
        <v>1816</v>
      </c>
      <c r="U17" s="489" t="s">
        <v>1751</v>
      </c>
      <c r="V17" s="477"/>
    </row>
    <row r="18" spans="1:22" ht="25.5" customHeight="1">
      <c r="A18" s="461" t="s">
        <v>1546</v>
      </c>
      <c r="B18" s="754" t="s">
        <v>1817</v>
      </c>
      <c r="C18" s="755">
        <v>46096</v>
      </c>
      <c r="D18" s="421" t="s">
        <v>1752</v>
      </c>
      <c r="E18" s="415" t="b">
        <v>0</v>
      </c>
      <c r="F18" s="415" t="b">
        <v>0</v>
      </c>
      <c r="G18" s="415" t="b">
        <v>0</v>
      </c>
      <c r="H18" s="415" t="b">
        <v>0</v>
      </c>
      <c r="I18" s="415" t="b">
        <v>0</v>
      </c>
      <c r="J18" s="415" t="b">
        <v>0</v>
      </c>
      <c r="K18" s="415" t="b">
        <v>0</v>
      </c>
      <c r="L18" s="415" t="b">
        <v>1</v>
      </c>
      <c r="M18" s="415" t="b">
        <v>0</v>
      </c>
      <c r="N18" s="415" t="b">
        <v>0</v>
      </c>
      <c r="O18" s="415" t="b">
        <v>0</v>
      </c>
      <c r="P18" s="415" t="b">
        <v>0</v>
      </c>
      <c r="Q18" s="414"/>
      <c r="R18" s="413">
        <v>46108</v>
      </c>
      <c r="S18" s="412" t="s">
        <v>1237</v>
      </c>
      <c r="T18" s="411"/>
      <c r="U18" s="333" t="s">
        <v>1751</v>
      </c>
      <c r="V18" s="333"/>
    </row>
    <row r="19" spans="1:22">
      <c r="A19" s="461" t="s">
        <v>1818</v>
      </c>
      <c r="B19" s="328" t="s">
        <v>1819</v>
      </c>
      <c r="C19" s="755">
        <v>46099</v>
      </c>
      <c r="D19" s="416" t="s">
        <v>1820</v>
      </c>
      <c r="E19" s="415" t="b">
        <v>1</v>
      </c>
      <c r="F19" s="415" t="b">
        <v>1</v>
      </c>
      <c r="G19" s="415" t="b">
        <v>1</v>
      </c>
      <c r="H19" s="415" t="b">
        <v>1</v>
      </c>
      <c r="I19" s="415" t="b">
        <v>0</v>
      </c>
      <c r="J19" s="415" t="b">
        <v>0</v>
      </c>
      <c r="K19" s="415" t="b">
        <v>0</v>
      </c>
      <c r="L19" s="415" t="b">
        <v>1</v>
      </c>
      <c r="M19" s="415" t="b">
        <v>0</v>
      </c>
      <c r="N19" s="415" t="b">
        <v>0</v>
      </c>
      <c r="O19" s="415" t="b">
        <v>0</v>
      </c>
      <c r="P19" s="415" t="b">
        <v>0</v>
      </c>
      <c r="Q19" s="414"/>
      <c r="R19" s="413">
        <v>46102</v>
      </c>
      <c r="S19" s="412" t="s">
        <v>1243</v>
      </c>
      <c r="T19" s="411"/>
      <c r="U19" s="333" t="s">
        <v>1751</v>
      </c>
      <c r="V19" s="333"/>
    </row>
    <row r="20" spans="1:22" ht="15" customHeight="1">
      <c r="A20" s="461" t="s">
        <v>1821</v>
      </c>
      <c r="B20" s="752" t="s">
        <v>1822</v>
      </c>
      <c r="C20" s="737">
        <v>46095</v>
      </c>
      <c r="D20" s="500" t="s">
        <v>1752</v>
      </c>
      <c r="E20" s="495" t="b">
        <v>1</v>
      </c>
      <c r="F20" s="495" t="b">
        <v>1</v>
      </c>
      <c r="G20" s="495" t="b">
        <v>1</v>
      </c>
      <c r="H20" s="495" t="b">
        <v>1</v>
      </c>
      <c r="I20" s="495" t="b">
        <v>1</v>
      </c>
      <c r="J20" s="495" t="b">
        <v>1</v>
      </c>
      <c r="K20" s="495" t="b">
        <v>0</v>
      </c>
      <c r="L20" s="495" t="b">
        <v>1</v>
      </c>
      <c r="M20" s="495" t="b">
        <v>1</v>
      </c>
      <c r="N20" s="495" t="b">
        <v>0</v>
      </c>
      <c r="O20" s="495" t="b">
        <v>0</v>
      </c>
      <c r="P20" s="495" t="b">
        <v>0</v>
      </c>
      <c r="Q20" s="499"/>
      <c r="R20" s="498">
        <v>46113</v>
      </c>
      <c r="S20" s="497" t="s">
        <v>1243</v>
      </c>
      <c r="T20" s="429"/>
      <c r="U20" s="332" t="s">
        <v>1751</v>
      </c>
      <c r="V20" s="333"/>
    </row>
    <row r="21" spans="1:22" s="338" customFormat="1">
      <c r="A21" s="756" t="s">
        <v>1823</v>
      </c>
      <c r="B21" s="757" t="s">
        <v>1107</v>
      </c>
      <c r="C21" s="758">
        <v>46099</v>
      </c>
      <c r="D21" s="496" t="s">
        <v>1752</v>
      </c>
      <c r="E21" s="495" t="b">
        <v>1</v>
      </c>
      <c r="F21" s="495" t="b">
        <v>1</v>
      </c>
      <c r="G21" s="495" t="b">
        <v>1</v>
      </c>
      <c r="H21" s="495" t="b">
        <v>1</v>
      </c>
      <c r="I21" s="495" t="b">
        <v>1</v>
      </c>
      <c r="J21" s="495" t="b">
        <v>1</v>
      </c>
      <c r="K21" s="495" t="b">
        <v>1</v>
      </c>
      <c r="L21" s="495" t="b">
        <v>1</v>
      </c>
      <c r="M21" s="495" t="b">
        <v>1</v>
      </c>
      <c r="N21" s="495" t="b">
        <v>1</v>
      </c>
      <c r="O21" s="495" t="b">
        <v>1</v>
      </c>
      <c r="P21" s="494" t="b">
        <v>1</v>
      </c>
      <c r="Q21" s="493">
        <v>10833.33</v>
      </c>
      <c r="R21" s="492">
        <v>46122</v>
      </c>
      <c r="S21" s="491" t="s">
        <v>1243</v>
      </c>
      <c r="T21" s="490" t="s">
        <v>1824</v>
      </c>
      <c r="U21" s="489" t="s">
        <v>1751</v>
      </c>
      <c r="V21" s="488"/>
    </row>
    <row r="22" spans="1:22" s="338" customFormat="1">
      <c r="A22" s="487" t="s">
        <v>1825</v>
      </c>
      <c r="B22" s="486" t="s">
        <v>1826</v>
      </c>
      <c r="C22" s="485">
        <v>46098</v>
      </c>
      <c r="D22" s="481" t="s">
        <v>1752</v>
      </c>
      <c r="E22" s="484" t="b">
        <v>1</v>
      </c>
      <c r="F22" s="482" t="b">
        <v>1</v>
      </c>
      <c r="G22" s="482" t="b">
        <v>1</v>
      </c>
      <c r="H22" s="482" t="b">
        <v>1</v>
      </c>
      <c r="I22" s="482" t="b">
        <v>1</v>
      </c>
      <c r="J22" s="482" t="b">
        <v>1</v>
      </c>
      <c r="K22" s="482" t="b">
        <v>1</v>
      </c>
      <c r="L22" s="482" t="b">
        <v>1</v>
      </c>
      <c r="M22" s="482" t="b">
        <v>1</v>
      </c>
      <c r="N22" s="482" t="b">
        <v>1</v>
      </c>
      <c r="O22" s="483" t="b">
        <v>1</v>
      </c>
      <c r="P22" s="482" t="b">
        <v>1</v>
      </c>
      <c r="Q22" s="481">
        <v>4506.67</v>
      </c>
      <c r="R22" s="480">
        <v>46113</v>
      </c>
      <c r="S22" s="479" t="s">
        <v>1242</v>
      </c>
      <c r="T22" s="478" t="s">
        <v>1810</v>
      </c>
      <c r="U22" s="478" t="s">
        <v>1751</v>
      </c>
      <c r="V22" s="477"/>
    </row>
    <row r="23" spans="1:22">
      <c r="A23" s="759" t="s">
        <v>1827</v>
      </c>
      <c r="B23" s="760" t="s">
        <v>1828</v>
      </c>
      <c r="C23" s="761">
        <v>46100</v>
      </c>
      <c r="D23" s="476" t="s">
        <v>1752</v>
      </c>
      <c r="E23" s="415" t="b">
        <v>0</v>
      </c>
      <c r="F23" s="415" t="b">
        <v>0</v>
      </c>
      <c r="G23" s="415" t="b">
        <v>0</v>
      </c>
      <c r="H23" s="415" t="b">
        <v>0</v>
      </c>
      <c r="I23" s="415" t="b">
        <v>0</v>
      </c>
      <c r="J23" s="415" t="b">
        <v>0</v>
      </c>
      <c r="K23" s="415" t="b">
        <v>0</v>
      </c>
      <c r="L23" s="415" t="b">
        <v>0</v>
      </c>
      <c r="M23" s="415" t="b">
        <v>0</v>
      </c>
      <c r="N23" s="415" t="b">
        <v>0</v>
      </c>
      <c r="O23" s="415" t="b">
        <v>0</v>
      </c>
      <c r="P23" s="475" t="b">
        <v>0</v>
      </c>
      <c r="Q23" s="474"/>
      <c r="R23" s="473">
        <v>46148</v>
      </c>
      <c r="S23" s="472" t="s">
        <v>1243</v>
      </c>
      <c r="T23" s="471"/>
      <c r="U23" s="470" t="s">
        <v>1751</v>
      </c>
      <c r="V23" s="470"/>
    </row>
    <row r="24" spans="1:22" ht="23.25" customHeight="1">
      <c r="A24" s="461" t="s">
        <v>1562</v>
      </c>
      <c r="B24" s="754" t="s">
        <v>1829</v>
      </c>
      <c r="C24" s="755">
        <v>46101</v>
      </c>
      <c r="D24" s="469" t="s">
        <v>1756</v>
      </c>
      <c r="E24" s="415" t="b">
        <v>1</v>
      </c>
      <c r="F24" s="415" t="b">
        <v>1</v>
      </c>
      <c r="G24" s="415" t="b">
        <v>0</v>
      </c>
      <c r="H24" s="415" t="b">
        <v>0</v>
      </c>
      <c r="I24" s="415" t="b">
        <v>0</v>
      </c>
      <c r="J24" s="415" t="b">
        <v>0</v>
      </c>
      <c r="K24" s="415" t="b">
        <v>0</v>
      </c>
      <c r="L24" s="415" t="b">
        <v>1</v>
      </c>
      <c r="M24" s="415" t="b">
        <v>1</v>
      </c>
      <c r="N24" s="415" t="b">
        <v>0</v>
      </c>
      <c r="O24" s="415" t="b">
        <v>0</v>
      </c>
      <c r="P24" s="415" t="b">
        <v>0</v>
      </c>
      <c r="Q24" s="414"/>
      <c r="R24" s="413">
        <v>46123</v>
      </c>
      <c r="S24" s="412" t="s">
        <v>1237</v>
      </c>
      <c r="T24" s="468" t="s">
        <v>1830</v>
      </c>
      <c r="U24" s="333" t="s">
        <v>1751</v>
      </c>
      <c r="V24" s="333"/>
    </row>
    <row r="25" spans="1:22" s="462" customFormat="1">
      <c r="A25" s="762" t="s">
        <v>1831</v>
      </c>
      <c r="B25" s="763" t="s">
        <v>1832</v>
      </c>
      <c r="C25" s="764">
        <v>46104</v>
      </c>
      <c r="D25" s="467" t="s">
        <v>1756</v>
      </c>
      <c r="E25" s="466" t="b">
        <v>0</v>
      </c>
      <c r="F25" s="466" t="b">
        <v>0</v>
      </c>
      <c r="G25" s="466" t="b">
        <v>0</v>
      </c>
      <c r="H25" s="466" t="b">
        <v>0</v>
      </c>
      <c r="I25" s="466" t="b">
        <v>0</v>
      </c>
      <c r="J25" s="466" t="b">
        <v>1</v>
      </c>
      <c r="K25" s="466" t="b">
        <v>0</v>
      </c>
      <c r="L25" s="466" t="b">
        <v>0</v>
      </c>
      <c r="M25" s="466" t="b">
        <v>0</v>
      </c>
      <c r="N25" s="466" t="b">
        <v>0</v>
      </c>
      <c r="O25" s="466" t="b">
        <v>0</v>
      </c>
      <c r="P25" s="466" t="b">
        <v>0</v>
      </c>
      <c r="Q25" s="465"/>
      <c r="R25" s="413"/>
      <c r="S25" s="412"/>
      <c r="T25" s="464"/>
      <c r="U25" s="463" t="s">
        <v>1751</v>
      </c>
      <c r="V25" s="463"/>
    </row>
    <row r="26" spans="1:22">
      <c r="A26" s="461" t="s">
        <v>1524</v>
      </c>
      <c r="B26" s="460" t="s">
        <v>1833</v>
      </c>
      <c r="C26" s="765">
        <v>46101</v>
      </c>
      <c r="D26" s="459" t="s">
        <v>1752</v>
      </c>
      <c r="E26" s="415" t="b">
        <v>0</v>
      </c>
      <c r="F26" s="415" t="b">
        <v>0</v>
      </c>
      <c r="G26" s="415" t="b">
        <v>0</v>
      </c>
      <c r="H26" s="415" t="b">
        <v>0</v>
      </c>
      <c r="I26" s="415" t="b">
        <v>0</v>
      </c>
      <c r="J26" s="415" t="b">
        <v>0</v>
      </c>
      <c r="K26" s="415" t="b">
        <v>0</v>
      </c>
      <c r="L26" s="415" t="b">
        <v>0</v>
      </c>
      <c r="M26" s="415" t="b">
        <v>0</v>
      </c>
      <c r="N26" s="415" t="b">
        <v>0</v>
      </c>
      <c r="O26" s="415" t="b">
        <v>0</v>
      </c>
      <c r="P26" s="415" t="b">
        <v>0</v>
      </c>
      <c r="Q26" s="460"/>
      <c r="R26" s="460"/>
      <c r="S26" s="460"/>
      <c r="T26" s="460"/>
      <c r="U26" s="333" t="s">
        <v>1751</v>
      </c>
      <c r="V26" s="460"/>
    </row>
    <row r="27" spans="1:22">
      <c r="A27" s="461" t="s">
        <v>1834</v>
      </c>
      <c r="B27" s="460" t="s">
        <v>1835</v>
      </c>
      <c r="C27" s="745">
        <v>46104</v>
      </c>
      <c r="D27" s="458" t="s">
        <v>1836</v>
      </c>
      <c r="E27" s="415" t="b">
        <v>1</v>
      </c>
      <c r="F27" s="415" t="b">
        <v>1</v>
      </c>
      <c r="G27" s="415" t="b">
        <v>1</v>
      </c>
      <c r="H27" s="415" t="b">
        <v>1</v>
      </c>
      <c r="I27" s="415" t="b">
        <v>0</v>
      </c>
      <c r="J27" s="415" t="b">
        <v>1</v>
      </c>
      <c r="K27" s="415" t="b">
        <v>0</v>
      </c>
      <c r="L27" s="415" t="b">
        <v>1</v>
      </c>
      <c r="M27" s="415" t="b">
        <v>1</v>
      </c>
      <c r="N27" s="415" t="b">
        <v>0</v>
      </c>
      <c r="O27" s="415" t="b">
        <v>0</v>
      </c>
      <c r="P27" s="415" t="b">
        <v>0</v>
      </c>
      <c r="Q27" s="460"/>
      <c r="R27" s="460"/>
      <c r="S27" s="458" t="s">
        <v>1237</v>
      </c>
      <c r="T27" s="460"/>
      <c r="U27" s="333" t="s">
        <v>1751</v>
      </c>
      <c r="V27" s="460"/>
    </row>
    <row r="28" spans="1:22">
      <c r="A28" s="461" t="s">
        <v>1537</v>
      </c>
      <c r="B28" s="460" t="s">
        <v>1837</v>
      </c>
      <c r="C28" s="745">
        <v>46104</v>
      </c>
      <c r="D28" s="458" t="s">
        <v>1838</v>
      </c>
      <c r="E28" s="415" t="b">
        <v>1</v>
      </c>
      <c r="F28" s="415" t="b">
        <v>1</v>
      </c>
      <c r="G28" s="415" t="b">
        <v>1</v>
      </c>
      <c r="H28" s="415" t="b">
        <v>1</v>
      </c>
      <c r="I28" s="415" t="b">
        <v>1</v>
      </c>
      <c r="J28" s="415" t="b">
        <v>1</v>
      </c>
      <c r="K28" s="415" t="b">
        <v>0</v>
      </c>
      <c r="L28" s="415" t="b">
        <v>1</v>
      </c>
      <c r="M28" s="415" t="b">
        <v>1</v>
      </c>
      <c r="N28" s="415" t="b">
        <v>0</v>
      </c>
      <c r="O28" s="415" t="b">
        <v>0</v>
      </c>
      <c r="P28" s="415" t="b">
        <v>0</v>
      </c>
      <c r="Q28" s="460"/>
      <c r="R28" s="460"/>
      <c r="S28" s="458" t="s">
        <v>1237</v>
      </c>
      <c r="T28" s="460"/>
      <c r="U28" s="333" t="s">
        <v>1751</v>
      </c>
      <c r="V28" s="460"/>
    </row>
    <row r="29" spans="1:22">
      <c r="A29" s="461" t="s">
        <v>1839</v>
      </c>
      <c r="B29" s="460" t="s">
        <v>1840</v>
      </c>
      <c r="C29" s="745">
        <v>46104</v>
      </c>
      <c r="D29" s="459" t="s">
        <v>1752</v>
      </c>
      <c r="E29" s="415" t="b">
        <v>0</v>
      </c>
      <c r="F29" s="415" t="b">
        <v>0</v>
      </c>
      <c r="G29" s="415" t="b">
        <v>0</v>
      </c>
      <c r="H29" s="415" t="b">
        <v>0</v>
      </c>
      <c r="I29" s="415" t="b">
        <v>0</v>
      </c>
      <c r="J29" s="415" t="b">
        <v>0</v>
      </c>
      <c r="K29" s="415" t="b">
        <v>0</v>
      </c>
      <c r="L29" s="415" t="b">
        <v>0</v>
      </c>
      <c r="M29" s="415" t="b">
        <v>0</v>
      </c>
      <c r="N29" s="415" t="b">
        <v>0</v>
      </c>
      <c r="O29" s="415" t="b">
        <v>0</v>
      </c>
      <c r="P29" s="415" t="b">
        <v>0</v>
      </c>
      <c r="Q29" s="460"/>
      <c r="R29" s="460"/>
      <c r="S29" s="458" t="s">
        <v>1799</v>
      </c>
      <c r="T29" s="460"/>
      <c r="U29" s="333" t="s">
        <v>1751</v>
      </c>
      <c r="V29" s="460"/>
    </row>
    <row r="30" spans="1:22">
      <c r="A30" s="460"/>
      <c r="B30" s="460"/>
      <c r="C30" s="460"/>
      <c r="D30" s="460"/>
      <c r="E30" s="415" t="b">
        <v>0</v>
      </c>
      <c r="F30" s="415" t="b">
        <v>0</v>
      </c>
      <c r="G30" s="415" t="b">
        <v>0</v>
      </c>
      <c r="H30" s="415" t="b">
        <v>0</v>
      </c>
      <c r="I30" s="415" t="b">
        <v>0</v>
      </c>
      <c r="J30" s="415" t="b">
        <v>0</v>
      </c>
      <c r="K30" s="415" t="b">
        <v>0</v>
      </c>
      <c r="L30" s="415" t="b">
        <v>0</v>
      </c>
      <c r="M30" s="415" t="b">
        <v>0</v>
      </c>
      <c r="N30" s="415" t="b">
        <v>0</v>
      </c>
      <c r="O30" s="415" t="b">
        <v>0</v>
      </c>
      <c r="P30" s="415" t="b">
        <v>0</v>
      </c>
      <c r="Q30" s="460"/>
      <c r="R30" s="460"/>
      <c r="S30" s="460"/>
      <c r="T30" s="460"/>
      <c r="U30" s="333" t="s">
        <v>1751</v>
      </c>
      <c r="V30" s="460"/>
    </row>
    <row r="31" spans="1:22">
      <c r="A31" s="460"/>
      <c r="B31" s="460"/>
      <c r="C31" s="460"/>
      <c r="D31" s="460"/>
      <c r="E31" s="415" t="b">
        <v>0</v>
      </c>
      <c r="F31" s="415" t="b">
        <v>0</v>
      </c>
      <c r="G31" s="415" t="b">
        <v>0</v>
      </c>
      <c r="H31" s="415" t="b">
        <v>0</v>
      </c>
      <c r="I31" s="415" t="b">
        <v>0</v>
      </c>
      <c r="J31" s="415" t="b">
        <v>0</v>
      </c>
      <c r="K31" s="415" t="b">
        <v>0</v>
      </c>
      <c r="L31" s="415" t="b">
        <v>0</v>
      </c>
      <c r="M31" s="415" t="b">
        <v>0</v>
      </c>
      <c r="N31" s="415" t="b">
        <v>0</v>
      </c>
      <c r="O31" s="415" t="b">
        <v>0</v>
      </c>
      <c r="P31" s="415" t="b">
        <v>0</v>
      </c>
      <c r="Q31" s="460"/>
      <c r="R31" s="460"/>
      <c r="S31" s="460"/>
      <c r="T31" s="460"/>
      <c r="U31" s="333" t="s">
        <v>1751</v>
      </c>
      <c r="V31" s="460"/>
    </row>
    <row r="32" spans="1:22">
      <c r="A32" s="460"/>
      <c r="B32" s="460"/>
      <c r="C32" s="460"/>
      <c r="D32" s="460"/>
      <c r="E32" s="415" t="b">
        <v>0</v>
      </c>
      <c r="F32" s="415" t="b">
        <v>0</v>
      </c>
      <c r="G32" s="415" t="b">
        <v>0</v>
      </c>
      <c r="H32" s="415" t="b">
        <v>0</v>
      </c>
      <c r="I32" s="415" t="b">
        <v>0</v>
      </c>
      <c r="J32" s="415" t="b">
        <v>0</v>
      </c>
      <c r="K32" s="415" t="b">
        <v>0</v>
      </c>
      <c r="L32" s="415" t="b">
        <v>0</v>
      </c>
      <c r="M32" s="415" t="b">
        <v>0</v>
      </c>
      <c r="N32" s="415" t="b">
        <v>0</v>
      </c>
      <c r="O32" s="415" t="b">
        <v>0</v>
      </c>
      <c r="P32" s="415" t="b">
        <v>0</v>
      </c>
      <c r="Q32" s="460"/>
      <c r="R32" s="460"/>
      <c r="S32" s="460"/>
      <c r="T32" s="460"/>
      <c r="U32" s="333" t="s">
        <v>1751</v>
      </c>
      <c r="V32" s="460"/>
    </row>
    <row r="33" spans="1:22">
      <c r="A33" s="460"/>
      <c r="B33" s="460"/>
      <c r="C33" s="460"/>
      <c r="D33" s="460"/>
      <c r="E33" s="415" t="b">
        <v>0</v>
      </c>
      <c r="F33" s="415" t="b">
        <v>0</v>
      </c>
      <c r="G33" s="415" t="b">
        <v>0</v>
      </c>
      <c r="H33" s="415" t="b">
        <v>0</v>
      </c>
      <c r="I33" s="415" t="b">
        <v>0</v>
      </c>
      <c r="J33" s="415" t="b">
        <v>0</v>
      </c>
      <c r="K33" s="415" t="b">
        <v>0</v>
      </c>
      <c r="L33" s="415" t="b">
        <v>0</v>
      </c>
      <c r="M33" s="415" t="b">
        <v>0</v>
      </c>
      <c r="N33" s="415" t="b">
        <v>0</v>
      </c>
      <c r="O33" s="415" t="b">
        <v>0</v>
      </c>
      <c r="P33" s="415" t="b">
        <v>0</v>
      </c>
      <c r="Q33" s="460"/>
      <c r="R33" s="460"/>
      <c r="S33" s="460"/>
      <c r="T33" s="460"/>
      <c r="U33" s="333" t="s">
        <v>1751</v>
      </c>
      <c r="V33" s="460"/>
    </row>
    <row r="34" spans="1:22">
      <c r="A34" s="460"/>
      <c r="B34" s="460"/>
      <c r="C34" s="460"/>
      <c r="D34" s="460"/>
      <c r="E34" s="415" t="b">
        <v>0</v>
      </c>
      <c r="F34" s="415" t="b">
        <v>0</v>
      </c>
      <c r="G34" s="415" t="b">
        <v>0</v>
      </c>
      <c r="H34" s="415" t="b">
        <v>0</v>
      </c>
      <c r="I34" s="415" t="b">
        <v>0</v>
      </c>
      <c r="J34" s="415" t="b">
        <v>0</v>
      </c>
      <c r="K34" s="415" t="b">
        <v>0</v>
      </c>
      <c r="L34" s="415" t="b">
        <v>0</v>
      </c>
      <c r="M34" s="415" t="b">
        <v>0</v>
      </c>
      <c r="N34" s="415" t="b">
        <v>0</v>
      </c>
      <c r="O34" s="415" t="b">
        <v>0</v>
      </c>
      <c r="P34" s="415" t="b">
        <v>0</v>
      </c>
      <c r="Q34" s="460"/>
      <c r="R34" s="460"/>
      <c r="S34" s="460"/>
      <c r="T34" s="460"/>
      <c r="U34" s="333" t="s">
        <v>1751</v>
      </c>
      <c r="V34" s="460"/>
    </row>
    <row r="35" spans="1:22">
      <c r="A35" s="460"/>
      <c r="B35" s="460"/>
      <c r="C35" s="460"/>
      <c r="D35" s="460"/>
      <c r="E35" s="415" t="b">
        <v>0</v>
      </c>
      <c r="F35" s="415" t="b">
        <v>0</v>
      </c>
      <c r="G35" s="415" t="b">
        <v>0</v>
      </c>
      <c r="H35" s="415" t="b">
        <v>0</v>
      </c>
      <c r="I35" s="415" t="b">
        <v>0</v>
      </c>
      <c r="J35" s="415" t="b">
        <v>0</v>
      </c>
      <c r="K35" s="415" t="b">
        <v>0</v>
      </c>
      <c r="L35" s="415" t="b">
        <v>0</v>
      </c>
      <c r="M35" s="415" t="b">
        <v>0</v>
      </c>
      <c r="N35" s="415" t="b">
        <v>0</v>
      </c>
      <c r="O35" s="415" t="b">
        <v>0</v>
      </c>
      <c r="P35" s="415" t="b">
        <v>0</v>
      </c>
      <c r="Q35" s="460"/>
      <c r="R35" s="460"/>
      <c r="S35" s="460"/>
      <c r="T35" s="460"/>
      <c r="U35" s="333" t="s">
        <v>1751</v>
      </c>
      <c r="V35" s="460"/>
    </row>
    <row r="36" spans="1:22">
      <c r="A36" s="766"/>
      <c r="E36" s="329"/>
    </row>
    <row r="37" spans="1:22">
      <c r="A37" s="766"/>
    </row>
    <row r="38" spans="1:22">
      <c r="A38" s="766"/>
    </row>
    <row r="39" spans="1:22">
      <c r="A39" s="766"/>
    </row>
    <row r="40" spans="1:22">
      <c r="A40" s="766"/>
    </row>
    <row r="41" spans="1:22">
      <c r="A41" s="766"/>
    </row>
    <row r="42" spans="1:22">
      <c r="A42" s="766"/>
    </row>
    <row r="43" spans="1:22">
      <c r="A43" s="766"/>
    </row>
    <row r="44" spans="1:22">
      <c r="A44" s="766"/>
    </row>
    <row r="45" spans="1:22">
      <c r="A45" s="766"/>
    </row>
    <row r="46" spans="1:22">
      <c r="A46" s="766"/>
    </row>
    <row r="47" spans="1:22">
      <c r="A47" s="766"/>
    </row>
    <row r="48" spans="1:22">
      <c r="A48" s="766"/>
    </row>
    <row r="49" spans="1:1">
      <c r="A49" s="766"/>
    </row>
    <row r="50" spans="1:1">
      <c r="A50" s="766"/>
    </row>
    <row r="51" spans="1:1">
      <c r="A51" s="766"/>
    </row>
    <row r="52" spans="1:1">
      <c r="A52" s="766"/>
    </row>
    <row r="53" spans="1:1">
      <c r="A53" s="766"/>
    </row>
    <row r="54" spans="1:1">
      <c r="A54" s="766"/>
    </row>
    <row r="55" spans="1:1">
      <c r="A55" s="766"/>
    </row>
    <row r="56" spans="1:1">
      <c r="A56" s="766"/>
    </row>
    <row r="57" spans="1:1">
      <c r="A57" s="766"/>
    </row>
    <row r="58" spans="1:1">
      <c r="A58" s="766"/>
    </row>
    <row r="59" spans="1:1">
      <c r="A59" s="766"/>
    </row>
    <row r="60" spans="1:1">
      <c r="A60" s="766"/>
    </row>
    <row r="61" spans="1:1">
      <c r="A61" s="766"/>
    </row>
    <row r="62" spans="1:1">
      <c r="A62" s="766"/>
    </row>
    <row r="63" spans="1:1">
      <c r="A63" s="766"/>
    </row>
    <row r="64" spans="1:1">
      <c r="A64" s="766"/>
    </row>
  </sheetData>
  <mergeCells count="1">
    <mergeCell ref="F1:I5"/>
  </mergeCells>
  <conditionalFormatting sqref="A36:A1048576 A1:A14">
    <cfRule type="duplicateValues" dxfId="9" priority="2"/>
  </conditionalFormatting>
  <conditionalFormatting sqref="B36:B1048576 B1:B14">
    <cfRule type="duplicateValues" dxfId="8" priority="1"/>
  </conditionalFormatting>
  <printOptions horizontalCentered="1"/>
  <pageMargins left="0.5" right="0.5" top="0.5" bottom="0.5" header="0.25" footer="0.25"/>
  <pageSetup scale="27" fitToHeight="0" orientation="landscape" r:id="rId1"/>
  <headerFooter>
    <oddHeader>&amp;L Move-ins 2.0</oddHeader>
    <oddFooter>&amp;L Page &amp;P of &amp;N &amp;R &amp;I Availability 4.5 generated02/26/2026 at 10:28am CST&amp;I</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D743A6-E15C-4C0E-91E0-A6EA030A144B}">
  <sheetPr>
    <tabColor rgb="FFC00000"/>
  </sheetPr>
  <dimension ref="A1:Z131"/>
  <sheetViews>
    <sheetView showGridLines="0" zoomScaleNormal="100" workbookViewId="0">
      <pane xSplit="1" ySplit="1" topLeftCell="B2" activePane="bottomRight" state="frozen"/>
      <selection pane="topRight" activeCell="B1" sqref="B1"/>
      <selection pane="bottomLeft" activeCell="A2" sqref="A2"/>
      <selection pane="bottomRight" activeCell="G60" sqref="G60"/>
    </sheetView>
  </sheetViews>
  <sheetFormatPr defaultRowHeight="14.4" outlineLevelCol="1"/>
  <cols>
    <col min="1" max="1" width="2.6640625" customWidth="1"/>
    <col min="2" max="2" width="27.33203125" customWidth="1"/>
    <col min="3" max="3" width="28.109375" customWidth="1"/>
    <col min="4" max="4" width="22.6640625" customWidth="1"/>
    <col min="5" max="5" width="23.5546875" customWidth="1"/>
    <col min="6" max="6" width="20" customWidth="1"/>
    <col min="7" max="8" width="20.88671875" customWidth="1"/>
    <col min="9" max="9" width="36.44140625" customWidth="1"/>
    <col min="10" max="10" width="41.88671875" customWidth="1"/>
    <col min="12" max="25" width="0" hidden="1" customWidth="1" outlineLevel="1"/>
    <col min="26" max="26" width="8.6640625" collapsed="1"/>
  </cols>
  <sheetData>
    <row r="1" spans="1:25" s="287" customFormat="1" ht="20.100000000000001" customHeight="1">
      <c r="A1" s="277"/>
      <c r="B1" s="278" t="s">
        <v>783</v>
      </c>
      <c r="C1" s="277"/>
      <c r="D1" s="277"/>
      <c r="E1" s="277"/>
      <c r="F1" s="277"/>
      <c r="G1" s="277"/>
      <c r="H1" s="277"/>
      <c r="I1" s="277"/>
      <c r="J1" s="277"/>
    </row>
    <row r="2" spans="1:25" s="287" customFormat="1" ht="12.9" customHeight="1">
      <c r="A2" s="277"/>
      <c r="B2" s="279" t="s">
        <v>1841</v>
      </c>
      <c r="C2" s="277"/>
      <c r="D2" s="277"/>
      <c r="E2" s="277"/>
      <c r="F2" s="277"/>
      <c r="G2" s="277"/>
      <c r="H2" s="277"/>
      <c r="I2" s="277"/>
      <c r="J2" s="277"/>
    </row>
    <row r="3" spans="1:25" s="287" customFormat="1" ht="12.9" customHeight="1">
      <c r="A3" s="277"/>
      <c r="B3" s="280" t="s">
        <v>1088</v>
      </c>
      <c r="C3" s="767">
        <f>Dashboard_1!F3</f>
        <v>46244</v>
      </c>
      <c r="D3" s="277"/>
      <c r="E3" s="281" t="s">
        <v>1842</v>
      </c>
      <c r="F3" s="277"/>
      <c r="G3" s="277"/>
      <c r="H3" s="277"/>
      <c r="I3" s="277"/>
      <c r="J3" s="277"/>
    </row>
    <row r="4" spans="1:25" s="287" customFormat="1" ht="14.1" customHeight="1" thickBot="1">
      <c r="A4" s="277"/>
      <c r="B4" s="282" t="s">
        <v>1843</v>
      </c>
      <c r="C4" s="286"/>
      <c r="D4" s="283"/>
      <c r="E4" s="283"/>
      <c r="F4" s="283"/>
      <c r="G4" s="282" t="s">
        <v>1844</v>
      </c>
      <c r="H4" s="283"/>
      <c r="I4" s="277"/>
      <c r="J4" s="277"/>
    </row>
    <row r="5" spans="1:25" s="287" customFormat="1" ht="12.9" customHeight="1">
      <c r="A5" s="277"/>
      <c r="B5" s="388" t="s">
        <v>1845</v>
      </c>
      <c r="C5" s="389">
        <v>23</v>
      </c>
      <c r="D5" s="277"/>
      <c r="E5" s="277"/>
      <c r="F5" s="277"/>
      <c r="G5" s="388" t="s">
        <v>1846</v>
      </c>
      <c r="H5" s="390">
        <v>41</v>
      </c>
      <c r="I5" s="277"/>
      <c r="J5" s="277"/>
    </row>
    <row r="6" spans="1:25" s="287" customFormat="1" ht="12.9" customHeight="1">
      <c r="A6" s="277"/>
      <c r="B6" s="388" t="s">
        <v>1847</v>
      </c>
      <c r="C6" s="389">
        <v>116</v>
      </c>
      <c r="D6" s="277"/>
      <c r="E6" s="277"/>
      <c r="F6" s="277"/>
      <c r="G6" s="388" t="s">
        <v>1848</v>
      </c>
      <c r="H6" s="389">
        <v>0</v>
      </c>
      <c r="I6" s="277"/>
      <c r="J6" s="277"/>
      <c r="L6" s="441" t="s">
        <v>1849</v>
      </c>
      <c r="M6" s="441" t="s">
        <v>1850</v>
      </c>
      <c r="N6" s="441" t="s">
        <v>1851</v>
      </c>
      <c r="O6" s="441" t="s">
        <v>1852</v>
      </c>
      <c r="P6" s="441" t="s">
        <v>1853</v>
      </c>
      <c r="Q6" s="441" t="s">
        <v>1854</v>
      </c>
      <c r="R6" s="441" t="s">
        <v>1855</v>
      </c>
      <c r="S6" s="441" t="s">
        <v>1856</v>
      </c>
      <c r="T6" s="441" t="s">
        <v>1857</v>
      </c>
      <c r="U6" s="441" t="s">
        <v>1858</v>
      </c>
      <c r="V6" s="441" t="s">
        <v>1859</v>
      </c>
      <c r="W6" s="441" t="s">
        <v>1860</v>
      </c>
      <c r="X6" s="441" t="s">
        <v>1861</v>
      </c>
      <c r="Y6" s="441" t="s">
        <v>1862</v>
      </c>
    </row>
    <row r="7" spans="1:25" s="287" customFormat="1" ht="12.9" customHeight="1">
      <c r="A7" s="277"/>
      <c r="B7" s="388" t="s">
        <v>1863</v>
      </c>
      <c r="C7" s="389">
        <v>14</v>
      </c>
      <c r="D7" s="277"/>
      <c r="E7" s="277"/>
      <c r="F7" s="277"/>
      <c r="G7" s="388" t="s">
        <v>1864</v>
      </c>
      <c r="H7" s="389">
        <v>0</v>
      </c>
      <c r="I7" s="277"/>
      <c r="J7" s="277"/>
      <c r="K7"/>
      <c r="L7" s="442" t="e">
        <f>IF(#REF!="","",#REF!)</f>
        <v>#REF!</v>
      </c>
      <c r="M7" s="442" t="e">
        <f>IF(L7="","",#REF!)</f>
        <v>#REF!</v>
      </c>
      <c r="N7" s="442" t="e">
        <f>IF(L7="","",#REF!)</f>
        <v>#REF!</v>
      </c>
      <c r="O7" s="442" t="e">
        <f>IF(L7="","",IF(#REF!=0,"",#REF!))</f>
        <v>#REF!</v>
      </c>
      <c r="P7" s="442" t="e">
        <f t="shared" ref="P7:P42" si="0">IF(L7="","",L7&amp;"|"&amp;LEFT(M7,FIND(",",M7&amp;",")-1))</f>
        <v>#REF!</v>
      </c>
      <c r="Q7" s="442" t="e" cm="1">
        <f t="array" ref="Q7">IF(P7="","",IFERROR(MATCH(P7,App_Pipeline_Intel_4!$B$66:$B$178&amp;"|"&amp;LEFT(App_Pipeline_Intel_4!$C$66:$C$178,FIND(",",App_Pipeline_Intel_4!$C$66:$C$178&amp;",")-1),0),"NO MATCH"))</f>
        <v>#REF!</v>
      </c>
      <c r="R7" s="442" t="e" cm="1">
        <f t="array" ref="R7">IF(Q7="","",IF(Q7="NO MATCH","—",INDEX(App_Pipeline_Intel_4!$D$66:$D$178,Q7)))</f>
        <v>#REF!</v>
      </c>
      <c r="S7" s="442" t="e" cm="1">
        <f t="array" ref="S7">IF(Q7="","",IF(Q7="NO MATCH","—",INDEX(App_Pipeline_Intel_4!$E$66:$E$178,Q7)))</f>
        <v>#REF!</v>
      </c>
      <c r="T7" s="442" t="e" cm="1">
        <f t="array" ref="T7">IF(Q7="","",IF(Q7="NO MATCH","—",INDEX(App_Pipeline_Intel_4!$K$66:$K$178,Q7)))</f>
        <v>#REF!</v>
      </c>
      <c r="U7" s="442" t="e" cm="1">
        <f t="array" ref="U7">IF(Q7="","",IF(Q7="NO MATCH","—",INDEX(App_Pipeline_Intel_4!$F$66:$F$178,Q7)))</f>
        <v>#REF!</v>
      </c>
      <c r="V7" s="442" t="e">
        <f t="shared" ref="V7:V42" si="1">IF(L7="","",IF(Q7="NO MATCH",FALSE,TRUE))</f>
        <v>#REF!</v>
      </c>
      <c r="W7" s="442" t="e">
        <f t="shared" ref="W7:W42" si="2">IF(V7&lt;&gt;TRUE,"",IF(OR(AND(OR(N7="Failed",N7="Denied"),OR(S7="In Review",S7="Incomplete")),AND(N7="APPROVED",S7&lt;&gt;"Converted"),AND(S7="Cancelled/Denied",N7&lt;&gt;"CANCELLED"),AND(N7="App not completed",ISNUMBER(SEARCH("Completed",R7)))),TRUE,FALSE))</f>
        <v>#REF!</v>
      </c>
      <c r="X7" s="442" t="str">
        <f>IF(App_Pipeline_Intel_4!B67="","",App_Pipeline_Intel_4!B67)</f>
        <v>N01-1002</v>
      </c>
      <c r="Y7" s="442" t="b" cm="1">
        <f t="array" ref="Y7">IF(X7="","",ISNUMBER(MATCH(App_Pipeline_Intel_4!$B67&amp;"|"&amp;LEFT(App_Pipeline_Intel_4!$C67,FIND(",",App_Pipeline_Intel_4!$C67&amp;",")-1),#REF!&amp;"|"&amp;LEFT(#REF!,FIND(",",#REF!&amp;",")-1),0)))</f>
        <v>0</v>
      </c>
    </row>
    <row r="8" spans="1:25" s="287" customFormat="1" ht="12.9" customHeight="1">
      <c r="A8" s="277"/>
      <c r="B8" s="388" t="s">
        <v>1865</v>
      </c>
      <c r="C8" s="389">
        <v>9</v>
      </c>
      <c r="D8" s="277"/>
      <c r="E8" s="277"/>
      <c r="F8" s="277"/>
      <c r="G8" s="388" t="s">
        <v>1866</v>
      </c>
      <c r="H8" s="389">
        <v>9</v>
      </c>
      <c r="I8" s="277"/>
      <c r="J8" s="277"/>
      <c r="K8"/>
      <c r="L8" s="442" t="e">
        <f>IF(#REF!="","",#REF!)</f>
        <v>#REF!</v>
      </c>
      <c r="M8" s="442" t="e">
        <f>IF(L8="","",#REF!)</f>
        <v>#REF!</v>
      </c>
      <c r="N8" s="442" t="e">
        <f>IF(L8="","",#REF!)</f>
        <v>#REF!</v>
      </c>
      <c r="O8" s="442" t="e">
        <f>IF(L8="","",IF(#REF!=0,"",#REF!))</f>
        <v>#REF!</v>
      </c>
      <c r="P8" s="442" t="e">
        <f t="shared" si="0"/>
        <v>#REF!</v>
      </c>
      <c r="Q8" s="442" t="e" cm="1">
        <f t="array" ref="Q8">IF(P8="","",IFERROR(MATCH(P8,App_Pipeline_Intel_4!$B$66:$B$178&amp;"|"&amp;LEFT(App_Pipeline_Intel_4!$C$66:$C$178,FIND(",",App_Pipeline_Intel_4!$C$66:$C$178&amp;",")-1),0),"NO MATCH"))</f>
        <v>#REF!</v>
      </c>
      <c r="R8" s="442" t="e" cm="1">
        <f t="array" ref="R8">IF(Q8="","",IF(Q8="NO MATCH","—",INDEX(App_Pipeline_Intel_4!$D$66:$D$178,Q8)))</f>
        <v>#REF!</v>
      </c>
      <c r="S8" s="442" t="e" cm="1">
        <f t="array" ref="S8">IF(Q8="","",IF(Q8="NO MATCH","—",INDEX(App_Pipeline_Intel_4!$E$66:$E$178,Q8)))</f>
        <v>#REF!</v>
      </c>
      <c r="T8" s="442" t="e" cm="1">
        <f t="array" ref="T8">IF(Q8="","",IF(Q8="NO MATCH","—",INDEX(App_Pipeline_Intel_4!$K$66:$K$178,Q8)))</f>
        <v>#REF!</v>
      </c>
      <c r="U8" s="442" t="e" cm="1">
        <f t="array" ref="U8">IF(Q8="","",IF(Q8="NO MATCH","—",INDEX(App_Pipeline_Intel_4!$F$66:$F$178,Q8)))</f>
        <v>#REF!</v>
      </c>
      <c r="V8" s="442" t="e">
        <f t="shared" si="1"/>
        <v>#REF!</v>
      </c>
      <c r="W8" s="442" t="e">
        <f t="shared" si="2"/>
        <v>#REF!</v>
      </c>
      <c r="X8" s="442" t="str">
        <f>IF(App_Pipeline_Intel_4!B69="","",App_Pipeline_Intel_4!B69)</f>
        <v>N01-3003</v>
      </c>
      <c r="Y8" s="442" t="b" cm="1">
        <f t="array" ref="Y8">IF(X8="","",ISNUMBER(MATCH(App_Pipeline_Intel_4!$B69&amp;"|"&amp;LEFT(App_Pipeline_Intel_4!$C69,FIND(",",App_Pipeline_Intel_4!$C69&amp;",")-1),#REF!&amp;"|"&amp;LEFT(#REF!,FIND(",",#REF!&amp;",")-1),0)))</f>
        <v>0</v>
      </c>
    </row>
    <row r="9" spans="1:25" s="287" customFormat="1" ht="12.9" customHeight="1">
      <c r="A9" s="277"/>
      <c r="B9" s="388" t="s">
        <v>1867</v>
      </c>
      <c r="C9" s="389">
        <v>93</v>
      </c>
      <c r="D9" s="277"/>
      <c r="E9" s="277"/>
      <c r="F9" s="277"/>
      <c r="G9" s="388" t="s">
        <v>1868</v>
      </c>
      <c r="H9" s="389">
        <v>0</v>
      </c>
      <c r="I9" s="277"/>
      <c r="J9" s="277"/>
      <c r="K9"/>
      <c r="L9" s="442" t="e">
        <f>IF(#REF!="","",#REF!)</f>
        <v>#REF!</v>
      </c>
      <c r="M9" s="442" t="e">
        <f>IF(L9="","",#REF!)</f>
        <v>#REF!</v>
      </c>
      <c r="N9" s="442" t="e">
        <f>IF(L9="","",#REF!)</f>
        <v>#REF!</v>
      </c>
      <c r="O9" s="442" t="e">
        <f>IF(L9="","",IF(#REF!=0,"",#REF!))</f>
        <v>#REF!</v>
      </c>
      <c r="P9" s="442" t="e">
        <f t="shared" si="0"/>
        <v>#REF!</v>
      </c>
      <c r="Q9" s="442" t="e" cm="1">
        <f t="array" ref="Q9">IF(P9="","",IFERROR(MATCH(P9,App_Pipeline_Intel_4!$B$66:$B$178&amp;"|"&amp;LEFT(App_Pipeline_Intel_4!$C$66:$C$178,FIND(",",App_Pipeline_Intel_4!$C$66:$C$178&amp;",")-1),0),"NO MATCH"))</f>
        <v>#REF!</v>
      </c>
      <c r="R9" s="442" t="e" cm="1">
        <f t="array" ref="R9">IF(Q9="","",IF(Q9="NO MATCH","—",INDEX(App_Pipeline_Intel_4!$D$66:$D$178,Q9)))</f>
        <v>#REF!</v>
      </c>
      <c r="S9" s="442" t="e" cm="1">
        <f t="array" ref="S9">IF(Q9="","",IF(Q9="NO MATCH","—",INDEX(App_Pipeline_Intel_4!$E$66:$E$178,Q9)))</f>
        <v>#REF!</v>
      </c>
      <c r="T9" s="442" t="e" cm="1">
        <f t="array" ref="T9">IF(Q9="","",IF(Q9="NO MATCH","—",INDEX(App_Pipeline_Intel_4!$K$66:$K$178,Q9)))</f>
        <v>#REF!</v>
      </c>
      <c r="U9" s="442" t="e" cm="1">
        <f t="array" ref="U9">IF(Q9="","",IF(Q9="NO MATCH","—",INDEX(App_Pipeline_Intel_4!$F$66:$F$178,Q9)))</f>
        <v>#REF!</v>
      </c>
      <c r="V9" s="442" t="e">
        <f t="shared" si="1"/>
        <v>#REF!</v>
      </c>
      <c r="W9" s="442" t="e">
        <f t="shared" si="2"/>
        <v>#REF!</v>
      </c>
      <c r="X9" s="442" t="str">
        <f>IF(App_Pipeline_Intel_4!B70="","",App_Pipeline_Intel_4!B70)</f>
        <v>N01-3004</v>
      </c>
      <c r="Y9" s="442" t="b" cm="1">
        <f t="array" ref="Y9">IF(X9="","",ISNUMBER(MATCH(App_Pipeline_Intel_4!$B70&amp;"|"&amp;LEFT(App_Pipeline_Intel_4!$C70,FIND(",",App_Pipeline_Intel_4!$C70&amp;",")-1),#REF!&amp;"|"&amp;LEFT(#REF!,FIND(",",#REF!&amp;",")-1),0)))</f>
        <v>0</v>
      </c>
    </row>
    <row r="10" spans="1:25" s="287" customFormat="1" ht="12.9" customHeight="1">
      <c r="A10"/>
      <c r="B10"/>
      <c r="C10" s="443" t="s">
        <v>1869</v>
      </c>
      <c r="D10"/>
      <c r="E10"/>
      <c r="F10"/>
      <c r="G10"/>
      <c r="H10"/>
      <c r="I10"/>
      <c r="J10"/>
      <c r="K10"/>
      <c r="L10" s="442"/>
      <c r="M10" s="442"/>
      <c r="N10" s="442"/>
      <c r="O10" s="442"/>
      <c r="P10" s="442"/>
      <c r="Q10" s="442"/>
      <c r="R10" s="442"/>
      <c r="S10" s="442"/>
      <c r="T10" s="442"/>
      <c r="U10" s="442"/>
      <c r="V10" s="442"/>
      <c r="W10" s="442"/>
      <c r="X10" s="442"/>
      <c r="Y10" s="442"/>
    </row>
    <row r="11" spans="1:25" s="287" customFormat="1" ht="12.9" customHeight="1">
      <c r="A11"/>
      <c r="B11"/>
      <c r="C11"/>
      <c r="D11"/>
      <c r="E11"/>
      <c r="F11"/>
      <c r="G11"/>
      <c r="H11"/>
      <c r="I11"/>
      <c r="J11"/>
      <c r="K11"/>
      <c r="L11" s="442"/>
      <c r="M11" s="442"/>
      <c r="N11" s="442"/>
      <c r="O11" s="442"/>
      <c r="P11" s="442"/>
      <c r="Q11" s="442"/>
      <c r="R11" s="442"/>
      <c r="S11" s="442"/>
      <c r="T11" s="442"/>
      <c r="U11" s="442"/>
      <c r="V11" s="442"/>
      <c r="W11" s="442"/>
      <c r="X11" s="442"/>
      <c r="Y11" s="442"/>
    </row>
    <row r="12" spans="1:25" s="287" customFormat="1" ht="12.9" customHeight="1" thickBot="1">
      <c r="A12"/>
      <c r="B12" s="451" t="s">
        <v>1870</v>
      </c>
      <c r="C12" s="452"/>
      <c r="D12" s="452"/>
      <c r="E12" s="452"/>
      <c r="F12" s="452"/>
      <c r="G12" s="451" t="s">
        <v>1871</v>
      </c>
      <c r="H12" s="452"/>
      <c r="I12"/>
      <c r="J12"/>
      <c r="K12"/>
      <c r="L12" s="442"/>
      <c r="M12" s="442"/>
      <c r="N12" s="442"/>
      <c r="O12" s="442"/>
      <c r="P12" s="442"/>
      <c r="Q12" s="442"/>
      <c r="R12" s="442"/>
      <c r="S12" s="442"/>
      <c r="T12" s="442"/>
      <c r="U12" s="442"/>
      <c r="V12" s="442"/>
      <c r="W12" s="442"/>
      <c r="X12" s="442"/>
      <c r="Y12" s="442"/>
    </row>
    <row r="13" spans="1:25" s="287" customFormat="1" ht="12.9" customHeight="1">
      <c r="A13"/>
      <c r="B13" s="444" t="s">
        <v>1872</v>
      </c>
      <c r="C13" s="445">
        <v>23</v>
      </c>
      <c r="D13"/>
      <c r="E13"/>
      <c r="F13"/>
      <c r="G13" s="444" t="s">
        <v>1873</v>
      </c>
      <c r="H13" s="446">
        <v>8</v>
      </c>
      <c r="I13"/>
      <c r="J13"/>
      <c r="K13"/>
      <c r="L13" s="442"/>
      <c r="M13" s="442"/>
      <c r="N13" s="442"/>
      <c r="O13" s="442"/>
      <c r="P13" s="442"/>
      <c r="Q13" s="442"/>
      <c r="R13" s="442"/>
      <c r="S13" s="442"/>
      <c r="T13" s="442"/>
      <c r="U13" s="442"/>
      <c r="V13" s="442"/>
      <c r="W13" s="442"/>
      <c r="X13" s="442"/>
      <c r="Y13" s="442"/>
    </row>
    <row r="14" spans="1:25" s="287" customFormat="1" ht="12.9" customHeight="1">
      <c r="A14"/>
      <c r="B14" s="444" t="s">
        <v>1874</v>
      </c>
      <c r="C14" s="445">
        <v>16</v>
      </c>
      <c r="D14"/>
      <c r="E14"/>
      <c r="F14"/>
      <c r="G14" s="444" t="s">
        <v>1875</v>
      </c>
      <c r="H14" s="447">
        <v>35</v>
      </c>
      <c r="I14"/>
      <c r="J14"/>
      <c r="K14"/>
      <c r="L14" s="442"/>
      <c r="M14" s="442"/>
      <c r="N14" s="442"/>
      <c r="O14" s="442"/>
      <c r="P14" s="442"/>
      <c r="Q14" s="442"/>
      <c r="R14" s="442"/>
      <c r="S14" s="442"/>
      <c r="T14" s="442"/>
      <c r="U14" s="442"/>
      <c r="V14" s="442"/>
      <c r="W14" s="442"/>
      <c r="X14" s="442"/>
      <c r="Y14" s="442"/>
    </row>
    <row r="15" spans="1:25" s="287" customFormat="1" ht="12.9" customHeight="1">
      <c r="A15"/>
      <c r="B15" s="444" t="s">
        <v>1876</v>
      </c>
      <c r="C15" s="445">
        <v>20</v>
      </c>
      <c r="D15"/>
      <c r="E15"/>
      <c r="F15"/>
      <c r="G15" s="444" t="s">
        <v>1864</v>
      </c>
      <c r="H15" s="445">
        <v>0</v>
      </c>
      <c r="I15"/>
      <c r="J15"/>
      <c r="K15"/>
      <c r="L15" s="442"/>
      <c r="M15" s="442"/>
      <c r="N15" s="442"/>
      <c r="O15" s="442"/>
      <c r="P15" s="442"/>
      <c r="Q15" s="442"/>
      <c r="R15" s="442"/>
      <c r="S15" s="442"/>
      <c r="T15" s="442"/>
      <c r="U15" s="442"/>
      <c r="V15" s="442"/>
      <c r="W15" s="442"/>
      <c r="X15" s="442"/>
      <c r="Y15" s="442"/>
    </row>
    <row r="16" spans="1:25" s="287" customFormat="1" ht="12.9" customHeight="1">
      <c r="A16"/>
      <c r="B16" s="444" t="s">
        <v>1877</v>
      </c>
      <c r="C16" s="445">
        <v>40</v>
      </c>
      <c r="D16"/>
      <c r="E16"/>
      <c r="F16"/>
      <c r="G16" s="444" t="s">
        <v>1866</v>
      </c>
      <c r="H16" s="445">
        <v>9</v>
      </c>
      <c r="I16"/>
      <c r="J16"/>
      <c r="K16"/>
      <c r="L16" s="442"/>
      <c r="M16" s="442"/>
      <c r="N16" s="442"/>
      <c r="O16" s="442"/>
      <c r="P16" s="442"/>
      <c r="Q16" s="442"/>
      <c r="R16" s="442"/>
      <c r="S16" s="442"/>
      <c r="T16" s="442"/>
      <c r="U16" s="442"/>
      <c r="V16" s="442"/>
      <c r="W16" s="442"/>
      <c r="X16" s="442"/>
      <c r="Y16" s="442"/>
    </row>
    <row r="17" spans="1:25" s="287" customFormat="1" ht="12.9" customHeight="1">
      <c r="A17"/>
      <c r="B17" s="444" t="s">
        <v>1878</v>
      </c>
      <c r="C17" s="445">
        <v>35</v>
      </c>
      <c r="D17"/>
      <c r="E17"/>
      <c r="F17"/>
      <c r="G17" s="444" t="s">
        <v>1868</v>
      </c>
      <c r="H17" s="445">
        <v>0</v>
      </c>
      <c r="I17"/>
      <c r="J17"/>
      <c r="K17"/>
      <c r="L17" s="442"/>
      <c r="M17" s="442"/>
      <c r="N17" s="442"/>
      <c r="O17" s="442"/>
      <c r="P17" s="442"/>
      <c r="Q17" s="442"/>
      <c r="R17" s="442"/>
      <c r="S17" s="442"/>
      <c r="T17" s="442"/>
      <c r="U17" s="442"/>
      <c r="V17" s="442"/>
      <c r="W17" s="442"/>
      <c r="X17" s="442"/>
      <c r="Y17" s="442"/>
    </row>
    <row r="18" spans="1:25" s="287" customFormat="1" ht="12.9" customHeight="1">
      <c r="A18"/>
      <c r="B18" s="448" t="s">
        <v>1879</v>
      </c>
      <c r="C18" s="449" t="s">
        <v>1880</v>
      </c>
      <c r="D18" s="380"/>
      <c r="E18" s="380"/>
      <c r="F18" s="380"/>
      <c r="G18" s="380"/>
      <c r="H18" s="380"/>
      <c r="I18"/>
      <c r="J18"/>
      <c r="K18"/>
      <c r="L18" s="442"/>
      <c r="M18" s="442"/>
      <c r="N18" s="442"/>
      <c r="O18" s="442"/>
      <c r="P18" s="442"/>
      <c r="Q18" s="442"/>
      <c r="R18" s="442"/>
      <c r="S18" s="442"/>
      <c r="T18" s="442"/>
      <c r="U18" s="442"/>
      <c r="V18" s="442"/>
      <c r="W18" s="442"/>
      <c r="X18" s="442"/>
      <c r="Y18" s="442"/>
    </row>
    <row r="19" spans="1:25" s="287" customFormat="1" ht="12.9" customHeight="1">
      <c r="A19"/>
      <c r="B19" s="450" t="s">
        <v>1881</v>
      </c>
      <c r="C19" s="380" t="s">
        <v>1882</v>
      </c>
      <c r="D19" s="380"/>
      <c r="E19" s="380"/>
      <c r="F19" s="380"/>
      <c r="G19" s="380"/>
      <c r="H19" s="380"/>
      <c r="I19"/>
      <c r="J19"/>
      <c r="K19"/>
      <c r="L19" s="442"/>
      <c r="M19" s="442"/>
      <c r="N19" s="442"/>
      <c r="O19" s="442"/>
      <c r="P19" s="442"/>
      <c r="Q19" s="442"/>
      <c r="R19" s="442"/>
      <c r="S19" s="442"/>
      <c r="T19" s="442"/>
      <c r="U19" s="442"/>
      <c r="V19" s="442"/>
      <c r="W19" s="442"/>
      <c r="X19" s="442"/>
      <c r="Y19" s="442"/>
    </row>
    <row r="20" spans="1:25" s="287" customFormat="1" ht="3.9" customHeight="1">
      <c r="A20" s="277"/>
      <c r="B20" s="277"/>
      <c r="C20" s="277"/>
      <c r="D20" s="277"/>
      <c r="E20" s="277"/>
      <c r="F20" s="277"/>
      <c r="G20" s="277"/>
      <c r="H20" s="277"/>
      <c r="I20" s="277"/>
      <c r="J20" s="277"/>
      <c r="K20"/>
      <c r="L20" s="442" t="e">
        <f>IF(#REF!="","",#REF!)</f>
        <v>#REF!</v>
      </c>
      <c r="M20" s="442" t="e">
        <f>IF(L20="","",#REF!)</f>
        <v>#REF!</v>
      </c>
      <c r="N20" s="442" t="e">
        <f>IF(L20="","",#REF!)</f>
        <v>#REF!</v>
      </c>
      <c r="O20" s="442" t="e">
        <f>IF(L20="","",IF(#REF!=0,"",#REF!))</f>
        <v>#REF!</v>
      </c>
      <c r="P20" s="442" t="e">
        <f t="shared" si="0"/>
        <v>#REF!</v>
      </c>
      <c r="Q20" s="442" t="e" cm="1">
        <f t="array" ref="Q20">IF(P20="","",IFERROR(MATCH(P20,App_Pipeline_Intel_4!$B$66:$B$178&amp;"|"&amp;LEFT(App_Pipeline_Intel_4!$C$66:$C$178,FIND(",",App_Pipeline_Intel_4!$C$66:$C$178&amp;",")-1),0),"NO MATCH"))</f>
        <v>#REF!</v>
      </c>
      <c r="R20" s="442" t="e" cm="1">
        <f t="array" ref="R20">IF(Q20="","",IF(Q20="NO MATCH","—",INDEX(App_Pipeline_Intel_4!$D$66:$D$178,Q20)))</f>
        <v>#REF!</v>
      </c>
      <c r="S20" s="442" t="e" cm="1">
        <f t="array" ref="S20">IF(Q20="","",IF(Q20="NO MATCH","—",INDEX(App_Pipeline_Intel_4!$E$66:$E$178,Q20)))</f>
        <v>#REF!</v>
      </c>
      <c r="T20" s="442" t="e" cm="1">
        <f t="array" ref="T20">IF(Q20="","",IF(Q20="NO MATCH","—",INDEX(App_Pipeline_Intel_4!$K$66:$K$178,Q20)))</f>
        <v>#REF!</v>
      </c>
      <c r="U20" s="442" t="e" cm="1">
        <f t="array" ref="U20">IF(Q20="","",IF(Q20="NO MATCH","—",INDEX(App_Pipeline_Intel_4!$F$66:$F$178,Q20)))</f>
        <v>#REF!</v>
      </c>
      <c r="V20" s="442" t="e">
        <f t="shared" si="1"/>
        <v>#REF!</v>
      </c>
      <c r="W20" s="442" t="e">
        <f t="shared" si="2"/>
        <v>#REF!</v>
      </c>
      <c r="X20" s="442" t="str">
        <f>IF(App_Pipeline_Intel_4!B72="","",App_Pipeline_Intel_4!B72)</f>
        <v>N03-1018</v>
      </c>
      <c r="Y20" s="442" t="b" cm="1">
        <f t="array" ref="Y20">IF(X20="","",ISNUMBER(MATCH(App_Pipeline_Intel_4!$B72&amp;"|"&amp;LEFT(App_Pipeline_Intel_4!$C72,FIND(",",App_Pipeline_Intel_4!$C72&amp;",")-1),#REF!&amp;"|"&amp;LEFT(#REF!,FIND(",",#REF!&amp;",")-1),0)))</f>
        <v>0</v>
      </c>
    </row>
    <row r="21" spans="1:25" s="287" customFormat="1" ht="15.9" customHeight="1" thickBot="1">
      <c r="A21" s="277"/>
      <c r="B21" s="282" t="s">
        <v>1883</v>
      </c>
      <c r="C21" s="283"/>
      <c r="D21" s="291"/>
      <c r="E21" s="288"/>
      <c r="F21" s="289" t="s">
        <v>1884</v>
      </c>
      <c r="G21" s="290" t="s">
        <v>1885</v>
      </c>
      <c r="H21" s="283" t="s">
        <v>1886</v>
      </c>
      <c r="I21" s="283"/>
      <c r="J21" s="283"/>
      <c r="K21"/>
      <c r="L21" s="442" t="e">
        <f>IF(#REF!="","",#REF!)</f>
        <v>#REF!</v>
      </c>
      <c r="M21" s="442" t="e">
        <f>IF(L21="","",#REF!)</f>
        <v>#REF!</v>
      </c>
      <c r="N21" s="442" t="e">
        <f>IF(L21="","",#REF!)</f>
        <v>#REF!</v>
      </c>
      <c r="O21" s="442" t="e">
        <f>IF(L21="","",IF(#REF!=0,"",#REF!))</f>
        <v>#REF!</v>
      </c>
      <c r="P21" s="442" t="e">
        <f t="shared" si="0"/>
        <v>#REF!</v>
      </c>
      <c r="Q21" s="442" t="e" cm="1">
        <f t="array" ref="Q21">IF(P21="","",IFERROR(MATCH(P21,App_Pipeline_Intel_4!$B$66:$B$178&amp;"|"&amp;LEFT(App_Pipeline_Intel_4!$C$66:$C$178,FIND(",",App_Pipeline_Intel_4!$C$66:$C$178&amp;",")-1),0),"NO MATCH"))</f>
        <v>#REF!</v>
      </c>
      <c r="R21" s="442" t="e" cm="1">
        <f t="array" ref="R21">IF(Q21="","",IF(Q21="NO MATCH","—",INDEX(App_Pipeline_Intel_4!$D$66:$D$178,Q21)))</f>
        <v>#REF!</v>
      </c>
      <c r="S21" s="442" t="e" cm="1">
        <f t="array" ref="S21">IF(Q21="","",IF(Q21="NO MATCH","—",INDEX(App_Pipeline_Intel_4!$E$66:$E$178,Q21)))</f>
        <v>#REF!</v>
      </c>
      <c r="T21" s="442" t="e" cm="1">
        <f t="array" ref="T21">IF(Q21="","",IF(Q21="NO MATCH","—",INDEX(App_Pipeline_Intel_4!$K$66:$K$178,Q21)))</f>
        <v>#REF!</v>
      </c>
      <c r="U21" s="442" t="e" cm="1">
        <f t="array" ref="U21">IF(Q21="","",IF(Q21="NO MATCH","—",INDEX(App_Pipeline_Intel_4!$F$66:$F$178,Q21)))</f>
        <v>#REF!</v>
      </c>
      <c r="V21" s="442" t="e">
        <f t="shared" si="1"/>
        <v>#REF!</v>
      </c>
      <c r="W21" s="442" t="e">
        <f t="shared" si="2"/>
        <v>#REF!</v>
      </c>
      <c r="X21" s="442" t="str">
        <f>IF(App_Pipeline_Intel_4!B75="","",App_Pipeline_Intel_4!B75)</f>
        <v>N03-2018</v>
      </c>
      <c r="Y21" s="442" t="b" cm="1">
        <f t="array" ref="Y21">IF(X21="","",ISNUMBER(MATCH(App_Pipeline_Intel_4!$B75&amp;"|"&amp;LEFT(App_Pipeline_Intel_4!$C75,FIND(",",App_Pipeline_Intel_4!$C75&amp;",")-1),#REF!&amp;"|"&amp;LEFT(#REF!,FIND(",",#REF!&amp;",")-1),0)))</f>
        <v>0</v>
      </c>
    </row>
    <row r="22" spans="1:25" s="287" customFormat="1" ht="15.9" customHeight="1">
      <c r="A22" s="277"/>
      <c r="B22" s="284" t="s">
        <v>1137</v>
      </c>
      <c r="C22" s="284" t="s">
        <v>1214</v>
      </c>
      <c r="D22" s="285" t="s">
        <v>1887</v>
      </c>
      <c r="E22" s="285" t="s">
        <v>1888</v>
      </c>
      <c r="F22" s="285" t="s">
        <v>1889</v>
      </c>
      <c r="G22" s="285" t="s">
        <v>1215</v>
      </c>
      <c r="H22" s="285" t="s">
        <v>1262</v>
      </c>
      <c r="I22" s="285" t="s">
        <v>1890</v>
      </c>
      <c r="J22" s="285" t="s">
        <v>1891</v>
      </c>
      <c r="K22"/>
      <c r="L22" s="442" t="e">
        <f>IF(#REF!="","",#REF!)</f>
        <v>#REF!</v>
      </c>
      <c r="M22" s="442" t="e">
        <f>IF(L22="","",#REF!)</f>
        <v>#REF!</v>
      </c>
      <c r="N22" s="442" t="e">
        <f>IF(L22="","",#REF!)</f>
        <v>#REF!</v>
      </c>
      <c r="O22" s="442" t="e">
        <f>IF(L22="","",IF(#REF!=0,"",#REF!))</f>
        <v>#REF!</v>
      </c>
      <c r="P22" s="442" t="e">
        <f t="shared" si="0"/>
        <v>#REF!</v>
      </c>
      <c r="Q22" s="442" t="e" cm="1">
        <f t="array" ref="Q22">IF(P22="","",IFERROR(MATCH(P22,App_Pipeline_Intel_4!$B$66:$B$178&amp;"|"&amp;LEFT(App_Pipeline_Intel_4!$C$66:$C$178,FIND(",",App_Pipeline_Intel_4!$C$66:$C$178&amp;",")-1),0),"NO MATCH"))</f>
        <v>#REF!</v>
      </c>
      <c r="R22" s="442" t="e" cm="1">
        <f t="array" ref="R22">IF(Q22="","",IF(Q22="NO MATCH","—",INDEX(App_Pipeline_Intel_4!$D$66:$D$178,Q22)))</f>
        <v>#REF!</v>
      </c>
      <c r="S22" s="442" t="e" cm="1">
        <f t="array" ref="S22">IF(Q22="","",IF(Q22="NO MATCH","—",INDEX(App_Pipeline_Intel_4!$E$66:$E$178,Q22)))</f>
        <v>#REF!</v>
      </c>
      <c r="T22" s="442" t="e" cm="1">
        <f t="array" ref="T22">IF(Q22="","",IF(Q22="NO MATCH","—",INDEX(App_Pipeline_Intel_4!$K$66:$K$178,Q22)))</f>
        <v>#REF!</v>
      </c>
      <c r="U22" s="442" t="e" cm="1">
        <f t="array" ref="U22">IF(Q22="","",IF(Q22="NO MATCH","—",INDEX(App_Pipeline_Intel_4!$F$66:$F$178,Q22)))</f>
        <v>#REF!</v>
      </c>
      <c r="V22" s="442" t="e">
        <f t="shared" si="1"/>
        <v>#REF!</v>
      </c>
      <c r="W22" s="442" t="e">
        <f t="shared" si="2"/>
        <v>#REF!</v>
      </c>
      <c r="X22" s="442" t="str">
        <f>IF(App_Pipeline_Intel_4!B77="","",App_Pipeline_Intel_4!B77)</f>
        <v>N03-2021</v>
      </c>
      <c r="Y22" s="442" t="b" cm="1">
        <f t="array" ref="Y22">IF(X22="","",ISNUMBER(MATCH(App_Pipeline_Intel_4!$B77&amp;"|"&amp;LEFT(App_Pipeline_Intel_4!$C77,FIND(",",App_Pipeline_Intel_4!$C77&amp;",")-1),#REF!&amp;"|"&amp;LEFT(#REF!,FIND(",",#REF!&amp;",")-1),0)))</f>
        <v>0</v>
      </c>
    </row>
    <row r="23" spans="1:25" s="287" customFormat="1" ht="15.9" customHeight="1">
      <c r="A23" s="277"/>
      <c r="B23" s="768"/>
      <c r="C23" s="768"/>
      <c r="D23" s="769"/>
      <c r="E23" s="769"/>
      <c r="F23" s="769"/>
      <c r="G23" s="769"/>
      <c r="H23" s="770"/>
      <c r="I23" s="771" t="s">
        <v>1892</v>
      </c>
      <c r="J23" s="771" t="s">
        <v>1893</v>
      </c>
      <c r="K23"/>
      <c r="L23" s="442" t="e">
        <f>IF(#REF!="","",#REF!)</f>
        <v>#REF!</v>
      </c>
      <c r="M23" s="442" t="e">
        <f>IF(L23="","",#REF!)</f>
        <v>#REF!</v>
      </c>
      <c r="N23" s="442" t="e">
        <f>IF(L23="","",#REF!)</f>
        <v>#REF!</v>
      </c>
      <c r="O23" s="442" t="e">
        <f>IF(L23="","",IF(#REF!=0,"",#REF!))</f>
        <v>#REF!</v>
      </c>
      <c r="P23" s="442" t="e">
        <f t="shared" si="0"/>
        <v>#REF!</v>
      </c>
      <c r="Q23" s="442" t="e" cm="1">
        <f t="array" ref="Q23">IF(P23="","",IFERROR(MATCH(P23,App_Pipeline_Intel_4!$B$66:$B$178&amp;"|"&amp;LEFT(App_Pipeline_Intel_4!$C$66:$C$178,FIND(",",App_Pipeline_Intel_4!$C$66:$C$178&amp;",")-1),0),"NO MATCH"))</f>
        <v>#REF!</v>
      </c>
      <c r="R23" s="442" t="e" cm="1">
        <f t="array" ref="R23">IF(Q23="","",IF(Q23="NO MATCH","—",INDEX(App_Pipeline_Intel_4!$D$66:$D$178,Q23)))</f>
        <v>#REF!</v>
      </c>
      <c r="S23" s="442" t="e" cm="1">
        <f t="array" ref="S23">IF(Q23="","",IF(Q23="NO MATCH","—",INDEX(App_Pipeline_Intel_4!$E$66:$E$178,Q23)))</f>
        <v>#REF!</v>
      </c>
      <c r="T23" s="442" t="e" cm="1">
        <f t="array" ref="T23">IF(Q23="","",IF(Q23="NO MATCH","—",INDEX(App_Pipeline_Intel_4!$K$66:$K$178,Q23)))</f>
        <v>#REF!</v>
      </c>
      <c r="U23" s="442" t="e" cm="1">
        <f t="array" ref="U23">IF(Q23="","",IF(Q23="NO MATCH","—",INDEX(App_Pipeline_Intel_4!$F$66:$F$178,Q23)))</f>
        <v>#REF!</v>
      </c>
      <c r="V23" s="442" t="e">
        <f t="shared" si="1"/>
        <v>#REF!</v>
      </c>
      <c r="W23" s="442" t="e">
        <f t="shared" si="2"/>
        <v>#REF!</v>
      </c>
      <c r="X23" s="442" t="str">
        <f>IF(App_Pipeline_Intel_4!B79="","",App_Pipeline_Intel_4!B79)</f>
        <v>N04-1024</v>
      </c>
      <c r="Y23" s="442" t="b" cm="1">
        <f t="array" ref="Y23">IF(X23="","",ISNUMBER(MATCH(App_Pipeline_Intel_4!$B79&amp;"|"&amp;LEFT(App_Pipeline_Intel_4!$C79,FIND(",",App_Pipeline_Intel_4!$C79&amp;",")-1),#REF!&amp;"|"&amp;LEFT(#REF!,FIND(",",#REF!&amp;",")-1),0)))</f>
        <v>0</v>
      </c>
    </row>
    <row r="24" spans="1:25" s="287" customFormat="1" ht="15.9" customHeight="1">
      <c r="A24" s="277"/>
      <c r="B24" s="768"/>
      <c r="C24" s="768"/>
      <c r="D24" s="772"/>
      <c r="E24" s="769"/>
      <c r="F24" s="769"/>
      <c r="G24" s="769"/>
      <c r="H24" s="770"/>
      <c r="I24" s="771" t="s">
        <v>1892</v>
      </c>
      <c r="J24" s="771" t="s">
        <v>1893</v>
      </c>
      <c r="K24"/>
      <c r="L24" s="442" t="e">
        <f>IF(#REF!="","",#REF!)</f>
        <v>#REF!</v>
      </c>
      <c r="M24" s="442" t="e">
        <f>IF(L24="","",#REF!)</f>
        <v>#REF!</v>
      </c>
      <c r="N24" s="442" t="e">
        <f>IF(L24="","",#REF!)</f>
        <v>#REF!</v>
      </c>
      <c r="O24" s="442" t="e">
        <f>IF(L24="","",IF(#REF!=0,"",#REF!))</f>
        <v>#REF!</v>
      </c>
      <c r="P24" s="442" t="e">
        <f t="shared" si="0"/>
        <v>#REF!</v>
      </c>
      <c r="Q24" s="442" t="e" cm="1">
        <f t="array" ref="Q24">IF(P24="","",IFERROR(MATCH(P24,App_Pipeline_Intel_4!$B$66:$B$178&amp;"|"&amp;LEFT(App_Pipeline_Intel_4!$C$66:$C$178,FIND(",",App_Pipeline_Intel_4!$C$66:$C$178&amp;",")-1),0),"NO MATCH"))</f>
        <v>#REF!</v>
      </c>
      <c r="R24" s="442" t="e" cm="1">
        <f t="array" ref="R24">IF(Q24="","",IF(Q24="NO MATCH","—",INDEX(App_Pipeline_Intel_4!$D$66:$D$178,Q24)))</f>
        <v>#REF!</v>
      </c>
      <c r="S24" s="442" t="e" cm="1">
        <f t="array" ref="S24">IF(Q24="","",IF(Q24="NO MATCH","—",INDEX(App_Pipeline_Intel_4!$E$66:$E$178,Q24)))</f>
        <v>#REF!</v>
      </c>
      <c r="T24" s="442" t="e" cm="1">
        <f t="array" ref="T24">IF(Q24="","",IF(Q24="NO MATCH","—",INDEX(App_Pipeline_Intel_4!$K$66:$K$178,Q24)))</f>
        <v>#REF!</v>
      </c>
      <c r="U24" s="442" t="e" cm="1">
        <f t="array" ref="U24">IF(Q24="","",IF(Q24="NO MATCH","—",INDEX(App_Pipeline_Intel_4!$F$66:$F$178,Q24)))</f>
        <v>#REF!</v>
      </c>
      <c r="V24" s="442" t="e">
        <f t="shared" si="1"/>
        <v>#REF!</v>
      </c>
      <c r="W24" s="442" t="e">
        <f t="shared" si="2"/>
        <v>#REF!</v>
      </c>
      <c r="X24" s="442" t="str">
        <f>IF(App_Pipeline_Intel_4!B81="","",App_Pipeline_Intel_4!B81)</f>
        <v>N05-1027</v>
      </c>
      <c r="Y24" s="442" t="b" cm="1">
        <f t="array" ref="Y24">IF(X24="","",ISNUMBER(MATCH(App_Pipeline_Intel_4!$B81&amp;"|"&amp;LEFT(App_Pipeline_Intel_4!$C81,FIND(",",App_Pipeline_Intel_4!$C81&amp;",")-1),#REF!&amp;"|"&amp;LEFT(#REF!,FIND(",",#REF!&amp;",")-1),0)))</f>
        <v>0</v>
      </c>
    </row>
    <row r="25" spans="1:25" s="287" customFormat="1" ht="3.9" customHeight="1">
      <c r="A25" s="277"/>
      <c r="B25" s="773"/>
      <c r="C25" s="773"/>
      <c r="D25" s="773"/>
      <c r="E25" s="773"/>
      <c r="F25" s="773"/>
      <c r="G25" s="773"/>
      <c r="H25" s="773"/>
      <c r="I25" s="773"/>
      <c r="J25" s="773"/>
      <c r="K25"/>
      <c r="L25" s="442" t="e">
        <f>IF(#REF!="","",#REF!)</f>
        <v>#REF!</v>
      </c>
      <c r="M25" s="442" t="e">
        <f>IF(L25="","",#REF!)</f>
        <v>#REF!</v>
      </c>
      <c r="N25" s="442" t="e">
        <f>IF(L25="","",#REF!)</f>
        <v>#REF!</v>
      </c>
      <c r="O25" s="442" t="e">
        <f>IF(L25="","",IF(#REF!=0,"",#REF!))</f>
        <v>#REF!</v>
      </c>
      <c r="P25" s="442" t="e">
        <f t="shared" si="0"/>
        <v>#REF!</v>
      </c>
      <c r="Q25" s="442" t="e" cm="1">
        <f t="array" ref="Q25">IF(P25="","",IFERROR(MATCH(P25,App_Pipeline_Intel_4!$B$66:$B$178&amp;"|"&amp;LEFT(App_Pipeline_Intel_4!$C$66:$C$178,FIND(",",App_Pipeline_Intel_4!$C$66:$C$178&amp;",")-1),0),"NO MATCH"))</f>
        <v>#REF!</v>
      </c>
      <c r="R25" s="442" t="e" cm="1">
        <f t="array" ref="R25">IF(Q25="","",IF(Q25="NO MATCH","—",INDEX(App_Pipeline_Intel_4!$D$66:$D$178,Q25)))</f>
        <v>#REF!</v>
      </c>
      <c r="S25" s="442" t="e" cm="1">
        <f t="array" ref="S25">IF(Q25="","",IF(Q25="NO MATCH","—",INDEX(App_Pipeline_Intel_4!$E$66:$E$178,Q25)))</f>
        <v>#REF!</v>
      </c>
      <c r="T25" s="442" t="e" cm="1">
        <f t="array" ref="T25">IF(Q25="","",IF(Q25="NO MATCH","—",INDEX(App_Pipeline_Intel_4!$K$66:$K$178,Q25)))</f>
        <v>#REF!</v>
      </c>
      <c r="U25" s="442" t="e" cm="1">
        <f t="array" ref="U25">IF(Q25="","",IF(Q25="NO MATCH","—",INDEX(App_Pipeline_Intel_4!$F$66:$F$178,Q25)))</f>
        <v>#REF!</v>
      </c>
      <c r="V25" s="442" t="e">
        <f t="shared" si="1"/>
        <v>#REF!</v>
      </c>
      <c r="W25" s="442" t="e">
        <f t="shared" si="2"/>
        <v>#REF!</v>
      </c>
      <c r="X25" s="442" t="str">
        <f>IF(App_Pipeline_Intel_4!B84="","",App_Pipeline_Intel_4!B84)</f>
        <v>N07-2051</v>
      </c>
      <c r="Y25" s="442" t="b" cm="1">
        <f t="array" ref="Y25">IF(X25="","",ISNUMBER(MATCH(App_Pipeline_Intel_4!$B84&amp;"|"&amp;LEFT(App_Pipeline_Intel_4!$C84,FIND(",",App_Pipeline_Intel_4!$C84&amp;",")-1),#REF!&amp;"|"&amp;LEFT(#REF!,FIND(",",#REF!&amp;",")-1),0)))</f>
        <v>0</v>
      </c>
    </row>
    <row r="26" spans="1:25" s="287" customFormat="1" ht="15.9" customHeight="1" thickBot="1">
      <c r="A26" s="277"/>
      <c r="B26" s="689" t="s">
        <v>1894</v>
      </c>
      <c r="C26" s="434"/>
      <c r="D26" s="434"/>
      <c r="E26" s="774" t="s">
        <v>1256</v>
      </c>
      <c r="F26" s="775" t="s">
        <v>1257</v>
      </c>
      <c r="G26" s="776" t="s">
        <v>1258</v>
      </c>
      <c r="H26" s="434"/>
      <c r="I26" s="434"/>
      <c r="J26" s="434"/>
      <c r="K26"/>
      <c r="L26" s="442" t="e">
        <f>IF(#REF!="","",#REF!)</f>
        <v>#REF!</v>
      </c>
      <c r="M26" s="442" t="e">
        <f>IF(L26="","",#REF!)</f>
        <v>#REF!</v>
      </c>
      <c r="N26" s="442" t="e">
        <f>IF(L26="","",#REF!)</f>
        <v>#REF!</v>
      </c>
      <c r="O26" s="442" t="e">
        <f>IF(L26="","",IF(#REF!=0,"",#REF!))</f>
        <v>#REF!</v>
      </c>
      <c r="P26" s="442" t="e">
        <f t="shared" si="0"/>
        <v>#REF!</v>
      </c>
      <c r="Q26" s="442" t="e" cm="1">
        <f t="array" ref="Q26">IF(P26="","",IFERROR(MATCH(P26,App_Pipeline_Intel_4!$B$66:$B$178&amp;"|"&amp;LEFT(App_Pipeline_Intel_4!$C$66:$C$178,FIND(",",App_Pipeline_Intel_4!$C$66:$C$178&amp;",")-1),0),"NO MATCH"))</f>
        <v>#REF!</v>
      </c>
      <c r="R26" s="442" t="e" cm="1">
        <f t="array" ref="R26">IF(Q26="","",IF(Q26="NO MATCH","—",INDEX(App_Pipeline_Intel_4!$D$66:$D$178,Q26)))</f>
        <v>#REF!</v>
      </c>
      <c r="S26" s="442" t="e" cm="1">
        <f t="array" ref="S26">IF(Q26="","",IF(Q26="NO MATCH","—",INDEX(App_Pipeline_Intel_4!$E$66:$E$178,Q26)))</f>
        <v>#REF!</v>
      </c>
      <c r="T26" s="442" t="e" cm="1">
        <f t="array" ref="T26">IF(Q26="","",IF(Q26="NO MATCH","—",INDEX(App_Pipeline_Intel_4!$K$66:$K$178,Q26)))</f>
        <v>#REF!</v>
      </c>
      <c r="U26" s="442" t="e" cm="1">
        <f t="array" ref="U26">IF(Q26="","",IF(Q26="NO MATCH","—",INDEX(App_Pipeline_Intel_4!$F$66:$F$178,Q26)))</f>
        <v>#REF!</v>
      </c>
      <c r="V26" s="442" t="e">
        <f t="shared" si="1"/>
        <v>#REF!</v>
      </c>
      <c r="W26" s="442" t="e">
        <f t="shared" si="2"/>
        <v>#REF!</v>
      </c>
      <c r="X26" s="442" t="str">
        <f>IF(App_Pipeline_Intel_4!B85="","",App_Pipeline_Intel_4!B85)</f>
        <v>N08-2033</v>
      </c>
      <c r="Y26" s="442" t="b" cm="1">
        <f t="array" ref="Y26">IF(X26="","",ISNUMBER(MATCH(App_Pipeline_Intel_4!$B85&amp;"|"&amp;LEFT(App_Pipeline_Intel_4!$C85,FIND(",",App_Pipeline_Intel_4!$C85&amp;",")-1),#REF!&amp;"|"&amp;LEFT(#REF!,FIND(",",#REF!&amp;",")-1),0)))</f>
        <v>0</v>
      </c>
    </row>
    <row r="27" spans="1:25" s="287" customFormat="1" ht="14.1" customHeight="1">
      <c r="A27" s="277"/>
      <c r="B27" s="777" t="s">
        <v>1137</v>
      </c>
      <c r="C27" s="777" t="s">
        <v>1214</v>
      </c>
      <c r="D27" s="777" t="s">
        <v>1888</v>
      </c>
      <c r="E27" s="777" t="s">
        <v>1261</v>
      </c>
      <c r="F27" s="777" t="s">
        <v>1215</v>
      </c>
      <c r="G27" s="777" t="s">
        <v>1262</v>
      </c>
      <c r="H27" s="777" t="s">
        <v>1216</v>
      </c>
      <c r="I27" s="777" t="s">
        <v>1263</v>
      </c>
      <c r="J27" s="777" t="s">
        <v>1490</v>
      </c>
      <c r="K27"/>
      <c r="L27" s="442" t="e">
        <f>IF(#REF!="","",#REF!)</f>
        <v>#REF!</v>
      </c>
      <c r="M27" s="442" t="e">
        <f>IF(L27="","",#REF!)</f>
        <v>#REF!</v>
      </c>
      <c r="N27" s="442" t="e">
        <f>IF(L27="","",#REF!)</f>
        <v>#REF!</v>
      </c>
      <c r="O27" s="442" t="e">
        <f>IF(L27="","",IF(#REF!=0,"",#REF!))</f>
        <v>#REF!</v>
      </c>
      <c r="P27" s="442" t="e">
        <f t="shared" si="0"/>
        <v>#REF!</v>
      </c>
      <c r="Q27" s="442" t="e" cm="1">
        <f t="array" ref="Q27">IF(P27="","",IFERROR(MATCH(P27,App_Pipeline_Intel_4!$B$66:$B$178&amp;"|"&amp;LEFT(App_Pipeline_Intel_4!$C$66:$C$178,FIND(",",App_Pipeline_Intel_4!$C$66:$C$178&amp;",")-1),0),"NO MATCH"))</f>
        <v>#REF!</v>
      </c>
      <c r="R27" s="442" t="e" cm="1">
        <f t="array" ref="R27">IF(Q27="","",IF(Q27="NO MATCH","—",INDEX(App_Pipeline_Intel_4!$D$66:$D$178,Q27)))</f>
        <v>#REF!</v>
      </c>
      <c r="S27" s="442" t="e" cm="1">
        <f t="array" ref="S27">IF(Q27="","",IF(Q27="NO MATCH","—",INDEX(App_Pipeline_Intel_4!$E$66:$E$178,Q27)))</f>
        <v>#REF!</v>
      </c>
      <c r="T27" s="442" t="e" cm="1">
        <f t="array" ref="T27">IF(Q27="","",IF(Q27="NO MATCH","—",INDEX(App_Pipeline_Intel_4!$K$66:$K$178,Q27)))</f>
        <v>#REF!</v>
      </c>
      <c r="U27" s="442" t="e" cm="1">
        <f t="array" ref="U27">IF(Q27="","",IF(Q27="NO MATCH","—",INDEX(App_Pipeline_Intel_4!$F$66:$F$178,Q27)))</f>
        <v>#REF!</v>
      </c>
      <c r="V27" s="442" t="e">
        <f t="shared" si="1"/>
        <v>#REF!</v>
      </c>
      <c r="W27" s="442" t="e">
        <f t="shared" si="2"/>
        <v>#REF!</v>
      </c>
      <c r="X27" s="442" t="str">
        <f>IF(App_Pipeline_Intel_4!B89="","",App_Pipeline_Intel_4!B89)</f>
        <v>N10-1041</v>
      </c>
      <c r="Y27" s="442" t="b" cm="1">
        <f t="array" ref="Y27">IF(X27="","",ISNUMBER(MATCH(App_Pipeline_Intel_4!$B89&amp;"|"&amp;LEFT(App_Pipeline_Intel_4!$C89,FIND(",",App_Pipeline_Intel_4!$C89&amp;",")-1),#REF!&amp;"|"&amp;LEFT(#REF!,FIND(",",#REF!&amp;",")-1),0)))</f>
        <v>0</v>
      </c>
    </row>
    <row r="28" spans="1:25" s="287" customFormat="1" ht="14.1" customHeight="1">
      <c r="A28" s="277"/>
      <c r="B28" s="435" t="s">
        <v>1895</v>
      </c>
      <c r="C28" s="435" t="s">
        <v>1896</v>
      </c>
      <c r="D28" s="387" t="s">
        <v>1897</v>
      </c>
      <c r="E28" s="387" t="s">
        <v>1898</v>
      </c>
      <c r="F28" s="387">
        <v>49</v>
      </c>
      <c r="G28" s="387" t="s">
        <v>1782</v>
      </c>
      <c r="H28" s="387" t="s">
        <v>1247</v>
      </c>
      <c r="I28" s="436">
        <v>46056</v>
      </c>
      <c r="J28" s="634" t="s">
        <v>1206</v>
      </c>
      <c r="K28"/>
      <c r="L28" s="442" t="e">
        <f>IF(#REF!="","",#REF!)</f>
        <v>#REF!</v>
      </c>
      <c r="M28" s="442" t="e">
        <f>IF(L28="","",#REF!)</f>
        <v>#REF!</v>
      </c>
      <c r="N28" s="442" t="e">
        <f>IF(L28="","",#REF!)</f>
        <v>#REF!</v>
      </c>
      <c r="O28" s="442" t="e">
        <f>IF(L28="","",IF(#REF!=0,"",#REF!))</f>
        <v>#REF!</v>
      </c>
      <c r="P28" s="442" t="e">
        <f t="shared" si="0"/>
        <v>#REF!</v>
      </c>
      <c r="Q28" s="442" t="e" cm="1">
        <f t="array" ref="Q28">IF(P28="","",IFERROR(MATCH(P28,App_Pipeline_Intel_4!$B$66:$B$178&amp;"|"&amp;LEFT(App_Pipeline_Intel_4!$C$66:$C$178,FIND(",",App_Pipeline_Intel_4!$C$66:$C$178&amp;",")-1),0),"NO MATCH"))</f>
        <v>#REF!</v>
      </c>
      <c r="R28" s="442" t="e" cm="1">
        <f t="array" ref="R28">IF(Q28="","",IF(Q28="NO MATCH","—",INDEX(App_Pipeline_Intel_4!$D$66:$D$178,Q28)))</f>
        <v>#REF!</v>
      </c>
      <c r="S28" s="442" t="e" cm="1">
        <f t="array" ref="S28">IF(Q28="","",IF(Q28="NO MATCH","—",INDEX(App_Pipeline_Intel_4!$E$66:$E$178,Q28)))</f>
        <v>#REF!</v>
      </c>
      <c r="T28" s="442" t="e" cm="1">
        <f t="array" ref="T28">IF(Q28="","",IF(Q28="NO MATCH","—",INDEX(App_Pipeline_Intel_4!$K$66:$K$178,Q28)))</f>
        <v>#REF!</v>
      </c>
      <c r="U28" s="442" t="e" cm="1">
        <f t="array" ref="U28">IF(Q28="","",IF(Q28="NO MATCH","—",INDEX(App_Pipeline_Intel_4!$F$66:$F$178,Q28)))</f>
        <v>#REF!</v>
      </c>
      <c r="V28" s="442" t="e">
        <f t="shared" si="1"/>
        <v>#REF!</v>
      </c>
      <c r="W28" s="442" t="e">
        <f t="shared" si="2"/>
        <v>#REF!</v>
      </c>
      <c r="X28" s="442" t="str">
        <f>IF(App_Pipeline_Intel_4!B90="","",App_Pipeline_Intel_4!B90)</f>
        <v>N10-2038</v>
      </c>
      <c r="Y28" s="442" t="b" cm="1">
        <f t="array" ref="Y28">IF(X28="","",ISNUMBER(MATCH(App_Pipeline_Intel_4!$B90&amp;"|"&amp;LEFT(App_Pipeline_Intel_4!$C90,FIND(",",App_Pipeline_Intel_4!$C90&amp;",")-1),#REF!&amp;"|"&amp;LEFT(#REF!,FIND(",",#REF!&amp;",")-1),0)))</f>
        <v>0</v>
      </c>
    </row>
    <row r="29" spans="1:25" s="287" customFormat="1" ht="14.1" customHeight="1">
      <c r="A29" s="277"/>
      <c r="B29" s="435" t="s">
        <v>1899</v>
      </c>
      <c r="C29" s="435" t="s">
        <v>1900</v>
      </c>
      <c r="D29" s="387" t="s">
        <v>1901</v>
      </c>
      <c r="E29" s="387" t="s">
        <v>1902</v>
      </c>
      <c r="F29" s="387">
        <v>48</v>
      </c>
      <c r="G29" s="387" t="s">
        <v>1239</v>
      </c>
      <c r="H29" s="387" t="s">
        <v>1248</v>
      </c>
      <c r="I29" s="436">
        <v>46057</v>
      </c>
      <c r="J29" s="634" t="s">
        <v>1206</v>
      </c>
      <c r="K29"/>
      <c r="L29" s="442" t="e">
        <f>IF(#REF!="","",#REF!)</f>
        <v>#REF!</v>
      </c>
      <c r="M29" s="442" t="e">
        <f>IF(L29="","",#REF!)</f>
        <v>#REF!</v>
      </c>
      <c r="N29" s="442" t="e">
        <f>IF(L29="","",#REF!)</f>
        <v>#REF!</v>
      </c>
      <c r="O29" s="442" t="e">
        <f>IF(L29="","",IF(#REF!=0,"",#REF!))</f>
        <v>#REF!</v>
      </c>
      <c r="P29" s="442" t="e">
        <f t="shared" si="0"/>
        <v>#REF!</v>
      </c>
      <c r="Q29" s="442" t="e" cm="1">
        <f t="array" ref="Q29">IF(P29="","",IFERROR(MATCH(P29,App_Pipeline_Intel_4!$B$66:$B$178&amp;"|"&amp;LEFT(App_Pipeline_Intel_4!$C$66:$C$178,FIND(",",App_Pipeline_Intel_4!$C$66:$C$178&amp;",")-1),0),"NO MATCH"))</f>
        <v>#REF!</v>
      </c>
      <c r="R29" s="442" t="e" cm="1">
        <f t="array" ref="R29">IF(Q29="","",IF(Q29="NO MATCH","—",INDEX(App_Pipeline_Intel_4!$D$66:$D$178,Q29)))</f>
        <v>#REF!</v>
      </c>
      <c r="S29" s="442" t="e" cm="1">
        <f t="array" ref="S29">IF(Q29="","",IF(Q29="NO MATCH","—",INDEX(App_Pipeline_Intel_4!$E$66:$E$178,Q29)))</f>
        <v>#REF!</v>
      </c>
      <c r="T29" s="442" t="e" cm="1">
        <f t="array" ref="T29">IF(Q29="","",IF(Q29="NO MATCH","—",INDEX(App_Pipeline_Intel_4!$K$66:$K$178,Q29)))</f>
        <v>#REF!</v>
      </c>
      <c r="U29" s="442" t="e" cm="1">
        <f t="array" ref="U29">IF(Q29="","",IF(Q29="NO MATCH","—",INDEX(App_Pipeline_Intel_4!$F$66:$F$178,Q29)))</f>
        <v>#REF!</v>
      </c>
      <c r="V29" s="442" t="e">
        <f t="shared" si="1"/>
        <v>#REF!</v>
      </c>
      <c r="W29" s="442" t="e">
        <f t="shared" si="2"/>
        <v>#REF!</v>
      </c>
      <c r="X29" s="442" t="str">
        <f>IF(App_Pipeline_Intel_4!B96="","",App_Pipeline_Intel_4!B96)</f>
        <v>N12-2048</v>
      </c>
      <c r="Y29" s="442" t="b" cm="1">
        <f t="array" ref="Y29">IF(X29="","",ISNUMBER(MATCH(App_Pipeline_Intel_4!$B96&amp;"|"&amp;LEFT(App_Pipeline_Intel_4!$C96,FIND(",",App_Pipeline_Intel_4!$C96&amp;",")-1),#REF!&amp;"|"&amp;LEFT(#REF!,FIND(",",#REF!&amp;",")-1),0)))</f>
        <v>0</v>
      </c>
    </row>
    <row r="30" spans="1:25" s="287" customFormat="1" ht="14.1" customHeight="1">
      <c r="A30" s="277"/>
      <c r="B30" s="435" t="s">
        <v>1903</v>
      </c>
      <c r="C30" s="435" t="s">
        <v>1904</v>
      </c>
      <c r="D30" s="387" t="s">
        <v>1897</v>
      </c>
      <c r="E30" s="387" t="s">
        <v>1898</v>
      </c>
      <c r="F30" s="387">
        <v>47</v>
      </c>
      <c r="G30" s="387" t="s">
        <v>1799</v>
      </c>
      <c r="H30" s="387" t="s">
        <v>1252</v>
      </c>
      <c r="I30" s="436">
        <v>46058</v>
      </c>
      <c r="J30" s="634" t="s">
        <v>1206</v>
      </c>
      <c r="K30"/>
      <c r="L30" s="442" t="e">
        <f>IF(#REF!="","",#REF!)</f>
        <v>#REF!</v>
      </c>
      <c r="M30" s="442" t="e">
        <f>IF(L30="","",#REF!)</f>
        <v>#REF!</v>
      </c>
      <c r="N30" s="442" t="e">
        <f>IF(L30="","",#REF!)</f>
        <v>#REF!</v>
      </c>
      <c r="O30" s="442" t="e">
        <f>IF(L30="","",IF(#REF!=0,"",#REF!))</f>
        <v>#REF!</v>
      </c>
      <c r="P30" s="442" t="e">
        <f t="shared" si="0"/>
        <v>#REF!</v>
      </c>
      <c r="Q30" s="442" t="e" cm="1">
        <f t="array" ref="Q30">IF(P30="","",IFERROR(MATCH(P30,App_Pipeline_Intel_4!$B$66:$B$178&amp;"|"&amp;LEFT(App_Pipeline_Intel_4!$C$66:$C$178,FIND(",",App_Pipeline_Intel_4!$C$66:$C$178&amp;",")-1),0),"NO MATCH"))</f>
        <v>#REF!</v>
      </c>
      <c r="R30" s="442" t="e" cm="1">
        <f t="array" ref="R30">IF(Q30="","",IF(Q30="NO MATCH","—",INDEX(App_Pipeline_Intel_4!$D$66:$D$178,Q30)))</f>
        <v>#REF!</v>
      </c>
      <c r="S30" s="442" t="e" cm="1">
        <f t="array" ref="S30">IF(Q30="","",IF(Q30="NO MATCH","—",INDEX(App_Pipeline_Intel_4!$E$66:$E$178,Q30)))</f>
        <v>#REF!</v>
      </c>
      <c r="T30" s="442" t="e" cm="1">
        <f t="array" ref="T30">IF(Q30="","",IF(Q30="NO MATCH","—",INDEX(App_Pipeline_Intel_4!$K$66:$K$178,Q30)))</f>
        <v>#REF!</v>
      </c>
      <c r="U30" s="442" t="e" cm="1">
        <f t="array" ref="U30">IF(Q30="","",IF(Q30="NO MATCH","—",INDEX(App_Pipeline_Intel_4!$F$66:$F$178,Q30)))</f>
        <v>#REF!</v>
      </c>
      <c r="V30" s="442" t="e">
        <f t="shared" si="1"/>
        <v>#REF!</v>
      </c>
      <c r="W30" s="442" t="e">
        <f t="shared" si="2"/>
        <v>#REF!</v>
      </c>
      <c r="X30" s="442" t="str">
        <f>IF(App_Pipeline_Intel_4!B97="","",App_Pipeline_Intel_4!B97)</f>
        <v>N12-3049</v>
      </c>
      <c r="Y30" s="442" t="b" cm="1">
        <f t="array" ref="Y30">IF(X30="","",ISNUMBER(MATCH(App_Pipeline_Intel_4!$B97&amp;"|"&amp;LEFT(App_Pipeline_Intel_4!$C97,FIND(",",App_Pipeline_Intel_4!$C97&amp;",")-1),#REF!&amp;"|"&amp;LEFT(#REF!,FIND(",",#REF!&amp;",")-1),0)))</f>
        <v>0</v>
      </c>
    </row>
    <row r="31" spans="1:25" s="287" customFormat="1" ht="14.1" customHeight="1">
      <c r="A31" s="277"/>
      <c r="B31" s="435" t="s">
        <v>1905</v>
      </c>
      <c r="C31" s="435" t="s">
        <v>1906</v>
      </c>
      <c r="D31" s="387" t="s">
        <v>1907</v>
      </c>
      <c r="E31" s="387" t="s">
        <v>1902</v>
      </c>
      <c r="F31" s="387">
        <v>45</v>
      </c>
      <c r="G31" s="387" t="s">
        <v>1238</v>
      </c>
      <c r="H31" s="387" t="s">
        <v>1252</v>
      </c>
      <c r="I31" s="436">
        <v>46062</v>
      </c>
      <c r="J31" s="634" t="s">
        <v>1206</v>
      </c>
      <c r="K31"/>
      <c r="L31" s="442" t="e">
        <f>IF(#REF!="","",#REF!)</f>
        <v>#REF!</v>
      </c>
      <c r="M31" s="442" t="e">
        <f>IF(L31="","",#REF!)</f>
        <v>#REF!</v>
      </c>
      <c r="N31" s="442" t="e">
        <f>IF(L31="","",#REF!)</f>
        <v>#REF!</v>
      </c>
      <c r="O31" s="442" t="e">
        <f>IF(L31="","",IF(#REF!=0,"",#REF!))</f>
        <v>#REF!</v>
      </c>
      <c r="P31" s="442" t="e">
        <f t="shared" si="0"/>
        <v>#REF!</v>
      </c>
      <c r="Q31" s="442" t="e" cm="1">
        <f t="array" ref="Q31">IF(P31="","",IFERROR(MATCH(P31,App_Pipeline_Intel_4!$B$66:$B$178&amp;"|"&amp;LEFT(App_Pipeline_Intel_4!$C$66:$C$178,FIND(",",App_Pipeline_Intel_4!$C$66:$C$178&amp;",")-1),0),"NO MATCH"))</f>
        <v>#REF!</v>
      </c>
      <c r="R31" s="442" t="e" cm="1">
        <f t="array" ref="R31">IF(Q31="","",IF(Q31="NO MATCH","—",INDEX(App_Pipeline_Intel_4!$D$66:$D$178,Q31)))</f>
        <v>#REF!</v>
      </c>
      <c r="S31" s="442" t="e" cm="1">
        <f t="array" ref="S31">IF(Q31="","",IF(Q31="NO MATCH","—",INDEX(App_Pipeline_Intel_4!$E$66:$E$178,Q31)))</f>
        <v>#REF!</v>
      </c>
      <c r="T31" s="442" t="e" cm="1">
        <f t="array" ref="T31">IF(Q31="","",IF(Q31="NO MATCH","—",INDEX(App_Pipeline_Intel_4!$K$66:$K$178,Q31)))</f>
        <v>#REF!</v>
      </c>
      <c r="U31" s="442" t="e" cm="1">
        <f t="array" ref="U31">IF(Q31="","",IF(Q31="NO MATCH","—",INDEX(App_Pipeline_Intel_4!$F$66:$F$178,Q31)))</f>
        <v>#REF!</v>
      </c>
      <c r="V31" s="442" t="e">
        <f t="shared" si="1"/>
        <v>#REF!</v>
      </c>
      <c r="W31" s="442" t="e">
        <f t="shared" si="2"/>
        <v>#REF!</v>
      </c>
      <c r="X31" s="442" t="str">
        <f>IF(App_Pipeline_Intel_4!B100="","",App_Pipeline_Intel_4!B100)</f>
        <v>N14-2058</v>
      </c>
      <c r="Y31" s="442" t="b" cm="1">
        <f t="array" ref="Y31">IF(X31="","",ISNUMBER(MATCH(App_Pipeline_Intel_4!$B100&amp;"|"&amp;LEFT(App_Pipeline_Intel_4!$C100,FIND(",",App_Pipeline_Intel_4!$C100&amp;",")-1),#REF!&amp;"|"&amp;LEFT(#REF!,FIND(",",#REF!&amp;",")-1),0)))</f>
        <v>0</v>
      </c>
    </row>
    <row r="32" spans="1:25" s="287" customFormat="1" ht="14.1" customHeight="1">
      <c r="A32" s="277"/>
      <c r="B32" s="435" t="s">
        <v>1908</v>
      </c>
      <c r="C32" s="435" t="s">
        <v>1909</v>
      </c>
      <c r="D32" s="387" t="s">
        <v>1897</v>
      </c>
      <c r="E32" s="387" t="s">
        <v>1898</v>
      </c>
      <c r="F32" s="387">
        <v>43</v>
      </c>
      <c r="G32" s="387" t="s">
        <v>1782</v>
      </c>
      <c r="H32" s="387" t="s">
        <v>1252</v>
      </c>
      <c r="I32" s="436">
        <v>46065</v>
      </c>
      <c r="J32" s="634" t="s">
        <v>1206</v>
      </c>
      <c r="K32"/>
      <c r="L32" s="442" t="e">
        <f>IF(#REF!="","",#REF!)</f>
        <v>#REF!</v>
      </c>
      <c r="M32" s="442" t="e">
        <f>IF(L32="","",#REF!)</f>
        <v>#REF!</v>
      </c>
      <c r="N32" s="442" t="e">
        <f>IF(L32="","",#REF!)</f>
        <v>#REF!</v>
      </c>
      <c r="O32" s="442" t="e">
        <f>IF(L32="","",IF(#REF!=0,"",#REF!))</f>
        <v>#REF!</v>
      </c>
      <c r="P32" s="442" t="e">
        <f t="shared" si="0"/>
        <v>#REF!</v>
      </c>
      <c r="Q32" s="442" t="e" cm="1">
        <f t="array" ref="Q32">IF(P32="","",IFERROR(MATCH(P32,App_Pipeline_Intel_4!$B$66:$B$178&amp;"|"&amp;LEFT(App_Pipeline_Intel_4!$C$66:$C$178,FIND(",",App_Pipeline_Intel_4!$C$66:$C$178&amp;",")-1),0),"NO MATCH"))</f>
        <v>#REF!</v>
      </c>
      <c r="R32" s="442" t="e" cm="1">
        <f t="array" ref="R32">IF(Q32="","",IF(Q32="NO MATCH","—",INDEX(App_Pipeline_Intel_4!$D$66:$D$178,Q32)))</f>
        <v>#REF!</v>
      </c>
      <c r="S32" s="442" t="e" cm="1">
        <f t="array" ref="S32">IF(Q32="","",IF(Q32="NO MATCH","—",INDEX(App_Pipeline_Intel_4!$E$66:$E$178,Q32)))</f>
        <v>#REF!</v>
      </c>
      <c r="T32" s="442" t="e" cm="1">
        <f t="array" ref="T32">IF(Q32="","",IF(Q32="NO MATCH","—",INDEX(App_Pipeline_Intel_4!$K$66:$K$178,Q32)))</f>
        <v>#REF!</v>
      </c>
      <c r="U32" s="442" t="e" cm="1">
        <f t="array" ref="U32">IF(Q32="","",IF(Q32="NO MATCH","—",INDEX(App_Pipeline_Intel_4!$F$66:$F$178,Q32)))</f>
        <v>#REF!</v>
      </c>
      <c r="V32" s="442" t="e">
        <f t="shared" si="1"/>
        <v>#REF!</v>
      </c>
      <c r="W32" s="442" t="e">
        <f t="shared" si="2"/>
        <v>#REF!</v>
      </c>
      <c r="X32" s="442" t="str">
        <f>IF(App_Pipeline_Intel_4!B104="","",App_Pipeline_Intel_4!B104)</f>
        <v>N15-1069</v>
      </c>
      <c r="Y32" s="442" t="b" cm="1">
        <f t="array" ref="Y32">IF(X32="","",ISNUMBER(MATCH(App_Pipeline_Intel_4!$B104&amp;"|"&amp;LEFT(App_Pipeline_Intel_4!$C104,FIND(",",App_Pipeline_Intel_4!$C104&amp;",")-1),#REF!&amp;"|"&amp;LEFT(#REF!,FIND(",",#REF!&amp;",")-1),0)))</f>
        <v>0</v>
      </c>
    </row>
    <row r="33" spans="1:25" s="287" customFormat="1" ht="14.1" customHeight="1">
      <c r="A33" s="277"/>
      <c r="B33" s="435" t="s">
        <v>1910</v>
      </c>
      <c r="C33" s="435" t="s">
        <v>1911</v>
      </c>
      <c r="D33" s="387" t="s">
        <v>1897</v>
      </c>
      <c r="E33" s="387" t="s">
        <v>1898</v>
      </c>
      <c r="F33" s="387">
        <v>40</v>
      </c>
      <c r="G33" s="387" t="s">
        <v>1912</v>
      </c>
      <c r="H33" s="387" t="s">
        <v>1247</v>
      </c>
      <c r="I33" s="436">
        <v>46066</v>
      </c>
      <c r="J33" s="634" t="s">
        <v>1206</v>
      </c>
      <c r="K33"/>
      <c r="L33" s="442" t="e">
        <f>IF(#REF!="","",#REF!)</f>
        <v>#REF!</v>
      </c>
      <c r="M33" s="442" t="e">
        <f>IF(L33="","",#REF!)</f>
        <v>#REF!</v>
      </c>
      <c r="N33" s="442" t="e">
        <f>IF(L33="","",#REF!)</f>
        <v>#REF!</v>
      </c>
      <c r="O33" s="442" t="e">
        <f>IF(L33="","",IF(#REF!=0,"",#REF!))</f>
        <v>#REF!</v>
      </c>
      <c r="P33" s="442" t="e">
        <f t="shared" si="0"/>
        <v>#REF!</v>
      </c>
      <c r="Q33" s="442" t="e" cm="1">
        <f t="array" ref="Q33">IF(P33="","",IFERROR(MATCH(P33,App_Pipeline_Intel_4!$B$66:$B$178&amp;"|"&amp;LEFT(App_Pipeline_Intel_4!$C$66:$C$178,FIND(",",App_Pipeline_Intel_4!$C$66:$C$178&amp;",")-1),0),"NO MATCH"))</f>
        <v>#REF!</v>
      </c>
      <c r="R33" s="442" t="e" cm="1">
        <f t="array" ref="R33">IF(Q33="","",IF(Q33="NO MATCH","—",INDEX(App_Pipeline_Intel_4!$D$66:$D$178,Q33)))</f>
        <v>#REF!</v>
      </c>
      <c r="S33" s="442" t="e" cm="1">
        <f t="array" ref="S33">IF(Q33="","",IF(Q33="NO MATCH","—",INDEX(App_Pipeline_Intel_4!$E$66:$E$178,Q33)))</f>
        <v>#REF!</v>
      </c>
      <c r="T33" s="442" t="e" cm="1">
        <f t="array" ref="T33">IF(Q33="","",IF(Q33="NO MATCH","—",INDEX(App_Pipeline_Intel_4!$K$66:$K$178,Q33)))</f>
        <v>#REF!</v>
      </c>
      <c r="U33" s="442" t="e" cm="1">
        <f t="array" ref="U33">IF(Q33="","",IF(Q33="NO MATCH","—",INDEX(App_Pipeline_Intel_4!$F$66:$F$178,Q33)))</f>
        <v>#REF!</v>
      </c>
      <c r="V33" s="442" t="e">
        <f t="shared" si="1"/>
        <v>#REF!</v>
      </c>
      <c r="W33" s="442" t="e">
        <f t="shared" si="2"/>
        <v>#REF!</v>
      </c>
      <c r="X33" s="442" t="str">
        <f>IF(App_Pipeline_Intel_4!B105="","",App_Pipeline_Intel_4!B105)</f>
        <v>N15-2067</v>
      </c>
      <c r="Y33" s="442" t="b" cm="1">
        <f t="array" ref="Y33">IF(X33="","",ISNUMBER(MATCH(App_Pipeline_Intel_4!$B105&amp;"|"&amp;LEFT(App_Pipeline_Intel_4!$C105,FIND(",",App_Pipeline_Intel_4!$C105&amp;",")-1),#REF!&amp;"|"&amp;LEFT(#REF!,FIND(",",#REF!&amp;",")-1),0)))</f>
        <v>0</v>
      </c>
    </row>
    <row r="34" spans="1:25" s="287" customFormat="1" ht="14.1" customHeight="1">
      <c r="A34" s="277"/>
      <c r="B34" s="435" t="s">
        <v>1913</v>
      </c>
      <c r="C34" s="435" t="s">
        <v>1914</v>
      </c>
      <c r="D34" s="387" t="s">
        <v>1897</v>
      </c>
      <c r="E34" s="387" t="s">
        <v>1898</v>
      </c>
      <c r="F34" s="387">
        <v>37</v>
      </c>
      <c r="G34" s="387" t="s">
        <v>1799</v>
      </c>
      <c r="H34" s="387" t="s">
        <v>1247</v>
      </c>
      <c r="I34" s="436">
        <v>46066</v>
      </c>
      <c r="J34" s="634" t="s">
        <v>1206</v>
      </c>
      <c r="K34"/>
      <c r="L34" s="442" t="e">
        <f>IF(#REF!="","",#REF!)</f>
        <v>#REF!</v>
      </c>
      <c r="M34" s="442" t="e">
        <f>IF(L34="","",#REF!)</f>
        <v>#REF!</v>
      </c>
      <c r="N34" s="442" t="e">
        <f>IF(L34="","",#REF!)</f>
        <v>#REF!</v>
      </c>
      <c r="O34" s="442" t="e">
        <f>IF(L34="","",IF(#REF!=0,"",#REF!))</f>
        <v>#REF!</v>
      </c>
      <c r="P34" s="442" t="e">
        <f t="shared" si="0"/>
        <v>#REF!</v>
      </c>
      <c r="Q34" s="442" t="e" cm="1">
        <f t="array" ref="Q34">IF(P34="","",IFERROR(MATCH(P34,App_Pipeline_Intel_4!$B$66:$B$178&amp;"|"&amp;LEFT(App_Pipeline_Intel_4!$C$66:$C$178,FIND(",",App_Pipeline_Intel_4!$C$66:$C$178&amp;",")-1),0),"NO MATCH"))</f>
        <v>#REF!</v>
      </c>
      <c r="R34" s="442" t="e" cm="1">
        <f t="array" ref="R34">IF(Q34="","",IF(Q34="NO MATCH","—",INDEX(App_Pipeline_Intel_4!$D$66:$D$178,Q34)))</f>
        <v>#REF!</v>
      </c>
      <c r="S34" s="442" t="e" cm="1">
        <f t="array" ref="S34">IF(Q34="","",IF(Q34="NO MATCH","—",INDEX(App_Pipeline_Intel_4!$E$66:$E$178,Q34)))</f>
        <v>#REF!</v>
      </c>
      <c r="T34" s="442" t="e" cm="1">
        <f t="array" ref="T34">IF(Q34="","",IF(Q34="NO MATCH","—",INDEX(App_Pipeline_Intel_4!$K$66:$K$178,Q34)))</f>
        <v>#REF!</v>
      </c>
      <c r="U34" s="442" t="e" cm="1">
        <f t="array" ref="U34">IF(Q34="","",IF(Q34="NO MATCH","—",INDEX(App_Pipeline_Intel_4!$F$66:$F$178,Q34)))</f>
        <v>#REF!</v>
      </c>
      <c r="V34" s="442" t="e">
        <f t="shared" si="1"/>
        <v>#REF!</v>
      </c>
      <c r="W34" s="442" t="e">
        <f t="shared" si="2"/>
        <v>#REF!</v>
      </c>
      <c r="X34" s="442" t="str">
        <f>IF(App_Pipeline_Intel_4!B106="","",App_Pipeline_Intel_4!B106)</f>
        <v>N15-3068</v>
      </c>
      <c r="Y34" s="442" t="b" cm="1">
        <f t="array" ref="Y34">IF(X34="","",ISNUMBER(MATCH(App_Pipeline_Intel_4!$B106&amp;"|"&amp;LEFT(App_Pipeline_Intel_4!$C106,FIND(",",App_Pipeline_Intel_4!$C106&amp;",")-1),#REF!&amp;"|"&amp;LEFT(#REF!,FIND(",",#REF!&amp;",")-1),0)))</f>
        <v>0</v>
      </c>
    </row>
    <row r="35" spans="1:25" s="287" customFormat="1" ht="14.1" customHeight="1">
      <c r="A35" s="277"/>
      <c r="B35" s="435" t="s">
        <v>1915</v>
      </c>
      <c r="C35" s="435" t="s">
        <v>1916</v>
      </c>
      <c r="D35" s="387" t="s">
        <v>1897</v>
      </c>
      <c r="E35" s="387" t="s">
        <v>1898</v>
      </c>
      <c r="F35" s="387">
        <v>34</v>
      </c>
      <c r="G35" s="387" t="s">
        <v>1912</v>
      </c>
      <c r="H35" s="387" t="s">
        <v>1252</v>
      </c>
      <c r="I35" s="436">
        <v>46068</v>
      </c>
      <c r="J35" s="634" t="s">
        <v>1206</v>
      </c>
      <c r="K35"/>
      <c r="L35" s="442" t="e">
        <f>IF(#REF!="","",#REF!)</f>
        <v>#REF!</v>
      </c>
      <c r="M35" s="442" t="e">
        <f>IF(L35="","",#REF!)</f>
        <v>#REF!</v>
      </c>
      <c r="N35" s="442" t="e">
        <f>IF(L35="","",#REF!)</f>
        <v>#REF!</v>
      </c>
      <c r="O35" s="442" t="e">
        <f>IF(L35="","",IF(#REF!=0,"",#REF!))</f>
        <v>#REF!</v>
      </c>
      <c r="P35" s="442" t="e">
        <f t="shared" si="0"/>
        <v>#REF!</v>
      </c>
      <c r="Q35" s="442" t="e" cm="1">
        <f t="array" ref="Q35">IF(P35="","",IFERROR(MATCH(P35,App_Pipeline_Intel_4!$B$66:$B$178&amp;"|"&amp;LEFT(App_Pipeline_Intel_4!$C$66:$C$178,FIND(",",App_Pipeline_Intel_4!$C$66:$C$178&amp;",")-1),0),"NO MATCH"))</f>
        <v>#REF!</v>
      </c>
      <c r="R35" s="442" t="e" cm="1">
        <f t="array" ref="R35">IF(Q35="","",IF(Q35="NO MATCH","—",INDEX(App_Pipeline_Intel_4!$D$66:$D$178,Q35)))</f>
        <v>#REF!</v>
      </c>
      <c r="S35" s="442" t="e" cm="1">
        <f t="array" ref="S35">IF(Q35="","",IF(Q35="NO MATCH","—",INDEX(App_Pipeline_Intel_4!$E$66:$E$178,Q35)))</f>
        <v>#REF!</v>
      </c>
      <c r="T35" s="442" t="e" cm="1">
        <f t="array" ref="T35">IF(Q35="","",IF(Q35="NO MATCH","—",INDEX(App_Pipeline_Intel_4!$K$66:$K$178,Q35)))</f>
        <v>#REF!</v>
      </c>
      <c r="U35" s="442" t="e" cm="1">
        <f t="array" ref="U35">IF(Q35="","",IF(Q35="NO MATCH","—",INDEX(App_Pipeline_Intel_4!$F$66:$F$178,Q35)))</f>
        <v>#REF!</v>
      </c>
      <c r="V35" s="442" t="e">
        <f t="shared" si="1"/>
        <v>#REF!</v>
      </c>
      <c r="W35" s="442" t="e">
        <f t="shared" si="2"/>
        <v>#REF!</v>
      </c>
      <c r="X35" s="442" t="str">
        <f>IF(App_Pipeline_Intel_4!B108="","",App_Pipeline_Intel_4!B108)</f>
        <v>N16-2071</v>
      </c>
      <c r="Y35" s="442" t="b" cm="1">
        <f t="array" ref="Y35">IF(X35="","",ISNUMBER(MATCH(App_Pipeline_Intel_4!$B108&amp;"|"&amp;LEFT(App_Pipeline_Intel_4!$C108,FIND(",",App_Pipeline_Intel_4!$C108&amp;",")-1),#REF!&amp;"|"&amp;LEFT(#REF!,FIND(",",#REF!&amp;",")-1),0)))</f>
        <v>0</v>
      </c>
    </row>
    <row r="36" spans="1:25" s="287" customFormat="1" ht="14.1" customHeight="1">
      <c r="A36" s="277"/>
      <c r="B36" s="435" t="s">
        <v>1917</v>
      </c>
      <c r="C36" s="435" t="s">
        <v>1918</v>
      </c>
      <c r="D36" s="387" t="s">
        <v>1907</v>
      </c>
      <c r="E36" s="387" t="s">
        <v>1902</v>
      </c>
      <c r="F36" s="387">
        <v>33</v>
      </c>
      <c r="G36" s="387" t="s">
        <v>1239</v>
      </c>
      <c r="H36" s="387" t="s">
        <v>1249</v>
      </c>
      <c r="I36" s="436">
        <v>46071</v>
      </c>
      <c r="J36" s="634" t="s">
        <v>1206</v>
      </c>
      <c r="K36"/>
      <c r="L36" s="442" t="e">
        <f>IF(#REF!="","",#REF!)</f>
        <v>#REF!</v>
      </c>
      <c r="M36" s="442" t="e">
        <f>IF(L36="","",#REF!)</f>
        <v>#REF!</v>
      </c>
      <c r="N36" s="442" t="e">
        <f>IF(L36="","",#REF!)</f>
        <v>#REF!</v>
      </c>
      <c r="O36" s="442" t="e">
        <f>IF(L36="","",IF(#REF!=0,"",#REF!))</f>
        <v>#REF!</v>
      </c>
      <c r="P36" s="442" t="e">
        <f t="shared" si="0"/>
        <v>#REF!</v>
      </c>
      <c r="Q36" s="442" t="e" cm="1">
        <f t="array" ref="Q36">IF(P36="","",IFERROR(MATCH(P36,App_Pipeline_Intel_4!$B$66:$B$178&amp;"|"&amp;LEFT(App_Pipeline_Intel_4!$C$66:$C$178,FIND(",",App_Pipeline_Intel_4!$C$66:$C$178&amp;",")-1),0),"NO MATCH"))</f>
        <v>#REF!</v>
      </c>
      <c r="R36" s="442" t="e" cm="1">
        <f t="array" ref="R36">IF(Q36="","",IF(Q36="NO MATCH","—",INDEX(App_Pipeline_Intel_4!$D$66:$D$178,Q36)))</f>
        <v>#REF!</v>
      </c>
      <c r="S36" s="442" t="e" cm="1">
        <f t="array" ref="S36">IF(Q36="","",IF(Q36="NO MATCH","—",INDEX(App_Pipeline_Intel_4!$E$66:$E$178,Q36)))</f>
        <v>#REF!</v>
      </c>
      <c r="T36" s="442" t="e" cm="1">
        <f t="array" ref="T36">IF(Q36="","",IF(Q36="NO MATCH","—",INDEX(App_Pipeline_Intel_4!$K$66:$K$178,Q36)))</f>
        <v>#REF!</v>
      </c>
      <c r="U36" s="442" t="e" cm="1">
        <f t="array" ref="U36">IF(Q36="","",IF(Q36="NO MATCH","—",INDEX(App_Pipeline_Intel_4!$F$66:$F$178,Q36)))</f>
        <v>#REF!</v>
      </c>
      <c r="V36" s="442" t="e">
        <f t="shared" si="1"/>
        <v>#REF!</v>
      </c>
      <c r="W36" s="442" t="e">
        <f t="shared" si="2"/>
        <v>#REF!</v>
      </c>
      <c r="X36" s="442" t="str">
        <f>IF(App_Pipeline_Intel_4!B110="","",App_Pipeline_Intel_4!B110)</f>
        <v>N17-2073</v>
      </c>
      <c r="Y36" s="442" t="b" cm="1">
        <f t="array" ref="Y36">IF(X36="","",ISNUMBER(MATCH(App_Pipeline_Intel_4!$B110&amp;"|"&amp;LEFT(App_Pipeline_Intel_4!$C110,FIND(",",App_Pipeline_Intel_4!$C110&amp;",")-1),#REF!&amp;"|"&amp;LEFT(#REF!,FIND(",",#REF!&amp;",")-1),0)))</f>
        <v>0</v>
      </c>
    </row>
    <row r="37" spans="1:25" s="287" customFormat="1" ht="14.1" customHeight="1">
      <c r="A37" s="277"/>
      <c r="B37" s="435" t="s">
        <v>1919</v>
      </c>
      <c r="C37" s="435" t="s">
        <v>1920</v>
      </c>
      <c r="D37" s="387" t="s">
        <v>1907</v>
      </c>
      <c r="E37" s="387" t="s">
        <v>1902</v>
      </c>
      <c r="F37" s="387">
        <v>33</v>
      </c>
      <c r="G37" s="387" t="s">
        <v>1239</v>
      </c>
      <c r="H37" s="387" t="s">
        <v>1252</v>
      </c>
      <c r="I37" s="436">
        <v>46071</v>
      </c>
      <c r="J37" s="634" t="s">
        <v>1206</v>
      </c>
      <c r="K37"/>
      <c r="L37" s="442" t="e">
        <f>IF(#REF!="","",#REF!)</f>
        <v>#REF!</v>
      </c>
      <c r="M37" s="442" t="e">
        <f>IF(L37="","",#REF!)</f>
        <v>#REF!</v>
      </c>
      <c r="N37" s="442" t="e">
        <f>IF(L37="","",#REF!)</f>
        <v>#REF!</v>
      </c>
      <c r="O37" s="442" t="e">
        <f>IF(L37="","",IF(#REF!=0,"",#REF!))</f>
        <v>#REF!</v>
      </c>
      <c r="P37" s="442" t="e">
        <f t="shared" si="0"/>
        <v>#REF!</v>
      </c>
      <c r="Q37" s="442" t="e" cm="1">
        <f t="array" ref="Q37">IF(P37="","",IFERROR(MATCH(P37,App_Pipeline_Intel_4!$B$66:$B$178&amp;"|"&amp;LEFT(App_Pipeline_Intel_4!$C$66:$C$178,FIND(",",App_Pipeline_Intel_4!$C$66:$C$178&amp;",")-1),0),"NO MATCH"))</f>
        <v>#REF!</v>
      </c>
      <c r="R37" s="442" t="e" cm="1">
        <f t="array" ref="R37">IF(Q37="","",IF(Q37="NO MATCH","—",INDEX(App_Pipeline_Intel_4!$D$66:$D$178,Q37)))</f>
        <v>#REF!</v>
      </c>
      <c r="S37" s="442" t="e" cm="1">
        <f t="array" ref="S37">IF(Q37="","",IF(Q37="NO MATCH","—",INDEX(App_Pipeline_Intel_4!$E$66:$E$178,Q37)))</f>
        <v>#REF!</v>
      </c>
      <c r="T37" s="442" t="e" cm="1">
        <f t="array" ref="T37">IF(Q37="","",IF(Q37="NO MATCH","—",INDEX(App_Pipeline_Intel_4!$K$66:$K$178,Q37)))</f>
        <v>#REF!</v>
      </c>
      <c r="U37" s="442" t="e" cm="1">
        <f t="array" ref="U37">IF(Q37="","",IF(Q37="NO MATCH","—",INDEX(App_Pipeline_Intel_4!$F$66:$F$178,Q37)))</f>
        <v>#REF!</v>
      </c>
      <c r="V37" s="442" t="e">
        <f t="shared" si="1"/>
        <v>#REF!</v>
      </c>
      <c r="W37" s="442" t="e">
        <f t="shared" si="2"/>
        <v>#REF!</v>
      </c>
      <c r="X37" s="442" t="str">
        <f>IF(App_Pipeline_Intel_4!B112="","",App_Pipeline_Intel_4!B112)</f>
        <v>N18-1085</v>
      </c>
      <c r="Y37" s="442" t="b" cm="1">
        <f t="array" ref="Y37">IF(X37="","",ISNUMBER(MATCH(App_Pipeline_Intel_4!$B112&amp;"|"&amp;LEFT(App_Pipeline_Intel_4!$C112,FIND(",",App_Pipeline_Intel_4!$C112&amp;",")-1),#REF!&amp;"|"&amp;LEFT(#REF!,FIND(",",#REF!&amp;",")-1),0)))</f>
        <v>0</v>
      </c>
    </row>
    <row r="38" spans="1:25" s="287" customFormat="1" ht="14.1" customHeight="1">
      <c r="A38" s="277"/>
      <c r="B38" s="778" t="s">
        <v>1921</v>
      </c>
      <c r="C38" s="778" t="s">
        <v>1922</v>
      </c>
      <c r="D38" s="779" t="s">
        <v>1897</v>
      </c>
      <c r="E38" s="779" t="s">
        <v>1898</v>
      </c>
      <c r="F38" s="779">
        <v>28</v>
      </c>
      <c r="G38" s="779" t="s">
        <v>1237</v>
      </c>
      <c r="H38" s="779" t="s">
        <v>1249</v>
      </c>
      <c r="I38" s="780">
        <v>46077</v>
      </c>
      <c r="J38" s="437" t="s">
        <v>1204</v>
      </c>
      <c r="K38"/>
      <c r="L38" s="442" t="e">
        <f>IF(#REF!="","",#REF!)</f>
        <v>#REF!</v>
      </c>
      <c r="M38" s="442" t="e">
        <f>IF(L38="","",#REF!)</f>
        <v>#REF!</v>
      </c>
      <c r="N38" s="442" t="e">
        <f>IF(L38="","",#REF!)</f>
        <v>#REF!</v>
      </c>
      <c r="O38" s="442" t="e">
        <f>IF(L38="","",IF(#REF!=0,"",#REF!))</f>
        <v>#REF!</v>
      </c>
      <c r="P38" s="442" t="e">
        <f t="shared" si="0"/>
        <v>#REF!</v>
      </c>
      <c r="Q38" s="442" t="e" cm="1">
        <f t="array" ref="Q38">IF(P38="","",IFERROR(MATCH(P38,App_Pipeline_Intel_4!$B$66:$B$178&amp;"|"&amp;LEFT(App_Pipeline_Intel_4!$C$66:$C$178,FIND(",",App_Pipeline_Intel_4!$C$66:$C$178&amp;",")-1),0),"NO MATCH"))</f>
        <v>#REF!</v>
      </c>
      <c r="R38" s="442" t="e" cm="1">
        <f t="array" ref="R38">IF(Q38="","",IF(Q38="NO MATCH","—",INDEX(App_Pipeline_Intel_4!$D$66:$D$178,Q38)))</f>
        <v>#REF!</v>
      </c>
      <c r="S38" s="442" t="e" cm="1">
        <f t="array" ref="S38">IF(Q38="","",IF(Q38="NO MATCH","—",INDEX(App_Pipeline_Intel_4!$E$66:$E$178,Q38)))</f>
        <v>#REF!</v>
      </c>
      <c r="T38" s="442" t="e" cm="1">
        <f t="array" ref="T38">IF(Q38="","",IF(Q38="NO MATCH","—",INDEX(App_Pipeline_Intel_4!$K$66:$K$178,Q38)))</f>
        <v>#REF!</v>
      </c>
      <c r="U38" s="442" t="e" cm="1">
        <f t="array" ref="U38">IF(Q38="","",IF(Q38="NO MATCH","—",INDEX(App_Pipeline_Intel_4!$F$66:$F$178,Q38)))</f>
        <v>#REF!</v>
      </c>
      <c r="V38" s="442" t="e">
        <f t="shared" si="1"/>
        <v>#REF!</v>
      </c>
      <c r="W38" s="442" t="e">
        <f t="shared" si="2"/>
        <v>#REF!</v>
      </c>
      <c r="X38" s="442" t="str">
        <f>IF(App_Pipeline_Intel_4!B114="","",App_Pipeline_Intel_4!B114)</f>
        <v>N18-2084</v>
      </c>
      <c r="Y38" s="442" t="b" cm="1">
        <f t="array" ref="Y38">IF(X38="","",ISNUMBER(MATCH(App_Pipeline_Intel_4!$B114&amp;"|"&amp;LEFT(App_Pipeline_Intel_4!$C114,FIND(",",App_Pipeline_Intel_4!$C114&amp;",")-1),#REF!&amp;"|"&amp;LEFT(#REF!,FIND(",",#REF!&amp;",")-1),0)))</f>
        <v>0</v>
      </c>
    </row>
    <row r="39" spans="1:25" s="287" customFormat="1" ht="14.1" customHeight="1">
      <c r="A39" s="277"/>
      <c r="B39" s="778" t="s">
        <v>1923</v>
      </c>
      <c r="C39" s="778" t="s">
        <v>1924</v>
      </c>
      <c r="D39" s="779" t="s">
        <v>1897</v>
      </c>
      <c r="E39" s="779" t="s">
        <v>1898</v>
      </c>
      <c r="F39" s="779">
        <v>27</v>
      </c>
      <c r="G39" s="779" t="s">
        <v>1782</v>
      </c>
      <c r="H39" s="779" t="s">
        <v>1247</v>
      </c>
      <c r="I39" s="780">
        <v>46078</v>
      </c>
      <c r="J39" s="437" t="s">
        <v>1204</v>
      </c>
      <c r="K39"/>
      <c r="L39" s="442" t="e">
        <f>IF(#REF!="","",#REF!)</f>
        <v>#REF!</v>
      </c>
      <c r="M39" s="442" t="e">
        <f>IF(L39="","",#REF!)</f>
        <v>#REF!</v>
      </c>
      <c r="N39" s="442" t="e">
        <f>IF(L39="","",#REF!)</f>
        <v>#REF!</v>
      </c>
      <c r="O39" s="442" t="e">
        <f>IF(L39="","",IF(#REF!=0,"",#REF!))</f>
        <v>#REF!</v>
      </c>
      <c r="P39" s="442" t="e">
        <f t="shared" si="0"/>
        <v>#REF!</v>
      </c>
      <c r="Q39" s="442" t="e" cm="1">
        <f t="array" ref="Q39">IF(P39="","",IFERROR(MATCH(P39,App_Pipeline_Intel_4!$B$66:$B$178&amp;"|"&amp;LEFT(App_Pipeline_Intel_4!$C$66:$C$178,FIND(",",App_Pipeline_Intel_4!$C$66:$C$178&amp;",")-1),0),"NO MATCH"))</f>
        <v>#REF!</v>
      </c>
      <c r="R39" s="442" t="e" cm="1">
        <f t="array" ref="R39">IF(Q39="","",IF(Q39="NO MATCH","—",INDEX(App_Pipeline_Intel_4!$D$66:$D$178,Q39)))</f>
        <v>#REF!</v>
      </c>
      <c r="S39" s="442" t="e" cm="1">
        <f t="array" ref="S39">IF(Q39="","",IF(Q39="NO MATCH","—",INDEX(App_Pipeline_Intel_4!$E$66:$E$178,Q39)))</f>
        <v>#REF!</v>
      </c>
      <c r="T39" s="442" t="e" cm="1">
        <f t="array" ref="T39">IF(Q39="","",IF(Q39="NO MATCH","—",INDEX(App_Pipeline_Intel_4!$K$66:$K$178,Q39)))</f>
        <v>#REF!</v>
      </c>
      <c r="U39" s="442" t="e" cm="1">
        <f t="array" ref="U39">IF(Q39="","",IF(Q39="NO MATCH","—",INDEX(App_Pipeline_Intel_4!$F$66:$F$178,Q39)))</f>
        <v>#REF!</v>
      </c>
      <c r="V39" s="442" t="e">
        <f t="shared" si="1"/>
        <v>#REF!</v>
      </c>
      <c r="W39" s="442" t="e">
        <f t="shared" si="2"/>
        <v>#REF!</v>
      </c>
      <c r="X39" s="442" t="str">
        <f>IF(App_Pipeline_Intel_4!B115="","",App_Pipeline_Intel_4!B115)</f>
        <v>N18-2085</v>
      </c>
      <c r="Y39" s="442" t="b" cm="1">
        <f t="array" ref="Y39">IF(X39="","",ISNUMBER(MATCH(App_Pipeline_Intel_4!$B115&amp;"|"&amp;LEFT(App_Pipeline_Intel_4!$C115,FIND(",",App_Pipeline_Intel_4!$C115&amp;",")-1),#REF!&amp;"|"&amp;LEFT(#REF!,FIND(",",#REF!&amp;",")-1),0)))</f>
        <v>0</v>
      </c>
    </row>
    <row r="40" spans="1:25" s="287" customFormat="1" ht="14.1" customHeight="1">
      <c r="A40" s="277"/>
      <c r="B40" s="778" t="s">
        <v>1925</v>
      </c>
      <c r="C40" s="778" t="s">
        <v>1926</v>
      </c>
      <c r="D40" s="779" t="s">
        <v>1907</v>
      </c>
      <c r="E40" s="779" t="s">
        <v>1902</v>
      </c>
      <c r="F40" s="779">
        <v>26</v>
      </c>
      <c r="G40" s="779" t="s">
        <v>1237</v>
      </c>
      <c r="H40" s="779" t="s">
        <v>1248</v>
      </c>
      <c r="I40" s="780">
        <v>46078</v>
      </c>
      <c r="J40" s="437" t="s">
        <v>1204</v>
      </c>
      <c r="K40"/>
      <c r="L40" s="442" t="e">
        <f>IF(#REF!="","",#REF!)</f>
        <v>#REF!</v>
      </c>
      <c r="M40" s="442" t="e">
        <f>IF(L40="","",#REF!)</f>
        <v>#REF!</v>
      </c>
      <c r="N40" s="442" t="e">
        <f>IF(L40="","",#REF!)</f>
        <v>#REF!</v>
      </c>
      <c r="O40" s="442" t="e">
        <f>IF(L40="","",IF(#REF!=0,"",#REF!))</f>
        <v>#REF!</v>
      </c>
      <c r="P40" s="442" t="e">
        <f t="shared" si="0"/>
        <v>#REF!</v>
      </c>
      <c r="Q40" s="442" t="e" cm="1">
        <f t="array" ref="Q40">IF(P40="","",IFERROR(MATCH(P40,App_Pipeline_Intel_4!$B$66:$B$178&amp;"|"&amp;LEFT(App_Pipeline_Intel_4!$C$66:$C$178,FIND(",",App_Pipeline_Intel_4!$C$66:$C$178&amp;",")-1),0),"NO MATCH"))</f>
        <v>#REF!</v>
      </c>
      <c r="R40" s="442" t="e" cm="1">
        <f t="array" ref="R40">IF(Q40="","",IF(Q40="NO MATCH","—",INDEX(App_Pipeline_Intel_4!$D$66:$D$178,Q40)))</f>
        <v>#REF!</v>
      </c>
      <c r="S40" s="442" t="e" cm="1">
        <f t="array" ref="S40">IF(Q40="","",IF(Q40="NO MATCH","—",INDEX(App_Pipeline_Intel_4!$E$66:$E$178,Q40)))</f>
        <v>#REF!</v>
      </c>
      <c r="T40" s="442" t="e" cm="1">
        <f t="array" ref="T40">IF(Q40="","",IF(Q40="NO MATCH","—",INDEX(App_Pipeline_Intel_4!$K$66:$K$178,Q40)))</f>
        <v>#REF!</v>
      </c>
      <c r="U40" s="442" t="e" cm="1">
        <f t="array" ref="U40">IF(Q40="","",IF(Q40="NO MATCH","—",INDEX(App_Pipeline_Intel_4!$F$66:$F$178,Q40)))</f>
        <v>#REF!</v>
      </c>
      <c r="V40" s="442" t="e">
        <f t="shared" si="1"/>
        <v>#REF!</v>
      </c>
      <c r="W40" s="442" t="e">
        <f t="shared" si="2"/>
        <v>#REF!</v>
      </c>
      <c r="X40" s="442" t="str">
        <f>IF(App_Pipeline_Intel_4!B117="","",App_Pipeline_Intel_4!B117)</f>
        <v>N19-1080</v>
      </c>
      <c r="Y40" s="442" t="b" cm="1">
        <f t="array" ref="Y40">IF(X40="","",ISNUMBER(MATCH(App_Pipeline_Intel_4!$B117&amp;"|"&amp;LEFT(App_Pipeline_Intel_4!$C117,FIND(",",App_Pipeline_Intel_4!$C117&amp;",")-1),#REF!&amp;"|"&amp;LEFT(#REF!,FIND(",",#REF!&amp;",")-1),0)))</f>
        <v>0</v>
      </c>
    </row>
    <row r="41" spans="1:25" s="287" customFormat="1" ht="14.1" customHeight="1">
      <c r="A41" s="277"/>
      <c r="B41" s="778" t="s">
        <v>1927</v>
      </c>
      <c r="C41" s="778" t="s">
        <v>1928</v>
      </c>
      <c r="D41" s="779" t="s">
        <v>1897</v>
      </c>
      <c r="E41" s="779" t="s">
        <v>1898</v>
      </c>
      <c r="F41" s="779">
        <v>26</v>
      </c>
      <c r="G41" s="779" t="s">
        <v>1782</v>
      </c>
      <c r="H41" s="779" t="s">
        <v>1250</v>
      </c>
      <c r="I41" s="780">
        <v>46079</v>
      </c>
      <c r="J41" s="437" t="s">
        <v>1204</v>
      </c>
      <c r="K41"/>
      <c r="L41" s="442" t="e">
        <f>IF(#REF!="","",#REF!)</f>
        <v>#REF!</v>
      </c>
      <c r="M41" s="442" t="e">
        <f>IF(L41="","",#REF!)</f>
        <v>#REF!</v>
      </c>
      <c r="N41" s="442" t="e">
        <f>IF(L41="","",#REF!)</f>
        <v>#REF!</v>
      </c>
      <c r="O41" s="442" t="e">
        <f>IF(L41="","",IF(#REF!=0,"",#REF!))</f>
        <v>#REF!</v>
      </c>
      <c r="P41" s="442" t="e">
        <f t="shared" si="0"/>
        <v>#REF!</v>
      </c>
      <c r="Q41" s="442" t="e" cm="1">
        <f t="array" ref="Q41">IF(P41="","",IFERROR(MATCH(P41,App_Pipeline_Intel_4!$B$66:$B$178&amp;"|"&amp;LEFT(App_Pipeline_Intel_4!$C$66:$C$178,FIND(",",App_Pipeline_Intel_4!$C$66:$C$178&amp;",")-1),0),"NO MATCH"))</f>
        <v>#REF!</v>
      </c>
      <c r="R41" s="442" t="e" cm="1">
        <f t="array" ref="R41">IF(Q41="","",IF(Q41="NO MATCH","—",INDEX(App_Pipeline_Intel_4!$D$66:$D$178,Q41)))</f>
        <v>#REF!</v>
      </c>
      <c r="S41" s="442" t="e" cm="1">
        <f t="array" ref="S41">IF(Q41="","",IF(Q41="NO MATCH","—",INDEX(App_Pipeline_Intel_4!$E$66:$E$178,Q41)))</f>
        <v>#REF!</v>
      </c>
      <c r="T41" s="442" t="e" cm="1">
        <f t="array" ref="T41">IF(Q41="","",IF(Q41="NO MATCH","—",INDEX(App_Pipeline_Intel_4!$K$66:$K$178,Q41)))</f>
        <v>#REF!</v>
      </c>
      <c r="U41" s="442" t="e" cm="1">
        <f t="array" ref="U41">IF(Q41="","",IF(Q41="NO MATCH","—",INDEX(App_Pipeline_Intel_4!$F$66:$F$178,Q41)))</f>
        <v>#REF!</v>
      </c>
      <c r="V41" s="442" t="e">
        <f t="shared" si="1"/>
        <v>#REF!</v>
      </c>
      <c r="W41" s="442" t="e">
        <f t="shared" si="2"/>
        <v>#REF!</v>
      </c>
      <c r="X41" s="442" t="str">
        <f>IF(App_Pipeline_Intel_4!B119="","",App_Pipeline_Intel_4!B119)</f>
        <v>N19-2076</v>
      </c>
      <c r="Y41" s="442" t="b" cm="1">
        <f t="array" ref="Y41">IF(X41="","",ISNUMBER(MATCH(App_Pipeline_Intel_4!$B119&amp;"|"&amp;LEFT(App_Pipeline_Intel_4!$C119,FIND(",",App_Pipeline_Intel_4!$C119&amp;",")-1),#REF!&amp;"|"&amp;LEFT(#REF!,FIND(",",#REF!&amp;",")-1),0)))</f>
        <v>0</v>
      </c>
    </row>
    <row r="42" spans="1:25" s="287" customFormat="1" ht="14.1" customHeight="1">
      <c r="A42" s="277"/>
      <c r="B42" s="778" t="s">
        <v>1929</v>
      </c>
      <c r="C42" s="778" t="s">
        <v>1930</v>
      </c>
      <c r="D42" s="779" t="s">
        <v>1897</v>
      </c>
      <c r="E42" s="779" t="s">
        <v>1898</v>
      </c>
      <c r="F42" s="779">
        <v>26</v>
      </c>
      <c r="G42" s="779" t="s">
        <v>1242</v>
      </c>
      <c r="H42" s="779" t="s">
        <v>1248</v>
      </c>
      <c r="I42" s="780">
        <v>46081</v>
      </c>
      <c r="J42" s="437" t="s">
        <v>1204</v>
      </c>
      <c r="K42"/>
      <c r="L42" s="442" t="e">
        <f>IF(#REF!="","",#REF!)</f>
        <v>#REF!</v>
      </c>
      <c r="M42" s="442" t="e">
        <f>IF(L42="","",#REF!)</f>
        <v>#REF!</v>
      </c>
      <c r="N42" s="442" t="e">
        <f>IF(L42="","",#REF!)</f>
        <v>#REF!</v>
      </c>
      <c r="O42" s="442" t="e">
        <f>IF(L42="","",IF(#REF!=0,"",#REF!))</f>
        <v>#REF!</v>
      </c>
      <c r="P42" s="442" t="e">
        <f t="shared" si="0"/>
        <v>#REF!</v>
      </c>
      <c r="Q42" s="442" t="e" cm="1">
        <f t="array" ref="Q42">IF(P42="","",IFERROR(MATCH(P42,App_Pipeline_Intel_4!$B$66:$B$178&amp;"|"&amp;LEFT(App_Pipeline_Intel_4!$C$66:$C$178,FIND(",",App_Pipeline_Intel_4!$C$66:$C$178&amp;",")-1),0),"NO MATCH"))</f>
        <v>#REF!</v>
      </c>
      <c r="R42" s="442" t="e" cm="1">
        <f t="array" ref="R42">IF(Q42="","",IF(Q42="NO MATCH","—",INDEX(App_Pipeline_Intel_4!$D$66:$D$178,Q42)))</f>
        <v>#REF!</v>
      </c>
      <c r="S42" s="442" t="e" cm="1">
        <f t="array" ref="S42">IF(Q42="","",IF(Q42="NO MATCH","—",INDEX(App_Pipeline_Intel_4!$E$66:$E$178,Q42)))</f>
        <v>#REF!</v>
      </c>
      <c r="T42" s="442" t="e" cm="1">
        <f t="array" ref="T42">IF(Q42="","",IF(Q42="NO MATCH","—",INDEX(App_Pipeline_Intel_4!$K$66:$K$178,Q42)))</f>
        <v>#REF!</v>
      </c>
      <c r="U42" s="442" t="e" cm="1">
        <f t="array" ref="U42">IF(Q42="","",IF(Q42="NO MATCH","—",INDEX(App_Pipeline_Intel_4!$F$66:$F$178,Q42)))</f>
        <v>#REF!</v>
      </c>
      <c r="V42" s="442" t="e">
        <f t="shared" si="1"/>
        <v>#REF!</v>
      </c>
      <c r="W42" s="442" t="e">
        <f t="shared" si="2"/>
        <v>#REF!</v>
      </c>
      <c r="X42" s="442" t="str">
        <f>IF(App_Pipeline_Intel_4!B121="","",App_Pipeline_Intel_4!B121)</f>
        <v>N20-1089</v>
      </c>
      <c r="Y42" s="442" t="b" cm="1">
        <f t="array" ref="Y42">IF(X42="","",ISNUMBER(MATCH(App_Pipeline_Intel_4!$B121&amp;"|"&amp;LEFT(App_Pipeline_Intel_4!$C121,FIND(",",App_Pipeline_Intel_4!$C121&amp;",")-1),#REF!&amp;"|"&amp;LEFT(#REF!,FIND(",",#REF!&amp;",")-1),0)))</f>
        <v>0</v>
      </c>
    </row>
    <row r="43" spans="1:25" s="287" customFormat="1" ht="14.1" customHeight="1">
      <c r="A43" s="277"/>
      <c r="B43" s="778" t="s">
        <v>1931</v>
      </c>
      <c r="C43" s="778" t="s">
        <v>1932</v>
      </c>
      <c r="D43" s="779" t="s">
        <v>1901</v>
      </c>
      <c r="E43" s="779" t="s">
        <v>1902</v>
      </c>
      <c r="F43" s="779">
        <v>24</v>
      </c>
      <c r="G43" s="779" t="s">
        <v>1238</v>
      </c>
      <c r="H43" s="779" t="s">
        <v>1249</v>
      </c>
      <c r="I43" s="780">
        <v>46083</v>
      </c>
      <c r="J43" s="437" t="s">
        <v>1204</v>
      </c>
      <c r="K43"/>
      <c r="L43"/>
      <c r="M43"/>
      <c r="N43"/>
      <c r="O43"/>
      <c r="P43"/>
      <c r="Q43"/>
      <c r="R43"/>
      <c r="S43"/>
      <c r="T43"/>
      <c r="U43"/>
      <c r="V43"/>
      <c r="W43"/>
      <c r="X43" s="442" t="str">
        <f>IF(App_Pipeline_Intel_4!B123="","",App_Pipeline_Intel_4!B123)</f>
        <v>N20-2093</v>
      </c>
      <c r="Y43" s="442" t="b" cm="1">
        <f t="array" ref="Y43">IF(X43="","",ISNUMBER(MATCH(App_Pipeline_Intel_4!$B123&amp;"|"&amp;LEFT(App_Pipeline_Intel_4!$C123,FIND(",",App_Pipeline_Intel_4!$C123&amp;",")-1),#REF!&amp;"|"&amp;LEFT(#REF!,FIND(",",#REF!&amp;",")-1),0)))</f>
        <v>0</v>
      </c>
    </row>
    <row r="44" spans="1:25" s="287" customFormat="1" ht="14.1" customHeight="1">
      <c r="A44" s="277"/>
      <c r="B44" s="778" t="s">
        <v>1933</v>
      </c>
      <c r="C44" s="778" t="s">
        <v>1934</v>
      </c>
      <c r="D44" s="779" t="s">
        <v>1897</v>
      </c>
      <c r="E44" s="779" t="s">
        <v>1898</v>
      </c>
      <c r="F44" s="779">
        <v>22</v>
      </c>
      <c r="G44" s="779" t="s">
        <v>1242</v>
      </c>
      <c r="H44" s="779" t="s">
        <v>1248</v>
      </c>
      <c r="I44" s="780">
        <v>46083</v>
      </c>
      <c r="J44" s="437" t="s">
        <v>1204</v>
      </c>
      <c r="K44"/>
      <c r="L44"/>
      <c r="M44"/>
      <c r="N44"/>
      <c r="O44"/>
      <c r="P44"/>
      <c r="Q44"/>
      <c r="R44"/>
      <c r="S44"/>
      <c r="T44"/>
      <c r="U44"/>
      <c r="V44"/>
      <c r="W44"/>
      <c r="X44" s="442" t="str">
        <f>IF(App_Pipeline_Intel_4!B125="","",App_Pipeline_Intel_4!B125)</f>
        <v>N20-3091</v>
      </c>
      <c r="Y44" s="442" t="b" cm="1">
        <f t="array" ref="Y44">IF(X44="","",ISNUMBER(MATCH(App_Pipeline_Intel_4!$B125&amp;"|"&amp;LEFT(App_Pipeline_Intel_4!$C125,FIND(",",App_Pipeline_Intel_4!$C125&amp;",")-1),#REF!&amp;"|"&amp;LEFT(#REF!,FIND(",",#REF!&amp;",")-1),0)))</f>
        <v>0</v>
      </c>
    </row>
    <row r="45" spans="1:25" s="287" customFormat="1" ht="14.1" customHeight="1">
      <c r="A45" s="277"/>
      <c r="B45" s="781" t="s">
        <v>1935</v>
      </c>
      <c r="C45" s="781" t="s">
        <v>1936</v>
      </c>
      <c r="D45" s="782" t="s">
        <v>1897</v>
      </c>
      <c r="E45" s="782" t="s">
        <v>1898</v>
      </c>
      <c r="F45" s="782">
        <v>22</v>
      </c>
      <c r="G45" s="782" t="s">
        <v>1241</v>
      </c>
      <c r="H45" s="782" t="s">
        <v>1247</v>
      </c>
      <c r="I45" s="783">
        <v>46084</v>
      </c>
      <c r="J45" s="782" t="s">
        <v>1211</v>
      </c>
      <c r="K45"/>
      <c r="L45"/>
      <c r="M45"/>
      <c r="N45"/>
      <c r="O45"/>
      <c r="P45"/>
      <c r="Q45"/>
      <c r="R45"/>
      <c r="S45"/>
      <c r="T45"/>
      <c r="U45"/>
      <c r="V45"/>
      <c r="W45"/>
      <c r="X45" s="442" t="str">
        <f>IF(App_Pipeline_Intel_4!B129="","",App_Pipeline_Intel_4!B129)</f>
        <v>N24-1101</v>
      </c>
      <c r="Y45" s="442" t="b" cm="1">
        <f t="array" ref="Y45">IF(X45="","",ISNUMBER(MATCH(App_Pipeline_Intel_4!$B129&amp;"|"&amp;LEFT(App_Pipeline_Intel_4!$C129,FIND(",",App_Pipeline_Intel_4!$C129&amp;",")-1),#REF!&amp;"|"&amp;LEFT(#REF!,FIND(",",#REF!&amp;",")-1),0)))</f>
        <v>0</v>
      </c>
    </row>
    <row r="46" spans="1:25" s="287" customFormat="1" ht="14.1" customHeight="1">
      <c r="A46" s="277"/>
      <c r="B46" s="781" t="s">
        <v>1584</v>
      </c>
      <c r="C46" s="781" t="s">
        <v>1937</v>
      </c>
      <c r="D46" s="782" t="s">
        <v>1897</v>
      </c>
      <c r="E46" s="782" t="s">
        <v>1898</v>
      </c>
      <c r="F46" s="782">
        <v>21</v>
      </c>
      <c r="G46" s="782" t="s">
        <v>1912</v>
      </c>
      <c r="H46" s="782" t="s">
        <v>1247</v>
      </c>
      <c r="I46" s="783">
        <v>46084</v>
      </c>
      <c r="J46" s="782" t="s">
        <v>1211</v>
      </c>
      <c r="K46"/>
      <c r="L46"/>
      <c r="M46"/>
      <c r="N46"/>
      <c r="O46"/>
      <c r="P46"/>
      <c r="Q46"/>
      <c r="R46"/>
      <c r="S46"/>
      <c r="T46"/>
      <c r="U46"/>
      <c r="V46"/>
      <c r="W46"/>
      <c r="X46" s="442" t="str">
        <f>IF(App_Pipeline_Intel_4!B131="","",App_Pipeline_Intel_4!B131)</f>
        <v>N25-1102</v>
      </c>
      <c r="Y46" s="442" t="b" cm="1">
        <f t="array" ref="Y46">IF(X46="","",ISNUMBER(MATCH(App_Pipeline_Intel_4!$B131&amp;"|"&amp;LEFT(App_Pipeline_Intel_4!$C131,FIND(",",App_Pipeline_Intel_4!$C131&amp;",")-1),#REF!&amp;"|"&amp;LEFT(#REF!,FIND(",",#REF!&amp;",")-1),0)))</f>
        <v>0</v>
      </c>
    </row>
    <row r="47" spans="1:25" s="287" customFormat="1" ht="14.1" customHeight="1">
      <c r="A47" s="277"/>
      <c r="B47" s="781" t="s">
        <v>1938</v>
      </c>
      <c r="C47" s="781" t="s">
        <v>1939</v>
      </c>
      <c r="D47" s="782" t="s">
        <v>1897</v>
      </c>
      <c r="E47" s="782" t="s">
        <v>1898</v>
      </c>
      <c r="F47" s="782">
        <v>15</v>
      </c>
      <c r="G47" s="782" t="s">
        <v>1239</v>
      </c>
      <c r="H47" s="782" t="s">
        <v>1940</v>
      </c>
      <c r="I47" s="783">
        <v>46084</v>
      </c>
      <c r="J47" s="782" t="s">
        <v>1211</v>
      </c>
      <c r="K47"/>
      <c r="L47"/>
      <c r="M47"/>
      <c r="N47"/>
      <c r="O47"/>
      <c r="P47"/>
      <c r="Q47"/>
      <c r="R47"/>
      <c r="S47"/>
      <c r="T47"/>
      <c r="U47"/>
      <c r="V47"/>
      <c r="W47"/>
      <c r="X47" s="442" t="str">
        <f>IF(App_Pipeline_Intel_4!B133="","",App_Pipeline_Intel_4!B133)</f>
        <v>N25-2102</v>
      </c>
      <c r="Y47" s="442" t="b" cm="1">
        <f t="array" ref="Y47">IF(X47="","",ISNUMBER(MATCH(App_Pipeline_Intel_4!$B133&amp;"|"&amp;LEFT(App_Pipeline_Intel_4!$C133,FIND(",",App_Pipeline_Intel_4!$C133&amp;",")-1),#REF!&amp;"|"&amp;LEFT(#REF!,FIND(",",#REF!&amp;",")-1),0)))</f>
        <v>0</v>
      </c>
    </row>
    <row r="48" spans="1:25" s="287" customFormat="1" ht="14.1" customHeight="1">
      <c r="A48" s="277"/>
      <c r="B48" s="781" t="s">
        <v>1941</v>
      </c>
      <c r="C48" s="781" t="s">
        <v>1942</v>
      </c>
      <c r="D48" s="782" t="s">
        <v>1897</v>
      </c>
      <c r="E48" s="782" t="s">
        <v>1898</v>
      </c>
      <c r="F48" s="782">
        <v>15</v>
      </c>
      <c r="G48" s="782" t="s">
        <v>1242</v>
      </c>
      <c r="H48" s="782" t="s">
        <v>1247</v>
      </c>
      <c r="I48" s="783">
        <v>46086</v>
      </c>
      <c r="J48" s="782" t="s">
        <v>1211</v>
      </c>
      <c r="K48"/>
      <c r="L48"/>
      <c r="M48"/>
      <c r="N48"/>
      <c r="O48"/>
      <c r="P48"/>
      <c r="Q48"/>
      <c r="R48"/>
      <c r="S48"/>
      <c r="T48"/>
      <c r="U48"/>
      <c r="V48"/>
      <c r="W48"/>
      <c r="X48" s="442" t="str">
        <f>IF(App_Pipeline_Intel_4!B137="","",App_Pipeline_Intel_4!B137)</f>
        <v>S26-401</v>
      </c>
      <c r="Y48" s="442" t="b" cm="1">
        <f t="array" ref="Y48">IF(X48="","",ISNUMBER(MATCH(App_Pipeline_Intel_4!$B137&amp;"|"&amp;LEFT(App_Pipeline_Intel_4!$C137,FIND(",",App_Pipeline_Intel_4!$C137&amp;",")-1),#REF!&amp;"|"&amp;LEFT(#REF!,FIND(",",#REF!&amp;",")-1),0)))</f>
        <v>0</v>
      </c>
    </row>
    <row r="49" spans="1:25" s="287" customFormat="1" ht="14.1" customHeight="1">
      <c r="A49" s="277"/>
      <c r="B49" s="781" t="s">
        <v>1943</v>
      </c>
      <c r="C49" s="781" t="s">
        <v>1944</v>
      </c>
      <c r="D49" s="782" t="s">
        <v>1897</v>
      </c>
      <c r="E49" s="782" t="s">
        <v>1898</v>
      </c>
      <c r="F49" s="782">
        <v>13</v>
      </c>
      <c r="G49" s="782" t="s">
        <v>1241</v>
      </c>
      <c r="H49" s="782" t="s">
        <v>1247</v>
      </c>
      <c r="I49" s="783">
        <v>46089</v>
      </c>
      <c r="J49" s="782" t="s">
        <v>1211</v>
      </c>
      <c r="K49"/>
      <c r="L49"/>
      <c r="M49"/>
      <c r="N49"/>
      <c r="O49"/>
      <c r="P49"/>
      <c r="Q49"/>
      <c r="R49"/>
      <c r="S49"/>
      <c r="T49"/>
      <c r="U49"/>
      <c r="V49"/>
      <c r="W49"/>
      <c r="X49" s="442" t="str">
        <f>IF(App_Pipeline_Intel_4!B141="","",App_Pipeline_Intel_4!B141)</f>
        <v>S26-408</v>
      </c>
      <c r="Y49" s="442" t="b" cm="1">
        <f t="array" ref="Y49">IF(X49="","",ISNUMBER(MATCH(App_Pipeline_Intel_4!$B141&amp;"|"&amp;LEFT(App_Pipeline_Intel_4!$C141,FIND(",",App_Pipeline_Intel_4!$C141&amp;",")-1),#REF!&amp;"|"&amp;LEFT(#REF!,FIND(",",#REF!&amp;",")-1),0)))</f>
        <v>0</v>
      </c>
    </row>
    <row r="50" spans="1:25" s="287" customFormat="1" ht="14.1" customHeight="1">
      <c r="A50" s="277"/>
      <c r="B50" s="781" t="s">
        <v>1945</v>
      </c>
      <c r="C50" s="781" t="s">
        <v>1946</v>
      </c>
      <c r="D50" s="782" t="s">
        <v>1897</v>
      </c>
      <c r="E50" s="782" t="s">
        <v>1898</v>
      </c>
      <c r="F50" s="782">
        <v>11</v>
      </c>
      <c r="G50" s="782" t="s">
        <v>1241</v>
      </c>
      <c r="H50" s="782" t="s">
        <v>1250</v>
      </c>
      <c r="I50" s="783">
        <v>46090</v>
      </c>
      <c r="J50" s="782" t="s">
        <v>1211</v>
      </c>
      <c r="K50"/>
      <c r="L50"/>
      <c r="M50"/>
      <c r="N50"/>
      <c r="O50"/>
      <c r="P50"/>
      <c r="Q50"/>
      <c r="R50"/>
      <c r="S50"/>
      <c r="T50"/>
      <c r="U50"/>
      <c r="V50"/>
      <c r="W50"/>
      <c r="X50" s="442" t="str">
        <f>IF(App_Pipeline_Intel_4!B145="","",App_Pipeline_Intel_4!B145)</f>
        <v>S27-422</v>
      </c>
      <c r="Y50" s="442" t="b" cm="1">
        <f t="array" ref="Y50">IF(X50="","",ISNUMBER(MATCH(App_Pipeline_Intel_4!$B145&amp;"|"&amp;LEFT(App_Pipeline_Intel_4!$C145,FIND(",",App_Pipeline_Intel_4!$C145&amp;",")-1),#REF!&amp;"|"&amp;LEFT(#REF!,FIND(",",#REF!&amp;",")-1),0)))</f>
        <v>0</v>
      </c>
    </row>
    <row r="51" spans="1:25" s="287" customFormat="1" ht="14.1" customHeight="1">
      <c r="A51" s="277"/>
      <c r="B51" s="781" t="s">
        <v>1947</v>
      </c>
      <c r="C51" s="781" t="s">
        <v>1948</v>
      </c>
      <c r="D51" s="782" t="s">
        <v>1897</v>
      </c>
      <c r="E51" s="782" t="s">
        <v>1898</v>
      </c>
      <c r="F51" s="782">
        <v>10</v>
      </c>
      <c r="G51" s="782" t="s">
        <v>1241</v>
      </c>
      <c r="H51" s="782" t="s">
        <v>1248</v>
      </c>
      <c r="I51" s="783">
        <v>46090</v>
      </c>
      <c r="J51" s="782" t="s">
        <v>1211</v>
      </c>
      <c r="K51"/>
      <c r="L51"/>
      <c r="M51"/>
      <c r="N51"/>
      <c r="O51"/>
      <c r="P51"/>
      <c r="Q51"/>
      <c r="R51"/>
      <c r="S51"/>
      <c r="T51"/>
      <c r="U51"/>
      <c r="V51"/>
      <c r="W51"/>
      <c r="X51" s="442" t="str">
        <f>IF(App_Pipeline_Intel_4!B147="","",App_Pipeline_Intel_4!B147)</f>
        <v>S28-104</v>
      </c>
      <c r="Y51" s="442" t="b" cm="1">
        <f t="array" ref="Y51">IF(X51="","",ISNUMBER(MATCH(App_Pipeline_Intel_4!$B147&amp;"|"&amp;LEFT(App_Pipeline_Intel_4!$C147,FIND(",",App_Pipeline_Intel_4!$C147&amp;",")-1),#REF!&amp;"|"&amp;LEFT(#REF!,FIND(",",#REF!&amp;",")-1),0)))</f>
        <v>0</v>
      </c>
    </row>
    <row r="52" spans="1:25" s="287" customFormat="1" ht="14.1" customHeight="1">
      <c r="A52" s="277"/>
      <c r="B52" s="784" t="s">
        <v>1559</v>
      </c>
      <c r="C52" s="784" t="s">
        <v>1949</v>
      </c>
      <c r="D52" s="785" t="s">
        <v>1897</v>
      </c>
      <c r="E52" s="785" t="s">
        <v>1898</v>
      </c>
      <c r="F52" s="785">
        <v>10</v>
      </c>
      <c r="G52" s="785" t="s">
        <v>1241</v>
      </c>
      <c r="H52" s="785" t="s">
        <v>1249</v>
      </c>
      <c r="I52" s="786">
        <v>46092</v>
      </c>
      <c r="J52" s="785"/>
      <c r="K52"/>
      <c r="L52"/>
      <c r="M52"/>
      <c r="N52"/>
      <c r="O52"/>
      <c r="P52"/>
      <c r="Q52"/>
      <c r="R52"/>
      <c r="S52"/>
      <c r="T52"/>
      <c r="U52"/>
      <c r="V52"/>
      <c r="W52"/>
      <c r="X52" s="442" t="str">
        <f>IF(App_Pipeline_Intel_4!B150="","",App_Pipeline_Intel_4!B150)</f>
        <v>S30-124</v>
      </c>
      <c r="Y52" s="442" t="b" cm="1">
        <f t="array" ref="Y52">IF(X52="","",ISNUMBER(MATCH(App_Pipeline_Intel_4!$B150&amp;"|"&amp;LEFT(App_Pipeline_Intel_4!$C150,FIND(",",App_Pipeline_Intel_4!$C150&amp;",")-1),#REF!&amp;"|"&amp;LEFT(#REF!,FIND(",",#REF!&amp;",")-1),0)))</f>
        <v>0</v>
      </c>
    </row>
    <row r="53" spans="1:25" s="287" customFormat="1" ht="14.1" customHeight="1">
      <c r="A53" s="277"/>
      <c r="B53" s="784" t="s">
        <v>1950</v>
      </c>
      <c r="C53" s="784" t="s">
        <v>1951</v>
      </c>
      <c r="D53" s="785" t="s">
        <v>1897</v>
      </c>
      <c r="E53" s="785" t="s">
        <v>1898</v>
      </c>
      <c r="F53" s="785">
        <v>9</v>
      </c>
      <c r="G53" s="785" t="s">
        <v>1799</v>
      </c>
      <c r="H53" s="785" t="s">
        <v>1247</v>
      </c>
      <c r="I53" s="786">
        <v>46093</v>
      </c>
      <c r="J53" s="785"/>
      <c r="K53"/>
      <c r="L53"/>
      <c r="M53"/>
      <c r="N53"/>
      <c r="O53"/>
      <c r="P53"/>
      <c r="Q53"/>
      <c r="R53"/>
      <c r="S53"/>
      <c r="T53"/>
      <c r="U53"/>
      <c r="V53"/>
      <c r="W53"/>
      <c r="X53" s="442" t="str">
        <f>IF(App_Pipeline_Intel_4!B151="","",App_Pipeline_Intel_4!B151)</f>
        <v>S30-221</v>
      </c>
      <c r="Y53" s="442" t="b" cm="1">
        <f t="array" ref="Y53">IF(X53="","",ISNUMBER(MATCH(App_Pipeline_Intel_4!$B151&amp;"|"&amp;LEFT(App_Pipeline_Intel_4!$C151,FIND(",",App_Pipeline_Intel_4!$C151&amp;",")-1),#REF!&amp;"|"&amp;LEFT(#REF!,FIND(",",#REF!&amp;",")-1),0)))</f>
        <v>0</v>
      </c>
    </row>
    <row r="54" spans="1:25" s="287" customFormat="1" ht="14.1" customHeight="1">
      <c r="A54" s="277"/>
      <c r="B54" s="784" t="s">
        <v>1538</v>
      </c>
      <c r="C54" s="784" t="s">
        <v>1951</v>
      </c>
      <c r="D54" s="785" t="s">
        <v>1897</v>
      </c>
      <c r="E54" s="785" t="s">
        <v>1898</v>
      </c>
      <c r="F54" s="785">
        <v>9</v>
      </c>
      <c r="G54" s="785" t="s">
        <v>1782</v>
      </c>
      <c r="H54" s="785" t="s">
        <v>1252</v>
      </c>
      <c r="I54" s="786">
        <v>46093</v>
      </c>
      <c r="J54" s="785"/>
      <c r="K54"/>
      <c r="L54"/>
      <c r="M54"/>
      <c r="N54"/>
      <c r="O54"/>
      <c r="P54"/>
      <c r="Q54"/>
      <c r="R54"/>
      <c r="S54"/>
      <c r="T54"/>
      <c r="U54"/>
      <c r="V54"/>
      <c r="W54"/>
      <c r="X54" s="442" t="str">
        <f>IF(App_Pipeline_Intel_4!B154="","",App_Pipeline_Intel_4!B154)</f>
        <v>S31-118</v>
      </c>
      <c r="Y54" s="442" t="b" cm="1">
        <f t="array" ref="Y54">IF(X54="","",ISNUMBER(MATCH(App_Pipeline_Intel_4!$B154&amp;"|"&amp;LEFT(App_Pipeline_Intel_4!$C154,FIND(",",App_Pipeline_Intel_4!$C154&amp;",")-1),#REF!&amp;"|"&amp;LEFT(#REF!,FIND(",",#REF!&amp;",")-1),0)))</f>
        <v>0</v>
      </c>
    </row>
    <row r="55" spans="1:25" s="287" customFormat="1" ht="14.1" customHeight="1">
      <c r="A55" s="277"/>
      <c r="B55" s="784" t="s">
        <v>1952</v>
      </c>
      <c r="C55" s="784" t="s">
        <v>1953</v>
      </c>
      <c r="D55" s="785" t="s">
        <v>1897</v>
      </c>
      <c r="E55" s="785" t="s">
        <v>1898</v>
      </c>
      <c r="F55" s="785">
        <v>8</v>
      </c>
      <c r="G55" s="785" t="s">
        <v>1799</v>
      </c>
      <c r="H55" s="785" t="s">
        <v>1252</v>
      </c>
      <c r="I55" s="786">
        <v>46094</v>
      </c>
      <c r="J55" s="785"/>
      <c r="K55"/>
      <c r="L55"/>
      <c r="M55"/>
      <c r="N55"/>
      <c r="O55"/>
      <c r="P55"/>
      <c r="Q55"/>
      <c r="R55"/>
      <c r="S55"/>
      <c r="T55"/>
      <c r="U55"/>
      <c r="V55"/>
      <c r="W55"/>
      <c r="X55" s="442" t="str">
        <f>IF(App_Pipeline_Intel_4!B157="","",App_Pipeline_Intel_4!B157)</f>
        <v>S32-431</v>
      </c>
      <c r="Y55" s="442" t="b" cm="1">
        <f t="array" ref="Y55">IF(X55="","",ISNUMBER(MATCH(App_Pipeline_Intel_4!$B157&amp;"|"&amp;LEFT(App_Pipeline_Intel_4!$C157,FIND(",",App_Pipeline_Intel_4!$C157&amp;",")-1),#REF!&amp;"|"&amp;LEFT(#REF!,FIND(",",#REF!&amp;",")-1),0)))</f>
        <v>0</v>
      </c>
    </row>
    <row r="56" spans="1:25" s="287" customFormat="1" ht="14.1" customHeight="1">
      <c r="A56" s="277"/>
      <c r="B56" s="784" t="s">
        <v>1954</v>
      </c>
      <c r="C56" s="784" t="s">
        <v>1955</v>
      </c>
      <c r="D56" s="785" t="s">
        <v>1897</v>
      </c>
      <c r="E56" s="785" t="s">
        <v>1898</v>
      </c>
      <c r="F56" s="785">
        <v>7</v>
      </c>
      <c r="G56" s="785" t="s">
        <v>1241</v>
      </c>
      <c r="H56" s="785" t="s">
        <v>1252</v>
      </c>
      <c r="I56" s="786">
        <v>46094</v>
      </c>
      <c r="J56" s="785"/>
      <c r="K56"/>
      <c r="L56"/>
      <c r="M56"/>
      <c r="N56"/>
      <c r="O56"/>
      <c r="P56"/>
      <c r="Q56"/>
      <c r="R56"/>
      <c r="S56"/>
      <c r="T56"/>
      <c r="U56"/>
      <c r="V56"/>
      <c r="W56"/>
      <c r="X56" s="442" t="str">
        <f>IF(App_Pipeline_Intel_4!B158="","",App_Pipeline_Intel_4!B158)</f>
        <v>S34-141</v>
      </c>
      <c r="Y56" s="442" t="b" cm="1">
        <f t="array" ref="Y56">IF(X56="","",ISNUMBER(MATCH(App_Pipeline_Intel_4!$B158&amp;"|"&amp;LEFT(App_Pipeline_Intel_4!$C158,FIND(",",App_Pipeline_Intel_4!$C158&amp;",")-1),#REF!&amp;"|"&amp;LEFT(#REF!,FIND(",",#REF!&amp;",")-1),0)))</f>
        <v>0</v>
      </c>
    </row>
    <row r="57" spans="1:25" s="287" customFormat="1" ht="14.1" customHeight="1">
      <c r="A57" s="277"/>
      <c r="B57" s="784" t="s">
        <v>1956</v>
      </c>
      <c r="C57" s="784" t="s">
        <v>1957</v>
      </c>
      <c r="D57" s="785" t="s">
        <v>1897</v>
      </c>
      <c r="E57" s="785" t="s">
        <v>1898</v>
      </c>
      <c r="F57" s="785">
        <v>6</v>
      </c>
      <c r="G57" s="785" t="s">
        <v>1238</v>
      </c>
      <c r="H57" s="785" t="s">
        <v>1247</v>
      </c>
      <c r="I57" s="786">
        <v>46095</v>
      </c>
      <c r="J57" s="785"/>
      <c r="K57"/>
      <c r="L57"/>
      <c r="M57"/>
      <c r="N57"/>
      <c r="O57"/>
      <c r="P57"/>
      <c r="Q57"/>
      <c r="R57"/>
      <c r="S57"/>
      <c r="T57"/>
      <c r="U57"/>
      <c r="V57"/>
      <c r="W57"/>
      <c r="X57" s="442" t="str">
        <f>IF(App_Pipeline_Intel_4!B160="","",App_Pipeline_Intel_4!B160)</f>
        <v>S34-244</v>
      </c>
      <c r="Y57" s="442" t="b" cm="1">
        <f t="array" ref="Y57">IF(X57="","",ISNUMBER(MATCH(App_Pipeline_Intel_4!$B160&amp;"|"&amp;LEFT(App_Pipeline_Intel_4!$C160,FIND(",",App_Pipeline_Intel_4!$C160&amp;",")-1),#REF!&amp;"|"&amp;LEFT(#REF!,FIND(",",#REF!&amp;",")-1),0)))</f>
        <v>0</v>
      </c>
    </row>
    <row r="58" spans="1:25" s="287" customFormat="1" ht="14.1" customHeight="1">
      <c r="A58" s="277"/>
      <c r="B58" s="784" t="s">
        <v>1958</v>
      </c>
      <c r="C58" s="784" t="s">
        <v>1959</v>
      </c>
      <c r="D58" s="785" t="s">
        <v>1897</v>
      </c>
      <c r="E58" s="785" t="s">
        <v>1898</v>
      </c>
      <c r="F58" s="785">
        <v>6</v>
      </c>
      <c r="G58" s="785" t="s">
        <v>1241</v>
      </c>
      <c r="H58" s="785" t="s">
        <v>1247</v>
      </c>
      <c r="I58" s="786">
        <v>46095</v>
      </c>
      <c r="J58" s="785"/>
      <c r="K58"/>
      <c r="L58"/>
      <c r="M58"/>
      <c r="N58"/>
      <c r="O58"/>
      <c r="P58"/>
      <c r="Q58"/>
      <c r="R58"/>
      <c r="S58"/>
      <c r="T58"/>
      <c r="U58"/>
      <c r="V58"/>
      <c r="W58"/>
      <c r="X58" s="442" t="str">
        <f>IF(App_Pipeline_Intel_4!B162="","",App_Pipeline_Intel_4!B162)</f>
        <v>S35-245</v>
      </c>
      <c r="Y58" s="442" t="b" cm="1">
        <f t="array" ref="Y58">IF(X58="","",ISNUMBER(MATCH(App_Pipeline_Intel_4!$B162&amp;"|"&amp;LEFT(App_Pipeline_Intel_4!$C162,FIND(",",App_Pipeline_Intel_4!$C162&amp;",")-1),#REF!&amp;"|"&amp;LEFT(#REF!,FIND(",",#REF!&amp;",")-1),0)))</f>
        <v>0</v>
      </c>
    </row>
    <row r="59" spans="1:25" s="287" customFormat="1" ht="14.1" customHeight="1">
      <c r="A59" s="277"/>
      <c r="B59" s="784" t="s">
        <v>1564</v>
      </c>
      <c r="C59" s="784" t="s">
        <v>1960</v>
      </c>
      <c r="D59" s="785" t="s">
        <v>1897</v>
      </c>
      <c r="E59" s="785" t="s">
        <v>1898</v>
      </c>
      <c r="F59" s="785">
        <v>5</v>
      </c>
      <c r="G59" s="785" t="s">
        <v>1241</v>
      </c>
      <c r="H59" s="785" t="s">
        <v>1247</v>
      </c>
      <c r="I59" s="786">
        <v>46096</v>
      </c>
      <c r="J59" s="785"/>
      <c r="K59"/>
      <c r="L59"/>
      <c r="M59"/>
      <c r="N59"/>
      <c r="O59"/>
      <c r="P59"/>
      <c r="Q59"/>
      <c r="R59"/>
      <c r="S59"/>
      <c r="T59"/>
      <c r="U59"/>
      <c r="V59"/>
      <c r="W59"/>
      <c r="X59" s="442" t="str">
        <f>IF(App_Pipeline_Intel_4!B163="","",App_Pipeline_Intel_4!B163)</f>
        <v>S35-247</v>
      </c>
      <c r="Y59" s="442" t="b" cm="1">
        <f t="array" ref="Y59">IF(X59="","",ISNUMBER(MATCH(App_Pipeline_Intel_4!$B163&amp;"|"&amp;LEFT(App_Pipeline_Intel_4!$C163,FIND(",",App_Pipeline_Intel_4!$C163&amp;",")-1),#REF!&amp;"|"&amp;LEFT(#REF!,FIND(",",#REF!&amp;",")-1),0)))</f>
        <v>0</v>
      </c>
    </row>
    <row r="60" spans="1:25" s="287" customFormat="1" ht="14.1" customHeight="1">
      <c r="A60" s="277"/>
      <c r="B60" s="784" t="s">
        <v>1961</v>
      </c>
      <c r="C60" s="784" t="s">
        <v>1829</v>
      </c>
      <c r="D60" s="785" t="s">
        <v>1897</v>
      </c>
      <c r="E60" s="785" t="s">
        <v>1898</v>
      </c>
      <c r="F60" s="785">
        <v>5</v>
      </c>
      <c r="G60" s="785" t="s">
        <v>1237</v>
      </c>
      <c r="H60" s="785" t="s">
        <v>1249</v>
      </c>
      <c r="I60" s="786">
        <v>46096</v>
      </c>
      <c r="J60" s="785"/>
      <c r="K60"/>
      <c r="L60"/>
      <c r="M60"/>
      <c r="N60"/>
      <c r="O60"/>
      <c r="P60"/>
      <c r="Q60"/>
      <c r="R60"/>
      <c r="S60"/>
      <c r="T60"/>
      <c r="U60"/>
      <c r="V60"/>
      <c r="W60"/>
      <c r="X60" s="442" t="str">
        <f>IF(App_Pipeline_Intel_4!B164="","",App_Pipeline_Intel_4!B164)</f>
        <v>S35-248</v>
      </c>
      <c r="Y60" s="442" t="b" cm="1">
        <f t="array" ref="Y60">IF(X60="","",ISNUMBER(MATCH(App_Pipeline_Intel_4!$B164&amp;"|"&amp;LEFT(App_Pipeline_Intel_4!$C164,FIND(",",App_Pipeline_Intel_4!$C164&amp;",")-1),#REF!&amp;"|"&amp;LEFT(#REF!,FIND(",",#REF!&amp;",")-1),0)))</f>
        <v>0</v>
      </c>
    </row>
    <row r="61" spans="1:25" s="287" customFormat="1" ht="14.1" customHeight="1">
      <c r="A61" s="277"/>
      <c r="B61" s="784" t="s">
        <v>1230</v>
      </c>
      <c r="C61" s="784" t="s">
        <v>1962</v>
      </c>
      <c r="D61" s="785" t="s">
        <v>1897</v>
      </c>
      <c r="E61" s="785" t="s">
        <v>1898</v>
      </c>
      <c r="F61" s="785">
        <v>5</v>
      </c>
      <c r="G61" s="785" t="s">
        <v>1241</v>
      </c>
      <c r="H61" s="785" t="s">
        <v>1247</v>
      </c>
      <c r="I61" s="786">
        <v>46097</v>
      </c>
      <c r="J61" s="785"/>
      <c r="K61"/>
      <c r="L61"/>
      <c r="M61"/>
      <c r="N61"/>
      <c r="O61"/>
      <c r="P61"/>
      <c r="Q61"/>
      <c r="R61"/>
      <c r="S61"/>
      <c r="T61"/>
      <c r="U61"/>
      <c r="V61"/>
      <c r="W61"/>
      <c r="X61" s="442" t="str">
        <f>IF(App_Pipeline_Intel_4!B165="","",App_Pipeline_Intel_4!B165)</f>
        <v>S36-433</v>
      </c>
      <c r="Y61" s="442" t="b" cm="1">
        <f t="array" ref="Y61">IF(X61="","",ISNUMBER(MATCH(App_Pipeline_Intel_4!$B165&amp;"|"&amp;LEFT(App_Pipeline_Intel_4!$C165,FIND(",",App_Pipeline_Intel_4!$C165&amp;",")-1),#REF!&amp;"|"&amp;LEFT(#REF!,FIND(",",#REF!&amp;",")-1),0)))</f>
        <v>0</v>
      </c>
    </row>
    <row r="62" spans="1:25" s="287" customFormat="1" ht="14.1" customHeight="1">
      <c r="A62" s="277"/>
      <c r="B62" s="784" t="s">
        <v>1963</v>
      </c>
      <c r="C62" s="784" t="s">
        <v>1964</v>
      </c>
      <c r="D62" s="785" t="s">
        <v>1897</v>
      </c>
      <c r="E62" s="785" t="s">
        <v>1898</v>
      </c>
      <c r="F62" s="785">
        <v>4</v>
      </c>
      <c r="G62" s="785" t="s">
        <v>1241</v>
      </c>
      <c r="H62" s="785" t="s">
        <v>1247</v>
      </c>
      <c r="I62" s="786">
        <v>46098</v>
      </c>
      <c r="J62" s="785"/>
      <c r="K62"/>
      <c r="L62"/>
      <c r="M62"/>
      <c r="N62"/>
      <c r="O62"/>
      <c r="P62"/>
      <c r="Q62"/>
      <c r="R62"/>
      <c r="S62"/>
      <c r="T62"/>
      <c r="U62"/>
      <c r="V62"/>
      <c r="W62"/>
      <c r="X62" s="442" t="str">
        <f>IF(App_Pipeline_Intel_4!B166="","",App_Pipeline_Intel_4!B166)</f>
        <v>S36-436</v>
      </c>
      <c r="Y62" s="442" t="b" cm="1">
        <f t="array" ref="Y62">IF(X62="","",ISNUMBER(MATCH(App_Pipeline_Intel_4!$B166&amp;"|"&amp;LEFT(App_Pipeline_Intel_4!$C166,FIND(",",App_Pipeline_Intel_4!$C166&amp;",")-1),#REF!&amp;"|"&amp;LEFT(#REF!,FIND(",",#REF!&amp;",")-1),0)))</f>
        <v>0</v>
      </c>
    </row>
    <row r="63" spans="1:25" s="287" customFormat="1" ht="14.1" customHeight="1">
      <c r="A63" s="277"/>
      <c r="B63" s="787" t="s">
        <v>1965</v>
      </c>
      <c r="C63" s="787" t="s">
        <v>1966</v>
      </c>
      <c r="D63" s="649" t="s">
        <v>1897</v>
      </c>
      <c r="E63" s="649" t="s">
        <v>1898</v>
      </c>
      <c r="F63" s="649">
        <v>4</v>
      </c>
      <c r="G63" s="649" t="s">
        <v>1237</v>
      </c>
      <c r="H63" s="649" t="s">
        <v>1247</v>
      </c>
      <c r="I63" s="788">
        <v>46098</v>
      </c>
      <c r="J63" s="649"/>
      <c r="K63"/>
      <c r="L63"/>
      <c r="M63"/>
      <c r="N63"/>
      <c r="O63"/>
      <c r="P63"/>
      <c r="Q63"/>
      <c r="R63"/>
      <c r="S63"/>
      <c r="T63"/>
      <c r="U63"/>
      <c r="V63"/>
      <c r="W63"/>
      <c r="X63" s="442" t="str">
        <f>IF(App_Pipeline_Intel_4!B167="","",App_Pipeline_Intel_4!B167)</f>
        <v>S38-352</v>
      </c>
      <c r="Y63" s="442" t="b" cm="1">
        <f t="array" ref="Y63">IF(X63="","",ISNUMBER(MATCH(App_Pipeline_Intel_4!$B167&amp;"|"&amp;LEFT(App_Pipeline_Intel_4!$C167,FIND(",",App_Pipeline_Intel_4!$C167&amp;",")-1),#REF!&amp;"|"&amp;LEFT(#REF!,FIND(",",#REF!&amp;",")-1),0)))</f>
        <v>0</v>
      </c>
    </row>
    <row r="64" spans="1:25" s="287" customFormat="1" ht="14.1" customHeight="1">
      <c r="A64" s="277"/>
      <c r="B64" s="789" t="s">
        <v>1967</v>
      </c>
      <c r="C64" s="789" t="s">
        <v>1968</v>
      </c>
      <c r="D64" s="790" t="s">
        <v>1907</v>
      </c>
      <c r="E64" s="790" t="s">
        <v>1902</v>
      </c>
      <c r="F64" s="790">
        <v>1</v>
      </c>
      <c r="G64" s="790" t="s">
        <v>1799</v>
      </c>
      <c r="H64" s="790" t="s">
        <v>1252</v>
      </c>
      <c r="I64" s="791"/>
      <c r="J64" s="790"/>
      <c r="K64"/>
      <c r="L64"/>
      <c r="M64"/>
      <c r="N64"/>
      <c r="O64"/>
      <c r="P64"/>
      <c r="Q64"/>
      <c r="R64"/>
      <c r="S64"/>
      <c r="T64"/>
      <c r="U64"/>
      <c r="V64"/>
      <c r="W64"/>
      <c r="X64" s="442"/>
      <c r="Y64" s="442"/>
    </row>
    <row r="65" spans="1:25" s="287" customFormat="1" ht="14.1" customHeight="1">
      <c r="A65" s="277"/>
      <c r="B65" s="789" t="s">
        <v>1969</v>
      </c>
      <c r="C65" s="789" t="s">
        <v>1970</v>
      </c>
      <c r="D65" s="790" t="s">
        <v>1897</v>
      </c>
      <c r="E65" s="790" t="s">
        <v>1898</v>
      </c>
      <c r="F65" s="790">
        <v>1</v>
      </c>
      <c r="G65" s="790" t="s">
        <v>1241</v>
      </c>
      <c r="H65" s="790" t="s">
        <v>1252</v>
      </c>
      <c r="I65" s="791"/>
      <c r="J65" s="790"/>
      <c r="K65"/>
      <c r="L65"/>
      <c r="M65"/>
      <c r="N65"/>
      <c r="O65"/>
      <c r="P65"/>
      <c r="Q65"/>
      <c r="R65"/>
      <c r="S65"/>
      <c r="T65"/>
      <c r="U65"/>
      <c r="V65"/>
      <c r="W65"/>
      <c r="X65" s="442"/>
      <c r="Y65" s="442"/>
    </row>
    <row r="66" spans="1:25" s="287" customFormat="1" ht="14.1" customHeight="1">
      <c r="A66" s="277"/>
      <c r="B66" s="789"/>
      <c r="C66" s="789"/>
      <c r="D66" s="790"/>
      <c r="E66" s="790"/>
      <c r="F66" s="790"/>
      <c r="G66" s="790"/>
      <c r="H66" s="790"/>
      <c r="I66" s="791"/>
      <c r="J66" s="790"/>
      <c r="K66"/>
      <c r="L66"/>
      <c r="M66"/>
      <c r="N66"/>
      <c r="O66"/>
      <c r="P66"/>
      <c r="Q66"/>
      <c r="R66"/>
      <c r="S66"/>
      <c r="T66"/>
      <c r="U66"/>
      <c r="V66"/>
      <c r="W66"/>
      <c r="X66" s="442"/>
      <c r="Y66" s="442"/>
    </row>
    <row r="67" spans="1:25" s="287" customFormat="1" ht="14.1" customHeight="1">
      <c r="A67" s="277"/>
      <c r="B67" s="789"/>
      <c r="C67" s="789"/>
      <c r="D67" s="790"/>
      <c r="E67" s="790"/>
      <c r="F67" s="790"/>
      <c r="G67" s="790"/>
      <c r="H67" s="790"/>
      <c r="I67" s="791"/>
      <c r="J67" s="790"/>
      <c r="K67"/>
      <c r="L67"/>
      <c r="M67"/>
      <c r="N67"/>
      <c r="O67"/>
      <c r="P67"/>
      <c r="Q67"/>
      <c r="R67"/>
      <c r="S67"/>
      <c r="T67"/>
      <c r="U67"/>
      <c r="V67"/>
      <c r="W67"/>
      <c r="X67" s="442"/>
      <c r="Y67" s="442"/>
    </row>
    <row r="68" spans="1:25" s="287" customFormat="1" ht="14.1" customHeight="1">
      <c r="A68" s="277"/>
      <c r="B68" s="789"/>
      <c r="C68" s="789"/>
      <c r="D68" s="790"/>
      <c r="E68" s="790"/>
      <c r="F68" s="790"/>
      <c r="G68" s="790"/>
      <c r="H68" s="790"/>
      <c r="I68" s="791"/>
      <c r="J68" s="790"/>
      <c r="K68"/>
      <c r="L68"/>
      <c r="M68"/>
      <c r="N68"/>
      <c r="O68"/>
      <c r="P68"/>
      <c r="Q68"/>
      <c r="R68"/>
      <c r="S68"/>
      <c r="T68"/>
      <c r="U68"/>
      <c r="V68"/>
      <c r="W68"/>
      <c r="X68" s="442"/>
      <c r="Y68" s="442"/>
    </row>
    <row r="69" spans="1:25" s="287" customFormat="1" ht="14.1" customHeight="1">
      <c r="A69" s="277"/>
      <c r="B69" s="789"/>
      <c r="C69" s="789"/>
      <c r="D69" s="790"/>
      <c r="E69" s="790"/>
      <c r="F69" s="790"/>
      <c r="G69" s="790"/>
      <c r="H69" s="790"/>
      <c r="I69" s="791"/>
      <c r="J69" s="790"/>
      <c r="K69"/>
      <c r="L69"/>
      <c r="M69"/>
      <c r="N69"/>
      <c r="O69"/>
      <c r="P69"/>
      <c r="Q69"/>
      <c r="R69"/>
      <c r="S69"/>
      <c r="T69"/>
      <c r="U69"/>
      <c r="V69"/>
      <c r="W69"/>
      <c r="X69" s="442"/>
      <c r="Y69" s="442"/>
    </row>
    <row r="70" spans="1:25" s="287" customFormat="1" ht="14.1" customHeight="1">
      <c r="A70" s="277"/>
      <c r="B70" s="789"/>
      <c r="C70" s="789"/>
      <c r="D70" s="790"/>
      <c r="E70" s="790"/>
      <c r="F70" s="790"/>
      <c r="G70" s="790"/>
      <c r="H70" s="790"/>
      <c r="I70" s="791"/>
      <c r="J70" s="790"/>
      <c r="K70"/>
      <c r="L70"/>
      <c r="M70"/>
      <c r="N70"/>
      <c r="O70"/>
      <c r="P70"/>
      <c r="Q70"/>
      <c r="R70"/>
      <c r="S70"/>
      <c r="T70"/>
      <c r="U70"/>
      <c r="V70"/>
      <c r="W70"/>
      <c r="X70" s="442"/>
      <c r="Y70" s="442"/>
    </row>
    <row r="71" spans="1:25" s="287" customFormat="1" ht="14.1" customHeight="1">
      <c r="A71" s="277"/>
      <c r="B71" s="789"/>
      <c r="C71" s="789"/>
      <c r="D71" s="790"/>
      <c r="E71" s="790"/>
      <c r="F71" s="790"/>
      <c r="G71" s="790"/>
      <c r="H71" s="790"/>
      <c r="I71" s="791"/>
      <c r="J71" s="790"/>
      <c r="K71"/>
      <c r="L71"/>
      <c r="M71"/>
      <c r="N71"/>
      <c r="O71"/>
      <c r="P71"/>
      <c r="Q71"/>
      <c r="R71"/>
      <c r="S71"/>
      <c r="T71"/>
      <c r="U71"/>
      <c r="V71"/>
      <c r="W71"/>
      <c r="X71" s="442"/>
      <c r="Y71" s="442"/>
    </row>
    <row r="72" spans="1:25" s="287" customFormat="1" ht="14.1" customHeight="1">
      <c r="A72" s="277"/>
      <c r="B72" s="792"/>
      <c r="C72" s="792"/>
      <c r="D72" s="792"/>
      <c r="E72" s="792"/>
      <c r="F72" s="792"/>
      <c r="G72" s="792"/>
      <c r="H72" s="792"/>
      <c r="I72" s="792"/>
      <c r="J72" s="792"/>
      <c r="K72"/>
      <c r="L72"/>
      <c r="M72"/>
      <c r="N72"/>
      <c r="O72"/>
      <c r="P72"/>
      <c r="Q72"/>
      <c r="R72"/>
      <c r="S72"/>
      <c r="T72"/>
      <c r="U72"/>
      <c r="V72"/>
      <c r="W72"/>
      <c r="X72" s="442" t="str">
        <f>IF(App_Pipeline_Intel_4!B170="","",App_Pipeline_Intel_4!B170)</f>
        <v>S40-361</v>
      </c>
      <c r="Y72" s="442" t="b" cm="1">
        <f t="array" ref="Y72">IF(X72="","",ISNUMBER(MATCH(App_Pipeline_Intel_4!$B170&amp;"|"&amp;LEFT(App_Pipeline_Intel_4!$C170,FIND(",",App_Pipeline_Intel_4!$C170&amp;",")-1),#REF!&amp;"|"&amp;LEFT(#REF!,FIND(",",#REF!&amp;",")-1),0)))</f>
        <v>0</v>
      </c>
    </row>
    <row r="73" spans="1:25" s="287" customFormat="1" ht="14.1" customHeight="1">
      <c r="A73" s="277"/>
      <c r="B73" s="433"/>
      <c r="C73" s="433"/>
      <c r="D73" s="433"/>
      <c r="E73" s="433"/>
      <c r="F73" s="433"/>
      <c r="G73" s="433"/>
      <c r="H73" s="433"/>
      <c r="I73" s="433"/>
      <c r="J73" s="433"/>
      <c r="K73"/>
      <c r="L73"/>
      <c r="M73"/>
      <c r="N73"/>
      <c r="O73"/>
      <c r="P73"/>
      <c r="Q73"/>
      <c r="R73"/>
      <c r="S73"/>
      <c r="T73"/>
      <c r="U73"/>
      <c r="V73"/>
      <c r="W73"/>
      <c r="X73" s="442" t="str">
        <f>IF(App_Pipeline_Intel_4!B172="","",App_Pipeline_Intel_4!B172)</f>
        <v>S42-169</v>
      </c>
      <c r="Y73" s="442" t="b" cm="1">
        <f t="array" ref="Y73">IF(X73="","",ISNUMBER(MATCH(App_Pipeline_Intel_4!$B172&amp;"|"&amp;LEFT(App_Pipeline_Intel_4!$C172,FIND(",",App_Pipeline_Intel_4!$C172&amp;",")-1),#REF!&amp;"|"&amp;LEFT(#REF!,FIND(",",#REF!&amp;",")-1),0)))</f>
        <v>0</v>
      </c>
    </row>
    <row r="74" spans="1:25" s="287" customFormat="1" ht="15.9" customHeight="1" thickBot="1">
      <c r="A74" s="277"/>
      <c r="B74" s="793" t="s">
        <v>1971</v>
      </c>
      <c r="C74" s="794"/>
      <c r="D74" s="794"/>
      <c r="E74" s="775" t="s">
        <v>1972</v>
      </c>
      <c r="F74" s="776" t="s">
        <v>1973</v>
      </c>
      <c r="G74" s="794"/>
      <c r="H74" s="794"/>
      <c r="I74" s="794"/>
      <c r="J74" s="794"/>
      <c r="K74"/>
      <c r="L74"/>
      <c r="M74"/>
      <c r="N74"/>
      <c r="O74"/>
      <c r="P74"/>
      <c r="Q74"/>
      <c r="R74"/>
      <c r="S74"/>
      <c r="T74"/>
      <c r="U74"/>
      <c r="V74"/>
      <c r="W74"/>
      <c r="X74" s="442" t="str">
        <f>IF(App_Pipeline_Intel_4!B173="","",App_Pipeline_Intel_4!B173)</f>
        <v>S42-274</v>
      </c>
      <c r="Y74" s="442" t="b" cm="1">
        <f t="array" ref="Y74">IF(X74="","",ISNUMBER(MATCH(App_Pipeline_Intel_4!$B173&amp;"|"&amp;LEFT(App_Pipeline_Intel_4!$C173,FIND(",",App_Pipeline_Intel_4!$C173&amp;",")-1),#REF!&amp;"|"&amp;LEFT(#REF!,FIND(",",#REF!&amp;",")-1),0)))</f>
        <v>0</v>
      </c>
    </row>
    <row r="75" spans="1:25" s="287" customFormat="1" ht="14.1" customHeight="1">
      <c r="A75" s="277"/>
      <c r="B75" s="795" t="s">
        <v>1137</v>
      </c>
      <c r="C75" s="795" t="s">
        <v>1974</v>
      </c>
      <c r="D75" s="777" t="s">
        <v>1887</v>
      </c>
      <c r="E75" s="777" t="s">
        <v>1975</v>
      </c>
      <c r="F75" s="777" t="s">
        <v>1976</v>
      </c>
      <c r="G75" s="777" t="s">
        <v>1890</v>
      </c>
      <c r="H75" s="777" t="s">
        <v>1977</v>
      </c>
      <c r="I75" s="777"/>
      <c r="J75" s="777"/>
      <c r="K75"/>
      <c r="L75"/>
      <c r="M75"/>
      <c r="N75"/>
      <c r="O75"/>
      <c r="P75"/>
      <c r="Q75"/>
      <c r="R75"/>
      <c r="S75"/>
      <c r="T75"/>
      <c r="U75"/>
      <c r="V75"/>
      <c r="W75"/>
      <c r="X75" s="442" t="str">
        <f>IF(App_Pipeline_Intel_4!B175="","",App_Pipeline_Intel_4!B175)</f>
        <v>W01-1-0110</v>
      </c>
      <c r="Y75" s="442" t="b" cm="1">
        <f t="array" ref="Y75">IF(X75="","",ISNUMBER(MATCH(App_Pipeline_Intel_4!$B175&amp;"|"&amp;LEFT(App_Pipeline_Intel_4!$C175,FIND(",",App_Pipeline_Intel_4!$C175&amp;",")-1),#REF!&amp;"|"&amp;LEFT(#REF!,FIND(",",#REF!&amp;",")-1),0)))</f>
        <v>0</v>
      </c>
    </row>
    <row r="76" spans="1:25" s="287" customFormat="1" ht="24" customHeight="1">
      <c r="A76" s="277"/>
      <c r="B76" s="778" t="s">
        <v>1780</v>
      </c>
      <c r="C76" s="778" t="s">
        <v>1781</v>
      </c>
      <c r="D76" s="779" t="s">
        <v>1752</v>
      </c>
      <c r="E76" s="779" t="s">
        <v>1978</v>
      </c>
      <c r="F76" s="779" t="s">
        <v>1979</v>
      </c>
      <c r="G76" s="779" t="s">
        <v>1980</v>
      </c>
      <c r="H76" s="779" t="s">
        <v>1981</v>
      </c>
      <c r="I76" s="778"/>
      <c r="J76" s="778"/>
      <c r="K76"/>
      <c r="L76"/>
      <c r="M76"/>
      <c r="N76"/>
      <c r="O76"/>
      <c r="P76"/>
      <c r="Q76"/>
      <c r="R76"/>
      <c r="S76"/>
      <c r="T76"/>
      <c r="U76"/>
      <c r="V76"/>
      <c r="W76"/>
      <c r="X76" s="442" t="str">
        <f>IF(App_Pipeline_Intel_4!B177="","",App_Pipeline_Intel_4!B177)</f>
        <v>W01-1-0116</v>
      </c>
      <c r="Y76" s="442" t="b" cm="1">
        <f t="array" ref="Y76">IF(X76="","",ISNUMBER(MATCH(App_Pipeline_Intel_4!$B177&amp;"|"&amp;LEFT(App_Pipeline_Intel_4!$C177,FIND(",",App_Pipeline_Intel_4!$C177&amp;",")-1),#REF!&amp;"|"&amp;LEFT(#REF!,FIND(",",#REF!&amp;",")-1),0)))</f>
        <v>0</v>
      </c>
    </row>
    <row r="77" spans="1:25" s="287" customFormat="1" ht="24" customHeight="1">
      <c r="A77" s="277"/>
      <c r="B77" s="778" t="s">
        <v>1791</v>
      </c>
      <c r="C77" s="778" t="s">
        <v>1792</v>
      </c>
      <c r="D77" s="779" t="s">
        <v>1752</v>
      </c>
      <c r="E77" s="779" t="s">
        <v>1978</v>
      </c>
      <c r="F77" s="779" t="s">
        <v>1982</v>
      </c>
      <c r="G77" s="779" t="s">
        <v>1983</v>
      </c>
      <c r="H77" s="779" t="s">
        <v>1984</v>
      </c>
      <c r="I77" s="778"/>
      <c r="J77" s="778"/>
      <c r="K77"/>
      <c r="L77"/>
      <c r="M77"/>
      <c r="N77"/>
      <c r="O77"/>
      <c r="P77"/>
      <c r="Q77"/>
      <c r="R77"/>
      <c r="S77"/>
      <c r="T77"/>
      <c r="U77"/>
      <c r="V77"/>
      <c r="W77"/>
      <c r="X77"/>
      <c r="Y77"/>
    </row>
    <row r="78" spans="1:25" s="287" customFormat="1" ht="24" customHeight="1">
      <c r="A78" s="277"/>
      <c r="B78" s="778" t="s">
        <v>1796</v>
      </c>
      <c r="C78" s="778" t="s">
        <v>1797</v>
      </c>
      <c r="D78" s="779" t="s">
        <v>1752</v>
      </c>
      <c r="E78" s="779" t="s">
        <v>1978</v>
      </c>
      <c r="F78" s="779" t="s">
        <v>1985</v>
      </c>
      <c r="G78" s="779" t="s">
        <v>1986</v>
      </c>
      <c r="H78" s="779" t="s">
        <v>1987</v>
      </c>
      <c r="I78" s="778"/>
      <c r="J78" s="778"/>
      <c r="K78"/>
      <c r="L78"/>
      <c r="M78"/>
      <c r="N78"/>
      <c r="O78"/>
      <c r="P78"/>
      <c r="Q78"/>
      <c r="R78"/>
      <c r="S78"/>
      <c r="T78"/>
      <c r="U78"/>
      <c r="V78"/>
      <c r="W78"/>
      <c r="X78"/>
      <c r="Y78"/>
    </row>
    <row r="79" spans="1:25" s="287" customFormat="1" ht="24" customHeight="1">
      <c r="A79" s="277"/>
      <c r="B79" s="784" t="s">
        <v>1546</v>
      </c>
      <c r="C79" s="784" t="s">
        <v>1817</v>
      </c>
      <c r="D79" s="785" t="s">
        <v>1752</v>
      </c>
      <c r="E79" s="387" t="s">
        <v>1978</v>
      </c>
      <c r="F79" s="785" t="s">
        <v>1988</v>
      </c>
      <c r="G79" s="785" t="s">
        <v>1989</v>
      </c>
      <c r="H79" s="785" t="s">
        <v>1981</v>
      </c>
      <c r="I79" s="784"/>
      <c r="J79" s="784"/>
      <c r="K79"/>
      <c r="L79"/>
      <c r="M79"/>
      <c r="N79"/>
      <c r="O79"/>
      <c r="P79"/>
      <c r="Q79"/>
      <c r="R79"/>
      <c r="S79"/>
      <c r="T79"/>
      <c r="U79"/>
      <c r="V79"/>
      <c r="W79"/>
      <c r="X79"/>
      <c r="Y79"/>
    </row>
    <row r="80" spans="1:25" s="287" customFormat="1" ht="24" customHeight="1">
      <c r="A80" s="277"/>
      <c r="B80" s="778" t="s">
        <v>1821</v>
      </c>
      <c r="C80" s="778" t="s">
        <v>1822</v>
      </c>
      <c r="D80" s="779" t="s">
        <v>1752</v>
      </c>
      <c r="E80" s="779" t="s">
        <v>1978</v>
      </c>
      <c r="F80" s="779" t="s">
        <v>1990</v>
      </c>
      <c r="G80" s="779" t="s">
        <v>1991</v>
      </c>
      <c r="H80" s="779" t="s">
        <v>1981</v>
      </c>
      <c r="I80" s="778"/>
      <c r="J80" s="778"/>
      <c r="K80"/>
      <c r="L80"/>
      <c r="M80"/>
      <c r="N80"/>
      <c r="O80"/>
      <c r="P80"/>
      <c r="Q80"/>
      <c r="R80"/>
      <c r="S80"/>
      <c r="T80"/>
      <c r="U80"/>
      <c r="V80"/>
      <c r="W80"/>
      <c r="X80"/>
      <c r="Y80"/>
    </row>
    <row r="81" spans="1:25" s="287" customFormat="1" ht="24" customHeight="1">
      <c r="A81" s="277"/>
      <c r="B81" s="778" t="s">
        <v>1831</v>
      </c>
      <c r="C81" s="778" t="s">
        <v>1832</v>
      </c>
      <c r="D81" s="779" t="s">
        <v>1756</v>
      </c>
      <c r="E81" s="779" t="s">
        <v>1978</v>
      </c>
      <c r="F81" s="779" t="s">
        <v>1992</v>
      </c>
      <c r="G81" s="779" t="s">
        <v>1993</v>
      </c>
      <c r="H81" s="779" t="s">
        <v>1994</v>
      </c>
      <c r="I81" s="778"/>
      <c r="J81" s="778"/>
      <c r="K81"/>
      <c r="L81"/>
      <c r="M81"/>
      <c r="N81"/>
      <c r="O81"/>
      <c r="P81"/>
      <c r="Q81"/>
      <c r="R81"/>
      <c r="S81"/>
      <c r="T81"/>
      <c r="U81"/>
      <c r="V81"/>
      <c r="W81"/>
      <c r="X81"/>
      <c r="Y81"/>
    </row>
    <row r="82" spans="1:25" s="287" customFormat="1" ht="24" customHeight="1">
      <c r="A82" s="277"/>
      <c r="B82" s="778" t="s">
        <v>1834</v>
      </c>
      <c r="C82" s="778" t="s">
        <v>1835</v>
      </c>
      <c r="D82" s="779" t="s">
        <v>1836</v>
      </c>
      <c r="E82" s="779" t="s">
        <v>1978</v>
      </c>
      <c r="F82" s="779" t="s">
        <v>1995</v>
      </c>
      <c r="G82" s="779" t="s">
        <v>1996</v>
      </c>
      <c r="H82" s="779" t="s">
        <v>1981</v>
      </c>
      <c r="I82" s="778"/>
      <c r="J82" s="778"/>
      <c r="K82"/>
      <c r="L82"/>
      <c r="M82"/>
      <c r="N82"/>
      <c r="O82"/>
      <c r="P82"/>
      <c r="Q82"/>
      <c r="R82"/>
      <c r="S82"/>
      <c r="T82"/>
      <c r="U82"/>
      <c r="V82"/>
      <c r="W82"/>
      <c r="X82"/>
      <c r="Y82"/>
    </row>
    <row r="83" spans="1:25" s="287" customFormat="1" ht="24" customHeight="1">
      <c r="A83" s="277"/>
      <c r="B83" s="778" t="s">
        <v>1537</v>
      </c>
      <c r="C83" s="778" t="s">
        <v>1837</v>
      </c>
      <c r="D83" s="779" t="s">
        <v>1838</v>
      </c>
      <c r="E83" s="779" t="s">
        <v>1978</v>
      </c>
      <c r="F83" s="779" t="s">
        <v>1997</v>
      </c>
      <c r="G83" s="779" t="s">
        <v>1998</v>
      </c>
      <c r="H83" s="779" t="s">
        <v>1999</v>
      </c>
      <c r="I83" s="778"/>
      <c r="J83" s="778"/>
      <c r="K83"/>
      <c r="L83"/>
      <c r="M83"/>
      <c r="N83"/>
      <c r="O83"/>
      <c r="P83"/>
      <c r="Q83"/>
      <c r="R83"/>
      <c r="S83"/>
      <c r="T83"/>
      <c r="U83"/>
      <c r="V83"/>
      <c r="W83"/>
      <c r="X83"/>
      <c r="Y83"/>
    </row>
    <row r="84" spans="1:25" s="287" customFormat="1">
      <c r="A84" s="277"/>
      <c r="B84" s="796" t="s">
        <v>1839</v>
      </c>
      <c r="C84" s="796" t="s">
        <v>1840</v>
      </c>
      <c r="D84" s="646" t="s">
        <v>1752</v>
      </c>
      <c r="E84" s="646" t="s">
        <v>1978</v>
      </c>
      <c r="F84" s="646" t="s">
        <v>2000</v>
      </c>
      <c r="G84" s="646" t="s">
        <v>2001</v>
      </c>
      <c r="H84" s="646" t="s">
        <v>1981</v>
      </c>
      <c r="I84" s="796"/>
      <c r="J84" s="796"/>
      <c r="K84"/>
      <c r="L84"/>
      <c r="M84"/>
      <c r="N84"/>
      <c r="O84"/>
      <c r="P84"/>
      <c r="Q84"/>
      <c r="R84"/>
      <c r="S84"/>
      <c r="T84"/>
      <c r="U84"/>
      <c r="V84"/>
      <c r="W84"/>
      <c r="X84"/>
      <c r="Y84"/>
    </row>
    <row r="85" spans="1:25" s="287" customFormat="1">
      <c r="A85"/>
      <c r="B85" s="792"/>
      <c r="C85" s="792"/>
      <c r="D85" s="792"/>
      <c r="E85" s="792"/>
      <c r="F85" s="792"/>
      <c r="G85" s="792"/>
      <c r="H85" s="792"/>
      <c r="I85" s="792"/>
      <c r="J85" s="792"/>
      <c r="K85"/>
      <c r="L85"/>
      <c r="M85"/>
      <c r="N85"/>
      <c r="O85"/>
      <c r="P85"/>
      <c r="Q85"/>
      <c r="R85"/>
      <c r="S85"/>
      <c r="T85"/>
      <c r="U85"/>
      <c r="V85"/>
      <c r="W85"/>
      <c r="X85"/>
      <c r="Y85"/>
    </row>
    <row r="86" spans="1:25" s="287" customFormat="1">
      <c r="A86"/>
      <c r="B86" s="792"/>
      <c r="C86" s="792"/>
      <c r="D86" s="792"/>
      <c r="E86" s="792"/>
      <c r="F86" s="792"/>
      <c r="G86" s="792"/>
      <c r="H86" s="792"/>
      <c r="I86" s="792"/>
      <c r="J86" s="792"/>
      <c r="K86"/>
      <c r="L86"/>
      <c r="M86"/>
      <c r="N86"/>
      <c r="O86"/>
      <c r="P86"/>
      <c r="Q86"/>
      <c r="R86"/>
      <c r="S86"/>
      <c r="T86"/>
      <c r="U86"/>
      <c r="V86"/>
      <c r="W86"/>
      <c r="X86"/>
      <c r="Y86"/>
    </row>
    <row r="87" spans="1:25" s="287" customFormat="1" ht="15" thickBot="1">
      <c r="A87"/>
      <c r="B87" s="793" t="s">
        <v>2002</v>
      </c>
      <c r="C87" s="794"/>
      <c r="D87" s="794"/>
      <c r="E87" s="797" t="s">
        <v>2003</v>
      </c>
      <c r="F87" s="438"/>
      <c r="G87" s="635" t="s">
        <v>2004</v>
      </c>
      <c r="H87" s="794"/>
      <c r="I87" s="794"/>
      <c r="J87"/>
      <c r="K87"/>
      <c r="L87"/>
      <c r="M87"/>
      <c r="N87"/>
      <c r="O87"/>
      <c r="P87"/>
      <c r="Q87"/>
      <c r="R87"/>
      <c r="S87"/>
      <c r="T87"/>
      <c r="U87"/>
      <c r="V87"/>
      <c r="W87"/>
      <c r="X87"/>
      <c r="Y87"/>
    </row>
    <row r="88" spans="1:25" s="287" customFormat="1">
      <c r="A88"/>
      <c r="B88" s="795" t="s">
        <v>1137</v>
      </c>
      <c r="C88" s="795" t="s">
        <v>1214</v>
      </c>
      <c r="D88" s="777" t="s">
        <v>1887</v>
      </c>
      <c r="E88" s="777" t="s">
        <v>1888</v>
      </c>
      <c r="F88" s="777" t="s">
        <v>1889</v>
      </c>
      <c r="G88" s="777" t="s">
        <v>1215</v>
      </c>
      <c r="H88" s="777" t="s">
        <v>1262</v>
      </c>
      <c r="I88" s="777" t="s">
        <v>2005</v>
      </c>
      <c r="J88"/>
      <c r="K88"/>
      <c r="L88"/>
      <c r="M88"/>
      <c r="N88"/>
      <c r="O88"/>
      <c r="P88"/>
      <c r="Q88"/>
      <c r="R88"/>
      <c r="S88"/>
      <c r="T88"/>
      <c r="U88"/>
      <c r="V88"/>
      <c r="W88"/>
      <c r="X88"/>
      <c r="Y88"/>
    </row>
    <row r="89" spans="1:25" s="287" customFormat="1">
      <c r="A89"/>
      <c r="B89" s="784" t="s">
        <v>1805</v>
      </c>
      <c r="C89" s="784" t="s">
        <v>1806</v>
      </c>
      <c r="D89" s="785" t="s">
        <v>1756</v>
      </c>
      <c r="E89" s="785" t="s">
        <v>1907</v>
      </c>
      <c r="F89" s="785" t="s">
        <v>1902</v>
      </c>
      <c r="G89" s="785">
        <v>19</v>
      </c>
      <c r="H89" s="785" t="s">
        <v>1239</v>
      </c>
      <c r="I89" s="631" t="s">
        <v>2006</v>
      </c>
      <c r="J89"/>
      <c r="K89"/>
      <c r="L89"/>
      <c r="M89"/>
      <c r="N89"/>
      <c r="O89"/>
      <c r="P89"/>
      <c r="Q89"/>
      <c r="R89"/>
      <c r="S89"/>
      <c r="T89"/>
      <c r="U89"/>
      <c r="V89"/>
      <c r="W89"/>
      <c r="X89"/>
      <c r="Y89"/>
    </row>
    <row r="90" spans="1:25" s="287" customFormat="1">
      <c r="A90"/>
      <c r="B90" s="784" t="s">
        <v>1811</v>
      </c>
      <c r="C90" s="784" t="s">
        <v>1812</v>
      </c>
      <c r="D90" s="785" t="s">
        <v>1756</v>
      </c>
      <c r="E90" s="785" t="s">
        <v>1907</v>
      </c>
      <c r="F90" s="785" t="s">
        <v>1902</v>
      </c>
      <c r="G90" s="785">
        <v>12</v>
      </c>
      <c r="H90" s="785" t="s">
        <v>1238</v>
      </c>
      <c r="I90" s="631" t="s">
        <v>2006</v>
      </c>
      <c r="J90"/>
      <c r="K90"/>
      <c r="L90"/>
      <c r="M90"/>
      <c r="N90"/>
      <c r="O90"/>
      <c r="P90"/>
      <c r="Q90"/>
      <c r="R90"/>
      <c r="S90"/>
      <c r="T90"/>
      <c r="U90"/>
      <c r="V90"/>
      <c r="W90"/>
      <c r="X90"/>
      <c r="Y90"/>
    </row>
    <row r="91" spans="1:25" s="287" customFormat="1" ht="15.9" customHeight="1">
      <c r="A91" s="277"/>
      <c r="B91" s="784" t="s">
        <v>1814</v>
      </c>
      <c r="C91" s="784" t="s">
        <v>1815</v>
      </c>
      <c r="D91" s="785" t="s">
        <v>1756</v>
      </c>
      <c r="E91" s="785" t="s">
        <v>1907</v>
      </c>
      <c r="F91" s="785" t="s">
        <v>1902</v>
      </c>
      <c r="G91" s="785">
        <v>14</v>
      </c>
      <c r="H91" s="785" t="s">
        <v>1242</v>
      </c>
      <c r="I91" s="631" t="s">
        <v>2006</v>
      </c>
      <c r="J91"/>
      <c r="K91"/>
      <c r="L91"/>
      <c r="M91"/>
      <c r="N91"/>
      <c r="O91"/>
      <c r="P91"/>
      <c r="Q91"/>
      <c r="R91"/>
      <c r="S91"/>
      <c r="T91"/>
      <c r="U91"/>
      <c r="V91"/>
      <c r="W91"/>
      <c r="X91"/>
      <c r="Y91"/>
    </row>
    <row r="92" spans="1:25" s="287" customFormat="1" ht="15.9" customHeight="1">
      <c r="A92" s="277"/>
      <c r="B92" s="784" t="s">
        <v>1818</v>
      </c>
      <c r="C92" s="784" t="s">
        <v>1819</v>
      </c>
      <c r="D92" s="785" t="s">
        <v>1820</v>
      </c>
      <c r="E92" s="785" t="s">
        <v>1907</v>
      </c>
      <c r="F92" s="785" t="s">
        <v>1902</v>
      </c>
      <c r="G92" s="785">
        <v>7</v>
      </c>
      <c r="H92" s="785" t="s">
        <v>1243</v>
      </c>
      <c r="I92" s="631" t="s">
        <v>2006</v>
      </c>
      <c r="J92"/>
      <c r="K92"/>
      <c r="L92"/>
      <c r="M92"/>
      <c r="N92"/>
      <c r="O92"/>
      <c r="P92"/>
      <c r="Q92"/>
      <c r="R92"/>
      <c r="S92"/>
      <c r="T92"/>
      <c r="U92"/>
      <c r="V92"/>
      <c r="W92"/>
      <c r="X92"/>
      <c r="Y92"/>
    </row>
    <row r="93" spans="1:25" s="287" customFormat="1" ht="15.9" customHeight="1">
      <c r="A93" s="277"/>
      <c r="B93" s="784" t="s">
        <v>1823</v>
      </c>
      <c r="C93" s="784" t="s">
        <v>1107</v>
      </c>
      <c r="D93" s="785" t="s">
        <v>1752</v>
      </c>
      <c r="E93" s="785" t="s">
        <v>1907</v>
      </c>
      <c r="F93" s="785" t="s">
        <v>1902</v>
      </c>
      <c r="G93" s="785">
        <v>13</v>
      </c>
      <c r="H93" s="785" t="s">
        <v>1243</v>
      </c>
      <c r="I93" s="798" t="s">
        <v>2007</v>
      </c>
      <c r="J93"/>
      <c r="K93"/>
      <c r="L93"/>
      <c r="M93"/>
      <c r="N93"/>
      <c r="O93"/>
      <c r="P93"/>
      <c r="Q93"/>
      <c r="R93"/>
      <c r="S93"/>
      <c r="T93"/>
      <c r="U93"/>
      <c r="V93"/>
      <c r="W93"/>
      <c r="X93"/>
      <c r="Y93"/>
    </row>
    <row r="94" spans="1:25" s="287" customFormat="1" ht="15.9" customHeight="1">
      <c r="A94" s="277"/>
      <c r="B94" s="784" t="s">
        <v>1827</v>
      </c>
      <c r="C94" s="784" t="s">
        <v>1828</v>
      </c>
      <c r="D94" s="785" t="s">
        <v>1752</v>
      </c>
      <c r="E94" s="785" t="s">
        <v>1907</v>
      </c>
      <c r="F94" s="785" t="s">
        <v>1902</v>
      </c>
      <c r="G94" s="785">
        <v>9</v>
      </c>
      <c r="H94" s="785" t="s">
        <v>1243</v>
      </c>
      <c r="I94" s="631" t="s">
        <v>2006</v>
      </c>
      <c r="J94"/>
      <c r="K94"/>
      <c r="L94"/>
      <c r="M94"/>
      <c r="N94"/>
      <c r="O94"/>
      <c r="P94"/>
      <c r="Q94"/>
      <c r="R94"/>
      <c r="S94"/>
      <c r="T94"/>
      <c r="U94"/>
      <c r="V94"/>
      <c r="W94"/>
      <c r="X94"/>
      <c r="Y94"/>
    </row>
    <row r="95" spans="1:25" s="287" customFormat="1" ht="15.9" customHeight="1">
      <c r="A95" s="277"/>
      <c r="B95" s="784" t="s">
        <v>1562</v>
      </c>
      <c r="C95" s="784" t="s">
        <v>1829</v>
      </c>
      <c r="D95" s="785" t="s">
        <v>1756</v>
      </c>
      <c r="E95" s="785" t="s">
        <v>1907</v>
      </c>
      <c r="F95" s="785" t="s">
        <v>1902</v>
      </c>
      <c r="G95" s="785">
        <v>5</v>
      </c>
      <c r="H95" s="785" t="s">
        <v>1237</v>
      </c>
      <c r="I95" s="631" t="s">
        <v>2006</v>
      </c>
      <c r="J95"/>
      <c r="K95"/>
      <c r="L95"/>
      <c r="M95"/>
      <c r="N95"/>
      <c r="O95"/>
      <c r="P95"/>
      <c r="Q95"/>
      <c r="R95"/>
      <c r="S95"/>
      <c r="T95"/>
      <c r="U95"/>
      <c r="V95"/>
      <c r="W95"/>
      <c r="X95"/>
      <c r="Y95"/>
    </row>
    <row r="96" spans="1:25" s="287" customFormat="1" ht="15.9" customHeight="1">
      <c r="A96" s="277"/>
      <c r="B96" s="784" t="s">
        <v>1524</v>
      </c>
      <c r="C96" s="784" t="s">
        <v>1833</v>
      </c>
      <c r="D96" s="785" t="s">
        <v>1752</v>
      </c>
      <c r="E96" s="785" t="s">
        <v>1907</v>
      </c>
      <c r="F96" s="785" t="s">
        <v>1902</v>
      </c>
      <c r="G96" s="785">
        <v>5</v>
      </c>
      <c r="H96" s="785" t="s">
        <v>1243</v>
      </c>
      <c r="I96" s="631" t="s">
        <v>2006</v>
      </c>
      <c r="J96"/>
      <c r="K96"/>
      <c r="L96"/>
      <c r="M96"/>
      <c r="N96"/>
      <c r="O96"/>
      <c r="P96"/>
      <c r="Q96"/>
      <c r="R96"/>
      <c r="S96"/>
      <c r="T96"/>
      <c r="U96"/>
      <c r="V96"/>
      <c r="W96"/>
      <c r="X96"/>
      <c r="Y96"/>
    </row>
    <row r="97" spans="1:25" s="287" customFormat="1" ht="15.9" customHeight="1">
      <c r="A97" s="277"/>
      <c r="B97" s="784" t="s">
        <v>1808</v>
      </c>
      <c r="C97" s="784" t="s">
        <v>1809</v>
      </c>
      <c r="D97" s="785" t="s">
        <v>1752</v>
      </c>
      <c r="E97" s="785" t="s">
        <v>2008</v>
      </c>
      <c r="F97" s="785" t="s">
        <v>2009</v>
      </c>
      <c r="G97" s="785">
        <v>11</v>
      </c>
      <c r="H97" s="785" t="s">
        <v>1242</v>
      </c>
      <c r="I97" s="631" t="s">
        <v>2006</v>
      </c>
      <c r="J97"/>
      <c r="K97"/>
      <c r="L97"/>
      <c r="M97"/>
      <c r="N97"/>
      <c r="O97"/>
      <c r="P97"/>
      <c r="Q97"/>
      <c r="R97"/>
      <c r="S97"/>
      <c r="T97"/>
      <c r="U97"/>
      <c r="V97"/>
      <c r="W97"/>
      <c r="X97"/>
      <c r="Y97"/>
    </row>
    <row r="98" spans="1:25" s="287" customFormat="1" ht="15.9" customHeight="1">
      <c r="A98" s="277"/>
      <c r="B98" s="784" t="s">
        <v>1825</v>
      </c>
      <c r="C98" s="784" t="s">
        <v>1826</v>
      </c>
      <c r="D98" s="785" t="s">
        <v>1752</v>
      </c>
      <c r="E98" s="785" t="s">
        <v>2008</v>
      </c>
      <c r="F98" s="785" t="s">
        <v>2009</v>
      </c>
      <c r="G98" s="785">
        <v>7</v>
      </c>
      <c r="H98" s="785" t="s">
        <v>1243</v>
      </c>
      <c r="I98" s="631" t="s">
        <v>2006</v>
      </c>
      <c r="J98"/>
      <c r="K98"/>
      <c r="L98"/>
      <c r="M98"/>
      <c r="N98"/>
      <c r="O98"/>
      <c r="P98"/>
      <c r="Q98"/>
      <c r="R98"/>
      <c r="S98"/>
      <c r="T98"/>
      <c r="U98"/>
      <c r="V98"/>
      <c r="W98"/>
      <c r="X98"/>
      <c r="Y98"/>
    </row>
    <row r="99" spans="1:25" s="287" customFormat="1" ht="14.1" customHeight="1">
      <c r="A99" s="277"/>
      <c r="B99" s="784" t="s">
        <v>1784</v>
      </c>
      <c r="C99" s="784" t="s">
        <v>2010</v>
      </c>
      <c r="D99" s="785" t="s">
        <v>1756</v>
      </c>
      <c r="E99" s="785" t="s">
        <v>2011</v>
      </c>
      <c r="F99" s="785" t="s">
        <v>1189</v>
      </c>
      <c r="G99" s="785" t="s">
        <v>338</v>
      </c>
      <c r="H99" s="785" t="s">
        <v>1239</v>
      </c>
      <c r="I99" s="631" t="s">
        <v>2006</v>
      </c>
      <c r="J99"/>
      <c r="K99"/>
      <c r="L99"/>
      <c r="M99"/>
      <c r="N99"/>
      <c r="O99"/>
      <c r="P99"/>
      <c r="Q99"/>
      <c r="R99"/>
      <c r="S99"/>
      <c r="T99"/>
      <c r="U99"/>
      <c r="V99"/>
      <c r="W99"/>
      <c r="X99"/>
      <c r="Y99"/>
    </row>
    <row r="100" spans="1:25" s="287" customFormat="1" ht="14.1" customHeight="1">
      <c r="A100" s="277"/>
      <c r="B100" s="784" t="s">
        <v>1541</v>
      </c>
      <c r="C100" s="784" t="s">
        <v>1788</v>
      </c>
      <c r="D100" s="785" t="s">
        <v>1756</v>
      </c>
      <c r="E100" s="785" t="s">
        <v>2011</v>
      </c>
      <c r="F100" s="785" t="s">
        <v>1189</v>
      </c>
      <c r="G100" s="785" t="s">
        <v>338</v>
      </c>
      <c r="H100" s="785" t="s">
        <v>1243</v>
      </c>
      <c r="I100" s="631" t="s">
        <v>2006</v>
      </c>
      <c r="J100"/>
      <c r="K100"/>
      <c r="L100"/>
      <c r="M100"/>
      <c r="N100"/>
      <c r="O100"/>
      <c r="P100"/>
      <c r="Q100"/>
      <c r="R100"/>
      <c r="S100"/>
      <c r="T100"/>
      <c r="U100"/>
      <c r="V100"/>
      <c r="W100"/>
      <c r="X100"/>
      <c r="Y100"/>
    </row>
    <row r="101" spans="1:25" s="287" customFormat="1" ht="14.1" customHeight="1">
      <c r="A101" s="277"/>
      <c r="B101" s="784" t="s">
        <v>1223</v>
      </c>
      <c r="C101" s="784" t="s">
        <v>1795</v>
      </c>
      <c r="D101" s="785" t="s">
        <v>1756</v>
      </c>
      <c r="E101" s="785" t="s">
        <v>2011</v>
      </c>
      <c r="F101" s="785" t="s">
        <v>1189</v>
      </c>
      <c r="G101" s="785" t="s">
        <v>338</v>
      </c>
      <c r="H101" s="785" t="s">
        <v>1239</v>
      </c>
      <c r="I101" s="631" t="s">
        <v>2006</v>
      </c>
      <c r="J101"/>
      <c r="K101"/>
      <c r="L101"/>
      <c r="M101"/>
      <c r="N101"/>
      <c r="O101"/>
      <c r="P101"/>
      <c r="Q101"/>
      <c r="R101"/>
      <c r="S101"/>
      <c r="T101"/>
      <c r="U101"/>
      <c r="V101"/>
      <c r="W101"/>
      <c r="X101"/>
      <c r="Y101"/>
    </row>
    <row r="102" spans="1:25" s="287" customFormat="1" ht="14.1" customHeight="1">
      <c r="A102" s="277"/>
      <c r="B102" s="784" t="s">
        <v>1801</v>
      </c>
      <c r="C102" s="784" t="s">
        <v>1802</v>
      </c>
      <c r="D102" s="785" t="s">
        <v>1756</v>
      </c>
      <c r="E102" s="785" t="s">
        <v>2011</v>
      </c>
      <c r="F102" s="785" t="s">
        <v>1189</v>
      </c>
      <c r="G102" s="785" t="s">
        <v>338</v>
      </c>
      <c r="H102" s="785" t="s">
        <v>1243</v>
      </c>
      <c r="I102" s="798" t="s">
        <v>2007</v>
      </c>
      <c r="J102"/>
      <c r="K102"/>
      <c r="L102"/>
      <c r="M102"/>
      <c r="N102"/>
      <c r="O102"/>
      <c r="P102"/>
      <c r="Q102"/>
      <c r="R102"/>
      <c r="S102"/>
      <c r="T102"/>
      <c r="U102"/>
      <c r="V102"/>
      <c r="W102"/>
      <c r="X102"/>
      <c r="Y102"/>
    </row>
    <row r="103" spans="1:25" s="287" customFormat="1" ht="14.1" customHeight="1">
      <c r="A103" s="277"/>
      <c r="B103" s="784"/>
      <c r="C103" s="784"/>
      <c r="D103" s="785"/>
      <c r="E103" s="785"/>
      <c r="F103" s="785"/>
      <c r="G103" s="785"/>
      <c r="H103" s="785"/>
      <c r="I103" s="785" t="s">
        <v>2006</v>
      </c>
      <c r="J103"/>
      <c r="K103"/>
      <c r="L103"/>
      <c r="M103"/>
      <c r="N103"/>
      <c r="O103"/>
      <c r="P103"/>
      <c r="Q103"/>
      <c r="R103"/>
      <c r="S103"/>
      <c r="T103"/>
      <c r="U103"/>
      <c r="V103"/>
      <c r="W103"/>
      <c r="X103"/>
      <c r="Y103"/>
    </row>
    <row r="104" spans="1:25" s="287" customFormat="1" ht="14.1" customHeight="1">
      <c r="A104" s="277"/>
      <c r="B104" s="784"/>
      <c r="C104" s="784"/>
      <c r="D104" s="785"/>
      <c r="E104" s="785"/>
      <c r="F104" s="785"/>
      <c r="G104" s="785"/>
      <c r="H104" s="785"/>
      <c r="I104" s="631" t="s">
        <v>2006</v>
      </c>
      <c r="J104"/>
      <c r="K104"/>
      <c r="L104"/>
      <c r="M104"/>
      <c r="N104"/>
      <c r="O104"/>
      <c r="P104"/>
      <c r="Q104"/>
      <c r="R104"/>
      <c r="S104"/>
      <c r="T104"/>
      <c r="U104"/>
      <c r="V104"/>
      <c r="W104"/>
      <c r="X104"/>
      <c r="Y104"/>
    </row>
    <row r="105" spans="1:25" s="287" customFormat="1" ht="14.1" customHeight="1">
      <c r="A105" s="277"/>
      <c r="B105" s="787"/>
      <c r="C105" s="787"/>
      <c r="D105" s="649"/>
      <c r="E105" s="649"/>
      <c r="F105" s="649"/>
      <c r="G105" s="649"/>
      <c r="H105" s="649"/>
      <c r="I105" s="629" t="s">
        <v>2006</v>
      </c>
      <c r="J105"/>
      <c r="K105"/>
      <c r="L105"/>
      <c r="M105"/>
      <c r="N105"/>
      <c r="O105"/>
      <c r="P105"/>
      <c r="Q105"/>
      <c r="R105"/>
      <c r="S105"/>
      <c r="T105"/>
      <c r="U105"/>
      <c r="V105"/>
      <c r="W105"/>
      <c r="X105"/>
      <c r="Y105"/>
    </row>
    <row r="106" spans="1:25" s="287" customFormat="1" ht="14.1" customHeight="1">
      <c r="A106" s="277"/>
      <c r="B106" s="789"/>
      <c r="C106" s="789"/>
      <c r="D106" s="790"/>
      <c r="E106" s="790"/>
      <c r="F106" s="790"/>
      <c r="G106" s="790"/>
      <c r="H106" s="790"/>
      <c r="I106" s="799"/>
      <c r="J106"/>
      <c r="K106"/>
      <c r="L106"/>
      <c r="M106"/>
      <c r="N106"/>
      <c r="O106"/>
      <c r="P106"/>
      <c r="Q106"/>
      <c r="R106"/>
      <c r="S106"/>
      <c r="T106"/>
      <c r="U106"/>
      <c r="V106"/>
      <c r="W106"/>
      <c r="X106"/>
      <c r="Y106"/>
    </row>
    <row r="107" spans="1:25" s="287" customFormat="1" ht="14.1" customHeight="1">
      <c r="A107" s="277"/>
      <c r="B107" s="113"/>
      <c r="C107" s="113"/>
      <c r="D107" s="113"/>
      <c r="E107" s="113"/>
      <c r="F107" s="113"/>
      <c r="G107" s="113"/>
      <c r="H107" s="113"/>
      <c r="I107" s="113"/>
      <c r="J107" s="113"/>
      <c r="K107"/>
      <c r="L107"/>
      <c r="M107"/>
      <c r="N107"/>
      <c r="O107"/>
      <c r="P107"/>
      <c r="Q107"/>
      <c r="R107"/>
      <c r="S107"/>
      <c r="T107"/>
      <c r="U107"/>
      <c r="V107"/>
      <c r="W107"/>
      <c r="X107"/>
      <c r="Y107"/>
    </row>
    <row r="108" spans="1:25" s="287" customFormat="1" ht="14.1" customHeight="1">
      <c r="A108" s="277"/>
      <c r="B108" s="792"/>
      <c r="C108" s="792"/>
      <c r="D108" s="792"/>
      <c r="E108" s="792"/>
      <c r="F108" s="792"/>
      <c r="G108" s="792"/>
      <c r="H108" s="792"/>
      <c r="I108" s="792"/>
      <c r="J108" s="792"/>
      <c r="K108"/>
      <c r="L108"/>
      <c r="M108"/>
      <c r="N108"/>
      <c r="O108"/>
      <c r="P108"/>
      <c r="Q108"/>
      <c r="R108"/>
      <c r="S108"/>
      <c r="T108"/>
      <c r="U108"/>
      <c r="V108"/>
      <c r="W108"/>
      <c r="X108"/>
      <c r="Y108"/>
    </row>
    <row r="109" spans="1:25" s="287" customFormat="1" ht="14.1" customHeight="1" thickBot="1">
      <c r="A109" s="277"/>
      <c r="B109" s="793" t="s">
        <v>2012</v>
      </c>
      <c r="C109" s="794"/>
      <c r="D109" s="800" t="s">
        <v>2013</v>
      </c>
      <c r="E109" s="801" t="s">
        <v>2014</v>
      </c>
      <c r="F109" s="438" t="s">
        <v>2015</v>
      </c>
      <c r="G109" s="439" t="s">
        <v>2016</v>
      </c>
      <c r="H109" s="794"/>
      <c r="I109" s="30"/>
      <c r="J109"/>
      <c r="K109"/>
      <c r="L109"/>
      <c r="M109"/>
      <c r="N109"/>
      <c r="O109"/>
      <c r="P109"/>
      <c r="Q109"/>
      <c r="R109"/>
      <c r="S109"/>
      <c r="T109"/>
      <c r="U109"/>
      <c r="V109"/>
      <c r="W109"/>
      <c r="X109"/>
      <c r="Y109"/>
    </row>
    <row r="110" spans="1:25" s="287" customFormat="1" ht="14.1" customHeight="1">
      <c r="A110" s="277"/>
      <c r="B110" s="777" t="s">
        <v>2017</v>
      </c>
      <c r="C110" s="777" t="s">
        <v>2018</v>
      </c>
      <c r="D110" s="777" t="s">
        <v>1201</v>
      </c>
      <c r="E110" s="777" t="s">
        <v>1611</v>
      </c>
      <c r="F110" s="777" t="s">
        <v>1977</v>
      </c>
      <c r="G110" s="777"/>
      <c r="H110" s="777"/>
      <c r="I110" s="777"/>
      <c r="J110"/>
      <c r="K110"/>
      <c r="L110"/>
      <c r="M110"/>
      <c r="N110"/>
      <c r="O110"/>
      <c r="P110"/>
      <c r="Q110"/>
      <c r="R110"/>
      <c r="S110"/>
      <c r="T110"/>
      <c r="U110"/>
      <c r="V110"/>
      <c r="W110"/>
      <c r="X110"/>
      <c r="Y110"/>
    </row>
    <row r="111" spans="1:25" s="287" customFormat="1" ht="15.9" customHeight="1">
      <c r="A111" s="277"/>
      <c r="B111" s="785">
        <v>1</v>
      </c>
      <c r="C111" s="784" t="s">
        <v>2019</v>
      </c>
      <c r="D111" s="802" t="s">
        <v>1204</v>
      </c>
      <c r="E111" s="803" t="s">
        <v>2020</v>
      </c>
      <c r="F111" s="803" t="s">
        <v>2021</v>
      </c>
      <c r="G111" s="785"/>
      <c r="H111" s="785"/>
      <c r="I111" s="785"/>
      <c r="J111"/>
      <c r="K111"/>
      <c r="L111"/>
      <c r="M111"/>
      <c r="N111"/>
      <c r="O111"/>
      <c r="P111"/>
      <c r="Q111"/>
      <c r="R111"/>
      <c r="S111"/>
      <c r="T111"/>
      <c r="U111"/>
      <c r="V111"/>
      <c r="W111"/>
      <c r="X111"/>
      <c r="Y111"/>
    </row>
    <row r="112" spans="1:25" s="287" customFormat="1" ht="14.1" customHeight="1">
      <c r="A112" s="277"/>
      <c r="B112" s="785">
        <v>2</v>
      </c>
      <c r="C112" s="784" t="s">
        <v>2022</v>
      </c>
      <c r="D112" s="802" t="s">
        <v>1204</v>
      </c>
      <c r="E112" s="803" t="s">
        <v>2023</v>
      </c>
      <c r="F112" s="803" t="s">
        <v>2024</v>
      </c>
      <c r="G112" s="785"/>
      <c r="H112" s="785"/>
      <c r="I112" s="785"/>
      <c r="J112"/>
      <c r="K112"/>
      <c r="L112"/>
      <c r="M112"/>
      <c r="N112"/>
      <c r="O112"/>
      <c r="P112"/>
      <c r="Q112"/>
      <c r="R112"/>
      <c r="S112"/>
      <c r="T112"/>
      <c r="U112"/>
      <c r="V112"/>
      <c r="W112"/>
      <c r="X112"/>
      <c r="Y112"/>
    </row>
    <row r="113" spans="1:25" s="287" customFormat="1" ht="27.9" customHeight="1">
      <c r="A113" s="277"/>
      <c r="B113" s="785">
        <v>3</v>
      </c>
      <c r="C113" s="784" t="s">
        <v>2025</v>
      </c>
      <c r="D113" s="802" t="s">
        <v>1204</v>
      </c>
      <c r="E113" s="804" t="s">
        <v>2026</v>
      </c>
      <c r="F113" s="804" t="s">
        <v>2027</v>
      </c>
      <c r="G113" s="785"/>
      <c r="H113" s="785"/>
      <c r="I113" s="785"/>
      <c r="J113"/>
      <c r="K113"/>
      <c r="L113"/>
      <c r="M113"/>
      <c r="N113"/>
      <c r="O113"/>
      <c r="P113"/>
      <c r="Q113"/>
      <c r="R113"/>
      <c r="S113"/>
      <c r="T113"/>
      <c r="U113"/>
      <c r="V113"/>
      <c r="W113"/>
      <c r="X113"/>
      <c r="Y113"/>
    </row>
    <row r="114" spans="1:25" s="287" customFormat="1" ht="27.9" customHeight="1">
      <c r="A114" s="277"/>
      <c r="B114" s="785">
        <v>4</v>
      </c>
      <c r="C114" s="784" t="s">
        <v>2028</v>
      </c>
      <c r="D114" s="802" t="s">
        <v>1204</v>
      </c>
      <c r="E114" s="804" t="s">
        <v>2029</v>
      </c>
      <c r="F114" s="804" t="s">
        <v>2030</v>
      </c>
      <c r="G114" s="785"/>
      <c r="H114" s="785"/>
      <c r="I114" s="785"/>
      <c r="J114"/>
      <c r="K114"/>
      <c r="L114"/>
      <c r="M114"/>
      <c r="N114"/>
      <c r="O114"/>
      <c r="P114"/>
      <c r="Q114"/>
      <c r="R114"/>
      <c r="S114"/>
      <c r="T114"/>
      <c r="U114"/>
      <c r="V114"/>
      <c r="W114"/>
      <c r="X114"/>
      <c r="Y114"/>
    </row>
    <row r="115" spans="1:25" s="287" customFormat="1" ht="27.9" customHeight="1">
      <c r="A115" s="277"/>
      <c r="B115" s="785">
        <v>5</v>
      </c>
      <c r="C115" s="784" t="s">
        <v>2031</v>
      </c>
      <c r="D115" s="440" t="s">
        <v>1208</v>
      </c>
      <c r="E115" s="804" t="s">
        <v>2032</v>
      </c>
      <c r="F115" s="804" t="s">
        <v>2033</v>
      </c>
      <c r="G115" s="785"/>
      <c r="H115" s="785"/>
      <c r="I115" s="785"/>
      <c r="J115"/>
      <c r="K115"/>
      <c r="L115"/>
      <c r="M115"/>
      <c r="N115"/>
      <c r="O115"/>
      <c r="P115"/>
      <c r="Q115"/>
      <c r="R115"/>
      <c r="S115"/>
      <c r="T115"/>
      <c r="U115"/>
      <c r="V115"/>
      <c r="W115"/>
      <c r="X115"/>
      <c r="Y115"/>
    </row>
    <row r="116" spans="1:25" s="287" customFormat="1" ht="27.9" customHeight="1">
      <c r="A116" s="277"/>
      <c r="B116" s="785">
        <v>6</v>
      </c>
      <c r="C116" s="784" t="s">
        <v>2034</v>
      </c>
      <c r="D116" s="440" t="s">
        <v>1208</v>
      </c>
      <c r="E116" s="804" t="s">
        <v>2035</v>
      </c>
      <c r="F116" s="804" t="s">
        <v>2036</v>
      </c>
      <c r="G116" s="785"/>
      <c r="H116" s="785"/>
      <c r="I116" s="785"/>
      <c r="J116"/>
      <c r="K116"/>
      <c r="L116"/>
      <c r="M116"/>
      <c r="N116"/>
      <c r="O116"/>
      <c r="P116"/>
      <c r="Q116"/>
      <c r="R116"/>
      <c r="S116"/>
      <c r="T116"/>
      <c r="U116"/>
      <c r="V116"/>
      <c r="W116"/>
      <c r="X116"/>
      <c r="Y116"/>
    </row>
    <row r="117" spans="1:25" s="287" customFormat="1" ht="27.9" customHeight="1">
      <c r="A117" s="277"/>
      <c r="B117" s="785">
        <v>7</v>
      </c>
      <c r="C117" s="784" t="s">
        <v>2037</v>
      </c>
      <c r="D117" s="802" t="s">
        <v>1204</v>
      </c>
      <c r="E117" s="804" t="s">
        <v>2038</v>
      </c>
      <c r="F117" s="804" t="s">
        <v>2039</v>
      </c>
      <c r="G117" s="785"/>
      <c r="H117" s="785"/>
      <c r="I117" s="785"/>
      <c r="J117"/>
      <c r="K117"/>
      <c r="L117"/>
      <c r="M117"/>
      <c r="N117"/>
      <c r="O117"/>
      <c r="P117"/>
      <c r="Q117"/>
      <c r="R117"/>
      <c r="S117"/>
      <c r="T117"/>
      <c r="U117"/>
      <c r="V117"/>
      <c r="W117"/>
      <c r="X117"/>
      <c r="Y117"/>
    </row>
    <row r="118" spans="1:25" s="287" customFormat="1" ht="27.9" customHeight="1">
      <c r="A118" s="277"/>
      <c r="B118" s="649">
        <v>8</v>
      </c>
      <c r="C118" s="787" t="s">
        <v>2040</v>
      </c>
      <c r="D118" s="805" t="s">
        <v>2041</v>
      </c>
      <c r="E118" s="806" t="s">
        <v>2042</v>
      </c>
      <c r="F118" s="806" t="s">
        <v>2043</v>
      </c>
      <c r="G118" s="649"/>
      <c r="H118" s="649"/>
      <c r="I118" s="649"/>
      <c r="J118"/>
      <c r="K118"/>
      <c r="L118"/>
      <c r="M118"/>
      <c r="N118"/>
      <c r="O118"/>
      <c r="P118"/>
      <c r="Q118"/>
      <c r="R118"/>
      <c r="S118"/>
      <c r="T118"/>
      <c r="U118"/>
      <c r="V118"/>
      <c r="W118"/>
      <c r="X118"/>
      <c r="Y118"/>
    </row>
    <row r="119" spans="1:25" s="287" customFormat="1" ht="27.9" customHeight="1">
      <c r="A119" s="277"/>
      <c r="B119"/>
      <c r="C119"/>
      <c r="D119"/>
      <c r="E119"/>
      <c r="F119"/>
      <c r="G119"/>
      <c r="H119"/>
      <c r="I119"/>
      <c r="J119"/>
      <c r="K119"/>
      <c r="L119"/>
      <c r="M119"/>
      <c r="N119"/>
      <c r="O119"/>
      <c r="P119"/>
      <c r="Q119"/>
      <c r="R119"/>
      <c r="S119"/>
      <c r="T119"/>
      <c r="U119"/>
      <c r="V119"/>
      <c r="W119"/>
      <c r="X119"/>
      <c r="Y119"/>
    </row>
    <row r="120" spans="1:25" s="287" customFormat="1" ht="27.9" customHeight="1">
      <c r="A120" s="277"/>
      <c r="B120"/>
      <c r="C120"/>
      <c r="D120"/>
      <c r="E120"/>
      <c r="F120"/>
      <c r="G120"/>
      <c r="H120"/>
      <c r="I120"/>
      <c r="J120"/>
      <c r="K120"/>
      <c r="L120"/>
      <c r="M120"/>
      <c r="N120"/>
      <c r="O120"/>
      <c r="P120"/>
      <c r="Q120"/>
      <c r="R120"/>
      <c r="S120"/>
      <c r="T120"/>
      <c r="U120"/>
      <c r="V120"/>
      <c r="W120"/>
      <c r="X120"/>
      <c r="Y120"/>
    </row>
    <row r="121" spans="1:25">
      <c r="A121" s="277"/>
      <c r="B121" s="277"/>
      <c r="C121" s="277"/>
      <c r="D121" s="277"/>
      <c r="E121" s="277"/>
      <c r="F121" s="277"/>
      <c r="G121" s="277"/>
      <c r="H121" s="277"/>
      <c r="I121" s="277"/>
      <c r="J121" s="277"/>
    </row>
    <row r="122" spans="1:25">
      <c r="A122" s="277"/>
      <c r="B122" s="277"/>
      <c r="C122" s="277"/>
      <c r="D122" s="277"/>
      <c r="E122" s="277"/>
      <c r="F122" s="277"/>
      <c r="G122" s="277"/>
      <c r="H122" s="277"/>
      <c r="I122" s="277"/>
      <c r="J122" s="277"/>
    </row>
    <row r="123" spans="1:25">
      <c r="A123" s="277"/>
      <c r="B123" s="277"/>
      <c r="C123" s="277"/>
      <c r="D123" s="277"/>
      <c r="E123" s="277"/>
      <c r="F123" s="277"/>
      <c r="G123" s="277"/>
      <c r="H123" s="277"/>
      <c r="I123" s="277"/>
      <c r="J123" s="277"/>
    </row>
    <row r="124" spans="1:25">
      <c r="A124" s="277"/>
      <c r="B124" s="277"/>
      <c r="C124" s="277"/>
      <c r="D124" s="277"/>
      <c r="E124" s="277"/>
      <c r="F124" s="277"/>
      <c r="G124" s="277"/>
      <c r="H124" s="277"/>
      <c r="I124" s="277"/>
      <c r="J124" s="277"/>
    </row>
    <row r="125" spans="1:25">
      <c r="A125" s="277"/>
      <c r="B125" s="277"/>
      <c r="C125" s="277"/>
      <c r="D125" s="277"/>
      <c r="E125" s="277"/>
      <c r="F125" s="277"/>
      <c r="G125" s="277"/>
      <c r="H125" s="277"/>
      <c r="I125" s="277"/>
      <c r="J125" s="277"/>
    </row>
    <row r="126" spans="1:25">
      <c r="A126" s="277"/>
      <c r="B126" s="277"/>
      <c r="C126" s="277"/>
      <c r="D126" s="277"/>
      <c r="E126" s="277"/>
      <c r="F126" s="277"/>
      <c r="G126" s="277"/>
      <c r="H126" s="277"/>
      <c r="I126" s="277"/>
      <c r="J126" s="277"/>
    </row>
    <row r="127" spans="1:25">
      <c r="A127" s="277"/>
      <c r="B127" s="277"/>
      <c r="C127" s="277"/>
      <c r="D127" s="277"/>
      <c r="E127" s="277"/>
      <c r="F127" s="277"/>
      <c r="G127" s="277"/>
      <c r="H127" s="277"/>
      <c r="I127" s="277"/>
      <c r="J127" s="277"/>
    </row>
    <row r="128" spans="1:25">
      <c r="A128" s="277"/>
      <c r="B128" s="277"/>
      <c r="C128" s="277"/>
      <c r="D128" s="277"/>
      <c r="E128" s="277"/>
      <c r="F128" s="277"/>
      <c r="G128" s="277"/>
      <c r="H128" s="277"/>
      <c r="I128" s="277"/>
      <c r="J128" s="277"/>
    </row>
    <row r="129" spans="1:10">
      <c r="A129" s="277"/>
      <c r="B129" s="277"/>
      <c r="C129" s="277"/>
      <c r="D129" s="277"/>
      <c r="E129" s="277"/>
      <c r="F129" s="277"/>
      <c r="G129" s="277"/>
      <c r="H129" s="277"/>
      <c r="I129" s="277"/>
      <c r="J129" s="277"/>
    </row>
    <row r="130" spans="1:10">
      <c r="A130" s="277"/>
      <c r="B130" s="277"/>
      <c r="C130" s="277"/>
      <c r="D130" s="277"/>
      <c r="E130" s="277"/>
      <c r="F130" s="277"/>
      <c r="G130" s="277"/>
      <c r="H130" s="277"/>
      <c r="I130" s="277"/>
      <c r="J130" s="277"/>
    </row>
    <row r="131" spans="1:10">
      <c r="A131" s="277"/>
      <c r="B131" s="277"/>
      <c r="C131" s="277"/>
      <c r="D131" s="277"/>
      <c r="E131" s="277"/>
      <c r="F131" s="277"/>
      <c r="G131" s="277"/>
      <c r="H131" s="277"/>
      <c r="I131" s="277"/>
      <c r="J131" s="277"/>
    </row>
  </sheetData>
  <conditionalFormatting sqref="B23:J24">
    <cfRule type="expression" dxfId="7" priority="4">
      <formula>OR($D23="Failed",$D23="Denied")</formula>
    </cfRule>
    <cfRule type="expression" dxfId="6" priority="5">
      <formula>$D23="APPROVED"</formula>
    </cfRule>
    <cfRule type="expression" dxfId="5" priority="6">
      <formula>ISNUMBER(SEARCH("Cancelled",$I23))</formula>
    </cfRule>
  </conditionalFormatting>
  <pageMargins left="0.7" right="0.7" top="0.75" bottom="0.75" header="0.3" footer="0.3"/>
  <pageSetup scale="50" fitToWidth="0" fitToHeight="0" orientation="landscape"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theme="5" tint="0.39997558519241921"/>
  </sheetPr>
  <dimension ref="A1:L51"/>
  <sheetViews>
    <sheetView showGridLines="0" workbookViewId="0">
      <pane ySplit="8" topLeftCell="A32" activePane="bottomLeft" state="frozen"/>
      <selection pane="bottomLeft" activeCell="Q33" sqref="Q33"/>
    </sheetView>
  </sheetViews>
  <sheetFormatPr defaultRowHeight="14.4"/>
  <cols>
    <col min="1" max="1" width="32.5546875" bestFit="1" customWidth="1"/>
    <col min="2" max="2" width="14" customWidth="1"/>
    <col min="3" max="4" width="16" customWidth="1"/>
    <col min="5" max="5" width="8" customWidth="1"/>
    <col min="6" max="6" width="12" customWidth="1"/>
    <col min="7" max="7" width="16" customWidth="1"/>
    <col min="8" max="8" width="14" customWidth="1"/>
    <col min="9" max="12" width="11" customWidth="1"/>
  </cols>
  <sheetData>
    <row r="1" spans="1:8" ht="23.4" customHeight="1">
      <c r="A1" s="1239" t="s">
        <v>783</v>
      </c>
      <c r="B1" s="1240"/>
      <c r="C1" s="1240"/>
      <c r="D1" s="1240"/>
      <c r="E1" s="1240"/>
      <c r="F1" s="1240"/>
      <c r="G1" s="1240"/>
      <c r="H1" s="1240"/>
    </row>
    <row r="2" spans="1:8" ht="18.600000000000001" customHeight="1">
      <c r="A2" s="1277" t="s">
        <v>2044</v>
      </c>
      <c r="B2" s="1240"/>
      <c r="C2" s="1240"/>
      <c r="D2" s="1240"/>
      <c r="E2" s="1240"/>
      <c r="F2" s="1240"/>
      <c r="G2" s="1240"/>
      <c r="H2" s="1240"/>
    </row>
    <row r="3" spans="1:8">
      <c r="A3" s="22" t="s">
        <v>2045</v>
      </c>
    </row>
    <row r="5" spans="1:8" ht="15.6" customHeight="1">
      <c r="A5" s="23" t="s">
        <v>2046</v>
      </c>
      <c r="B5" s="24" t="s">
        <v>2047</v>
      </c>
    </row>
    <row r="6" spans="1:8" ht="15.6" customHeight="1">
      <c r="A6" s="23" t="s">
        <v>2048</v>
      </c>
      <c r="B6" s="20" t="s">
        <v>2049</v>
      </c>
    </row>
    <row r="8" spans="1:8" ht="27.6">
      <c r="A8" s="56" t="s">
        <v>1664</v>
      </c>
      <c r="B8" s="56" t="s">
        <v>2050</v>
      </c>
      <c r="C8" s="56" t="s">
        <v>2051</v>
      </c>
      <c r="D8" s="56" t="s">
        <v>2052</v>
      </c>
      <c r="E8" s="56" t="s">
        <v>1667</v>
      </c>
      <c r="F8" s="56" t="s">
        <v>1075</v>
      </c>
      <c r="G8" s="56" t="s">
        <v>2053</v>
      </c>
      <c r="H8" s="56" t="s">
        <v>929</v>
      </c>
    </row>
    <row r="9" spans="1:8">
      <c r="A9" s="57" t="s">
        <v>2054</v>
      </c>
      <c r="B9" s="58">
        <v>45688</v>
      </c>
      <c r="C9" s="59">
        <v>116653.27</v>
      </c>
      <c r="D9" s="59">
        <v>1014974.24</v>
      </c>
      <c r="E9" s="60">
        <v>31</v>
      </c>
      <c r="F9" s="28">
        <f t="shared" ref="F9:F20" si="0">(C9/D9)*E9</f>
        <v>3.5628996554631773</v>
      </c>
      <c r="G9" s="60" t="s">
        <v>1512</v>
      </c>
      <c r="H9" s="60" t="str">
        <f t="shared" ref="H9:H20" si="1">IF(F9&lt;=5,"✓ Good",IF(F9&lt;=7,"◐ Monitor",IF(F9&lt;=10,"⚠ Caution","✗ At Risk")))</f>
        <v>✓ Good</v>
      </c>
    </row>
    <row r="10" spans="1:8">
      <c r="A10" s="61" t="s">
        <v>2055</v>
      </c>
      <c r="B10" s="62">
        <v>45716</v>
      </c>
      <c r="C10" s="63">
        <v>173766.34</v>
      </c>
      <c r="D10" s="63">
        <v>1014471</v>
      </c>
      <c r="E10" s="64">
        <v>28</v>
      </c>
      <c r="F10" s="65">
        <f t="shared" si="0"/>
        <v>4.7960538250970206</v>
      </c>
      <c r="G10" s="65">
        <f t="shared" ref="G10:G20" si="2">AVERAGE(F9:F10)</f>
        <v>4.1794767402800987</v>
      </c>
      <c r="H10" s="64" t="str">
        <f t="shared" si="1"/>
        <v>✓ Good</v>
      </c>
    </row>
    <row r="11" spans="1:8">
      <c r="A11" s="57" t="s">
        <v>2056</v>
      </c>
      <c r="B11" s="58">
        <v>45747</v>
      </c>
      <c r="C11" s="59">
        <v>200138.5</v>
      </c>
      <c r="D11" s="59">
        <v>1014063.57</v>
      </c>
      <c r="E11" s="60">
        <v>31</v>
      </c>
      <c r="F11" s="28">
        <f t="shared" si="0"/>
        <v>6.1182490758444272</v>
      </c>
      <c r="G11" s="28">
        <f t="shared" si="2"/>
        <v>5.4571514504707235</v>
      </c>
      <c r="H11" s="60" t="str">
        <f t="shared" si="1"/>
        <v>◐ Monitor</v>
      </c>
    </row>
    <row r="12" spans="1:8">
      <c r="A12" s="61" t="s">
        <v>2057</v>
      </c>
      <c r="B12" s="62">
        <v>45777</v>
      </c>
      <c r="C12" s="63">
        <v>194113.12</v>
      </c>
      <c r="D12" s="63">
        <v>1017243</v>
      </c>
      <c r="E12" s="64">
        <v>30</v>
      </c>
      <c r="F12" s="65">
        <f t="shared" si="0"/>
        <v>5.7246828928781026</v>
      </c>
      <c r="G12" s="65">
        <f t="shared" si="2"/>
        <v>5.9214659843612649</v>
      </c>
      <c r="H12" s="64" t="str">
        <f t="shared" si="1"/>
        <v>◐ Monitor</v>
      </c>
    </row>
    <row r="13" spans="1:8">
      <c r="A13" s="57" t="s">
        <v>2058</v>
      </c>
      <c r="B13" s="58">
        <v>45808</v>
      </c>
      <c r="C13" s="59">
        <v>228022.64</v>
      </c>
      <c r="D13" s="59">
        <v>1014690</v>
      </c>
      <c r="E13" s="60">
        <v>31</v>
      </c>
      <c r="F13" s="28">
        <f t="shared" si="0"/>
        <v>6.9663659245680947</v>
      </c>
      <c r="G13" s="28">
        <f t="shared" si="2"/>
        <v>6.3455244087230991</v>
      </c>
      <c r="H13" s="60" t="str">
        <f t="shared" si="1"/>
        <v>◐ Monitor</v>
      </c>
    </row>
    <row r="14" spans="1:8">
      <c r="A14" s="61" t="s">
        <v>2059</v>
      </c>
      <c r="B14" s="62">
        <v>45838</v>
      </c>
      <c r="C14" s="63">
        <v>231539.25</v>
      </c>
      <c r="D14" s="63">
        <v>1012531.45</v>
      </c>
      <c r="E14" s="64">
        <v>30</v>
      </c>
      <c r="F14" s="65">
        <f t="shared" si="0"/>
        <v>6.8602091322694223</v>
      </c>
      <c r="G14" s="65">
        <f t="shared" si="2"/>
        <v>6.913287528418758</v>
      </c>
      <c r="H14" s="64" t="str">
        <f t="shared" si="1"/>
        <v>◐ Monitor</v>
      </c>
    </row>
    <row r="15" spans="1:8">
      <c r="A15" s="57" t="s">
        <v>2060</v>
      </c>
      <c r="B15" s="58">
        <v>45869</v>
      </c>
      <c r="C15" s="59">
        <v>271508.17</v>
      </c>
      <c r="D15" s="59">
        <v>1015121</v>
      </c>
      <c r="E15" s="60">
        <v>31</v>
      </c>
      <c r="F15" s="28">
        <f t="shared" si="0"/>
        <v>8.2913793232530892</v>
      </c>
      <c r="G15" s="28">
        <f t="shared" si="2"/>
        <v>7.5757942277612553</v>
      </c>
      <c r="H15" s="60" t="str">
        <f t="shared" si="1"/>
        <v>⚠ Caution</v>
      </c>
    </row>
    <row r="16" spans="1:8">
      <c r="A16" s="61" t="s">
        <v>2061</v>
      </c>
      <c r="B16" s="62">
        <v>45900</v>
      </c>
      <c r="C16" s="63">
        <v>237024.59</v>
      </c>
      <c r="D16" s="63">
        <v>1020091</v>
      </c>
      <c r="E16" s="64">
        <v>31</v>
      </c>
      <c r="F16" s="65">
        <f t="shared" si="0"/>
        <v>7.2030458949250606</v>
      </c>
      <c r="G16" s="65">
        <f t="shared" si="2"/>
        <v>7.7472126090890754</v>
      </c>
      <c r="H16" s="64" t="str">
        <f t="shared" si="1"/>
        <v>⚠ Caution</v>
      </c>
    </row>
    <row r="17" spans="1:12">
      <c r="A17" s="57" t="s">
        <v>2062</v>
      </c>
      <c r="B17" s="58">
        <v>45930</v>
      </c>
      <c r="C17" s="59">
        <v>257238.96</v>
      </c>
      <c r="D17" s="59">
        <v>1023072</v>
      </c>
      <c r="E17" s="60">
        <v>30</v>
      </c>
      <c r="F17" s="28">
        <f t="shared" si="0"/>
        <v>7.5431336210941167</v>
      </c>
      <c r="G17" s="28">
        <f t="shared" si="2"/>
        <v>7.3730897580095887</v>
      </c>
      <c r="H17" s="60" t="str">
        <f t="shared" si="1"/>
        <v>⚠ Caution</v>
      </c>
    </row>
    <row r="18" spans="1:12">
      <c r="A18" s="61" t="s">
        <v>2063</v>
      </c>
      <c r="B18" s="62">
        <v>45961</v>
      </c>
      <c r="C18" s="63">
        <v>313350.43</v>
      </c>
      <c r="D18" s="63">
        <v>1004134</v>
      </c>
      <c r="E18" s="64">
        <v>31</v>
      </c>
      <c r="F18" s="65">
        <f t="shared" si="0"/>
        <v>9.673871545032835</v>
      </c>
      <c r="G18" s="65">
        <f t="shared" si="2"/>
        <v>8.6085025830634763</v>
      </c>
      <c r="H18" s="64" t="str">
        <f t="shared" si="1"/>
        <v>⚠ Caution</v>
      </c>
    </row>
    <row r="19" spans="1:12">
      <c r="A19" s="57" t="s">
        <v>2064</v>
      </c>
      <c r="B19" s="58">
        <v>45991</v>
      </c>
      <c r="C19" s="59">
        <v>336274.65</v>
      </c>
      <c r="D19" s="59">
        <v>1001586.5</v>
      </c>
      <c r="E19" s="60">
        <v>30</v>
      </c>
      <c r="F19" s="28">
        <f t="shared" si="0"/>
        <v>10.072259859732535</v>
      </c>
      <c r="G19" s="28">
        <f t="shared" si="2"/>
        <v>9.8730657023826858</v>
      </c>
      <c r="H19" s="60" t="str">
        <f t="shared" si="1"/>
        <v>✗ At Risk</v>
      </c>
    </row>
    <row r="20" spans="1:12">
      <c r="A20" s="61" t="s">
        <v>2065</v>
      </c>
      <c r="B20" s="62">
        <v>46022</v>
      </c>
      <c r="C20" s="63">
        <v>416677.67</v>
      </c>
      <c r="D20" s="63">
        <v>1000805.75</v>
      </c>
      <c r="E20" s="64">
        <v>31</v>
      </c>
      <c r="F20" s="65">
        <f t="shared" si="0"/>
        <v>12.906608270386135</v>
      </c>
      <c r="G20" s="65">
        <f t="shared" si="2"/>
        <v>11.489434065059335</v>
      </c>
      <c r="H20" s="64" t="str">
        <f t="shared" si="1"/>
        <v>✗ At Risk</v>
      </c>
    </row>
    <row r="23" spans="1:12" ht="15.6" customHeight="1">
      <c r="A23" s="1274" t="s">
        <v>2066</v>
      </c>
      <c r="B23" s="1240"/>
      <c r="C23" s="1240"/>
      <c r="D23" s="1240"/>
      <c r="E23" s="1240"/>
      <c r="F23" s="1240"/>
      <c r="G23" s="1240"/>
      <c r="H23" s="1240"/>
    </row>
    <row r="24" spans="1:12">
      <c r="A24" s="21" t="s">
        <v>2067</v>
      </c>
      <c r="B24" s="27" t="str">
        <f>TEXT(AVERAGE(F9:F20),"0.0")&amp;" days"</f>
        <v>7.5 days</v>
      </c>
      <c r="C24" s="66"/>
    </row>
    <row r="25" spans="1:12">
      <c r="A25" s="21" t="s">
        <v>2068</v>
      </c>
      <c r="B25" s="27" t="str">
        <f>TEXT(G20,"0.0")&amp;" days"</f>
        <v>11.5 days</v>
      </c>
      <c r="C25" s="66"/>
    </row>
    <row r="26" spans="1:12">
      <c r="A26" s="21" t="s">
        <v>2069</v>
      </c>
      <c r="B26" s="66" t="str">
        <f>INDEX(A9:A20,MATCH(MIN(F9:F20),F9:F20,0))</f>
        <v>Jan 2025</v>
      </c>
      <c r="C26" s="27" t="str">
        <f>TEXT(MIN(F9:F20),"0.0")&amp;" days"</f>
        <v>3.6 days</v>
      </c>
      <c r="D26" s="20"/>
    </row>
    <row r="27" spans="1:12">
      <c r="A27" s="21" t="s">
        <v>2070</v>
      </c>
      <c r="B27" s="66" t="str">
        <f>INDEX(A9:A20,MATCH(MAX(F9:F20),F9:F20,0))</f>
        <v>Dec 2025</v>
      </c>
      <c r="C27" s="27" t="str">
        <f>TEXT(MAX(F9:F20),"0.0")&amp;" days"</f>
        <v>12.9 days</v>
      </c>
      <c r="D27" s="20"/>
    </row>
    <row r="29" spans="1:12" ht="15.6" customHeight="1">
      <c r="A29" s="1274" t="s">
        <v>2071</v>
      </c>
      <c r="B29" s="1240"/>
      <c r="C29" s="1240"/>
      <c r="D29" s="1240"/>
      <c r="E29" s="1240"/>
      <c r="F29" s="1240"/>
      <c r="G29" s="1240"/>
      <c r="H29" s="1240"/>
    </row>
    <row r="30" spans="1:12" ht="27.6">
      <c r="A30" s="56" t="s">
        <v>1664</v>
      </c>
      <c r="B30" s="56" t="s">
        <v>2050</v>
      </c>
      <c r="C30" s="56" t="s">
        <v>2051</v>
      </c>
      <c r="D30" s="56" t="s">
        <v>2052</v>
      </c>
      <c r="E30" s="56" t="s">
        <v>1667</v>
      </c>
      <c r="F30" s="56" t="s">
        <v>1075</v>
      </c>
      <c r="G30" s="56" t="s">
        <v>2053</v>
      </c>
      <c r="H30" s="56" t="s">
        <v>929</v>
      </c>
      <c r="I30" s="56" t="s">
        <v>1459</v>
      </c>
      <c r="J30" s="56" t="s">
        <v>2072</v>
      </c>
      <c r="K30" s="56" t="s">
        <v>2073</v>
      </c>
      <c r="L30" s="56" t="s">
        <v>2074</v>
      </c>
    </row>
    <row r="31" spans="1:12">
      <c r="A31" s="57" t="s">
        <v>2075</v>
      </c>
      <c r="B31" s="58">
        <v>46053</v>
      </c>
      <c r="C31" s="67">
        <v>499784</v>
      </c>
      <c r="D31" s="67">
        <f>'T12'!D24</f>
        <v>997255</v>
      </c>
      <c r="E31" s="60">
        <v>31</v>
      </c>
      <c r="F31" s="28">
        <f>IF(OR(C31="",D31=""),"-",(C31/D31)*E31)</f>
        <v>15.53595018325303</v>
      </c>
      <c r="G31" s="28">
        <f>IF(F31="-","-",AVERAGE(F20,F31))</f>
        <v>14.221279226819583</v>
      </c>
      <c r="H31" s="60" t="str">
        <f t="shared" ref="H31:H36" si="3">IF(F31="-","",IF(F31&lt;=I31,"✓ On Track","✗ Off Track"))</f>
        <v>✗ Off Track</v>
      </c>
      <c r="I31" s="29">
        <v>11.7</v>
      </c>
      <c r="J31" s="28">
        <f t="shared" ref="J31:J36" si="4">IF(F31="-","—",F31-I31)</f>
        <v>3.8359501832530309</v>
      </c>
      <c r="K31" s="29">
        <v>10.6</v>
      </c>
      <c r="L31" s="28">
        <f t="shared" ref="L31:L36" si="5">IF(G31="-","—",G31-K31)</f>
        <v>3.621279226819583</v>
      </c>
    </row>
    <row r="32" spans="1:12">
      <c r="A32" s="57" t="s">
        <v>2076</v>
      </c>
      <c r="B32" s="58">
        <v>46081</v>
      </c>
      <c r="C32" s="67">
        <v>547673.78</v>
      </c>
      <c r="D32" s="67">
        <f>'T12'!E24</f>
        <v>897057</v>
      </c>
      <c r="E32" s="60">
        <v>28</v>
      </c>
      <c r="F32" s="28">
        <f>IF(OR(C32="",D32=""),"-",(C32/D32)*E32)</f>
        <v>17.094639292709381</v>
      </c>
      <c r="G32" s="28">
        <f>IF(F32="-","-",AVERAGE(F31,F32))</f>
        <v>16.315294737981205</v>
      </c>
      <c r="H32" s="60" t="str">
        <f t="shared" si="3"/>
        <v>✗ Off Track</v>
      </c>
      <c r="I32" s="29">
        <v>10.5</v>
      </c>
      <c r="J32" s="28">
        <f t="shared" si="4"/>
        <v>6.5946392927093811</v>
      </c>
      <c r="K32" s="29">
        <v>9.6999999999999993</v>
      </c>
      <c r="L32" s="28">
        <f t="shared" si="5"/>
        <v>6.6152947379812055</v>
      </c>
    </row>
    <row r="33" spans="1:12">
      <c r="A33" s="57" t="s">
        <v>2077</v>
      </c>
      <c r="B33" s="58">
        <v>46112</v>
      </c>
      <c r="C33" s="67"/>
      <c r="D33" s="67"/>
      <c r="E33" s="60">
        <v>31</v>
      </c>
      <c r="F33" s="28" t="str">
        <f t="shared" ref="F33:F36" si="6">IF(OR(C33="",D33=""),"-",(C33/D33)*E33)</f>
        <v>-</v>
      </c>
      <c r="G33" s="28" t="str">
        <f>IF(F33="-","-",AVERAGE(F32,F33))</f>
        <v>-</v>
      </c>
      <c r="H33" s="60" t="str">
        <f t="shared" si="3"/>
        <v/>
      </c>
      <c r="I33" s="29">
        <v>9.3000000000000007</v>
      </c>
      <c r="J33" s="28" t="str">
        <f t="shared" si="4"/>
        <v>—</v>
      </c>
      <c r="K33" s="29">
        <v>8.8000000000000007</v>
      </c>
      <c r="L33" s="28" t="str">
        <f t="shared" si="5"/>
        <v>—</v>
      </c>
    </row>
    <row r="34" spans="1:12">
      <c r="A34" s="57" t="s">
        <v>2078</v>
      </c>
      <c r="B34" s="58">
        <v>46142</v>
      </c>
      <c r="C34" s="67"/>
      <c r="D34" s="67"/>
      <c r="E34" s="60">
        <v>30</v>
      </c>
      <c r="F34" s="28" t="str">
        <f t="shared" si="6"/>
        <v>-</v>
      </c>
      <c r="G34" s="28" t="str">
        <f>IF(F34="-","-",AVERAGE(F33,F34))</f>
        <v>-</v>
      </c>
      <c r="H34" s="60" t="str">
        <f t="shared" si="3"/>
        <v/>
      </c>
      <c r="I34" s="29">
        <v>8.1</v>
      </c>
      <c r="J34" s="28" t="str">
        <f t="shared" si="4"/>
        <v>—</v>
      </c>
      <c r="K34" s="29">
        <v>7.9</v>
      </c>
      <c r="L34" s="28" t="str">
        <f t="shared" si="5"/>
        <v>—</v>
      </c>
    </row>
    <row r="35" spans="1:12">
      <c r="A35" s="57" t="s">
        <v>2079</v>
      </c>
      <c r="B35" s="58">
        <v>46173</v>
      </c>
      <c r="C35" s="67"/>
      <c r="D35" s="67"/>
      <c r="E35" s="60">
        <v>31</v>
      </c>
      <c r="F35" s="28" t="str">
        <f t="shared" si="6"/>
        <v>-</v>
      </c>
      <c r="G35" s="28" t="str">
        <f>IF(F35="-","-",AVERAGE(F34,F35))</f>
        <v>-</v>
      </c>
      <c r="H35" s="60" t="str">
        <f t="shared" si="3"/>
        <v/>
      </c>
      <c r="I35" s="29">
        <v>7</v>
      </c>
      <c r="J35" s="28" t="str">
        <f t="shared" si="4"/>
        <v>—</v>
      </c>
      <c r="K35" s="29">
        <v>7</v>
      </c>
      <c r="L35" s="28" t="str">
        <f t="shared" si="5"/>
        <v>—</v>
      </c>
    </row>
    <row r="36" spans="1:12">
      <c r="A36" s="57" t="s">
        <v>2080</v>
      </c>
      <c r="B36" s="58">
        <v>46203</v>
      </c>
      <c r="C36" s="67"/>
      <c r="D36" s="67"/>
      <c r="E36" s="60">
        <v>30</v>
      </c>
      <c r="F36" s="28" t="str">
        <f t="shared" si="6"/>
        <v>-</v>
      </c>
      <c r="G36" s="28" t="str">
        <f>IF(F36="-","-",AVERAGE(F35,F36))</f>
        <v>-</v>
      </c>
      <c r="H36" s="60" t="str">
        <f t="shared" si="3"/>
        <v/>
      </c>
      <c r="I36" s="29">
        <v>7</v>
      </c>
      <c r="J36" s="28" t="str">
        <f t="shared" si="4"/>
        <v>—</v>
      </c>
      <c r="K36" s="29">
        <v>7</v>
      </c>
      <c r="L36" s="28" t="str">
        <f t="shared" si="5"/>
        <v>—</v>
      </c>
    </row>
    <row r="38" spans="1:12" ht="15.6" customHeight="1">
      <c r="A38" s="1276" t="s">
        <v>2081</v>
      </c>
      <c r="B38" s="1240"/>
      <c r="C38" s="1240"/>
      <c r="D38" s="1240"/>
      <c r="E38" s="1240"/>
      <c r="F38" s="1240"/>
      <c r="G38" s="1240"/>
      <c r="H38" s="1240"/>
    </row>
    <row r="39" spans="1:12" ht="15.6" customHeight="1">
      <c r="A39" s="21" t="s">
        <v>2082</v>
      </c>
      <c r="B39" s="26">
        <v>7</v>
      </c>
      <c r="C39" s="20" t="s">
        <v>2083</v>
      </c>
    </row>
    <row r="40" spans="1:12">
      <c r="A40" s="21" t="s">
        <v>2084</v>
      </c>
      <c r="B40" s="1275" t="s">
        <v>2085</v>
      </c>
      <c r="C40" s="1240"/>
      <c r="D40" s="1240"/>
      <c r="E40" s="1240"/>
      <c r="F40" s="1240"/>
      <c r="G40" s="1240"/>
      <c r="H40" s="1240"/>
    </row>
    <row r="42" spans="1:12" ht="15.6" customHeight="1">
      <c r="A42" s="23" t="s">
        <v>2086</v>
      </c>
    </row>
    <row r="43" spans="1:12">
      <c r="A43" s="21" t="s">
        <v>2087</v>
      </c>
      <c r="B43" s="1275" t="s">
        <v>2088</v>
      </c>
      <c r="C43" s="1240"/>
      <c r="D43" s="1240"/>
      <c r="E43" s="1240"/>
      <c r="F43" s="1240"/>
      <c r="G43" s="1240"/>
      <c r="H43" s="1240"/>
    </row>
    <row r="44" spans="1:12">
      <c r="A44" s="21" t="s">
        <v>2089</v>
      </c>
      <c r="B44" s="1275" t="s">
        <v>2090</v>
      </c>
      <c r="C44" s="1240"/>
      <c r="D44" s="1240"/>
      <c r="E44" s="1240"/>
      <c r="F44" s="1240"/>
      <c r="G44" s="1240"/>
      <c r="H44" s="1240"/>
    </row>
    <row r="50" spans="1:8">
      <c r="A50" s="21" t="s">
        <v>2091</v>
      </c>
      <c r="B50" s="1275" t="s">
        <v>2092</v>
      </c>
      <c r="C50" s="1240"/>
      <c r="D50" s="1240"/>
      <c r="E50" s="1240"/>
      <c r="F50" s="1240"/>
      <c r="G50" s="1240"/>
      <c r="H50" s="1240"/>
    </row>
    <row r="51" spans="1:8">
      <c r="B51" s="1275" t="s">
        <v>2093</v>
      </c>
      <c r="C51" s="1240"/>
      <c r="D51" s="1240"/>
      <c r="E51" s="1240"/>
      <c r="F51" s="1240"/>
      <c r="G51" s="1240"/>
      <c r="H51" s="1240"/>
    </row>
  </sheetData>
  <mergeCells count="10">
    <mergeCell ref="A1:H1"/>
    <mergeCell ref="A23:H23"/>
    <mergeCell ref="B51:H51"/>
    <mergeCell ref="B50:H50"/>
    <mergeCell ref="B40:H40"/>
    <mergeCell ref="A29:H29"/>
    <mergeCell ref="A38:H38"/>
    <mergeCell ref="A2:H2"/>
    <mergeCell ref="B43:H43"/>
    <mergeCell ref="B44:H44"/>
  </mergeCells>
  <pageMargins left="0.75" right="0.75" top="1" bottom="1" header="0.5" footer="0.5"/>
  <drawing r:id="rId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2320E-C2B7-45D0-8CE8-F658DEDBFF94}">
  <sheetPr>
    <tabColor rgb="FFDA9694"/>
  </sheetPr>
  <dimension ref="A1:M103"/>
  <sheetViews>
    <sheetView showGridLines="0" zoomScale="80" zoomScaleNormal="80" workbookViewId="0">
      <pane ySplit="13" topLeftCell="A14" activePane="bottomLeft" state="frozen"/>
      <selection pane="bottomLeft" activeCell="B3" sqref="B3"/>
    </sheetView>
  </sheetViews>
  <sheetFormatPr defaultRowHeight="14.4"/>
  <cols>
    <col min="1" max="1" width="23.6640625" customWidth="1"/>
    <col min="2" max="2" width="23.5546875" customWidth="1"/>
    <col min="3" max="4" width="14.5546875" customWidth="1"/>
    <col min="5" max="6" width="13.5546875" customWidth="1"/>
    <col min="7" max="11" width="14.88671875" customWidth="1"/>
    <col min="12" max="12" width="40" customWidth="1"/>
    <col min="13" max="13" width="13.5546875" customWidth="1"/>
  </cols>
  <sheetData>
    <row r="1" spans="1:13" ht="23.4">
      <c r="A1" s="295" t="s">
        <v>783</v>
      </c>
      <c r="B1" s="108"/>
      <c r="C1" s="108"/>
      <c r="D1" s="108"/>
      <c r="E1" s="108"/>
      <c r="F1" s="108"/>
      <c r="G1" s="108"/>
      <c r="H1" s="108"/>
      <c r="I1" s="108"/>
      <c r="J1" s="108"/>
      <c r="K1" s="108"/>
    </row>
    <row r="2" spans="1:13">
      <c r="A2" s="296" t="s">
        <v>2094</v>
      </c>
      <c r="B2" s="108"/>
      <c r="C2" s="108"/>
      <c r="D2" s="108"/>
      <c r="E2" s="108"/>
      <c r="F2" s="108"/>
      <c r="G2" s="108"/>
      <c r="H2" s="108"/>
      <c r="I2" s="108"/>
      <c r="J2" s="108"/>
      <c r="K2" s="108"/>
    </row>
    <row r="3" spans="1:13">
      <c r="A3" s="297" t="s">
        <v>2095</v>
      </c>
      <c r="B3" s="807">
        <v>46181</v>
      </c>
      <c r="C3" s="108"/>
      <c r="D3" s="297" t="s">
        <v>1088</v>
      </c>
      <c r="E3" s="808">
        <f>Dashboard_1!F3</f>
        <v>46244</v>
      </c>
      <c r="F3" s="108"/>
      <c r="G3" s="108"/>
      <c r="H3" s="809" t="s">
        <v>2096</v>
      </c>
      <c r="I3" s="108"/>
      <c r="J3" s="108"/>
      <c r="K3" s="108"/>
    </row>
    <row r="5" spans="1:13">
      <c r="A5" s="810" t="s">
        <v>2097</v>
      </c>
      <c r="B5" s="94"/>
      <c r="C5" s="94"/>
      <c r="D5" s="94"/>
      <c r="E5" s="94"/>
      <c r="F5" s="108"/>
      <c r="G5" s="108"/>
      <c r="H5" s="811" t="s">
        <v>2098</v>
      </c>
      <c r="I5" s="94"/>
      <c r="J5" s="812" t="s">
        <v>2017</v>
      </c>
      <c r="K5" s="813" t="s">
        <v>1475</v>
      </c>
      <c r="L5" s="108"/>
      <c r="M5" s="108"/>
    </row>
    <row r="6" spans="1:13">
      <c r="A6" s="297" t="s">
        <v>2099</v>
      </c>
      <c r="B6" s="365">
        <f>COUNTIFS(F14:F61,"&gt;="&amp;60,A14:A61,"&lt;&gt;")</f>
        <v>33</v>
      </c>
      <c r="C6" s="814" t="s">
        <v>2100</v>
      </c>
      <c r="D6" s="815">
        <f>COUNTA(A14:A61)</f>
        <v>48</v>
      </c>
      <c r="H6" s="1043" t="s">
        <v>1167</v>
      </c>
      <c r="I6" s="364"/>
      <c r="J6" s="816">
        <f>COUNTIFS(D14:D61,"Eviction",F14:F61,"&gt;="&amp;60)</f>
        <v>9</v>
      </c>
      <c r="K6" s="817">
        <f>SUMIFS(K14:K61,D14:D61,"Eviction",F14:F61,"&gt;="&amp;60)</f>
        <v>81208.91</v>
      </c>
      <c r="L6" s="108"/>
      <c r="M6" s="108"/>
    </row>
    <row r="7" spans="1:13">
      <c r="A7" s="297" t="s">
        <v>2101</v>
      </c>
      <c r="B7" s="366">
        <f>SUMIFS(K14:K61,F14:F61,"&gt;="&amp;60)</f>
        <v>217715.10000000003</v>
      </c>
      <c r="C7" s="108"/>
      <c r="D7" s="108"/>
      <c r="H7" s="372" t="s">
        <v>1169</v>
      </c>
      <c r="I7" s="379"/>
      <c r="J7" s="373">
        <f>COUNTIFS(D14:D61,"Skip",F14:F61,"&gt;="&amp;60)</f>
        <v>19</v>
      </c>
      <c r="K7" s="374">
        <f>SUMIFS(K14:K61,D14:D61,"Skip",F14:F61,"&gt;="&amp;60)</f>
        <v>113876.64</v>
      </c>
      <c r="L7" s="108"/>
      <c r="M7" s="108"/>
    </row>
    <row r="8" spans="1:13">
      <c r="A8" s="108"/>
      <c r="B8" s="108"/>
      <c r="C8" s="108"/>
      <c r="D8" s="108"/>
      <c r="H8" s="375" t="s">
        <v>1171</v>
      </c>
      <c r="I8" s="380"/>
      <c r="J8" s="376">
        <f>COUNTIFS(D14:D61,"Former",F14:F61,"&gt;="&amp;60)</f>
        <v>5</v>
      </c>
      <c r="K8" s="377">
        <f>SUMIFS(K14:K61,D14:D61,"Former",F14:F61,"&gt;="&amp;60)</f>
        <v>22629.55</v>
      </c>
      <c r="L8" s="108"/>
      <c r="M8" s="108"/>
    </row>
    <row r="9" spans="1:13">
      <c r="A9" s="367" t="s">
        <v>2102</v>
      </c>
      <c r="B9" s="818">
        <f>SUMIFS(I14:I61,F14:F61,"&gt;="&amp;60)</f>
        <v>24476.380000000005</v>
      </c>
      <c r="C9" s="108"/>
      <c r="D9" s="367" t="s">
        <v>2103</v>
      </c>
      <c r="E9" s="818">
        <f>SUMIFS(J14:J61,F14:F61,"&gt;="&amp;60)</f>
        <v>193238.72000000006</v>
      </c>
      <c r="H9" s="819" t="s">
        <v>2104</v>
      </c>
      <c r="I9" s="378"/>
      <c r="J9" s="820">
        <f>J6+J7+J8</f>
        <v>33</v>
      </c>
      <c r="K9" s="819">
        <f>K6+K7+K8</f>
        <v>217715.09999999998</v>
      </c>
      <c r="L9" s="108"/>
      <c r="M9" s="108"/>
    </row>
    <row r="10" spans="1:13">
      <c r="A10" s="370" t="s">
        <v>2105</v>
      </c>
      <c r="B10" s="371">
        <f>COUNTIFS(F14:F61,"&lt;"&amp;60,A14:A61,"&lt;&gt;")</f>
        <v>15</v>
      </c>
      <c r="C10" s="370" t="s">
        <v>2106</v>
      </c>
      <c r="D10" s="371">
        <f>SUMIFS(K14:K61,F14:F61,"&lt;"&amp;60)</f>
        <v>80688.959999999992</v>
      </c>
      <c r="E10" s="371" t="s">
        <v>2107</v>
      </c>
      <c r="F10" s="108"/>
      <c r="G10" s="108"/>
      <c r="H10" s="108"/>
      <c r="I10" s="108"/>
      <c r="J10" s="108"/>
      <c r="K10" s="108"/>
      <c r="L10" s="108"/>
      <c r="M10" s="108"/>
    </row>
    <row r="11" spans="1:13">
      <c r="A11" s="108"/>
      <c r="B11" s="108"/>
      <c r="C11" s="108"/>
      <c r="D11" s="108"/>
      <c r="E11" s="108"/>
      <c r="F11" s="108"/>
      <c r="G11" s="108"/>
      <c r="H11" s="108"/>
      <c r="I11" s="108"/>
      <c r="J11" s="108"/>
      <c r="K11" s="108"/>
    </row>
    <row r="12" spans="1:13">
      <c r="A12" s="810" t="s">
        <v>2108</v>
      </c>
      <c r="B12" s="94"/>
      <c r="C12" s="94"/>
      <c r="D12" s="94"/>
      <c r="E12" s="94"/>
      <c r="F12" s="94"/>
      <c r="G12" s="94"/>
      <c r="H12" s="94"/>
      <c r="I12" s="94"/>
      <c r="J12" s="94"/>
      <c r="K12" s="94"/>
      <c r="L12" s="94"/>
      <c r="M12" s="94"/>
    </row>
    <row r="13" spans="1:13" ht="22.2" thickBot="1">
      <c r="A13" s="821" t="s">
        <v>1137</v>
      </c>
      <c r="B13" s="821" t="s">
        <v>1138</v>
      </c>
      <c r="C13" s="822" t="s">
        <v>2109</v>
      </c>
      <c r="D13" s="822" t="s">
        <v>929</v>
      </c>
      <c r="E13" s="822" t="s">
        <v>2110</v>
      </c>
      <c r="F13" s="823" t="s">
        <v>2111</v>
      </c>
      <c r="G13" s="822" t="s">
        <v>1464</v>
      </c>
      <c r="H13" s="822" t="s">
        <v>1097</v>
      </c>
      <c r="I13" s="822" t="s">
        <v>2112</v>
      </c>
      <c r="J13" s="822" t="s">
        <v>2113</v>
      </c>
      <c r="K13" s="824" t="s">
        <v>2114</v>
      </c>
      <c r="L13" s="821" t="s">
        <v>2115</v>
      </c>
      <c r="M13" s="823" t="s">
        <v>2116</v>
      </c>
    </row>
    <row r="14" spans="1:13">
      <c r="A14" s="825" t="s">
        <v>2117</v>
      </c>
      <c r="B14" s="825" t="s">
        <v>1517</v>
      </c>
      <c r="C14" s="826" t="s">
        <v>2118</v>
      </c>
      <c r="D14" s="827" t="s">
        <v>1169</v>
      </c>
      <c r="E14" s="1044">
        <v>46064</v>
      </c>
      <c r="F14" s="828">
        <f t="shared" ref="F14:F61" si="0">IF(E14="","",$E$3-E14)</f>
        <v>180</v>
      </c>
      <c r="G14" s="1045">
        <v>26628.83</v>
      </c>
      <c r="H14" s="1045">
        <v>0</v>
      </c>
      <c r="I14" s="1045">
        <v>1565.06</v>
      </c>
      <c r="J14" s="1045">
        <v>24262.959999999999</v>
      </c>
      <c r="K14" s="1046">
        <f t="shared" ref="K14:K61" si="1">I14+J14</f>
        <v>25828.02</v>
      </c>
      <c r="L14" s="829" t="str">
        <f t="shared" ref="L14:L61" si="2">IF(F14&gt;=60,"ELIGIBLE","Not yet 60d")</f>
        <v>ELIGIBLE</v>
      </c>
      <c r="M14" s="830"/>
    </row>
    <row r="15" spans="1:13">
      <c r="A15" s="831" t="s">
        <v>2119</v>
      </c>
      <c r="B15" s="831" t="s">
        <v>1961</v>
      </c>
      <c r="C15" s="832" t="s">
        <v>2120</v>
      </c>
      <c r="D15" s="833" t="s">
        <v>1167</v>
      </c>
      <c r="E15" s="1047">
        <v>46060</v>
      </c>
      <c r="F15" s="834">
        <f t="shared" si="0"/>
        <v>184</v>
      </c>
      <c r="G15" s="1048">
        <v>16185.1</v>
      </c>
      <c r="H15" s="1048">
        <v>0</v>
      </c>
      <c r="I15" s="1048">
        <v>76.19</v>
      </c>
      <c r="J15" s="1048">
        <v>16032.72</v>
      </c>
      <c r="K15" s="1049">
        <f t="shared" si="1"/>
        <v>16108.91</v>
      </c>
      <c r="L15" s="835" t="str">
        <f t="shared" si="2"/>
        <v>ELIGIBLE</v>
      </c>
      <c r="M15" s="836"/>
    </row>
    <row r="16" spans="1:13">
      <c r="A16" s="831" t="s">
        <v>2121</v>
      </c>
      <c r="B16" s="831" t="s">
        <v>2122</v>
      </c>
      <c r="C16" s="832" t="s">
        <v>2118</v>
      </c>
      <c r="D16" s="837" t="s">
        <v>1169</v>
      </c>
      <c r="E16" s="1047">
        <v>46045</v>
      </c>
      <c r="F16" s="834">
        <f t="shared" si="0"/>
        <v>199</v>
      </c>
      <c r="G16" s="1048">
        <v>15722.78</v>
      </c>
      <c r="H16" s="1048">
        <v>0</v>
      </c>
      <c r="I16" s="1048">
        <v>56.54</v>
      </c>
      <c r="J16" s="1048">
        <v>15609.7</v>
      </c>
      <c r="K16" s="1049">
        <f t="shared" si="1"/>
        <v>15666.240000000002</v>
      </c>
      <c r="L16" s="835" t="str">
        <f t="shared" si="2"/>
        <v>ELIGIBLE</v>
      </c>
      <c r="M16" s="836"/>
    </row>
    <row r="17" spans="1:13">
      <c r="A17" s="831" t="s">
        <v>2123</v>
      </c>
      <c r="B17" s="831" t="s">
        <v>2124</v>
      </c>
      <c r="C17" s="832" t="s">
        <v>2120</v>
      </c>
      <c r="D17" s="833" t="s">
        <v>1167</v>
      </c>
      <c r="E17" s="1047">
        <v>46069</v>
      </c>
      <c r="F17" s="834">
        <f t="shared" si="0"/>
        <v>175</v>
      </c>
      <c r="G17" s="1048">
        <v>12713.45</v>
      </c>
      <c r="H17" s="1048">
        <v>0</v>
      </c>
      <c r="I17" s="1048">
        <v>73.81</v>
      </c>
      <c r="J17" s="1048">
        <v>12565.83</v>
      </c>
      <c r="K17" s="1049">
        <f t="shared" si="1"/>
        <v>12639.64</v>
      </c>
      <c r="L17" s="835" t="str">
        <f t="shared" si="2"/>
        <v>ELIGIBLE</v>
      </c>
      <c r="M17" s="836"/>
    </row>
    <row r="18" spans="1:13">
      <c r="A18" s="831" t="s">
        <v>2125</v>
      </c>
      <c r="B18" s="831" t="s">
        <v>1519</v>
      </c>
      <c r="C18" s="832" t="s">
        <v>2120</v>
      </c>
      <c r="D18" s="833" t="s">
        <v>1167</v>
      </c>
      <c r="E18" s="1047">
        <v>46070</v>
      </c>
      <c r="F18" s="834">
        <f t="shared" si="0"/>
        <v>174</v>
      </c>
      <c r="G18" s="1048">
        <v>12763.04</v>
      </c>
      <c r="H18" s="1048">
        <v>0</v>
      </c>
      <c r="I18" s="1048">
        <v>959.18</v>
      </c>
      <c r="J18" s="1048">
        <v>10602.68</v>
      </c>
      <c r="K18" s="1049">
        <f t="shared" si="1"/>
        <v>11561.86</v>
      </c>
      <c r="L18" s="835" t="str">
        <f t="shared" si="2"/>
        <v>ELIGIBLE</v>
      </c>
      <c r="M18" s="836"/>
    </row>
    <row r="19" spans="1:13">
      <c r="A19" s="831" t="s">
        <v>2126</v>
      </c>
      <c r="B19" s="831" t="s">
        <v>2127</v>
      </c>
      <c r="C19" s="832" t="s">
        <v>2118</v>
      </c>
      <c r="D19" s="837" t="s">
        <v>1169</v>
      </c>
      <c r="E19" s="1047">
        <v>46184</v>
      </c>
      <c r="F19" s="834">
        <f t="shared" si="0"/>
        <v>60</v>
      </c>
      <c r="G19" s="1048">
        <v>12041.62</v>
      </c>
      <c r="H19" s="1048">
        <v>0</v>
      </c>
      <c r="I19" s="1048">
        <v>907.66</v>
      </c>
      <c r="J19" s="1048">
        <v>10559.3</v>
      </c>
      <c r="K19" s="1049">
        <f t="shared" si="1"/>
        <v>11466.96</v>
      </c>
      <c r="L19" s="835" t="str">
        <f t="shared" si="2"/>
        <v>ELIGIBLE</v>
      </c>
      <c r="M19" s="836"/>
    </row>
    <row r="20" spans="1:13">
      <c r="A20" s="831" t="s">
        <v>2128</v>
      </c>
      <c r="B20" s="831" t="s">
        <v>2129</v>
      </c>
      <c r="C20" s="832" t="s">
        <v>2118</v>
      </c>
      <c r="D20" s="833" t="s">
        <v>1169</v>
      </c>
      <c r="E20" s="1047">
        <v>46202</v>
      </c>
      <c r="F20" s="834">
        <f t="shared" si="0"/>
        <v>42</v>
      </c>
      <c r="G20" s="1048">
        <v>11292.26</v>
      </c>
      <c r="H20" s="1048">
        <v>0</v>
      </c>
      <c r="I20" s="1048">
        <v>1699.68</v>
      </c>
      <c r="J20" s="1048">
        <v>3505.45</v>
      </c>
      <c r="K20" s="1049">
        <f t="shared" si="1"/>
        <v>5205.13</v>
      </c>
      <c r="L20" s="835" t="str">
        <f t="shared" si="2"/>
        <v>Not yet 60d</v>
      </c>
      <c r="M20" s="836"/>
    </row>
    <row r="21" spans="1:13">
      <c r="A21" s="831" t="s">
        <v>2130</v>
      </c>
      <c r="B21" s="831" t="s">
        <v>2131</v>
      </c>
      <c r="C21" s="832" t="s">
        <v>2132</v>
      </c>
      <c r="D21" s="368" t="s">
        <v>2009</v>
      </c>
      <c r="E21" s="1047">
        <v>46223</v>
      </c>
      <c r="F21" s="834">
        <f t="shared" si="0"/>
        <v>21</v>
      </c>
      <c r="G21" s="1048">
        <v>15452.24</v>
      </c>
      <c r="H21" s="1048">
        <v>1667.27</v>
      </c>
      <c r="I21" s="1048">
        <v>1674.19</v>
      </c>
      <c r="J21" s="1048">
        <v>10436.59</v>
      </c>
      <c r="K21" s="1049">
        <f t="shared" si="1"/>
        <v>12110.78</v>
      </c>
      <c r="L21" s="835" t="str">
        <f t="shared" si="2"/>
        <v>Not yet 60d</v>
      </c>
      <c r="M21" s="836"/>
    </row>
    <row r="22" spans="1:13">
      <c r="A22" s="831" t="s">
        <v>2133</v>
      </c>
      <c r="B22" s="831" t="s">
        <v>2134</v>
      </c>
      <c r="C22" s="832" t="s">
        <v>2135</v>
      </c>
      <c r="D22" s="833" t="s">
        <v>1171</v>
      </c>
      <c r="E22" s="1047">
        <v>46037</v>
      </c>
      <c r="F22" s="834">
        <f t="shared" si="0"/>
        <v>207</v>
      </c>
      <c r="G22" s="1048">
        <v>8896.5499999999993</v>
      </c>
      <c r="H22" s="1048">
        <v>0</v>
      </c>
      <c r="I22" s="1048">
        <v>74.75</v>
      </c>
      <c r="J22" s="1048">
        <v>8747.0499999999993</v>
      </c>
      <c r="K22" s="1049">
        <f t="shared" si="1"/>
        <v>8821.7999999999993</v>
      </c>
      <c r="L22" s="835" t="str">
        <f t="shared" si="2"/>
        <v>ELIGIBLE</v>
      </c>
      <c r="M22" s="836"/>
    </row>
    <row r="23" spans="1:13">
      <c r="A23" s="831" t="s">
        <v>2136</v>
      </c>
      <c r="B23" s="831" t="s">
        <v>2137</v>
      </c>
      <c r="C23" s="832" t="s">
        <v>2120</v>
      </c>
      <c r="D23" s="833" t="s">
        <v>1167</v>
      </c>
      <c r="E23" s="1047">
        <v>46045</v>
      </c>
      <c r="F23" s="834">
        <f t="shared" si="0"/>
        <v>199</v>
      </c>
      <c r="G23" s="1048">
        <v>8591.7900000000009</v>
      </c>
      <c r="H23" s="1048">
        <v>0</v>
      </c>
      <c r="I23" s="1048">
        <v>60.87</v>
      </c>
      <c r="J23" s="1048">
        <v>8470.0499999999993</v>
      </c>
      <c r="K23" s="1049">
        <f t="shared" si="1"/>
        <v>8530.92</v>
      </c>
      <c r="L23" s="835" t="str">
        <f t="shared" si="2"/>
        <v>ELIGIBLE</v>
      </c>
      <c r="M23" s="836"/>
    </row>
    <row r="24" spans="1:13">
      <c r="A24" s="831" t="s">
        <v>2138</v>
      </c>
      <c r="B24" s="831" t="s">
        <v>2139</v>
      </c>
      <c r="C24" s="832" t="s">
        <v>2120</v>
      </c>
      <c r="D24" s="833" t="s">
        <v>1167</v>
      </c>
      <c r="E24" s="1047">
        <v>46045</v>
      </c>
      <c r="F24" s="834">
        <f t="shared" si="0"/>
        <v>199</v>
      </c>
      <c r="G24" s="1048">
        <v>8598.17</v>
      </c>
      <c r="H24" s="1048">
        <v>0</v>
      </c>
      <c r="I24" s="1048">
        <v>71.59</v>
      </c>
      <c r="J24" s="1048">
        <v>8454.99</v>
      </c>
      <c r="K24" s="1049">
        <f t="shared" si="1"/>
        <v>8526.58</v>
      </c>
      <c r="L24" s="835" t="str">
        <f t="shared" si="2"/>
        <v>ELIGIBLE</v>
      </c>
      <c r="M24" s="836"/>
    </row>
    <row r="25" spans="1:13">
      <c r="A25" s="838" t="s">
        <v>2140</v>
      </c>
      <c r="B25" s="838" t="s">
        <v>2141</v>
      </c>
      <c r="C25" s="839" t="s">
        <v>2118</v>
      </c>
      <c r="D25" s="833" t="s">
        <v>1169</v>
      </c>
      <c r="E25" s="1050">
        <v>46234</v>
      </c>
      <c r="F25" s="840">
        <f t="shared" si="0"/>
        <v>10</v>
      </c>
      <c r="G25" s="1051">
        <v>10829.9</v>
      </c>
      <c r="H25" s="1051">
        <v>0</v>
      </c>
      <c r="I25" s="1051">
        <v>1172.19</v>
      </c>
      <c r="J25" s="1051">
        <v>5704.82</v>
      </c>
      <c r="K25" s="1052">
        <f t="shared" si="1"/>
        <v>6877.01</v>
      </c>
      <c r="L25" s="835" t="str">
        <f t="shared" si="2"/>
        <v>Not yet 60d</v>
      </c>
      <c r="M25" s="381" t="s">
        <v>1518</v>
      </c>
    </row>
    <row r="26" spans="1:13">
      <c r="A26" s="831" t="s">
        <v>2142</v>
      </c>
      <c r="B26" s="831" t="s">
        <v>1965</v>
      </c>
      <c r="C26" s="832" t="s">
        <v>2118</v>
      </c>
      <c r="D26" s="368" t="s">
        <v>1169</v>
      </c>
      <c r="E26" s="1047">
        <v>46191</v>
      </c>
      <c r="F26" s="834">
        <f t="shared" si="0"/>
        <v>53</v>
      </c>
      <c r="G26" s="1048">
        <v>7430.27</v>
      </c>
      <c r="H26" s="1048">
        <v>0</v>
      </c>
      <c r="I26" s="1048">
        <v>820.19</v>
      </c>
      <c r="J26" s="1048">
        <v>5338.89</v>
      </c>
      <c r="K26" s="1049">
        <f t="shared" si="1"/>
        <v>6159.08</v>
      </c>
      <c r="L26" s="835" t="str">
        <f t="shared" si="2"/>
        <v>Not yet 60d</v>
      </c>
      <c r="M26" s="836"/>
    </row>
    <row r="27" spans="1:13">
      <c r="A27" s="831" t="s">
        <v>2143</v>
      </c>
      <c r="B27" s="831" t="s">
        <v>1945</v>
      </c>
      <c r="C27" s="832" t="s">
        <v>2120</v>
      </c>
      <c r="D27" s="833" t="s">
        <v>1167</v>
      </c>
      <c r="E27" s="1047">
        <v>46262</v>
      </c>
      <c r="F27" s="834">
        <f t="shared" si="0"/>
        <v>-18</v>
      </c>
      <c r="G27" s="1048">
        <v>10134.23</v>
      </c>
      <c r="H27" s="1048">
        <v>0</v>
      </c>
      <c r="I27" s="1048">
        <v>1364.67</v>
      </c>
      <c r="J27" s="1048">
        <v>4328.9399999999996</v>
      </c>
      <c r="K27" s="1049">
        <f t="shared" si="1"/>
        <v>5693.61</v>
      </c>
      <c r="L27" s="835" t="str">
        <f t="shared" si="2"/>
        <v>Not yet 60d</v>
      </c>
      <c r="M27" s="836"/>
    </row>
    <row r="28" spans="1:13">
      <c r="A28" s="838" t="s">
        <v>2144</v>
      </c>
      <c r="B28" s="838" t="s">
        <v>1565</v>
      </c>
      <c r="C28" s="839" t="s">
        <v>2118</v>
      </c>
      <c r="D28" s="833" t="s">
        <v>1169</v>
      </c>
      <c r="E28" s="1050">
        <v>46182</v>
      </c>
      <c r="F28" s="840">
        <f t="shared" si="0"/>
        <v>62</v>
      </c>
      <c r="G28" s="1051">
        <v>13768.56</v>
      </c>
      <c r="H28" s="1051">
        <v>5137.76</v>
      </c>
      <c r="I28" s="1051">
        <v>1112.8699999999999</v>
      </c>
      <c r="J28" s="1051">
        <v>6405.06</v>
      </c>
      <c r="K28" s="1052">
        <f t="shared" si="1"/>
        <v>7517.93</v>
      </c>
      <c r="L28" s="835" t="str">
        <f t="shared" si="2"/>
        <v>ELIGIBLE</v>
      </c>
      <c r="M28" s="381" t="s">
        <v>1518</v>
      </c>
    </row>
    <row r="29" spans="1:13">
      <c r="A29" s="831" t="s">
        <v>2145</v>
      </c>
      <c r="B29" s="831" t="s">
        <v>2146</v>
      </c>
      <c r="C29" s="832" t="s">
        <v>2120</v>
      </c>
      <c r="D29" s="833" t="s">
        <v>1167</v>
      </c>
      <c r="E29" s="1047">
        <v>46186</v>
      </c>
      <c r="F29" s="834">
        <f t="shared" si="0"/>
        <v>58</v>
      </c>
      <c r="G29" s="1048">
        <v>5753.39</v>
      </c>
      <c r="H29" s="1048">
        <v>0</v>
      </c>
      <c r="I29" s="1048">
        <v>56.54</v>
      </c>
      <c r="J29" s="1048">
        <v>5640.31</v>
      </c>
      <c r="K29" s="1049">
        <f t="shared" si="1"/>
        <v>5696.85</v>
      </c>
      <c r="L29" s="835" t="str">
        <f t="shared" si="2"/>
        <v>Not yet 60d</v>
      </c>
      <c r="M29" s="836"/>
    </row>
    <row r="30" spans="1:13">
      <c r="A30" s="831" t="s">
        <v>2147</v>
      </c>
      <c r="B30" s="831" t="s">
        <v>2148</v>
      </c>
      <c r="C30" s="832" t="s">
        <v>2120</v>
      </c>
      <c r="D30" s="837" t="s">
        <v>1167</v>
      </c>
      <c r="E30" s="1047">
        <v>46045</v>
      </c>
      <c r="F30" s="834">
        <f t="shared" si="0"/>
        <v>199</v>
      </c>
      <c r="G30" s="1048">
        <v>5839.16</v>
      </c>
      <c r="H30" s="1048">
        <v>0</v>
      </c>
      <c r="I30" s="1048">
        <v>96.28</v>
      </c>
      <c r="J30" s="1048">
        <v>5646.6</v>
      </c>
      <c r="K30" s="1049">
        <f t="shared" si="1"/>
        <v>5742.88</v>
      </c>
      <c r="L30" s="835" t="str">
        <f t="shared" si="2"/>
        <v>ELIGIBLE</v>
      </c>
      <c r="M30" s="836"/>
    </row>
    <row r="31" spans="1:13">
      <c r="A31" s="831" t="s">
        <v>2149</v>
      </c>
      <c r="B31" s="831" t="s">
        <v>1834</v>
      </c>
      <c r="C31" s="832" t="s">
        <v>2120</v>
      </c>
      <c r="D31" s="837" t="s">
        <v>1167</v>
      </c>
      <c r="E31" s="1047">
        <v>46045</v>
      </c>
      <c r="F31" s="834">
        <f t="shared" si="0"/>
        <v>199</v>
      </c>
      <c r="G31" s="1048">
        <v>7353.47</v>
      </c>
      <c r="H31" s="1048">
        <v>0</v>
      </c>
      <c r="I31" s="1048">
        <v>60.87</v>
      </c>
      <c r="J31" s="1048">
        <v>7231.73</v>
      </c>
      <c r="K31" s="1049">
        <f t="shared" si="1"/>
        <v>7292.5999999999995</v>
      </c>
      <c r="L31" s="835" t="str">
        <f t="shared" si="2"/>
        <v>ELIGIBLE</v>
      </c>
      <c r="M31" s="836"/>
    </row>
    <row r="32" spans="1:13">
      <c r="A32" s="838" t="s">
        <v>2150</v>
      </c>
      <c r="B32" s="838" t="s">
        <v>1521</v>
      </c>
      <c r="C32" s="839" t="s">
        <v>2118</v>
      </c>
      <c r="D32" s="837" t="s">
        <v>1169</v>
      </c>
      <c r="E32" s="1050">
        <v>46353</v>
      </c>
      <c r="F32" s="840">
        <f t="shared" si="0"/>
        <v>-109</v>
      </c>
      <c r="G32" s="1051">
        <v>9482.35</v>
      </c>
      <c r="H32" s="1051">
        <v>0</v>
      </c>
      <c r="I32" s="1051">
        <v>1284.8699999999999</v>
      </c>
      <c r="J32" s="1051">
        <v>4043.91</v>
      </c>
      <c r="K32" s="1052">
        <f t="shared" si="1"/>
        <v>5328.78</v>
      </c>
      <c r="L32" s="835" t="str">
        <f t="shared" si="2"/>
        <v>Not yet 60d</v>
      </c>
      <c r="M32" s="381" t="s">
        <v>1518</v>
      </c>
    </row>
    <row r="33" spans="1:13">
      <c r="A33" s="831" t="s">
        <v>2151</v>
      </c>
      <c r="B33" s="831" t="s">
        <v>1522</v>
      </c>
      <c r="C33" s="832" t="s">
        <v>2118</v>
      </c>
      <c r="D33" s="833" t="s">
        <v>1169</v>
      </c>
      <c r="E33" s="1047">
        <v>46295</v>
      </c>
      <c r="F33" s="834">
        <f t="shared" si="0"/>
        <v>-51</v>
      </c>
      <c r="G33" s="1048">
        <v>9117.59</v>
      </c>
      <c r="H33" s="1048">
        <v>0</v>
      </c>
      <c r="I33" s="1048">
        <v>1423.28</v>
      </c>
      <c r="J33" s="1048">
        <v>1423.28</v>
      </c>
      <c r="K33" s="1049">
        <f t="shared" si="1"/>
        <v>2846.56</v>
      </c>
      <c r="L33" s="835" t="str">
        <f t="shared" si="2"/>
        <v>Not yet 60d</v>
      </c>
      <c r="M33" s="836"/>
    </row>
    <row r="34" spans="1:13">
      <c r="A34" s="831" t="s">
        <v>2152</v>
      </c>
      <c r="B34" s="831" t="s">
        <v>1525</v>
      </c>
      <c r="C34" s="832" t="s">
        <v>2118</v>
      </c>
      <c r="D34" s="837" t="s">
        <v>1169</v>
      </c>
      <c r="E34" s="1047">
        <v>46203</v>
      </c>
      <c r="F34" s="834">
        <f t="shared" si="0"/>
        <v>41</v>
      </c>
      <c r="G34" s="1048">
        <v>7752.3</v>
      </c>
      <c r="H34" s="1048">
        <v>0</v>
      </c>
      <c r="I34" s="1048">
        <v>1498.67</v>
      </c>
      <c r="J34" s="1048">
        <v>2999.96</v>
      </c>
      <c r="K34" s="1049">
        <f t="shared" si="1"/>
        <v>4498.63</v>
      </c>
      <c r="L34" s="835" t="str">
        <f t="shared" si="2"/>
        <v>Not yet 60d</v>
      </c>
      <c r="M34" s="836"/>
    </row>
    <row r="35" spans="1:13">
      <c r="A35" s="831" t="s">
        <v>1091</v>
      </c>
      <c r="B35" s="831" t="s">
        <v>1570</v>
      </c>
      <c r="C35" s="832" t="s">
        <v>2118</v>
      </c>
      <c r="D35" s="837" t="s">
        <v>1169</v>
      </c>
      <c r="E35" s="1047">
        <v>46152</v>
      </c>
      <c r="F35" s="834">
        <f t="shared" si="0"/>
        <v>92</v>
      </c>
      <c r="G35" s="1048">
        <v>8354.07</v>
      </c>
      <c r="H35" s="1048">
        <v>3538.33</v>
      </c>
      <c r="I35" s="1048">
        <v>2385.89</v>
      </c>
      <c r="J35" s="1048">
        <v>0</v>
      </c>
      <c r="K35" s="1049">
        <f t="shared" si="1"/>
        <v>2385.89</v>
      </c>
      <c r="L35" s="835" t="str">
        <f t="shared" si="2"/>
        <v>ELIGIBLE</v>
      </c>
      <c r="M35" s="836"/>
    </row>
    <row r="36" spans="1:13">
      <c r="A36" s="831" t="s">
        <v>2153</v>
      </c>
      <c r="B36" s="831" t="s">
        <v>1572</v>
      </c>
      <c r="C36" s="832" t="s">
        <v>2118</v>
      </c>
      <c r="D36" s="837" t="s">
        <v>1169</v>
      </c>
      <c r="E36" s="1047">
        <v>46120</v>
      </c>
      <c r="F36" s="834">
        <f t="shared" si="0"/>
        <v>124</v>
      </c>
      <c r="G36" s="1048">
        <v>7167.71</v>
      </c>
      <c r="H36" s="1048">
        <v>3917.69</v>
      </c>
      <c r="I36" s="1048">
        <v>1550.01</v>
      </c>
      <c r="J36" s="1048">
        <v>200</v>
      </c>
      <c r="K36" s="1049">
        <f t="shared" si="1"/>
        <v>1750.01</v>
      </c>
      <c r="L36" s="835" t="str">
        <f t="shared" si="2"/>
        <v>ELIGIBLE</v>
      </c>
      <c r="M36" s="836"/>
    </row>
    <row r="37" spans="1:13">
      <c r="A37" s="831" t="s">
        <v>2154</v>
      </c>
      <c r="B37" s="831" t="s">
        <v>1569</v>
      </c>
      <c r="C37" s="832" t="s">
        <v>2118</v>
      </c>
      <c r="D37" s="368" t="s">
        <v>1169</v>
      </c>
      <c r="E37" s="1047">
        <v>46114</v>
      </c>
      <c r="F37" s="834">
        <f t="shared" si="0"/>
        <v>130</v>
      </c>
      <c r="G37" s="1048">
        <v>8376.2000000000007</v>
      </c>
      <c r="H37" s="1048">
        <v>3505.73</v>
      </c>
      <c r="I37" s="1048">
        <v>1152.54</v>
      </c>
      <c r="J37" s="1048">
        <v>2565.39</v>
      </c>
      <c r="K37" s="1049">
        <f t="shared" si="1"/>
        <v>3717.93</v>
      </c>
      <c r="L37" s="835" t="str">
        <f t="shared" si="2"/>
        <v>ELIGIBLE</v>
      </c>
      <c r="M37" s="836"/>
    </row>
    <row r="38" spans="1:13">
      <c r="A38" s="831" t="s">
        <v>2155</v>
      </c>
      <c r="B38" s="831" t="s">
        <v>1529</v>
      </c>
      <c r="C38" s="832" t="s">
        <v>2118</v>
      </c>
      <c r="D38" s="837" t="s">
        <v>1169</v>
      </c>
      <c r="E38" s="1047">
        <v>46146</v>
      </c>
      <c r="F38" s="834">
        <f t="shared" si="0"/>
        <v>98</v>
      </c>
      <c r="G38" s="1048">
        <v>5976.83</v>
      </c>
      <c r="H38" s="1048">
        <v>0</v>
      </c>
      <c r="I38" s="1048">
        <v>1189.54</v>
      </c>
      <c r="J38" s="1048">
        <v>2625.75</v>
      </c>
      <c r="K38" s="1049">
        <f t="shared" si="1"/>
        <v>3815.29</v>
      </c>
      <c r="L38" s="835" t="str">
        <f t="shared" si="2"/>
        <v>ELIGIBLE</v>
      </c>
      <c r="M38" s="836"/>
    </row>
    <row r="39" spans="1:13">
      <c r="A39" s="831" t="s">
        <v>2156</v>
      </c>
      <c r="B39" s="831" t="s">
        <v>1963</v>
      </c>
      <c r="C39" s="832" t="s">
        <v>2120</v>
      </c>
      <c r="D39" s="837" t="s">
        <v>1167</v>
      </c>
      <c r="E39" s="1047">
        <v>46167</v>
      </c>
      <c r="F39" s="834">
        <f t="shared" si="0"/>
        <v>77</v>
      </c>
      <c r="G39" s="1048">
        <v>7291.69</v>
      </c>
      <c r="H39" s="1048">
        <v>0</v>
      </c>
      <c r="I39" s="1048">
        <v>70.11</v>
      </c>
      <c r="J39" s="1048">
        <v>7151.47</v>
      </c>
      <c r="K39" s="1049">
        <f t="shared" si="1"/>
        <v>7221.58</v>
      </c>
      <c r="L39" s="835" t="str">
        <f t="shared" si="2"/>
        <v>ELIGIBLE</v>
      </c>
      <c r="M39" s="836"/>
    </row>
    <row r="40" spans="1:13">
      <c r="A40" s="831" t="s">
        <v>2157</v>
      </c>
      <c r="B40" s="831" t="s">
        <v>2158</v>
      </c>
      <c r="C40" s="832" t="s">
        <v>2120</v>
      </c>
      <c r="D40" s="837" t="s">
        <v>1167</v>
      </c>
      <c r="E40" s="1047">
        <v>46136</v>
      </c>
      <c r="F40" s="834">
        <f t="shared" si="0"/>
        <v>108</v>
      </c>
      <c r="G40" s="1048">
        <v>7197.72</v>
      </c>
      <c r="H40" s="1048">
        <v>1821.81</v>
      </c>
      <c r="I40" s="1048">
        <v>1791.97</v>
      </c>
      <c r="J40" s="1048">
        <v>1791.97</v>
      </c>
      <c r="K40" s="1049">
        <f t="shared" si="1"/>
        <v>3583.94</v>
      </c>
      <c r="L40" s="835" t="str">
        <f t="shared" si="2"/>
        <v>ELIGIBLE</v>
      </c>
      <c r="M40" s="836"/>
    </row>
    <row r="41" spans="1:13">
      <c r="A41" s="831" t="s">
        <v>2159</v>
      </c>
      <c r="B41" s="831" t="s">
        <v>1576</v>
      </c>
      <c r="C41" s="832" t="s">
        <v>2135</v>
      </c>
      <c r="D41" s="837" t="s">
        <v>1171</v>
      </c>
      <c r="E41" s="1047">
        <v>46106</v>
      </c>
      <c r="F41" s="834">
        <f t="shared" si="0"/>
        <v>138</v>
      </c>
      <c r="G41" s="1048">
        <v>7624.75</v>
      </c>
      <c r="H41" s="1048">
        <v>2631.5</v>
      </c>
      <c r="I41" s="1048">
        <v>1200.19</v>
      </c>
      <c r="J41" s="1048">
        <v>2473.92</v>
      </c>
      <c r="K41" s="1049">
        <f t="shared" si="1"/>
        <v>3674.11</v>
      </c>
      <c r="L41" s="835" t="str">
        <f t="shared" si="2"/>
        <v>ELIGIBLE</v>
      </c>
      <c r="M41" s="836"/>
    </row>
    <row r="42" spans="1:13">
      <c r="A42" s="838" t="s">
        <v>2160</v>
      </c>
      <c r="B42" s="838" t="s">
        <v>1526</v>
      </c>
      <c r="C42" s="839" t="s">
        <v>2118</v>
      </c>
      <c r="D42" s="841" t="s">
        <v>1169</v>
      </c>
      <c r="E42" s="1050">
        <v>46265</v>
      </c>
      <c r="F42" s="840">
        <f t="shared" si="0"/>
        <v>-21</v>
      </c>
      <c r="G42" s="1051">
        <v>6563.87</v>
      </c>
      <c r="H42" s="1051">
        <v>0</v>
      </c>
      <c r="I42" s="1051">
        <v>1234.19</v>
      </c>
      <c r="J42" s="1051">
        <v>1234.19</v>
      </c>
      <c r="K42" s="1052">
        <f t="shared" si="1"/>
        <v>2468.38</v>
      </c>
      <c r="L42" s="835" t="str">
        <f t="shared" si="2"/>
        <v>Not yet 60d</v>
      </c>
      <c r="M42" s="381" t="s">
        <v>1518</v>
      </c>
    </row>
    <row r="43" spans="1:13">
      <c r="A43" s="831" t="s">
        <v>2161</v>
      </c>
      <c r="B43" s="831" t="s">
        <v>1577</v>
      </c>
      <c r="C43" s="832" t="s">
        <v>2118</v>
      </c>
      <c r="D43" s="837" t="s">
        <v>1169</v>
      </c>
      <c r="E43" s="1047">
        <v>46120</v>
      </c>
      <c r="F43" s="834">
        <f t="shared" si="0"/>
        <v>124</v>
      </c>
      <c r="G43" s="1048">
        <v>6056.26</v>
      </c>
      <c r="H43" s="1048">
        <v>2400.52</v>
      </c>
      <c r="I43" s="1048">
        <v>1218.58</v>
      </c>
      <c r="J43" s="1048">
        <v>1218.58</v>
      </c>
      <c r="K43" s="1049">
        <f t="shared" si="1"/>
        <v>2437.16</v>
      </c>
      <c r="L43" s="835" t="str">
        <f t="shared" si="2"/>
        <v>ELIGIBLE</v>
      </c>
      <c r="M43" s="836"/>
    </row>
    <row r="44" spans="1:13">
      <c r="A44" s="838" t="s">
        <v>2162</v>
      </c>
      <c r="B44" s="838" t="s">
        <v>2163</v>
      </c>
      <c r="C44" s="839" t="s">
        <v>2135</v>
      </c>
      <c r="D44" s="841" t="s">
        <v>1171</v>
      </c>
      <c r="E44" s="1050">
        <v>46045</v>
      </c>
      <c r="F44" s="840">
        <f t="shared" si="0"/>
        <v>199</v>
      </c>
      <c r="G44" s="1051">
        <v>6367.71</v>
      </c>
      <c r="H44" s="1051">
        <v>0</v>
      </c>
      <c r="I44" s="1051">
        <v>71.59</v>
      </c>
      <c r="J44" s="1051">
        <v>6224.53</v>
      </c>
      <c r="K44" s="1052">
        <f t="shared" si="1"/>
        <v>6296.12</v>
      </c>
      <c r="L44" s="835" t="str">
        <f t="shared" si="2"/>
        <v>ELIGIBLE</v>
      </c>
      <c r="M44" s="381" t="s">
        <v>1518</v>
      </c>
    </row>
    <row r="45" spans="1:13">
      <c r="A45" s="838" t="s">
        <v>2164</v>
      </c>
      <c r="B45" s="838" t="s">
        <v>1528</v>
      </c>
      <c r="C45" s="839" t="s">
        <v>2118</v>
      </c>
      <c r="D45" s="841" t="s">
        <v>1169</v>
      </c>
      <c r="E45" s="1050">
        <v>46142</v>
      </c>
      <c r="F45" s="840">
        <f t="shared" si="0"/>
        <v>102</v>
      </c>
      <c r="G45" s="1051">
        <v>6169.06</v>
      </c>
      <c r="H45" s="1051">
        <v>0</v>
      </c>
      <c r="I45" s="1051">
        <v>1073.8699999999999</v>
      </c>
      <c r="J45" s="1051">
        <v>2369.3200000000002</v>
      </c>
      <c r="K45" s="1052">
        <f t="shared" si="1"/>
        <v>3443.19</v>
      </c>
      <c r="L45" s="835" t="str">
        <f t="shared" si="2"/>
        <v>ELIGIBLE</v>
      </c>
      <c r="M45" s="381" t="s">
        <v>1518</v>
      </c>
    </row>
    <row r="46" spans="1:13">
      <c r="A46" s="831" t="s">
        <v>2165</v>
      </c>
      <c r="B46" s="831" t="s">
        <v>1527</v>
      </c>
      <c r="C46" s="832" t="s">
        <v>2118</v>
      </c>
      <c r="D46" s="837" t="s">
        <v>1169</v>
      </c>
      <c r="E46" s="1047">
        <v>46111</v>
      </c>
      <c r="F46" s="834">
        <f t="shared" si="0"/>
        <v>133</v>
      </c>
      <c r="G46" s="1048">
        <v>6109.29</v>
      </c>
      <c r="H46" s="1048">
        <v>0</v>
      </c>
      <c r="I46" s="1048">
        <v>1542.68</v>
      </c>
      <c r="J46" s="1048">
        <v>3495.93</v>
      </c>
      <c r="K46" s="1049">
        <f t="shared" si="1"/>
        <v>5038.6099999999997</v>
      </c>
      <c r="L46" s="835" t="str">
        <f t="shared" si="2"/>
        <v>ELIGIBLE</v>
      </c>
      <c r="M46" s="836"/>
    </row>
    <row r="47" spans="1:13">
      <c r="A47" s="838" t="s">
        <v>2166</v>
      </c>
      <c r="B47" s="838" t="s">
        <v>1575</v>
      </c>
      <c r="C47" s="839" t="s">
        <v>2118</v>
      </c>
      <c r="D47" s="841" t="s">
        <v>1169</v>
      </c>
      <c r="E47" s="1050">
        <v>46120</v>
      </c>
      <c r="F47" s="840">
        <f t="shared" si="0"/>
        <v>124</v>
      </c>
      <c r="G47" s="1051">
        <v>6343.01</v>
      </c>
      <c r="H47" s="1051">
        <v>2759.01</v>
      </c>
      <c r="I47" s="1051">
        <v>933.03</v>
      </c>
      <c r="J47" s="1051">
        <v>1717.94</v>
      </c>
      <c r="K47" s="1052">
        <f t="shared" si="1"/>
        <v>2650.9700000000003</v>
      </c>
      <c r="L47" s="835" t="str">
        <f t="shared" si="2"/>
        <v>ELIGIBLE</v>
      </c>
      <c r="M47" s="381" t="s">
        <v>1518</v>
      </c>
    </row>
    <row r="48" spans="1:13">
      <c r="A48" s="838" t="s">
        <v>1094</v>
      </c>
      <c r="B48" s="838" t="s">
        <v>1524</v>
      </c>
      <c r="C48" s="839" t="s">
        <v>2118</v>
      </c>
      <c r="D48" s="841" t="s">
        <v>1169</v>
      </c>
      <c r="E48" s="1050">
        <v>46065</v>
      </c>
      <c r="F48" s="840">
        <f t="shared" si="0"/>
        <v>179</v>
      </c>
      <c r="G48" s="1051">
        <v>7907.46</v>
      </c>
      <c r="H48" s="1051">
        <v>0</v>
      </c>
      <c r="I48" s="1051">
        <v>953.04</v>
      </c>
      <c r="J48" s="1051">
        <v>5983.13</v>
      </c>
      <c r="K48" s="1052">
        <f t="shared" si="1"/>
        <v>6936.17</v>
      </c>
      <c r="L48" s="835" t="str">
        <f t="shared" si="2"/>
        <v>ELIGIBLE</v>
      </c>
      <c r="M48" s="381" t="s">
        <v>1518</v>
      </c>
    </row>
    <row r="49" spans="1:13">
      <c r="A49" s="838" t="s">
        <v>2167</v>
      </c>
      <c r="B49" s="838" t="s">
        <v>1566</v>
      </c>
      <c r="C49" s="839" t="s">
        <v>2118</v>
      </c>
      <c r="D49" s="841" t="s">
        <v>1169</v>
      </c>
      <c r="E49" s="1050">
        <v>46276</v>
      </c>
      <c r="F49" s="840">
        <f t="shared" si="0"/>
        <v>-32</v>
      </c>
      <c r="G49" s="1051">
        <v>13430.36</v>
      </c>
      <c r="H49" s="1051">
        <v>4358.1499999999996</v>
      </c>
      <c r="I49" s="1051">
        <v>1226.1099999999999</v>
      </c>
      <c r="J49" s="1051">
        <v>6619.99</v>
      </c>
      <c r="K49" s="1052">
        <f t="shared" si="1"/>
        <v>7846.0999999999995</v>
      </c>
      <c r="L49" s="835" t="str">
        <f t="shared" si="2"/>
        <v>Not yet 60d</v>
      </c>
      <c r="M49" s="381" t="s">
        <v>1518</v>
      </c>
    </row>
    <row r="50" spans="1:13">
      <c r="A50" s="831" t="s">
        <v>2168</v>
      </c>
      <c r="B50" s="831" t="s">
        <v>1520</v>
      </c>
      <c r="C50" s="832" t="s">
        <v>2118</v>
      </c>
      <c r="D50" s="837" t="s">
        <v>1169</v>
      </c>
      <c r="E50" s="1047">
        <v>46295</v>
      </c>
      <c r="F50" s="834">
        <f t="shared" si="0"/>
        <v>-51</v>
      </c>
      <c r="G50" s="1048">
        <v>11265.88</v>
      </c>
      <c r="H50" s="1048">
        <v>0</v>
      </c>
      <c r="I50" s="1048">
        <v>1349.13</v>
      </c>
      <c r="J50" s="1048">
        <v>5723.87</v>
      </c>
      <c r="K50" s="1049">
        <f t="shared" si="1"/>
        <v>7073</v>
      </c>
      <c r="L50" s="835" t="str">
        <f t="shared" si="2"/>
        <v>Not yet 60d</v>
      </c>
      <c r="M50" s="836"/>
    </row>
    <row r="51" spans="1:13">
      <c r="A51" s="831" t="s">
        <v>2169</v>
      </c>
      <c r="B51" s="831" t="s">
        <v>1567</v>
      </c>
      <c r="C51" s="832" t="s">
        <v>2118</v>
      </c>
      <c r="D51" s="368" t="s">
        <v>1169</v>
      </c>
      <c r="E51" s="1047">
        <v>46112</v>
      </c>
      <c r="F51" s="834">
        <f t="shared" si="0"/>
        <v>132</v>
      </c>
      <c r="G51" s="1048">
        <v>11452.32</v>
      </c>
      <c r="H51" s="1048">
        <v>7762.66</v>
      </c>
      <c r="I51" s="1048">
        <v>1583.22</v>
      </c>
      <c r="J51" s="1048">
        <v>523.22</v>
      </c>
      <c r="K51" s="1049">
        <f t="shared" si="1"/>
        <v>2106.44</v>
      </c>
      <c r="L51" s="835" t="str">
        <f t="shared" si="2"/>
        <v>ELIGIBLE</v>
      </c>
      <c r="M51" s="836"/>
    </row>
    <row r="52" spans="1:13">
      <c r="A52" s="831" t="s">
        <v>2170</v>
      </c>
      <c r="B52" s="831" t="s">
        <v>2171</v>
      </c>
      <c r="C52" s="832" t="s">
        <v>2118</v>
      </c>
      <c r="D52" s="368" t="s">
        <v>1169</v>
      </c>
      <c r="E52" s="1047">
        <v>46045</v>
      </c>
      <c r="F52" s="834">
        <f t="shared" si="0"/>
        <v>199</v>
      </c>
      <c r="G52" s="1048">
        <v>4871.8900000000003</v>
      </c>
      <c r="H52" s="1048">
        <v>0</v>
      </c>
      <c r="I52" s="1048">
        <v>71.19</v>
      </c>
      <c r="J52" s="1048">
        <v>4729.51</v>
      </c>
      <c r="K52" s="1049">
        <f t="shared" si="1"/>
        <v>4800.7</v>
      </c>
      <c r="L52" s="835" t="str">
        <f t="shared" si="2"/>
        <v>ELIGIBLE</v>
      </c>
      <c r="M52" s="836"/>
    </row>
    <row r="53" spans="1:13">
      <c r="A53" s="838" t="s">
        <v>2172</v>
      </c>
      <c r="B53" s="838" t="s">
        <v>2173</v>
      </c>
      <c r="C53" s="839" t="s">
        <v>2118</v>
      </c>
      <c r="D53" s="841" t="s">
        <v>1169</v>
      </c>
      <c r="E53" s="1050">
        <v>46109</v>
      </c>
      <c r="F53" s="840">
        <f t="shared" si="0"/>
        <v>135</v>
      </c>
      <c r="G53" s="1051">
        <v>4586.82</v>
      </c>
      <c r="H53" s="1051">
        <v>0</v>
      </c>
      <c r="I53" s="1051">
        <v>97.22</v>
      </c>
      <c r="J53" s="1051">
        <v>4392.38</v>
      </c>
      <c r="K53" s="1052">
        <f t="shared" si="1"/>
        <v>4489.6000000000004</v>
      </c>
      <c r="L53" s="835" t="str">
        <f t="shared" si="2"/>
        <v>ELIGIBLE</v>
      </c>
      <c r="M53" s="381" t="s">
        <v>1518</v>
      </c>
    </row>
    <row r="54" spans="1:13">
      <c r="A54" s="838" t="s">
        <v>2174</v>
      </c>
      <c r="B54" s="838" t="s">
        <v>1910</v>
      </c>
      <c r="C54" s="839" t="s">
        <v>2118</v>
      </c>
      <c r="D54" s="841" t="s">
        <v>1169</v>
      </c>
      <c r="E54" s="1050">
        <v>46045</v>
      </c>
      <c r="F54" s="840">
        <f t="shared" si="0"/>
        <v>199</v>
      </c>
      <c r="G54" s="1051">
        <v>3913.47</v>
      </c>
      <c r="H54" s="1051">
        <v>0</v>
      </c>
      <c r="I54" s="1051">
        <v>71.19</v>
      </c>
      <c r="J54" s="1051">
        <v>3771.09</v>
      </c>
      <c r="K54" s="1052">
        <f t="shared" si="1"/>
        <v>3842.28</v>
      </c>
      <c r="L54" s="835" t="str">
        <f t="shared" si="2"/>
        <v>ELIGIBLE</v>
      </c>
      <c r="M54" s="381" t="s">
        <v>1518</v>
      </c>
    </row>
    <row r="55" spans="1:13">
      <c r="A55" s="838" t="s">
        <v>2175</v>
      </c>
      <c r="B55" s="838" t="s">
        <v>2176</v>
      </c>
      <c r="C55" s="839" t="s">
        <v>2135</v>
      </c>
      <c r="D55" s="841" t="s">
        <v>1171</v>
      </c>
      <c r="E55" s="1050">
        <v>46232</v>
      </c>
      <c r="F55" s="840">
        <f t="shared" si="0"/>
        <v>12</v>
      </c>
      <c r="G55" s="1051">
        <v>3846.54</v>
      </c>
      <c r="H55" s="1051">
        <v>0</v>
      </c>
      <c r="I55" s="1051">
        <v>93.66</v>
      </c>
      <c r="J55" s="1051">
        <v>3659.22</v>
      </c>
      <c r="K55" s="1052">
        <f t="shared" si="1"/>
        <v>3752.8799999999997</v>
      </c>
      <c r="L55" s="835" t="str">
        <f t="shared" si="2"/>
        <v>Not yet 60d</v>
      </c>
      <c r="M55" s="381" t="s">
        <v>1518</v>
      </c>
    </row>
    <row r="56" spans="1:13">
      <c r="A56" s="831" t="s">
        <v>2177</v>
      </c>
      <c r="B56" s="831" t="s">
        <v>1531</v>
      </c>
      <c r="C56" s="832" t="s">
        <v>2118</v>
      </c>
      <c r="D56" s="837" t="s">
        <v>1169</v>
      </c>
      <c r="E56" s="1047">
        <v>46112</v>
      </c>
      <c r="F56" s="834">
        <f t="shared" si="0"/>
        <v>132</v>
      </c>
      <c r="G56" s="1048">
        <v>4710.26</v>
      </c>
      <c r="H56" s="1048">
        <v>0</v>
      </c>
      <c r="I56" s="1048">
        <v>1196.1300000000001</v>
      </c>
      <c r="J56" s="1048">
        <v>2736</v>
      </c>
      <c r="K56" s="1049">
        <f t="shared" si="1"/>
        <v>3932.13</v>
      </c>
      <c r="L56" s="835" t="str">
        <f t="shared" si="2"/>
        <v>ELIGIBLE</v>
      </c>
      <c r="M56" s="836"/>
    </row>
    <row r="57" spans="1:13">
      <c r="A57" s="831" t="s">
        <v>2178</v>
      </c>
      <c r="B57" s="831" t="s">
        <v>2179</v>
      </c>
      <c r="C57" s="832" t="s">
        <v>2118</v>
      </c>
      <c r="D57" s="368" t="s">
        <v>1169</v>
      </c>
      <c r="E57" s="1047">
        <v>46203</v>
      </c>
      <c r="F57" s="834">
        <f t="shared" si="0"/>
        <v>41</v>
      </c>
      <c r="G57" s="1048">
        <v>2789.06</v>
      </c>
      <c r="H57" s="1048">
        <v>0</v>
      </c>
      <c r="I57" s="1048">
        <v>2715.93</v>
      </c>
      <c r="J57" s="1048">
        <v>0</v>
      </c>
      <c r="K57" s="1049">
        <f t="shared" si="1"/>
        <v>2715.93</v>
      </c>
      <c r="L57" s="835" t="str">
        <f t="shared" si="2"/>
        <v>Not yet 60d</v>
      </c>
      <c r="M57" s="836"/>
    </row>
    <row r="58" spans="1:13">
      <c r="A58" s="831" t="s">
        <v>2180</v>
      </c>
      <c r="B58" s="831" t="s">
        <v>1540</v>
      </c>
      <c r="C58" s="832" t="s">
        <v>2118</v>
      </c>
      <c r="D58" s="368" t="s">
        <v>1169</v>
      </c>
      <c r="E58" s="1047">
        <v>46081</v>
      </c>
      <c r="F58" s="834">
        <f t="shared" si="0"/>
        <v>163</v>
      </c>
      <c r="G58" s="1048">
        <v>2118.6799999999998</v>
      </c>
      <c r="H58" s="1048">
        <v>0</v>
      </c>
      <c r="I58" s="1048">
        <v>1053.56</v>
      </c>
      <c r="J58" s="1048">
        <v>997.56</v>
      </c>
      <c r="K58" s="1049">
        <f t="shared" si="1"/>
        <v>2051.12</v>
      </c>
      <c r="L58" s="835" t="str">
        <f t="shared" si="2"/>
        <v>ELIGIBLE</v>
      </c>
      <c r="M58" s="836"/>
    </row>
    <row r="59" spans="1:13">
      <c r="A59" s="831" t="s">
        <v>2181</v>
      </c>
      <c r="B59" s="831" t="s">
        <v>2182</v>
      </c>
      <c r="C59" s="832" t="s">
        <v>2118</v>
      </c>
      <c r="D59" s="368" t="s">
        <v>1169</v>
      </c>
      <c r="E59" s="1047">
        <v>46185</v>
      </c>
      <c r="F59" s="834">
        <f t="shared" si="0"/>
        <v>59</v>
      </c>
      <c r="G59" s="1048">
        <v>2927.83</v>
      </c>
      <c r="H59" s="1048">
        <v>0</v>
      </c>
      <c r="I59" s="1048">
        <v>1139.5899999999999</v>
      </c>
      <c r="J59" s="1048">
        <v>1276.6500000000001</v>
      </c>
      <c r="K59" s="1049">
        <f t="shared" si="1"/>
        <v>2416.2399999999998</v>
      </c>
      <c r="L59" s="835" t="str">
        <f t="shared" si="2"/>
        <v>Not yet 60d</v>
      </c>
      <c r="M59" s="836"/>
    </row>
    <row r="60" spans="1:13">
      <c r="A60" s="831" t="s">
        <v>2183</v>
      </c>
      <c r="B60" s="831" t="s">
        <v>2184</v>
      </c>
      <c r="C60" s="832" t="s">
        <v>2135</v>
      </c>
      <c r="D60" s="368" t="s">
        <v>1171</v>
      </c>
      <c r="E60" s="1047">
        <v>46009</v>
      </c>
      <c r="F60" s="834">
        <f t="shared" si="0"/>
        <v>235</v>
      </c>
      <c r="G60" s="1048">
        <v>2008.98</v>
      </c>
      <c r="H60" s="1048">
        <v>0</v>
      </c>
      <c r="I60" s="1048">
        <v>59.26</v>
      </c>
      <c r="J60" s="1048">
        <v>1890.46</v>
      </c>
      <c r="K60" s="1049">
        <f t="shared" si="1"/>
        <v>1949.72</v>
      </c>
      <c r="L60" s="835" t="str">
        <f t="shared" si="2"/>
        <v>ELIGIBLE</v>
      </c>
      <c r="M60" s="836"/>
    </row>
    <row r="61" spans="1:13">
      <c r="A61" s="842" t="s">
        <v>2185</v>
      </c>
      <c r="B61" s="842" t="s">
        <v>2186</v>
      </c>
      <c r="C61" s="843" t="s">
        <v>2135</v>
      </c>
      <c r="D61" s="369" t="s">
        <v>1171</v>
      </c>
      <c r="E61" s="1053">
        <v>46022</v>
      </c>
      <c r="F61" s="844">
        <f t="shared" si="0"/>
        <v>222</v>
      </c>
      <c r="G61" s="1054">
        <v>1983.7</v>
      </c>
      <c r="H61" s="1054">
        <v>0</v>
      </c>
      <c r="I61" s="1054">
        <v>95.9</v>
      </c>
      <c r="J61" s="1054">
        <v>1791.9</v>
      </c>
      <c r="K61" s="1055">
        <f t="shared" si="1"/>
        <v>1887.8000000000002</v>
      </c>
      <c r="L61" s="845" t="str">
        <f t="shared" si="2"/>
        <v>ELIGIBLE</v>
      </c>
      <c r="M61" s="846"/>
    </row>
    <row r="64" spans="1:13">
      <c r="A64" s="847" t="s">
        <v>2187</v>
      </c>
      <c r="B64" s="382"/>
      <c r="C64" s="382"/>
      <c r="D64" s="382"/>
      <c r="E64" s="382"/>
      <c r="F64" s="382"/>
      <c r="G64" s="382"/>
      <c r="H64" s="382"/>
      <c r="I64" s="382"/>
      <c r="J64" s="382"/>
      <c r="K64" s="382"/>
      <c r="L64" s="382"/>
      <c r="M64" s="382"/>
    </row>
    <row r="65" spans="1:8">
      <c r="A65" s="809" t="s">
        <v>2188</v>
      </c>
    </row>
    <row r="66" spans="1:8">
      <c r="A66" s="809" t="s">
        <v>2189</v>
      </c>
    </row>
    <row r="68" spans="1:8" ht="15" thickBot="1">
      <c r="A68" s="848" t="s">
        <v>2017</v>
      </c>
      <c r="B68" s="849" t="s">
        <v>1137</v>
      </c>
      <c r="C68" s="849" t="s">
        <v>1138</v>
      </c>
      <c r="D68" s="848" t="s">
        <v>929</v>
      </c>
      <c r="E68" s="848" t="s">
        <v>2110</v>
      </c>
      <c r="F68" s="848" t="s">
        <v>2190</v>
      </c>
      <c r="G68" s="848" t="s">
        <v>1464</v>
      </c>
      <c r="H68" s="848" t="s">
        <v>2191</v>
      </c>
    </row>
    <row r="69" spans="1:8">
      <c r="A69" s="1124">
        <v>1</v>
      </c>
      <c r="B69" s="1125" t="str">
        <f>B14</f>
        <v>W04-1-0401</v>
      </c>
      <c r="C69" s="1125" t="str">
        <f>A14</f>
        <v>Renee, Breana</v>
      </c>
      <c r="D69" s="1124" t="str">
        <f t="shared" ref="D69:E73" si="3">D14</f>
        <v>Skip</v>
      </c>
      <c r="E69" s="1126">
        <f t="shared" si="3"/>
        <v>46064</v>
      </c>
      <c r="F69" s="1127">
        <f t="shared" ref="F69:F94" si="4">$E$3-E69</f>
        <v>180</v>
      </c>
      <c r="G69" s="1128">
        <f>G14</f>
        <v>26628.83</v>
      </c>
      <c r="H69" s="1129">
        <f>K14</f>
        <v>25828.02</v>
      </c>
    </row>
    <row r="70" spans="1:8">
      <c r="A70" s="1118">
        <v>2</v>
      </c>
      <c r="B70" s="1119" t="str">
        <f>B15</f>
        <v>W17-2-1074</v>
      </c>
      <c r="C70" s="1119" t="str">
        <f>A15</f>
        <v>Harris, Dynisha</v>
      </c>
      <c r="D70" s="1118" t="str">
        <f t="shared" si="3"/>
        <v>Eviction</v>
      </c>
      <c r="E70" s="1120">
        <f t="shared" si="3"/>
        <v>46060</v>
      </c>
      <c r="F70" s="1122">
        <f t="shared" si="4"/>
        <v>184</v>
      </c>
      <c r="G70" s="1121">
        <f>G15</f>
        <v>16185.1</v>
      </c>
      <c r="H70" s="1123">
        <f>K15</f>
        <v>16108.91</v>
      </c>
    </row>
    <row r="71" spans="1:8">
      <c r="A71" s="1118">
        <v>3</v>
      </c>
      <c r="B71" s="1119" t="str">
        <f>B16</f>
        <v>S29-215</v>
      </c>
      <c r="C71" s="1119" t="str">
        <f>A16</f>
        <v>Kangkang, Theophile</v>
      </c>
      <c r="D71" s="1118" t="str">
        <f t="shared" si="3"/>
        <v>Skip</v>
      </c>
      <c r="E71" s="1120">
        <f t="shared" si="3"/>
        <v>46045</v>
      </c>
      <c r="F71" s="1122">
        <f t="shared" si="4"/>
        <v>199</v>
      </c>
      <c r="G71" s="1121">
        <f>G16</f>
        <v>15722.78</v>
      </c>
      <c r="H71" s="1123">
        <f>K16</f>
        <v>15666.240000000002</v>
      </c>
    </row>
    <row r="72" spans="1:8">
      <c r="A72" s="1118">
        <v>4</v>
      </c>
      <c r="B72" s="1119" t="str">
        <f>B17</f>
        <v>W02-1-0215</v>
      </c>
      <c r="C72" s="1119" t="str">
        <f>A17</f>
        <v>Diaz, Ingrid</v>
      </c>
      <c r="D72" s="1118" t="str">
        <f t="shared" si="3"/>
        <v>Eviction</v>
      </c>
      <c r="E72" s="1120">
        <f t="shared" si="3"/>
        <v>46069</v>
      </c>
      <c r="F72" s="1122">
        <f t="shared" si="4"/>
        <v>175</v>
      </c>
      <c r="G72" s="1121">
        <f>G17</f>
        <v>12713.45</v>
      </c>
      <c r="H72" s="1123">
        <f>K17</f>
        <v>12639.64</v>
      </c>
    </row>
    <row r="73" spans="1:8">
      <c r="A73" s="1118">
        <v>5</v>
      </c>
      <c r="B73" s="1119" t="str">
        <f>B18</f>
        <v>W18-2-2070</v>
      </c>
      <c r="C73" s="1119" t="str">
        <f>A18</f>
        <v>Candler, Brittany</v>
      </c>
      <c r="D73" s="1118" t="str">
        <f t="shared" si="3"/>
        <v>Eviction</v>
      </c>
      <c r="E73" s="1120">
        <f t="shared" si="3"/>
        <v>46070</v>
      </c>
      <c r="F73" s="1122">
        <f t="shared" si="4"/>
        <v>174</v>
      </c>
      <c r="G73" s="1121">
        <f>G18</f>
        <v>12763.04</v>
      </c>
      <c r="H73" s="1123">
        <f>K18</f>
        <v>11561.86</v>
      </c>
    </row>
    <row r="74" spans="1:8">
      <c r="A74" s="1118">
        <v>6</v>
      </c>
      <c r="B74" s="1119" t="str">
        <f>B22</f>
        <v>W14-1-1424</v>
      </c>
      <c r="C74" s="1119" t="str">
        <f>A22</f>
        <v>Jonshua, Andrew</v>
      </c>
      <c r="D74" s="1118" t="str">
        <f t="shared" ref="D74:E76" si="5">D22</f>
        <v>Former</v>
      </c>
      <c r="E74" s="1120">
        <f t="shared" si="5"/>
        <v>46037</v>
      </c>
      <c r="F74" s="1122">
        <f t="shared" si="4"/>
        <v>207</v>
      </c>
      <c r="G74" s="1121">
        <f>G22</f>
        <v>8896.5499999999993</v>
      </c>
      <c r="H74" s="1123">
        <f>K22</f>
        <v>8821.7999999999993</v>
      </c>
    </row>
    <row r="75" spans="1:8">
      <c r="A75" s="1118">
        <v>7</v>
      </c>
      <c r="B75" s="1119" t="str">
        <f>B23</f>
        <v>N03-2018</v>
      </c>
      <c r="C75" s="1119" t="str">
        <f>A23</f>
        <v>Amaechi-Okorie, Chigozie</v>
      </c>
      <c r="D75" s="1118" t="str">
        <f t="shared" si="5"/>
        <v>Eviction</v>
      </c>
      <c r="E75" s="1120">
        <f t="shared" si="5"/>
        <v>46045</v>
      </c>
      <c r="F75" s="1122">
        <f t="shared" si="4"/>
        <v>199</v>
      </c>
      <c r="G75" s="1121">
        <f>G23</f>
        <v>8591.7900000000009</v>
      </c>
      <c r="H75" s="1123">
        <f>K23</f>
        <v>8530.92</v>
      </c>
    </row>
    <row r="76" spans="1:8">
      <c r="A76" s="1118">
        <v>8</v>
      </c>
      <c r="B76" s="1119" t="str">
        <f>B24</f>
        <v>W25-2-2028</v>
      </c>
      <c r="C76" s="1119" t="str">
        <f>A24</f>
        <v>Weathers, Desaray</v>
      </c>
      <c r="D76" s="1118" t="str">
        <f t="shared" si="5"/>
        <v>Eviction</v>
      </c>
      <c r="E76" s="1120">
        <f t="shared" si="5"/>
        <v>46045</v>
      </c>
      <c r="F76" s="1122">
        <f t="shared" si="4"/>
        <v>199</v>
      </c>
      <c r="G76" s="1121">
        <f>G24</f>
        <v>8598.17</v>
      </c>
      <c r="H76" s="1123">
        <f>K24</f>
        <v>8526.58</v>
      </c>
    </row>
    <row r="77" spans="1:8">
      <c r="A77" s="1118">
        <v>9</v>
      </c>
      <c r="B77" s="1119" t="str">
        <f>B31</f>
        <v>N03-1020</v>
      </c>
      <c r="C77" s="1119" t="str">
        <f>A31</f>
        <v>Rogers, Symone</v>
      </c>
      <c r="D77" s="1118" t="str">
        <f>D31</f>
        <v>Eviction</v>
      </c>
      <c r="E77" s="1120">
        <f>E31</f>
        <v>46045</v>
      </c>
      <c r="F77" s="1122">
        <f t="shared" si="4"/>
        <v>199</v>
      </c>
      <c r="G77" s="1121">
        <f>G31</f>
        <v>7353.47</v>
      </c>
      <c r="H77" s="1123">
        <f>K31</f>
        <v>7292.5999999999995</v>
      </c>
    </row>
    <row r="78" spans="1:8">
      <c r="A78" s="1118">
        <v>10</v>
      </c>
      <c r="B78" s="1119" t="str">
        <f>B48</f>
        <v>S35-245</v>
      </c>
      <c r="C78" s="1119" t="str">
        <f>A48</f>
        <v>Perez, Jocelyn</v>
      </c>
      <c r="D78" s="1118" t="str">
        <f>D48</f>
        <v>Skip</v>
      </c>
      <c r="E78" s="1120">
        <f>E48</f>
        <v>46065</v>
      </c>
      <c r="F78" s="1122">
        <f t="shared" si="4"/>
        <v>179</v>
      </c>
      <c r="G78" s="1121">
        <f>G48</f>
        <v>7907.46</v>
      </c>
      <c r="H78" s="1123">
        <f>K48</f>
        <v>6936.17</v>
      </c>
    </row>
    <row r="79" spans="1:8">
      <c r="A79" s="1118">
        <v>11</v>
      </c>
      <c r="B79" s="1119" t="str">
        <f>B44</f>
        <v>W23-2-1046</v>
      </c>
      <c r="C79" s="1119" t="str">
        <f>A44</f>
        <v>Weaver, Laquinda</v>
      </c>
      <c r="D79" s="1118" t="str">
        <f>D44</f>
        <v>Former</v>
      </c>
      <c r="E79" s="1120">
        <f>E44</f>
        <v>46045</v>
      </c>
      <c r="F79" s="1122">
        <f t="shared" si="4"/>
        <v>199</v>
      </c>
      <c r="G79" s="1121">
        <f>G44</f>
        <v>6367.71</v>
      </c>
      <c r="H79" s="1123">
        <f>K44</f>
        <v>6296.12</v>
      </c>
    </row>
    <row r="80" spans="1:8">
      <c r="A80" s="1118">
        <v>12</v>
      </c>
      <c r="B80" s="1119" t="str">
        <f>B30</f>
        <v>W08-1-0802</v>
      </c>
      <c r="C80" s="1119" t="str">
        <f>A30</f>
        <v>Butler, Leila</v>
      </c>
      <c r="D80" s="1118" t="str">
        <f>D30</f>
        <v>Eviction</v>
      </c>
      <c r="E80" s="1120">
        <f>E30</f>
        <v>46045</v>
      </c>
      <c r="F80" s="1122">
        <f t="shared" si="4"/>
        <v>199</v>
      </c>
      <c r="G80" s="1121">
        <f>G30</f>
        <v>5839.16</v>
      </c>
      <c r="H80" s="1123">
        <f>K30</f>
        <v>5742.88</v>
      </c>
    </row>
    <row r="81" spans="1:8">
      <c r="A81" s="1118">
        <v>13</v>
      </c>
      <c r="B81" s="1119" t="str">
        <f>B46</f>
        <v>W12-1-1206</v>
      </c>
      <c r="C81" s="1119" t="str">
        <f>A46</f>
        <v>Enrique, Danny</v>
      </c>
      <c r="D81" s="1118" t="str">
        <f>D46</f>
        <v>Skip</v>
      </c>
      <c r="E81" s="1120">
        <f>E46</f>
        <v>46111</v>
      </c>
      <c r="F81" s="1122">
        <f t="shared" si="4"/>
        <v>133</v>
      </c>
      <c r="G81" s="1121">
        <f>G46</f>
        <v>6109.29</v>
      </c>
      <c r="H81" s="1123">
        <f>K46</f>
        <v>5038.6099999999997</v>
      </c>
    </row>
    <row r="82" spans="1:8">
      <c r="A82" s="1118">
        <v>14</v>
      </c>
      <c r="B82" s="1119" t="str">
        <f>B52</f>
        <v>W09-1-0910</v>
      </c>
      <c r="C82" s="1119" t="str">
        <f>A52</f>
        <v>Kouevi, Clarence</v>
      </c>
      <c r="D82" s="1118" t="str">
        <f>D52</f>
        <v>Skip</v>
      </c>
      <c r="E82" s="1120">
        <f>E52</f>
        <v>46045</v>
      </c>
      <c r="F82" s="1122">
        <f t="shared" si="4"/>
        <v>199</v>
      </c>
      <c r="G82" s="1121">
        <f>G52</f>
        <v>4871.8900000000003</v>
      </c>
      <c r="H82" s="1123">
        <f>K52</f>
        <v>4800.7</v>
      </c>
    </row>
    <row r="83" spans="1:8">
      <c r="A83" s="1118">
        <v>15</v>
      </c>
      <c r="B83" s="1119" t="str">
        <f>B53</f>
        <v>W14-1-1423</v>
      </c>
      <c r="C83" s="1119" t="str">
        <f>A53</f>
        <v>Santana, Alvaro</v>
      </c>
      <c r="D83" s="1118" t="str">
        <f>D53</f>
        <v>Skip</v>
      </c>
      <c r="E83" s="1120">
        <f>E53</f>
        <v>46109</v>
      </c>
      <c r="F83" s="1122">
        <f t="shared" si="4"/>
        <v>135</v>
      </c>
      <c r="G83" s="1121">
        <f>G53</f>
        <v>4586.82</v>
      </c>
      <c r="H83" s="1123">
        <f>K53</f>
        <v>4489.6000000000004</v>
      </c>
    </row>
    <row r="84" spans="1:8">
      <c r="A84" s="1118">
        <v>16</v>
      </c>
      <c r="B84" s="1132" t="str">
        <f>B56</f>
        <v>W15-2-3089</v>
      </c>
      <c r="C84" s="1119" t="str">
        <f>A56</f>
        <v>Jose, Yender</v>
      </c>
      <c r="D84" s="1118" t="str">
        <f>D56</f>
        <v>Skip</v>
      </c>
      <c r="E84" s="1120">
        <f>E56</f>
        <v>46112</v>
      </c>
      <c r="F84" s="1122">
        <f t="shared" si="4"/>
        <v>132</v>
      </c>
      <c r="G84" s="1121">
        <f>G56</f>
        <v>4710.26</v>
      </c>
      <c r="H84" s="1123">
        <f>K56</f>
        <v>3932.13</v>
      </c>
    </row>
    <row r="85" spans="1:8">
      <c r="A85" s="1118">
        <v>17</v>
      </c>
      <c r="B85" s="1132" t="str">
        <f>B54</f>
        <v>W04-1-0403</v>
      </c>
      <c r="C85" s="1119" t="str">
        <f>A54</f>
        <v>Rodriguez, Julian</v>
      </c>
      <c r="D85" s="1118" t="str">
        <f>D54</f>
        <v>Skip</v>
      </c>
      <c r="E85" s="1120">
        <f>E54</f>
        <v>46045</v>
      </c>
      <c r="F85" s="1122">
        <f t="shared" si="4"/>
        <v>199</v>
      </c>
      <c r="G85" s="1121">
        <f>G54</f>
        <v>3913.47</v>
      </c>
      <c r="H85" s="1123">
        <f>K54</f>
        <v>3842.28</v>
      </c>
    </row>
    <row r="86" spans="1:8">
      <c r="A86" s="1118">
        <v>18</v>
      </c>
      <c r="B86" s="1132" t="str">
        <f>B37</f>
        <v>S33-235</v>
      </c>
      <c r="C86" s="1119" t="str">
        <f>A37</f>
        <v>Williams, Latesha</v>
      </c>
      <c r="D86" s="1118" t="str">
        <f>D37</f>
        <v>Skip</v>
      </c>
      <c r="E86" s="1120">
        <f>E37</f>
        <v>46114</v>
      </c>
      <c r="F86" s="1122">
        <f t="shared" si="4"/>
        <v>130</v>
      </c>
      <c r="G86" s="1121">
        <f>G37</f>
        <v>8376.2000000000007</v>
      </c>
      <c r="H86" s="1123">
        <f>K37</f>
        <v>3717.93</v>
      </c>
    </row>
    <row r="87" spans="1:8">
      <c r="A87" s="1118">
        <v>19</v>
      </c>
      <c r="B87" s="1132" t="str">
        <f>B41</f>
        <v>W11-1-1106</v>
      </c>
      <c r="C87" s="1119" t="str">
        <f>A41</f>
        <v>Brown, Tamiko</v>
      </c>
      <c r="D87" s="1118" t="str">
        <f>D41</f>
        <v>Former</v>
      </c>
      <c r="E87" s="1120">
        <f>E41</f>
        <v>46106</v>
      </c>
      <c r="F87" s="1122">
        <f t="shared" si="4"/>
        <v>138</v>
      </c>
      <c r="G87" s="1121">
        <f>G41</f>
        <v>7624.75</v>
      </c>
      <c r="H87" s="1123">
        <f>K41</f>
        <v>3674.11</v>
      </c>
    </row>
    <row r="88" spans="1:8">
      <c r="A88" s="1118">
        <v>20</v>
      </c>
      <c r="B88" s="1132" t="str">
        <f>B47</f>
        <v>W05-1-0521</v>
      </c>
      <c r="C88" s="1119" t="str">
        <f>A47</f>
        <v>Hugo Gonzalez, Jose</v>
      </c>
      <c r="D88" s="1118" t="str">
        <f>D47</f>
        <v>Skip</v>
      </c>
      <c r="E88" s="1120">
        <f>E47</f>
        <v>46120</v>
      </c>
      <c r="F88" s="1122">
        <f t="shared" si="4"/>
        <v>124</v>
      </c>
      <c r="G88" s="1121">
        <f>G47</f>
        <v>6343.01</v>
      </c>
      <c r="H88" s="1123">
        <f>K47</f>
        <v>2650.9700000000003</v>
      </c>
    </row>
    <row r="89" spans="1:8">
      <c r="A89" s="1118">
        <v>21</v>
      </c>
      <c r="B89" s="1132" t="str">
        <f>B43</f>
        <v>W14-1-1411</v>
      </c>
      <c r="C89" s="1119" t="str">
        <f>A43</f>
        <v>Pinto, Arlin</v>
      </c>
      <c r="D89" s="1118" t="str">
        <f>D43</f>
        <v>Skip</v>
      </c>
      <c r="E89" s="1120">
        <f>E43</f>
        <v>46120</v>
      </c>
      <c r="F89" s="1122">
        <f t="shared" si="4"/>
        <v>124</v>
      </c>
      <c r="G89" s="1121">
        <f>G43</f>
        <v>6056.26</v>
      </c>
      <c r="H89" s="1123">
        <f>K43</f>
        <v>2437.16</v>
      </c>
    </row>
    <row r="90" spans="1:8">
      <c r="A90" s="1118">
        <v>22</v>
      </c>
      <c r="B90" s="1132" t="str">
        <f>B51</f>
        <v>W14-1-1402</v>
      </c>
      <c r="C90" s="1119" t="str">
        <f>A51</f>
        <v>Oladejo, Olufemi</v>
      </c>
      <c r="D90" s="1118" t="str">
        <f>D51</f>
        <v>Skip</v>
      </c>
      <c r="E90" s="1120">
        <f>E51</f>
        <v>46112</v>
      </c>
      <c r="F90" s="1122">
        <f t="shared" si="4"/>
        <v>132</v>
      </c>
      <c r="G90" s="1121">
        <f>G51</f>
        <v>11452.32</v>
      </c>
      <c r="H90" s="1123">
        <f>K51</f>
        <v>2106.44</v>
      </c>
    </row>
    <row r="91" spans="1:8">
      <c r="A91" s="1118">
        <v>23</v>
      </c>
      <c r="B91" s="1132" t="str">
        <f>B58</f>
        <v>W13-1-1305</v>
      </c>
      <c r="C91" s="1119" t="str">
        <f>A58</f>
        <v>Edu, Almudena</v>
      </c>
      <c r="D91" s="1118" t="str">
        <f>D58</f>
        <v>Skip</v>
      </c>
      <c r="E91" s="1120">
        <f>E58</f>
        <v>46081</v>
      </c>
      <c r="F91" s="1122">
        <f t="shared" si="4"/>
        <v>163</v>
      </c>
      <c r="G91" s="1121">
        <f>G58</f>
        <v>2118.6799999999998</v>
      </c>
      <c r="H91" s="1123">
        <f>K58</f>
        <v>2051.12</v>
      </c>
    </row>
    <row r="92" spans="1:8">
      <c r="A92" s="1118">
        <v>24</v>
      </c>
      <c r="B92" s="1132" t="str">
        <f>B60</f>
        <v>S37-150</v>
      </c>
      <c r="C92" s="1119" t="str">
        <f>A60</f>
        <v>Isidro, Oscar</v>
      </c>
      <c r="D92" s="1118" t="str">
        <f>D60</f>
        <v>Former</v>
      </c>
      <c r="E92" s="1120">
        <f>E60</f>
        <v>46009</v>
      </c>
      <c r="F92" s="1122">
        <f t="shared" si="4"/>
        <v>235</v>
      </c>
      <c r="G92" s="1121">
        <f>G60</f>
        <v>2008.98</v>
      </c>
      <c r="H92" s="1123">
        <f>K60</f>
        <v>1949.72</v>
      </c>
    </row>
    <row r="93" spans="1:8">
      <c r="A93" s="1118">
        <v>25</v>
      </c>
      <c r="B93" s="1132" t="str">
        <f>B61</f>
        <v>W18-2-1070</v>
      </c>
      <c r="C93" s="1119" t="str">
        <f>A61</f>
        <v>Vasquez, Bethis</v>
      </c>
      <c r="D93" s="1118" t="str">
        <f>D61</f>
        <v>Former</v>
      </c>
      <c r="E93" s="1120">
        <f>E61</f>
        <v>46022</v>
      </c>
      <c r="F93" s="1122">
        <f t="shared" si="4"/>
        <v>222</v>
      </c>
      <c r="G93" s="1121">
        <f>G61</f>
        <v>1983.7</v>
      </c>
      <c r="H93" s="1123">
        <f>K61</f>
        <v>1887.8000000000002</v>
      </c>
    </row>
    <row r="94" spans="1:8">
      <c r="A94" s="1118">
        <v>26</v>
      </c>
      <c r="B94" s="1132" t="str">
        <f>B36</f>
        <v>S38-352</v>
      </c>
      <c r="C94" s="1119" t="str">
        <f>A36</f>
        <v>Smith, Katera</v>
      </c>
      <c r="D94" s="1118" t="str">
        <f>D36</f>
        <v>Skip</v>
      </c>
      <c r="E94" s="1120">
        <f>E36</f>
        <v>46120</v>
      </c>
      <c r="F94" s="1122">
        <f t="shared" si="4"/>
        <v>124</v>
      </c>
      <c r="G94" s="1121">
        <f>G36</f>
        <v>7167.71</v>
      </c>
      <c r="H94" s="1123">
        <f>K36</f>
        <v>1750.01</v>
      </c>
    </row>
    <row r="95" spans="1:8">
      <c r="A95" s="30"/>
      <c r="B95" s="30"/>
      <c r="C95" s="30"/>
      <c r="D95" s="30"/>
      <c r="E95" s="30"/>
      <c r="F95" s="1130" t="s">
        <v>856</v>
      </c>
      <c r="G95" s="1131">
        <f>SUM(G69:G94)</f>
        <v>214890.85000000009</v>
      </c>
      <c r="H95" s="1131">
        <f>SUM(H69:H94)</f>
        <v>178280.31999999998</v>
      </c>
    </row>
    <row r="96" spans="1:8" ht="15" thickBot="1">
      <c r="A96" s="850"/>
      <c r="B96" s="850"/>
      <c r="C96" s="383"/>
      <c r="D96" s="383"/>
      <c r="E96" s="383"/>
      <c r="F96" s="383"/>
      <c r="G96" s="851"/>
      <c r="H96" s="851"/>
    </row>
    <row r="97" spans="1:8">
      <c r="A97" s="384" t="s">
        <v>2192</v>
      </c>
      <c r="B97" s="852"/>
      <c r="G97" s="385"/>
      <c r="H97" s="386"/>
    </row>
    <row r="98" spans="1:8" ht="15" thickBot="1">
      <c r="A98" s="384" t="s">
        <v>2193</v>
      </c>
      <c r="B98" s="1059">
        <v>46181</v>
      </c>
      <c r="D98" t="s">
        <v>2194</v>
      </c>
      <c r="E98" t="s">
        <v>2195</v>
      </c>
      <c r="G98" s="386" t="s">
        <v>2196</v>
      </c>
      <c r="H98" s="385">
        <f>COUNTA(B69:B94)</f>
        <v>26</v>
      </c>
    </row>
    <row r="99" spans="1:8">
      <c r="F99" s="853"/>
      <c r="G99" s="854"/>
      <c r="H99" s="854"/>
    </row>
    <row r="100" spans="1:8">
      <c r="A100" s="1060" t="s">
        <v>2197</v>
      </c>
      <c r="B100" s="1060" t="s">
        <v>2198</v>
      </c>
      <c r="C100" s="1060"/>
      <c r="D100" s="1060"/>
      <c r="E100" s="1060"/>
      <c r="F100" s="1060"/>
      <c r="G100" s="1060" t="s">
        <v>2199</v>
      </c>
      <c r="H100" s="1060" t="s">
        <v>2200</v>
      </c>
    </row>
    <row r="101" spans="1:8">
      <c r="A101" t="s">
        <v>2201</v>
      </c>
      <c r="B101" t="s">
        <v>2202</v>
      </c>
      <c r="G101" s="1056">
        <f>H95</f>
        <v>178280.31999999998</v>
      </c>
      <c r="H101" t="s">
        <v>2203</v>
      </c>
    </row>
    <row r="102" spans="1:8">
      <c r="A102" t="s">
        <v>2204</v>
      </c>
      <c r="B102" t="s">
        <v>2202</v>
      </c>
      <c r="G102" t="s">
        <v>2203</v>
      </c>
      <c r="H102" s="1056">
        <f>H95</f>
        <v>178280.31999999998</v>
      </c>
    </row>
    <row r="103" spans="1:8">
      <c r="A103" s="1057"/>
      <c r="B103" s="1057"/>
      <c r="C103" s="1057"/>
      <c r="D103" s="1057"/>
      <c r="E103" s="1057"/>
      <c r="F103" s="1057" t="s">
        <v>2104</v>
      </c>
      <c r="G103" s="1058">
        <f>G101</f>
        <v>178280.31999999998</v>
      </c>
      <c r="H103" s="1058">
        <f>H102</f>
        <v>178280.31999999998</v>
      </c>
    </row>
  </sheetData>
  <conditionalFormatting sqref="F14:F61">
    <cfRule type="cellIs" dxfId="4" priority="1" operator="greaterThanOrEqual">
      <formula>60</formula>
    </cfRule>
    <cfRule type="cellIs" dxfId="3" priority="2" operator="lessThan">
      <formula>60</formula>
    </cfRule>
  </conditionalFormatting>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AB57"/>
  <sheetViews>
    <sheetView showGridLines="0" zoomScaleNormal="100" workbookViewId="0">
      <pane xSplit="2" ySplit="4" topLeftCell="X37" activePane="bottomRight" state="frozen"/>
      <selection pane="topRight" activeCell="C1" sqref="C1"/>
      <selection pane="bottomLeft" activeCell="A5" sqref="A5"/>
      <selection pane="bottomRight" activeCell="X37" sqref="X37"/>
    </sheetView>
  </sheetViews>
  <sheetFormatPr defaultColWidth="8.5546875" defaultRowHeight="14.4"/>
  <cols>
    <col min="1" max="1" width="16" customWidth="1"/>
    <col min="2" max="2" width="24" customWidth="1"/>
    <col min="3" max="28" width="10" customWidth="1"/>
  </cols>
  <sheetData>
    <row r="1" spans="1:28" ht="21.75" customHeight="1">
      <c r="A1" s="1" t="s">
        <v>783</v>
      </c>
    </row>
    <row r="2" spans="1:28" ht="15" customHeight="1">
      <c r="A2" s="2" t="s">
        <v>2205</v>
      </c>
    </row>
    <row r="4" spans="1:28" ht="15" customHeight="1">
      <c r="A4" s="17" t="s">
        <v>1019</v>
      </c>
      <c r="B4" s="17" t="s">
        <v>923</v>
      </c>
      <c r="C4" s="18">
        <v>45535</v>
      </c>
      <c r="D4" s="18">
        <v>45565</v>
      </c>
      <c r="E4" s="18">
        <v>45596</v>
      </c>
      <c r="F4" s="18">
        <v>45626</v>
      </c>
      <c r="G4" s="18">
        <v>45657</v>
      </c>
      <c r="H4" s="18">
        <v>45688</v>
      </c>
      <c r="I4" s="18">
        <v>45716</v>
      </c>
      <c r="J4" s="18">
        <v>45747</v>
      </c>
      <c r="K4" s="18">
        <v>45777</v>
      </c>
      <c r="L4" s="18">
        <v>45808</v>
      </c>
      <c r="M4" s="18">
        <v>45838</v>
      </c>
      <c r="N4" s="18">
        <v>45869</v>
      </c>
      <c r="O4" s="18">
        <v>45873</v>
      </c>
      <c r="P4" s="18">
        <v>45880</v>
      </c>
      <c r="Q4" s="18">
        <v>45887</v>
      </c>
      <c r="R4" s="18">
        <v>45894</v>
      </c>
      <c r="S4" s="18">
        <v>45900</v>
      </c>
      <c r="T4" s="18">
        <v>45901</v>
      </c>
      <c r="U4" s="18">
        <v>45908</v>
      </c>
      <c r="V4" s="18">
        <v>45915</v>
      </c>
      <c r="W4" s="18">
        <v>45922</v>
      </c>
      <c r="X4" s="18">
        <v>45929</v>
      </c>
      <c r="Y4" s="18">
        <v>45936</v>
      </c>
      <c r="Z4" s="18">
        <v>45943</v>
      </c>
      <c r="AA4" s="18">
        <v>45950</v>
      </c>
      <c r="AB4" s="18">
        <v>45957</v>
      </c>
    </row>
    <row r="5" spans="1:28" ht="15" customHeight="1">
      <c r="A5" s="19" t="s">
        <v>930</v>
      </c>
      <c r="B5" s="16"/>
      <c r="C5" s="16"/>
      <c r="D5" s="16"/>
      <c r="E5" s="16"/>
      <c r="F5" s="16"/>
      <c r="G5" s="16"/>
      <c r="H5" s="16"/>
      <c r="I5" s="16"/>
      <c r="J5" s="16"/>
      <c r="K5" s="16"/>
      <c r="L5" s="16"/>
      <c r="M5" s="16"/>
      <c r="N5" s="16"/>
      <c r="O5" s="16"/>
      <c r="P5" s="16"/>
      <c r="Q5" s="16"/>
      <c r="R5" s="16"/>
      <c r="S5" s="16"/>
      <c r="T5" s="16"/>
      <c r="U5" s="16"/>
      <c r="V5" s="16"/>
      <c r="W5" s="16"/>
      <c r="X5" s="16"/>
      <c r="Y5" s="16"/>
      <c r="Z5" s="16"/>
      <c r="AA5" s="16"/>
      <c r="AB5" s="16"/>
    </row>
    <row r="6" spans="1:28" ht="15" customHeight="1">
      <c r="B6" s="44" t="s">
        <v>931</v>
      </c>
      <c r="C6" s="79">
        <v>0.87729999999999997</v>
      </c>
      <c r="D6" s="79">
        <v>0.87390000000000001</v>
      </c>
      <c r="E6" s="79">
        <v>0.88749999999999996</v>
      </c>
      <c r="F6" s="79">
        <v>0.92390000000000005</v>
      </c>
      <c r="G6" s="79">
        <v>0.92500000000000004</v>
      </c>
      <c r="H6" s="79">
        <v>0.92949999999999999</v>
      </c>
      <c r="I6" s="79">
        <v>0.94430000000000003</v>
      </c>
      <c r="J6" s="79">
        <v>0.94889999999999997</v>
      </c>
      <c r="K6" s="79">
        <v>0.93179999999999996</v>
      </c>
      <c r="L6" s="79">
        <v>0.91700000000000004</v>
      </c>
      <c r="M6" s="79">
        <v>0.91020000000000001</v>
      </c>
      <c r="N6" s="79">
        <v>0.90569999999999995</v>
      </c>
      <c r="O6" s="79">
        <v>0.88900000000000001</v>
      </c>
      <c r="P6" s="79">
        <v>0.88</v>
      </c>
      <c r="Q6" s="79">
        <v>0.88100000000000001</v>
      </c>
      <c r="R6" s="79">
        <v>0.86299999999999999</v>
      </c>
      <c r="S6" s="79">
        <v>0.8659</v>
      </c>
      <c r="T6" s="79">
        <v>0.8659</v>
      </c>
      <c r="U6" s="79">
        <v>0.86399999999999999</v>
      </c>
      <c r="V6" s="79">
        <v>0.85099999999999998</v>
      </c>
      <c r="W6" s="79">
        <v>0.84799999999999998</v>
      </c>
      <c r="X6" s="79">
        <v>0.84199999999999997</v>
      </c>
      <c r="Y6" s="79">
        <v>0.84099999999999997</v>
      </c>
      <c r="Z6" s="79">
        <v>0.83899999999999997</v>
      </c>
      <c r="AA6" s="79">
        <v>0.83199999999999996</v>
      </c>
      <c r="AB6" s="79">
        <v>0.83</v>
      </c>
    </row>
    <row r="7" spans="1:28" ht="15" customHeight="1">
      <c r="B7" s="44" t="s">
        <v>2206</v>
      </c>
      <c r="C7" s="79">
        <v>0.75</v>
      </c>
      <c r="D7" s="79">
        <v>0.72219999999999995</v>
      </c>
      <c r="E7" s="79">
        <v>0.77780000000000005</v>
      </c>
      <c r="F7" s="79">
        <v>0.80559999999999998</v>
      </c>
      <c r="G7" s="79">
        <v>0.86109999999999998</v>
      </c>
      <c r="H7" s="79">
        <v>0.86109999999999998</v>
      </c>
      <c r="I7" s="79">
        <v>0.86109999999999998</v>
      </c>
      <c r="J7" s="79">
        <v>0.94440000000000002</v>
      </c>
      <c r="K7" s="79">
        <v>0.97219999999999995</v>
      </c>
      <c r="L7" s="79">
        <v>0.97219999999999995</v>
      </c>
      <c r="M7" s="79">
        <v>0.97219999999999995</v>
      </c>
      <c r="N7" s="79">
        <v>1</v>
      </c>
      <c r="O7" s="79">
        <v>1</v>
      </c>
      <c r="P7" s="79">
        <v>1</v>
      </c>
      <c r="Q7" s="79">
        <v>1</v>
      </c>
      <c r="R7" s="79">
        <v>0.96876183263915205</v>
      </c>
      <c r="S7" s="79">
        <v>0.93673482266818098</v>
      </c>
      <c r="T7" s="79">
        <v>0.93673482266818098</v>
      </c>
      <c r="U7" s="79">
        <v>0.93673482266818098</v>
      </c>
      <c r="V7" s="79">
        <v>0.93673482266818098</v>
      </c>
      <c r="W7" s="79">
        <v>0.93673482266818098</v>
      </c>
      <c r="X7" s="79">
        <v>0.90991417392401897</v>
      </c>
      <c r="Y7" s="79">
        <v>0.90991417392401897</v>
      </c>
      <c r="Z7" s="79">
        <v>0.90991417392401897</v>
      </c>
      <c r="AA7" s="79">
        <v>0.91092142700809797</v>
      </c>
      <c r="AB7" s="79">
        <v>0.88253134477691297</v>
      </c>
    </row>
    <row r="8" spans="1:28" ht="15" customHeight="1">
      <c r="B8" s="44" t="s">
        <v>2207</v>
      </c>
      <c r="C8" s="79">
        <v>0.86720909090909104</v>
      </c>
      <c r="D8" s="79">
        <v>0.86934545454545498</v>
      </c>
      <c r="E8" s="79">
        <v>0.90408181818181799</v>
      </c>
      <c r="F8" s="79">
        <v>0.94543636363636396</v>
      </c>
      <c r="G8" s="79">
        <v>0.95097272727272697</v>
      </c>
      <c r="H8" s="79">
        <v>0.94489999999999996</v>
      </c>
      <c r="I8" s="79">
        <v>0.95888181818181795</v>
      </c>
      <c r="J8" s="79">
        <v>0.97239090909090897</v>
      </c>
      <c r="K8" s="79">
        <v>0.95981818181818201</v>
      </c>
      <c r="L8" s="79">
        <v>0.94830909090909099</v>
      </c>
      <c r="M8" s="79">
        <v>0.93152727272727298</v>
      </c>
      <c r="N8" s="79">
        <v>0.92255454545454596</v>
      </c>
      <c r="O8" s="79">
        <v>0.91209229178388496</v>
      </c>
      <c r="P8" s="79">
        <v>0.89984489003772405</v>
      </c>
      <c r="Q8" s="79">
        <v>0.90247700485470606</v>
      </c>
      <c r="R8" s="79">
        <v>0.88457688356841901</v>
      </c>
      <c r="S8" s="79">
        <v>0.892387415790035</v>
      </c>
      <c r="T8" s="79">
        <v>0.892387415790035</v>
      </c>
      <c r="U8" s="79">
        <v>0.892387415790035</v>
      </c>
      <c r="V8" s="79">
        <v>0.874492370772326</v>
      </c>
      <c r="W8" s="79">
        <v>0.86812171633012003</v>
      </c>
      <c r="X8" s="79">
        <v>0.86289410896678098</v>
      </c>
      <c r="Y8" s="79">
        <v>0.85942965517253</v>
      </c>
      <c r="Z8" s="79">
        <v>0.86063368009837604</v>
      </c>
      <c r="AA8" s="79">
        <v>0.86353612885540798</v>
      </c>
      <c r="AB8" s="79">
        <v>0.86128286111778796</v>
      </c>
    </row>
    <row r="9" spans="1:28" ht="15" customHeight="1">
      <c r="B9" s="44" t="s">
        <v>2208</v>
      </c>
      <c r="C9" s="79">
        <v>0.91315000000000002</v>
      </c>
      <c r="D9" s="79">
        <v>0.87855000000000005</v>
      </c>
      <c r="E9" s="79">
        <v>0.84060000000000001</v>
      </c>
      <c r="F9" s="79">
        <v>0.89572499999999999</v>
      </c>
      <c r="G9" s="79">
        <v>0.86246250000000002</v>
      </c>
      <c r="H9" s="79">
        <v>0.87890000000000001</v>
      </c>
      <c r="I9" s="79">
        <v>0.91686250000000002</v>
      </c>
      <c r="J9" s="79">
        <v>0.89006249999999998</v>
      </c>
      <c r="K9" s="79">
        <v>0.84628749999999997</v>
      </c>
      <c r="L9" s="79">
        <v>0.83247499999999997</v>
      </c>
      <c r="M9" s="79">
        <v>0.82155</v>
      </c>
      <c r="N9" s="79">
        <v>0.79464999999999997</v>
      </c>
      <c r="O9" s="79">
        <v>0.76626605286874605</v>
      </c>
      <c r="P9" s="79">
        <v>0.76213144531297305</v>
      </c>
      <c r="Q9" s="79">
        <v>0.76105089647330504</v>
      </c>
      <c r="R9" s="79">
        <v>0.74047988751142102</v>
      </c>
      <c r="S9" s="79">
        <v>0.74782107009647703</v>
      </c>
      <c r="T9" s="79">
        <v>0.74782107009647703</v>
      </c>
      <c r="U9" s="79">
        <v>0.74054994979970301</v>
      </c>
      <c r="V9" s="79">
        <v>0.73673609725818301</v>
      </c>
      <c r="W9" s="79">
        <v>0.73439343803790602</v>
      </c>
      <c r="X9" s="79">
        <v>0.73205077881762903</v>
      </c>
      <c r="Y9" s="79">
        <v>0.71945115619240196</v>
      </c>
      <c r="Z9" s="79">
        <v>0.70942204460090696</v>
      </c>
      <c r="AA9" s="79">
        <v>0.69118034991925503</v>
      </c>
      <c r="AB9" s="79">
        <v>0.69281324737795602</v>
      </c>
    </row>
    <row r="10" spans="1:28" ht="15" customHeight="1">
      <c r="B10" s="44" t="s">
        <v>2209</v>
      </c>
      <c r="C10" s="79">
        <v>1</v>
      </c>
      <c r="D10" s="79">
        <v>0.9375</v>
      </c>
      <c r="E10" s="79">
        <v>0.875</v>
      </c>
      <c r="F10" s="79">
        <v>0.9375</v>
      </c>
      <c r="G10" s="79">
        <v>0.9375</v>
      </c>
      <c r="H10" s="79">
        <v>0.9375</v>
      </c>
      <c r="I10" s="79">
        <v>0.9375</v>
      </c>
      <c r="J10" s="79">
        <v>1</v>
      </c>
      <c r="K10" s="79">
        <v>1</v>
      </c>
      <c r="L10" s="79">
        <v>1</v>
      </c>
      <c r="M10" s="79">
        <v>1</v>
      </c>
      <c r="N10" s="79">
        <v>0.9375</v>
      </c>
      <c r="O10" s="79">
        <v>0.87223142524081199</v>
      </c>
      <c r="P10" s="79">
        <v>0.87223142524081199</v>
      </c>
      <c r="Q10" s="79">
        <v>0.81164488618933694</v>
      </c>
      <c r="R10" s="79">
        <v>0.81164488618933694</v>
      </c>
      <c r="S10" s="79">
        <v>0.81164488618933694</v>
      </c>
      <c r="T10" s="79">
        <v>0.81164488618933694</v>
      </c>
      <c r="U10" s="79">
        <v>0.74814405791766403</v>
      </c>
      <c r="V10" s="79">
        <v>0.74814405791766403</v>
      </c>
      <c r="W10" s="79">
        <v>0.74814405791766403</v>
      </c>
      <c r="X10" s="79">
        <v>0.74814405791766403</v>
      </c>
      <c r="Y10" s="79">
        <v>0.75004326307410096</v>
      </c>
      <c r="Z10" s="79">
        <v>0.75004326307410096</v>
      </c>
      <c r="AA10" s="79">
        <v>0.75004326307410096</v>
      </c>
      <c r="AB10" s="79">
        <v>0.81400339182501003</v>
      </c>
    </row>
    <row r="11" spans="1:28" ht="15" customHeight="1">
      <c r="B11" s="44" t="s">
        <v>933</v>
      </c>
      <c r="C11" s="79">
        <v>15.7</v>
      </c>
      <c r="D11" s="79">
        <v>13.5</v>
      </c>
      <c r="E11" s="79">
        <v>12.8</v>
      </c>
      <c r="F11" s="79">
        <v>9.8000000000000007</v>
      </c>
      <c r="G11" s="79">
        <v>8.4</v>
      </c>
      <c r="H11" s="79">
        <v>7.8</v>
      </c>
      <c r="I11" s="79">
        <v>4.9000000000000004</v>
      </c>
      <c r="J11" s="79">
        <v>6.5</v>
      </c>
      <c r="K11" s="79">
        <v>8.9</v>
      </c>
      <c r="L11" s="79">
        <v>10.5</v>
      </c>
      <c r="M11" s="79">
        <v>11</v>
      </c>
      <c r="N11" s="79">
        <v>11.6</v>
      </c>
      <c r="O11" s="79">
        <v>12.4</v>
      </c>
      <c r="P11" s="79">
        <v>13.1</v>
      </c>
      <c r="Q11" s="79">
        <v>13</v>
      </c>
      <c r="R11" s="79">
        <v>14.7</v>
      </c>
      <c r="S11" s="79">
        <v>12.5</v>
      </c>
      <c r="T11" s="79">
        <v>12.5</v>
      </c>
      <c r="U11" s="79">
        <v>12.7</v>
      </c>
      <c r="V11" s="79">
        <v>16.8</v>
      </c>
      <c r="W11" s="79">
        <v>16.600000000000001</v>
      </c>
      <c r="X11" s="79">
        <v>18.2</v>
      </c>
      <c r="Y11" s="79">
        <v>18.399999999999999</v>
      </c>
      <c r="Z11" s="79">
        <v>19</v>
      </c>
      <c r="AA11" s="79">
        <v>19.3</v>
      </c>
      <c r="AB11" s="79">
        <v>18.899999999999999</v>
      </c>
    </row>
    <row r="12" spans="1:28" ht="15" customHeight="1">
      <c r="A12" s="19" t="s">
        <v>1031</v>
      </c>
      <c r="B12" s="16"/>
      <c r="C12" s="16"/>
      <c r="D12" s="16"/>
      <c r="E12" s="16"/>
      <c r="F12" s="16"/>
      <c r="G12" s="16"/>
      <c r="H12" s="16"/>
      <c r="I12" s="16"/>
      <c r="J12" s="16"/>
      <c r="K12" s="16"/>
      <c r="L12" s="16"/>
      <c r="M12" s="16"/>
      <c r="N12" s="16"/>
      <c r="O12" s="16"/>
      <c r="P12" s="16"/>
      <c r="Q12" s="16"/>
      <c r="R12" s="16"/>
      <c r="S12" s="16"/>
      <c r="T12" s="16"/>
      <c r="U12" s="16"/>
      <c r="V12" s="16"/>
      <c r="W12" s="16"/>
      <c r="X12" s="16"/>
      <c r="Y12" s="16"/>
      <c r="Z12" s="16"/>
      <c r="AA12" s="16"/>
      <c r="AB12" s="16"/>
    </row>
    <row r="13" spans="1:28" ht="15" customHeight="1">
      <c r="B13" s="44" t="s">
        <v>936</v>
      </c>
      <c r="C13" s="80">
        <v>334</v>
      </c>
      <c r="D13" s="80">
        <v>456</v>
      </c>
      <c r="E13" s="80">
        <v>466</v>
      </c>
      <c r="F13" s="80">
        <v>384</v>
      </c>
      <c r="G13" s="80">
        <v>431</v>
      </c>
      <c r="H13" s="80">
        <v>405</v>
      </c>
      <c r="I13" s="80">
        <v>374</v>
      </c>
      <c r="J13" s="80">
        <v>372</v>
      </c>
      <c r="K13" s="80">
        <v>268</v>
      </c>
      <c r="L13" s="80">
        <v>385</v>
      </c>
      <c r="M13" s="80">
        <v>356</v>
      </c>
      <c r="N13" s="80">
        <v>336</v>
      </c>
      <c r="O13" s="80">
        <v>57</v>
      </c>
      <c r="P13" s="80">
        <v>55</v>
      </c>
      <c r="Q13" s="80">
        <v>66</v>
      </c>
      <c r="R13" s="80">
        <v>67</v>
      </c>
      <c r="S13" s="80">
        <v>252</v>
      </c>
      <c r="T13" s="80">
        <v>53</v>
      </c>
      <c r="U13" s="80">
        <v>48</v>
      </c>
      <c r="V13" s="80">
        <v>68</v>
      </c>
      <c r="W13" s="80">
        <v>61</v>
      </c>
      <c r="X13" s="80">
        <v>68</v>
      </c>
      <c r="Y13" s="80">
        <v>84</v>
      </c>
      <c r="Z13" s="80">
        <v>132</v>
      </c>
      <c r="AA13" s="80">
        <v>122</v>
      </c>
      <c r="AB13" s="80">
        <v>124</v>
      </c>
    </row>
    <row r="14" spans="1:28" ht="15" customHeight="1">
      <c r="B14" s="44" t="s">
        <v>937</v>
      </c>
      <c r="C14" s="80">
        <v>41</v>
      </c>
      <c r="D14" s="80">
        <v>32</v>
      </c>
      <c r="E14" s="80">
        <v>33</v>
      </c>
      <c r="F14" s="80">
        <v>28</v>
      </c>
      <c r="G14" s="80">
        <v>26</v>
      </c>
      <c r="H14" s="80">
        <v>30</v>
      </c>
      <c r="I14" s="80">
        <v>31</v>
      </c>
      <c r="J14" s="80">
        <v>42</v>
      </c>
      <c r="K14" s="80">
        <v>25</v>
      </c>
      <c r="L14" s="80">
        <v>35</v>
      </c>
      <c r="M14" s="80">
        <v>40</v>
      </c>
      <c r="N14" s="80">
        <v>48</v>
      </c>
      <c r="O14" s="80">
        <v>2</v>
      </c>
      <c r="P14" s="80">
        <v>4</v>
      </c>
      <c r="Q14" s="80">
        <v>8</v>
      </c>
      <c r="R14" s="80">
        <v>10</v>
      </c>
      <c r="S14" s="80">
        <v>29</v>
      </c>
      <c r="T14" s="80">
        <v>5</v>
      </c>
      <c r="U14" s="80">
        <v>5</v>
      </c>
      <c r="V14" s="80">
        <v>9</v>
      </c>
      <c r="W14" s="80">
        <v>8</v>
      </c>
      <c r="X14" s="80">
        <v>17</v>
      </c>
      <c r="Y14" s="80">
        <v>11</v>
      </c>
      <c r="Z14" s="80">
        <v>12</v>
      </c>
      <c r="AA14" s="80">
        <v>17</v>
      </c>
      <c r="AB14" s="80">
        <v>19</v>
      </c>
    </row>
    <row r="15" spans="1:28" ht="15" customHeight="1">
      <c r="B15" s="44" t="s">
        <v>938</v>
      </c>
      <c r="C15" s="80">
        <v>42</v>
      </c>
      <c r="D15" s="80">
        <v>45</v>
      </c>
      <c r="E15" s="80">
        <v>57</v>
      </c>
      <c r="F15" s="80">
        <v>51</v>
      </c>
      <c r="G15" s="80">
        <v>34</v>
      </c>
      <c r="H15" s="80">
        <v>44</v>
      </c>
      <c r="I15" s="80">
        <v>46</v>
      </c>
      <c r="J15" s="80">
        <v>30</v>
      </c>
      <c r="K15" s="80">
        <v>21</v>
      </c>
      <c r="L15" s="80">
        <v>24</v>
      </c>
      <c r="M15" s="80">
        <v>31</v>
      </c>
      <c r="N15" s="80">
        <v>31</v>
      </c>
      <c r="O15" s="80">
        <v>7</v>
      </c>
      <c r="P15" s="80">
        <v>10</v>
      </c>
      <c r="Q15" s="80">
        <v>7</v>
      </c>
      <c r="R15" s="80">
        <v>2</v>
      </c>
      <c r="S15" s="80">
        <v>21</v>
      </c>
      <c r="T15" s="80">
        <v>4</v>
      </c>
      <c r="U15" s="80">
        <v>4</v>
      </c>
      <c r="V15" s="80">
        <v>3</v>
      </c>
      <c r="W15" s="80">
        <v>3</v>
      </c>
      <c r="X15" s="80">
        <v>5</v>
      </c>
      <c r="Y15" s="80">
        <v>3</v>
      </c>
      <c r="Z15" s="80">
        <v>5</v>
      </c>
      <c r="AA15" s="80">
        <v>6</v>
      </c>
      <c r="AB15" s="80">
        <v>9</v>
      </c>
    </row>
    <row r="16" spans="1:28" ht="15" customHeight="1">
      <c r="B16" s="44" t="s">
        <v>2210</v>
      </c>
      <c r="C16" s="80">
        <v>29</v>
      </c>
      <c r="D16" s="80">
        <v>27</v>
      </c>
      <c r="E16" s="80">
        <v>46</v>
      </c>
      <c r="F16" s="80">
        <v>34</v>
      </c>
      <c r="G16" s="80">
        <v>22</v>
      </c>
      <c r="H16" s="80">
        <v>29</v>
      </c>
      <c r="I16" s="80">
        <v>32</v>
      </c>
      <c r="J16" s="80">
        <v>19</v>
      </c>
      <c r="K16" s="80">
        <v>14</v>
      </c>
      <c r="L16" s="80">
        <v>16</v>
      </c>
      <c r="M16" s="80">
        <v>23</v>
      </c>
      <c r="N16" s="80">
        <v>24</v>
      </c>
      <c r="O16" s="80">
        <v>0</v>
      </c>
      <c r="P16" s="80">
        <v>3</v>
      </c>
      <c r="Q16" s="80">
        <v>0</v>
      </c>
      <c r="R16" s="80">
        <v>0</v>
      </c>
      <c r="S16" s="80">
        <v>14</v>
      </c>
      <c r="T16" s="80">
        <v>0</v>
      </c>
      <c r="U16" s="80">
        <v>3</v>
      </c>
      <c r="V16" s="80">
        <v>0</v>
      </c>
      <c r="W16" s="80">
        <v>0</v>
      </c>
      <c r="X16" s="80">
        <v>0</v>
      </c>
      <c r="Y16" s="80">
        <v>1</v>
      </c>
      <c r="Z16" s="80">
        <v>3</v>
      </c>
      <c r="AA16" s="80">
        <v>5</v>
      </c>
      <c r="AB16" s="80">
        <v>9</v>
      </c>
    </row>
    <row r="17" spans="1:28" ht="15" customHeight="1">
      <c r="B17" s="44" t="s">
        <v>2211</v>
      </c>
      <c r="C17" s="80">
        <v>8</v>
      </c>
      <c r="D17" s="80">
        <v>4</v>
      </c>
      <c r="E17" s="80">
        <v>8</v>
      </c>
      <c r="F17" s="80">
        <v>10</v>
      </c>
      <c r="G17" s="80">
        <v>6</v>
      </c>
      <c r="H17" s="80">
        <v>7</v>
      </c>
      <c r="I17" s="80">
        <v>4</v>
      </c>
      <c r="J17" s="80">
        <v>3</v>
      </c>
      <c r="K17" s="80">
        <v>6</v>
      </c>
      <c r="L17" s="80">
        <v>4</v>
      </c>
      <c r="M17" s="80">
        <v>6</v>
      </c>
      <c r="N17" s="80">
        <v>4</v>
      </c>
      <c r="O17" s="80">
        <v>7</v>
      </c>
      <c r="P17" s="80">
        <v>7</v>
      </c>
      <c r="Q17" s="80">
        <v>7</v>
      </c>
      <c r="R17" s="80">
        <v>7</v>
      </c>
      <c r="S17" s="80">
        <v>7</v>
      </c>
      <c r="T17" s="80">
        <v>7</v>
      </c>
      <c r="U17" s="80">
        <v>0</v>
      </c>
      <c r="V17" s="80">
        <v>2</v>
      </c>
      <c r="W17" s="80">
        <v>1</v>
      </c>
      <c r="X17" s="80">
        <v>2</v>
      </c>
      <c r="Y17" s="80">
        <v>0</v>
      </c>
      <c r="Z17" s="80">
        <v>1</v>
      </c>
      <c r="AA17" s="80">
        <v>0</v>
      </c>
      <c r="AB17" s="80">
        <v>0</v>
      </c>
    </row>
    <row r="18" spans="1:28" ht="15" customHeight="1">
      <c r="B18" s="44" t="s">
        <v>2212</v>
      </c>
      <c r="C18" s="79">
        <v>0.69047619047619102</v>
      </c>
      <c r="D18" s="79">
        <v>0.6</v>
      </c>
      <c r="E18" s="79">
        <v>0.80701754385964897</v>
      </c>
      <c r="F18" s="79">
        <v>0.66666666666666696</v>
      </c>
      <c r="G18" s="79">
        <v>0.64705882352941202</v>
      </c>
      <c r="H18" s="79">
        <v>0.65909090909090895</v>
      </c>
      <c r="I18" s="79">
        <v>0.69565217391304401</v>
      </c>
      <c r="J18" s="79">
        <v>0.63333333333333297</v>
      </c>
      <c r="K18" s="79">
        <v>0.66666666666666696</v>
      </c>
      <c r="L18" s="79">
        <v>0.66666666666666696</v>
      </c>
      <c r="M18" s="79">
        <v>0.74193548387096797</v>
      </c>
      <c r="N18" s="79">
        <v>0.77419354838709697</v>
      </c>
      <c r="O18" s="79">
        <v>0</v>
      </c>
      <c r="P18" s="79">
        <v>0.3</v>
      </c>
      <c r="Q18" s="79">
        <v>0</v>
      </c>
      <c r="R18" s="79">
        <v>0</v>
      </c>
      <c r="S18" s="79">
        <v>0.66666666666666696</v>
      </c>
      <c r="T18" s="79">
        <v>0</v>
      </c>
      <c r="U18" s="79">
        <v>0.75</v>
      </c>
      <c r="V18" s="79">
        <v>0</v>
      </c>
      <c r="W18" s="79">
        <v>0</v>
      </c>
      <c r="X18" s="79">
        <v>0</v>
      </c>
      <c r="Y18" s="79">
        <v>0.33333333333333298</v>
      </c>
      <c r="Z18" s="79">
        <v>0.6</v>
      </c>
      <c r="AA18" s="79">
        <v>0.83333333333333304</v>
      </c>
      <c r="AB18" s="79">
        <v>1</v>
      </c>
    </row>
    <row r="19" spans="1:28" ht="15" customHeight="1">
      <c r="B19" s="44" t="s">
        <v>2213</v>
      </c>
      <c r="C19" s="80">
        <v>27</v>
      </c>
      <c r="D19" s="80">
        <v>28</v>
      </c>
      <c r="E19" s="80">
        <v>39</v>
      </c>
      <c r="F19" s="80">
        <v>32</v>
      </c>
      <c r="G19" s="80">
        <v>20</v>
      </c>
      <c r="H19" s="80">
        <v>24</v>
      </c>
      <c r="I19" s="80">
        <v>38</v>
      </c>
      <c r="J19" s="80">
        <v>9</v>
      </c>
      <c r="K19" s="80">
        <v>17</v>
      </c>
      <c r="L19" s="80">
        <v>16</v>
      </c>
      <c r="M19" s="80">
        <v>18</v>
      </c>
      <c r="N19" s="80">
        <v>21</v>
      </c>
      <c r="O19" s="80">
        <v>0</v>
      </c>
      <c r="P19" s="80">
        <v>0</v>
      </c>
      <c r="Q19" s="80">
        <v>0</v>
      </c>
      <c r="R19" s="80">
        <v>0</v>
      </c>
      <c r="S19" s="80">
        <v>12</v>
      </c>
      <c r="T19" s="80">
        <v>4</v>
      </c>
      <c r="U19" s="80">
        <v>4</v>
      </c>
      <c r="V19" s="80">
        <v>1</v>
      </c>
      <c r="W19" s="80">
        <v>0</v>
      </c>
      <c r="X19" s="80">
        <v>-1</v>
      </c>
      <c r="Y19" s="80">
        <v>0</v>
      </c>
      <c r="Z19" s="80">
        <v>4</v>
      </c>
      <c r="AA19" s="80">
        <v>2</v>
      </c>
      <c r="AB19" s="80">
        <v>6</v>
      </c>
    </row>
    <row r="20" spans="1:28" ht="15" customHeight="1">
      <c r="A20" s="19" t="s">
        <v>2214</v>
      </c>
      <c r="B20" s="16"/>
      <c r="C20" s="16"/>
      <c r="D20" s="16"/>
      <c r="E20" s="16"/>
      <c r="F20" s="16"/>
      <c r="G20" s="16"/>
      <c r="H20" s="16"/>
      <c r="I20" s="16"/>
      <c r="J20" s="16"/>
      <c r="K20" s="16"/>
      <c r="L20" s="16"/>
      <c r="M20" s="16"/>
      <c r="N20" s="16"/>
      <c r="O20" s="16"/>
      <c r="P20" s="16"/>
      <c r="Q20" s="16"/>
      <c r="R20" s="16"/>
      <c r="S20" s="16"/>
      <c r="T20" s="16"/>
      <c r="U20" s="16"/>
      <c r="V20" s="16"/>
      <c r="W20" s="16"/>
      <c r="X20" s="16"/>
      <c r="Y20" s="16"/>
      <c r="Z20" s="16"/>
      <c r="AA20" s="16"/>
      <c r="AB20" s="16"/>
    </row>
    <row r="21" spans="1:28" ht="15" customHeight="1">
      <c r="B21" s="44" t="s">
        <v>951</v>
      </c>
      <c r="C21" s="80">
        <v>63</v>
      </c>
      <c r="D21" s="80">
        <v>65</v>
      </c>
      <c r="E21" s="80">
        <v>32</v>
      </c>
      <c r="F21" s="80">
        <v>61</v>
      </c>
      <c r="G21" s="80">
        <v>51</v>
      </c>
      <c r="H21" s="80">
        <v>61</v>
      </c>
      <c r="I21" s="80">
        <v>47</v>
      </c>
      <c r="J21" s="80">
        <v>52</v>
      </c>
      <c r="K21" s="80">
        <v>46</v>
      </c>
      <c r="L21" s="80">
        <v>57</v>
      </c>
      <c r="M21" s="80">
        <v>57</v>
      </c>
      <c r="N21" s="80">
        <v>81</v>
      </c>
      <c r="O21" s="80">
        <v>69</v>
      </c>
      <c r="P21" s="80">
        <v>69</v>
      </c>
      <c r="Q21" s="80">
        <v>69</v>
      </c>
      <c r="R21" s="80">
        <v>69</v>
      </c>
      <c r="S21" s="80">
        <v>53</v>
      </c>
      <c r="T21" s="80">
        <v>68</v>
      </c>
      <c r="U21" s="80">
        <v>68</v>
      </c>
      <c r="V21" s="80">
        <v>68</v>
      </c>
      <c r="W21" s="80">
        <v>68</v>
      </c>
      <c r="X21" s="80">
        <v>68</v>
      </c>
      <c r="Y21" s="80">
        <v>53</v>
      </c>
      <c r="Z21" s="80">
        <v>53</v>
      </c>
      <c r="AA21" s="80">
        <v>53</v>
      </c>
      <c r="AB21" s="80">
        <v>50</v>
      </c>
    </row>
    <row r="22" spans="1:28" ht="15" customHeight="1">
      <c r="B22" s="44" t="s">
        <v>1282</v>
      </c>
      <c r="C22" s="80">
        <v>41</v>
      </c>
      <c r="D22" s="80">
        <v>53</v>
      </c>
      <c r="E22" s="80">
        <v>28</v>
      </c>
      <c r="F22" s="80">
        <v>42</v>
      </c>
      <c r="G22" s="80">
        <v>33</v>
      </c>
      <c r="H22" s="80">
        <v>48</v>
      </c>
      <c r="I22" s="80">
        <v>34</v>
      </c>
      <c r="J22" s="80">
        <v>38</v>
      </c>
      <c r="K22" s="80">
        <v>36</v>
      </c>
      <c r="L22" s="80">
        <v>41</v>
      </c>
      <c r="M22" s="80">
        <v>42</v>
      </c>
      <c r="N22" s="80">
        <v>55</v>
      </c>
      <c r="O22" s="80">
        <v>34</v>
      </c>
      <c r="P22" s="80">
        <v>34</v>
      </c>
      <c r="Q22" s="80">
        <v>34</v>
      </c>
      <c r="R22" s="80">
        <v>34</v>
      </c>
      <c r="S22" s="80">
        <v>34</v>
      </c>
      <c r="T22" s="80">
        <v>11</v>
      </c>
      <c r="U22" s="80">
        <v>13</v>
      </c>
      <c r="V22" s="80"/>
      <c r="W22" s="80"/>
      <c r="X22" s="80"/>
      <c r="Y22" s="80"/>
      <c r="Z22" s="80"/>
      <c r="AA22" s="80"/>
      <c r="AB22" s="80"/>
    </row>
    <row r="23" spans="1:28" ht="15" customHeight="1">
      <c r="B23" s="44" t="s">
        <v>956</v>
      </c>
      <c r="C23" s="79">
        <v>0.65079365079365104</v>
      </c>
      <c r="D23" s="79">
        <v>0.81538461538461504</v>
      </c>
      <c r="E23" s="79">
        <v>0.875</v>
      </c>
      <c r="F23" s="79">
        <v>0.68852459016393397</v>
      </c>
      <c r="G23" s="79">
        <v>0.64705882352941202</v>
      </c>
      <c r="H23" s="79">
        <v>0.786885245901639</v>
      </c>
      <c r="I23" s="79">
        <v>0.72340425531914898</v>
      </c>
      <c r="J23" s="79">
        <v>0.73076923076923095</v>
      </c>
      <c r="K23" s="79">
        <v>0.78260869565217395</v>
      </c>
      <c r="L23" s="79">
        <v>0.71929824561403499</v>
      </c>
      <c r="M23" s="79">
        <v>0.73684210526315796</v>
      </c>
      <c r="N23" s="79">
        <v>0.67901234567901203</v>
      </c>
      <c r="O23" s="79">
        <v>0.52173913043478304</v>
      </c>
      <c r="P23" s="79">
        <v>0.52173913043478304</v>
      </c>
      <c r="Q23" s="79">
        <v>0.52173913043478304</v>
      </c>
      <c r="R23" s="79">
        <v>0.52173913043478304</v>
      </c>
      <c r="S23" s="79">
        <v>0.660377358490566</v>
      </c>
      <c r="T23" s="79">
        <v>0.32352941176470601</v>
      </c>
      <c r="U23" s="79">
        <v>0.35294117647058798</v>
      </c>
      <c r="V23" s="79">
        <v>0.41176470588235298</v>
      </c>
      <c r="W23" s="79">
        <v>0.47058823529411797</v>
      </c>
      <c r="X23" s="79">
        <v>0.66176470588235303</v>
      </c>
      <c r="Y23" s="79">
        <v>0.339622641509434</v>
      </c>
      <c r="Z23" s="79">
        <v>0.339622641509434</v>
      </c>
      <c r="AA23" s="79">
        <v>0.41509433962264197</v>
      </c>
      <c r="AB23" s="79">
        <v>0.7</v>
      </c>
    </row>
    <row r="24" spans="1:28" ht="15" customHeight="1">
      <c r="B24" s="44" t="s">
        <v>2215</v>
      </c>
      <c r="C24" s="80">
        <v>1</v>
      </c>
      <c r="D24" s="80">
        <v>1</v>
      </c>
      <c r="E24" s="80">
        <v>0</v>
      </c>
      <c r="F24" s="80">
        <v>1</v>
      </c>
      <c r="G24" s="80">
        <v>1</v>
      </c>
      <c r="H24" s="80">
        <v>0</v>
      </c>
      <c r="I24" s="80">
        <v>1</v>
      </c>
      <c r="J24" s="80">
        <v>1</v>
      </c>
      <c r="K24" s="80">
        <v>0</v>
      </c>
      <c r="L24" s="80">
        <v>0</v>
      </c>
      <c r="M24" s="80">
        <v>4</v>
      </c>
      <c r="N24" s="80">
        <v>2</v>
      </c>
      <c r="O24" s="80">
        <v>6</v>
      </c>
      <c r="P24" s="80">
        <v>6</v>
      </c>
      <c r="Q24" s="80">
        <v>6</v>
      </c>
      <c r="R24" s="80">
        <v>6</v>
      </c>
      <c r="S24" s="80">
        <v>5</v>
      </c>
      <c r="T24" s="80">
        <v>23</v>
      </c>
      <c r="U24" s="80">
        <v>17</v>
      </c>
      <c r="V24" s="80">
        <v>11</v>
      </c>
      <c r="W24" s="80">
        <v>8</v>
      </c>
      <c r="X24" s="80">
        <v>3</v>
      </c>
      <c r="Y24" s="80">
        <v>15</v>
      </c>
      <c r="Z24" s="80">
        <v>14</v>
      </c>
      <c r="AA24" s="80">
        <v>10</v>
      </c>
      <c r="AB24" s="80">
        <v>2</v>
      </c>
    </row>
    <row r="25" spans="1:28" ht="15" customHeight="1">
      <c r="B25" s="44" t="s">
        <v>2216</v>
      </c>
      <c r="C25" s="79">
        <v>1.4084507042253501E-2</v>
      </c>
      <c r="D25" s="79">
        <v>1.3157894736842099E-2</v>
      </c>
      <c r="E25" s="79">
        <v>0</v>
      </c>
      <c r="F25" s="79">
        <v>1.4705882352941201E-2</v>
      </c>
      <c r="G25" s="79">
        <v>1.4705882352941201E-2</v>
      </c>
      <c r="H25" s="79">
        <v>0</v>
      </c>
      <c r="I25" s="79">
        <v>1.72413793103448E-2</v>
      </c>
      <c r="J25" s="79">
        <v>1.7543859649122799E-2</v>
      </c>
      <c r="K25" s="79">
        <v>0</v>
      </c>
      <c r="L25" s="79">
        <v>0</v>
      </c>
      <c r="M25" s="79">
        <v>6.25E-2</v>
      </c>
      <c r="N25" s="79">
        <v>2.1052631578947399E-2</v>
      </c>
      <c r="O25" s="79">
        <v>8.6956521739130502E-2</v>
      </c>
      <c r="P25" s="79">
        <v>8.6956521739130502E-2</v>
      </c>
      <c r="Q25" s="79">
        <v>8.6956521739130502E-2</v>
      </c>
      <c r="R25" s="79">
        <v>8.6956521739130502E-2</v>
      </c>
      <c r="S25" s="79">
        <v>7.2463768115942004E-2</v>
      </c>
      <c r="T25" s="79">
        <v>0.29870129870129902</v>
      </c>
      <c r="U25" s="79">
        <v>0.22077922077922099</v>
      </c>
      <c r="V25" s="79">
        <v>0.14285714285714299</v>
      </c>
      <c r="W25" s="79">
        <v>0.103896103896104</v>
      </c>
      <c r="X25" s="79">
        <v>3.8961038961039002E-2</v>
      </c>
      <c r="Y25" s="79">
        <v>0.241935483870968</v>
      </c>
      <c r="Z25" s="79">
        <v>0.225806451612903</v>
      </c>
      <c r="AA25" s="79">
        <v>0.16129032258064499</v>
      </c>
      <c r="AB25" s="79">
        <v>6.5573770491803296E-2</v>
      </c>
    </row>
    <row r="26" spans="1:28" ht="15" customHeight="1">
      <c r="A26" s="19" t="s">
        <v>1051</v>
      </c>
      <c r="B26" s="16"/>
      <c r="C26" s="16"/>
      <c r="D26" s="16"/>
      <c r="E26" s="16"/>
      <c r="F26" s="16"/>
      <c r="G26" s="16"/>
      <c r="H26" s="16"/>
      <c r="I26" s="16"/>
      <c r="J26" s="16"/>
      <c r="K26" s="16"/>
      <c r="L26" s="16"/>
      <c r="M26" s="16"/>
      <c r="N26" s="16"/>
      <c r="O26" s="16"/>
      <c r="P26" s="16"/>
      <c r="Q26" s="16"/>
      <c r="R26" s="16"/>
      <c r="S26" s="16"/>
      <c r="T26" s="16"/>
      <c r="U26" s="16"/>
      <c r="V26" s="16"/>
      <c r="W26" s="16"/>
      <c r="X26" s="16"/>
      <c r="Y26" s="16"/>
      <c r="Z26" s="16"/>
      <c r="AA26" s="16"/>
      <c r="AB26" s="16"/>
    </row>
    <row r="27" spans="1:28" ht="15" customHeight="1">
      <c r="B27" s="44" t="s">
        <v>1053</v>
      </c>
      <c r="C27" s="80">
        <v>27</v>
      </c>
      <c r="D27" s="80">
        <v>34</v>
      </c>
      <c r="E27" s="80">
        <v>22</v>
      </c>
      <c r="F27" s="80">
        <v>12</v>
      </c>
      <c r="G27" s="80">
        <v>14</v>
      </c>
      <c r="H27" s="80">
        <v>15</v>
      </c>
      <c r="I27" s="80">
        <v>16</v>
      </c>
      <c r="J27" s="80">
        <v>23</v>
      </c>
      <c r="K27" s="80">
        <v>28</v>
      </c>
      <c r="L27" s="80">
        <v>23</v>
      </c>
      <c r="M27" s="80">
        <v>30</v>
      </c>
      <c r="N27" s="80">
        <v>31</v>
      </c>
      <c r="O27" s="80">
        <v>28</v>
      </c>
      <c r="P27" s="80">
        <v>28</v>
      </c>
      <c r="Q27" s="80">
        <v>28</v>
      </c>
      <c r="R27" s="80">
        <v>28</v>
      </c>
      <c r="S27" s="80">
        <v>38</v>
      </c>
      <c r="T27" s="80">
        <v>0</v>
      </c>
      <c r="U27" s="80">
        <v>10</v>
      </c>
      <c r="V27" s="80">
        <v>15</v>
      </c>
      <c r="W27" s="80">
        <v>22</v>
      </c>
      <c r="X27" s="80">
        <v>26</v>
      </c>
      <c r="Y27" s="80">
        <v>0</v>
      </c>
      <c r="Z27" s="80">
        <v>3</v>
      </c>
      <c r="AA27" s="80">
        <v>9</v>
      </c>
      <c r="AB27" s="80">
        <v>23</v>
      </c>
    </row>
    <row r="28" spans="1:28" ht="15" customHeight="1">
      <c r="B28" s="44" t="s">
        <v>2217</v>
      </c>
      <c r="C28" s="80">
        <v>10</v>
      </c>
      <c r="D28" s="80">
        <v>17</v>
      </c>
      <c r="E28" s="80">
        <v>7</v>
      </c>
      <c r="F28" s="80">
        <v>6</v>
      </c>
      <c r="G28" s="80">
        <v>6</v>
      </c>
      <c r="H28" s="80">
        <v>2</v>
      </c>
      <c r="I28" s="80">
        <v>7</v>
      </c>
      <c r="J28" s="80">
        <v>6</v>
      </c>
      <c r="K28" s="80">
        <v>8</v>
      </c>
      <c r="L28" s="80">
        <v>8</v>
      </c>
      <c r="M28" s="80">
        <v>8</v>
      </c>
      <c r="N28" s="80">
        <v>8</v>
      </c>
      <c r="O28" s="80">
        <v>6</v>
      </c>
      <c r="P28" s="80">
        <v>6</v>
      </c>
      <c r="Q28" s="80">
        <v>6</v>
      </c>
      <c r="R28" s="80">
        <v>6</v>
      </c>
      <c r="S28" s="80">
        <v>8</v>
      </c>
      <c r="T28" s="80">
        <v>0</v>
      </c>
      <c r="U28" s="80">
        <v>1</v>
      </c>
      <c r="V28" s="80">
        <v>2</v>
      </c>
      <c r="W28" s="80">
        <v>4</v>
      </c>
      <c r="X28" s="80">
        <v>5</v>
      </c>
      <c r="Y28" s="80">
        <v>0</v>
      </c>
      <c r="Z28" s="80">
        <v>2</v>
      </c>
      <c r="AA28" s="80">
        <v>3</v>
      </c>
      <c r="AB28" s="80">
        <v>7</v>
      </c>
    </row>
    <row r="29" spans="1:28" ht="15" customHeight="1">
      <c r="B29" s="44" t="s">
        <v>2218</v>
      </c>
      <c r="C29" s="80">
        <v>3</v>
      </c>
      <c r="D29" s="80">
        <v>6</v>
      </c>
      <c r="E29" s="80">
        <v>6</v>
      </c>
      <c r="F29" s="80">
        <v>3</v>
      </c>
      <c r="G29" s="80">
        <v>7</v>
      </c>
      <c r="H29" s="80">
        <v>1</v>
      </c>
      <c r="I29" s="80">
        <v>4</v>
      </c>
      <c r="J29" s="80">
        <v>4</v>
      </c>
      <c r="K29" s="80">
        <v>1</v>
      </c>
      <c r="L29" s="80">
        <v>2</v>
      </c>
      <c r="M29" s="80">
        <v>8</v>
      </c>
      <c r="N29" s="80">
        <v>7</v>
      </c>
      <c r="O29" s="80">
        <v>0</v>
      </c>
      <c r="P29" s="80">
        <v>0</v>
      </c>
      <c r="Q29" s="80">
        <v>0</v>
      </c>
      <c r="R29" s="80">
        <v>0</v>
      </c>
      <c r="S29" s="80">
        <v>5</v>
      </c>
      <c r="T29" s="80">
        <v>0</v>
      </c>
      <c r="U29" s="80">
        <v>2</v>
      </c>
      <c r="V29" s="80">
        <v>5</v>
      </c>
      <c r="W29" s="80">
        <v>6</v>
      </c>
      <c r="X29" s="80">
        <v>6</v>
      </c>
      <c r="Y29" s="80">
        <v>0</v>
      </c>
      <c r="Z29" s="80">
        <v>1</v>
      </c>
      <c r="AA29" s="80">
        <v>1</v>
      </c>
      <c r="AB29" s="80">
        <v>5</v>
      </c>
    </row>
    <row r="30" spans="1:28" ht="15" customHeight="1">
      <c r="B30" s="44" t="s">
        <v>1052</v>
      </c>
      <c r="C30" s="80">
        <v>15</v>
      </c>
      <c r="D30" s="80">
        <v>47</v>
      </c>
      <c r="E30" s="80">
        <v>59</v>
      </c>
      <c r="F30" s="80">
        <v>54</v>
      </c>
      <c r="G30" s="80">
        <v>30</v>
      </c>
      <c r="H30" s="80">
        <v>44</v>
      </c>
      <c r="I30" s="80">
        <v>39</v>
      </c>
      <c r="J30" s="80">
        <v>43</v>
      </c>
      <c r="K30" s="80">
        <v>23</v>
      </c>
      <c r="L30" s="80">
        <v>18</v>
      </c>
      <c r="M30" s="80">
        <v>30</v>
      </c>
      <c r="N30" s="80">
        <v>36</v>
      </c>
      <c r="O30" s="80">
        <v>12</v>
      </c>
      <c r="P30" s="80">
        <v>12</v>
      </c>
      <c r="Q30" s="80">
        <v>12</v>
      </c>
      <c r="R30" s="80">
        <v>12</v>
      </c>
      <c r="S30" s="80">
        <v>23</v>
      </c>
      <c r="T30" s="80">
        <v>9</v>
      </c>
      <c r="U30" s="80">
        <v>0</v>
      </c>
      <c r="V30" s="80">
        <v>2</v>
      </c>
      <c r="W30" s="80">
        <v>1</v>
      </c>
      <c r="X30" s="80">
        <v>2</v>
      </c>
      <c r="Y30" s="80">
        <v>5</v>
      </c>
      <c r="Z30" s="80">
        <v>2</v>
      </c>
      <c r="AA30" s="80">
        <v>2</v>
      </c>
      <c r="AB30" s="80">
        <v>2</v>
      </c>
    </row>
    <row r="31" spans="1:28" ht="15" customHeight="1">
      <c r="B31" s="44" t="s">
        <v>2219</v>
      </c>
      <c r="C31" s="80">
        <v>-12</v>
      </c>
      <c r="D31" s="80">
        <v>13</v>
      </c>
      <c r="E31" s="80">
        <v>37</v>
      </c>
      <c r="F31" s="80">
        <v>42</v>
      </c>
      <c r="G31" s="80">
        <v>16</v>
      </c>
      <c r="H31" s="80">
        <v>29</v>
      </c>
      <c r="I31" s="80">
        <v>23</v>
      </c>
      <c r="J31" s="80">
        <v>20</v>
      </c>
      <c r="K31" s="80">
        <v>-5</v>
      </c>
      <c r="L31" s="80">
        <v>-5</v>
      </c>
      <c r="M31" s="80">
        <v>0</v>
      </c>
      <c r="N31" s="80">
        <v>5</v>
      </c>
      <c r="O31" s="80">
        <v>-16</v>
      </c>
      <c r="P31" s="80">
        <v>-16</v>
      </c>
      <c r="Q31" s="80">
        <v>-16</v>
      </c>
      <c r="R31" s="80">
        <v>-16</v>
      </c>
      <c r="S31" s="80">
        <v>-15</v>
      </c>
      <c r="T31" s="80">
        <v>9</v>
      </c>
      <c r="U31" s="80">
        <v>-10</v>
      </c>
      <c r="V31" s="80">
        <v>-13</v>
      </c>
      <c r="W31" s="80">
        <v>-21</v>
      </c>
      <c r="X31" s="80">
        <v>-24</v>
      </c>
      <c r="Y31" s="80">
        <v>5</v>
      </c>
      <c r="Z31" s="80">
        <v>-1</v>
      </c>
      <c r="AA31" s="80">
        <v>-7</v>
      </c>
      <c r="AB31" s="80">
        <v>-21</v>
      </c>
    </row>
    <row r="32" spans="1:28" ht="15" customHeight="1">
      <c r="A32" s="19" t="s">
        <v>960</v>
      </c>
      <c r="B32" s="16"/>
      <c r="C32" s="16"/>
      <c r="D32" s="16"/>
      <c r="E32" s="16"/>
      <c r="F32" s="16"/>
      <c r="G32" s="16"/>
      <c r="H32" s="16"/>
      <c r="I32" s="16"/>
      <c r="J32" s="16"/>
      <c r="K32" s="16"/>
      <c r="L32" s="16"/>
      <c r="M32" s="16"/>
      <c r="N32" s="16"/>
      <c r="O32" s="16"/>
      <c r="P32" s="16"/>
      <c r="Q32" s="16"/>
      <c r="R32" s="16"/>
      <c r="S32" s="16"/>
      <c r="T32" s="16"/>
      <c r="U32" s="16"/>
      <c r="V32" s="16"/>
      <c r="W32" s="16"/>
      <c r="X32" s="16"/>
      <c r="Y32" s="16"/>
      <c r="Z32" s="16"/>
      <c r="AA32" s="16"/>
      <c r="AB32" s="16"/>
    </row>
    <row r="33" spans="1:28" ht="15" customHeight="1">
      <c r="B33" s="44" t="s">
        <v>2220</v>
      </c>
      <c r="C33" s="81">
        <v>999564.9</v>
      </c>
      <c r="D33" s="81">
        <v>1013675.91</v>
      </c>
      <c r="E33" s="81">
        <v>1019921.53</v>
      </c>
      <c r="F33" s="81">
        <v>1081685.3400000001</v>
      </c>
      <c r="G33" s="81">
        <v>1079697.99</v>
      </c>
      <c r="H33" s="81">
        <v>1069383.45</v>
      </c>
      <c r="I33" s="81">
        <v>1086399.6100000001</v>
      </c>
      <c r="J33" s="81">
        <v>1126564.67</v>
      </c>
      <c r="K33" s="81">
        <v>1093658.3</v>
      </c>
      <c r="L33" s="81">
        <v>1090701.57</v>
      </c>
      <c r="M33" s="81">
        <v>1049393.1299999999</v>
      </c>
      <c r="N33" s="81">
        <v>1038983.38</v>
      </c>
      <c r="O33" s="81">
        <v>0</v>
      </c>
      <c r="P33" s="81"/>
      <c r="Q33" s="81"/>
      <c r="R33" s="81"/>
      <c r="S33" s="81">
        <v>1007690.45</v>
      </c>
      <c r="T33" s="81">
        <v>987830.32</v>
      </c>
      <c r="U33" s="81">
        <v>1003677.49</v>
      </c>
      <c r="V33" s="81">
        <v>1001985.25</v>
      </c>
      <c r="W33" s="81">
        <v>1010268.68</v>
      </c>
      <c r="X33" s="81">
        <v>1020151.21</v>
      </c>
      <c r="Y33" s="81">
        <v>985923.61</v>
      </c>
      <c r="Z33" s="81">
        <v>983030.54</v>
      </c>
      <c r="AA33" s="81">
        <v>985730.04</v>
      </c>
      <c r="AB33" s="81">
        <v>982503.47</v>
      </c>
    </row>
    <row r="34" spans="1:28" ht="15" customHeight="1">
      <c r="B34" s="44" t="s">
        <v>962</v>
      </c>
      <c r="C34" s="81">
        <v>-102822.01</v>
      </c>
      <c r="D34" s="81">
        <v>-118883.27</v>
      </c>
      <c r="E34" s="81">
        <v>-127336.18</v>
      </c>
      <c r="F34" s="81">
        <v>-132264.66</v>
      </c>
      <c r="G34" s="81">
        <v>-138218.71</v>
      </c>
      <c r="H34" s="81">
        <v>-160148.81</v>
      </c>
      <c r="I34" s="81">
        <v>-87447.07</v>
      </c>
      <c r="J34" s="81">
        <v>-85730.559999999998</v>
      </c>
      <c r="K34" s="81">
        <v>-96779.32</v>
      </c>
      <c r="L34" s="81">
        <v>-74152.45</v>
      </c>
      <c r="M34" s="81">
        <v>-86676.31</v>
      </c>
      <c r="N34" s="81">
        <v>-58644.14</v>
      </c>
      <c r="O34" s="81">
        <v>0</v>
      </c>
      <c r="P34" s="81"/>
      <c r="Q34" s="81"/>
      <c r="R34" s="81"/>
      <c r="S34" s="81">
        <v>-135800.87</v>
      </c>
      <c r="T34" s="81">
        <v>-18571.5</v>
      </c>
      <c r="U34" s="81">
        <v>-18044.55</v>
      </c>
      <c r="V34" s="81">
        <v>-18323.55</v>
      </c>
      <c r="W34" s="81">
        <v>-18783.13</v>
      </c>
      <c r="X34" s="81">
        <v>-22239.38</v>
      </c>
      <c r="Y34" s="81">
        <v>-13239.13</v>
      </c>
      <c r="Z34" s="81">
        <v>-13469.13</v>
      </c>
      <c r="AA34" s="81">
        <v>-13469.13</v>
      </c>
      <c r="AB34" s="81">
        <v>-39855.730000000003</v>
      </c>
    </row>
    <row r="35" spans="1:28" ht="15" customHeight="1">
      <c r="B35" s="44" t="s">
        <v>963</v>
      </c>
      <c r="C35" s="81">
        <v>-10062.58</v>
      </c>
      <c r="D35" s="81">
        <v>-12105.43</v>
      </c>
      <c r="E35" s="81">
        <v>-8377.01</v>
      </c>
      <c r="F35" s="81">
        <v>-8988.09</v>
      </c>
      <c r="G35" s="81">
        <v>-5716.44</v>
      </c>
      <c r="H35" s="81">
        <v>-18742.68</v>
      </c>
      <c r="I35" s="81">
        <v>-9753</v>
      </c>
      <c r="J35" s="81">
        <v>-11332.57</v>
      </c>
      <c r="K35" s="81">
        <v>-5136.01</v>
      </c>
      <c r="L35" s="81">
        <v>-6668.96</v>
      </c>
      <c r="M35" s="81">
        <v>-14388.16</v>
      </c>
      <c r="N35" s="81">
        <v>-8344.94</v>
      </c>
      <c r="O35" s="81"/>
      <c r="P35" s="81"/>
      <c r="Q35" s="81"/>
      <c r="R35" s="81"/>
      <c r="S35" s="81">
        <v>-4616.3100000000004</v>
      </c>
      <c r="T35" s="81">
        <v>0</v>
      </c>
      <c r="U35" s="81">
        <v>-3684.01</v>
      </c>
      <c r="V35" s="81">
        <v>-7703.39</v>
      </c>
      <c r="W35" s="81">
        <v>-7703.39</v>
      </c>
      <c r="X35" s="81">
        <v>-7703.39</v>
      </c>
      <c r="Y35" s="81">
        <v>0</v>
      </c>
      <c r="Z35" s="81">
        <v>-4302.84</v>
      </c>
      <c r="AA35" s="81">
        <v>-4963.8500000000004</v>
      </c>
      <c r="AB35" s="81">
        <v>-4963.8500000000004</v>
      </c>
    </row>
    <row r="36" spans="1:28" ht="15" customHeight="1">
      <c r="B36" s="44" t="s">
        <v>2221</v>
      </c>
      <c r="C36" s="81">
        <v>784327.96</v>
      </c>
      <c r="D36" s="81">
        <v>768076.87</v>
      </c>
      <c r="E36" s="81">
        <v>777760.09</v>
      </c>
      <c r="F36" s="81">
        <v>814483.24</v>
      </c>
      <c r="G36" s="81">
        <v>769691.93</v>
      </c>
      <c r="H36" s="81">
        <v>786665.69</v>
      </c>
      <c r="I36" s="81">
        <v>810643.84</v>
      </c>
      <c r="J36" s="81">
        <v>874014.86</v>
      </c>
      <c r="K36" s="81">
        <v>871837.41</v>
      </c>
      <c r="L36" s="81">
        <v>869285.07</v>
      </c>
      <c r="M36" s="81">
        <v>828893.8</v>
      </c>
      <c r="N36" s="81">
        <v>827125.35</v>
      </c>
      <c r="O36" s="81"/>
      <c r="P36" s="81"/>
      <c r="Q36" s="81"/>
      <c r="R36" s="81"/>
      <c r="S36" s="81">
        <v>797191.37</v>
      </c>
      <c r="T36" s="81">
        <v>347377.87</v>
      </c>
      <c r="U36" s="81">
        <v>717558.8</v>
      </c>
      <c r="V36" s="81">
        <v>732852.23</v>
      </c>
      <c r="W36" s="81">
        <v>773001.75</v>
      </c>
      <c r="X36" s="81">
        <v>798144.83</v>
      </c>
      <c r="Y36" s="81">
        <v>691292.72</v>
      </c>
      <c r="Z36" s="81">
        <v>719000.42</v>
      </c>
      <c r="AA36" s="81">
        <v>757548.25</v>
      </c>
      <c r="AB36" s="81">
        <v>778055.07</v>
      </c>
    </row>
    <row r="37" spans="1:28" ht="15" customHeight="1">
      <c r="B37" s="44" t="s">
        <v>966</v>
      </c>
      <c r="C37" s="79">
        <v>0.84432696666319496</v>
      </c>
      <c r="D37" s="79">
        <v>0.83093486950873696</v>
      </c>
      <c r="E37" s="79">
        <v>0.82031299996187002</v>
      </c>
      <c r="F37" s="79">
        <v>0.80058751651381399</v>
      </c>
      <c r="G37" s="79">
        <v>0.76441510278258495</v>
      </c>
      <c r="H37" s="79">
        <v>0.78469699526395298</v>
      </c>
      <c r="I37" s="79">
        <v>0.80947858587688604</v>
      </c>
      <c r="J37" s="79">
        <v>0.83277017732146696</v>
      </c>
      <c r="K37" s="79">
        <v>0.857951327210702</v>
      </c>
      <c r="L37" s="79">
        <v>0.84893839476182298</v>
      </c>
      <c r="M37" s="79">
        <v>0.85388967621695799</v>
      </c>
      <c r="N37" s="79">
        <v>0.86184290070164604</v>
      </c>
      <c r="O37" s="79"/>
      <c r="P37" s="79"/>
      <c r="Q37" s="79"/>
      <c r="R37" s="79"/>
      <c r="S37" s="79">
        <v>0.87717437433291201</v>
      </c>
      <c r="T37" s="79">
        <v>0.38924594863619899</v>
      </c>
      <c r="U37" s="79">
        <v>0.75342805585885997</v>
      </c>
      <c r="V37" s="79">
        <v>0.77358684671256395</v>
      </c>
      <c r="W37" s="79">
        <v>0.81100543471267506</v>
      </c>
      <c r="X37" s="79">
        <v>0.84214734205922304</v>
      </c>
      <c r="Y37" s="79">
        <v>0.73995295639588099</v>
      </c>
      <c r="Z37" s="79">
        <v>0.77374587975669595</v>
      </c>
      <c r="AA37" s="79">
        <v>0.81426450187112098</v>
      </c>
      <c r="AB37" s="79">
        <v>0.84644876623183796</v>
      </c>
    </row>
    <row r="38" spans="1:28" ht="15" customHeight="1">
      <c r="A38" s="19" t="s">
        <v>967</v>
      </c>
      <c r="B38" s="16"/>
      <c r="C38" s="16"/>
      <c r="D38" s="16"/>
      <c r="E38" s="16"/>
      <c r="F38" s="16"/>
      <c r="G38" s="16"/>
      <c r="H38" s="16"/>
      <c r="I38" s="16"/>
      <c r="J38" s="16"/>
      <c r="K38" s="16"/>
      <c r="L38" s="16"/>
      <c r="M38" s="16"/>
      <c r="N38" s="16"/>
      <c r="O38" s="16"/>
      <c r="P38" s="16"/>
      <c r="Q38" s="16"/>
      <c r="R38" s="16"/>
      <c r="S38" s="16"/>
      <c r="T38" s="16"/>
      <c r="U38" s="16"/>
      <c r="V38" s="16"/>
      <c r="W38" s="16"/>
      <c r="X38" s="16"/>
      <c r="Y38" s="16"/>
      <c r="Z38" s="16"/>
      <c r="AA38" s="16"/>
      <c r="AB38" s="16"/>
    </row>
    <row r="39" spans="1:28" ht="15" customHeight="1">
      <c r="B39" s="44" t="s">
        <v>2222</v>
      </c>
      <c r="C39" s="81">
        <v>79097.31</v>
      </c>
      <c r="D39" s="81">
        <v>74191.990000000005</v>
      </c>
      <c r="E39" s="81">
        <v>67465.48</v>
      </c>
      <c r="F39" s="81">
        <v>82224.91</v>
      </c>
      <c r="G39" s="81">
        <v>149829.76999999999</v>
      </c>
      <c r="H39" s="81">
        <v>122364.56</v>
      </c>
      <c r="I39" s="81">
        <v>173865.65</v>
      </c>
      <c r="J39" s="81">
        <v>204749.19</v>
      </c>
      <c r="K39" s="81">
        <v>194135.24</v>
      </c>
      <c r="L39" s="81">
        <v>229422.45</v>
      </c>
      <c r="M39" s="81">
        <v>232476.83</v>
      </c>
      <c r="N39" s="81">
        <v>277214.40000000002</v>
      </c>
      <c r="O39" s="81">
        <v>501559.14</v>
      </c>
      <c r="P39" s="81">
        <v>452937.09</v>
      </c>
      <c r="Q39" s="81">
        <v>398512.59</v>
      </c>
      <c r="R39" s="81">
        <v>344424.91</v>
      </c>
      <c r="S39" s="81">
        <v>237436.08</v>
      </c>
      <c r="T39" s="81">
        <v>727424.41</v>
      </c>
      <c r="U39" s="81">
        <v>399644.41</v>
      </c>
      <c r="V39" s="81">
        <v>383121.74</v>
      </c>
      <c r="W39" s="81">
        <v>346359.63</v>
      </c>
      <c r="X39" s="81">
        <v>326227.39</v>
      </c>
      <c r="Y39" s="81">
        <v>453209.17</v>
      </c>
      <c r="Z39" s="81">
        <v>421806.94</v>
      </c>
      <c r="AA39" s="81">
        <v>385983.61</v>
      </c>
      <c r="AB39" s="81">
        <v>334613.32</v>
      </c>
    </row>
    <row r="40" spans="1:28" ht="15" customHeight="1">
      <c r="B40" s="44" t="s">
        <v>1069</v>
      </c>
      <c r="C40" s="87">
        <v>1</v>
      </c>
      <c r="D40" s="87">
        <v>0.93798373168442795</v>
      </c>
      <c r="E40" s="87">
        <v>0.85294278654988398</v>
      </c>
      <c r="F40" s="87">
        <v>1.03954116770849</v>
      </c>
      <c r="G40" s="87">
        <v>1.89424608750917</v>
      </c>
      <c r="H40" s="87">
        <v>1.54701291358707</v>
      </c>
      <c r="I40" s="87">
        <v>2.1981234254363402</v>
      </c>
      <c r="J40" s="87">
        <v>2.5885733661486099</v>
      </c>
      <c r="K40" s="87">
        <v>2.4543848583472698</v>
      </c>
      <c r="L40" s="87">
        <v>2.9005088795055101</v>
      </c>
      <c r="M40" s="87">
        <v>2.93912435201652</v>
      </c>
      <c r="N40" s="87">
        <v>3.5047260140705201</v>
      </c>
      <c r="O40" s="87">
        <v>6.3410391579688401</v>
      </c>
      <c r="P40" s="87">
        <v>5.72632735550678</v>
      </c>
      <c r="Q40" s="87">
        <v>5.0382571796689399</v>
      </c>
      <c r="R40" s="87">
        <v>4.3544453028807197</v>
      </c>
      <c r="S40" s="87">
        <v>3.0018224387150498</v>
      </c>
      <c r="T40" s="87">
        <v>9.1965758380405092</v>
      </c>
      <c r="U40" s="87">
        <v>5.0525663894258903</v>
      </c>
      <c r="V40" s="87">
        <v>4.84367597330428</v>
      </c>
      <c r="W40" s="87">
        <v>4.3789053003193201</v>
      </c>
      <c r="X40" s="87">
        <v>4.1243803360695797</v>
      </c>
      <c r="Y40" s="87">
        <v>5.7297671690731304</v>
      </c>
      <c r="Z40" s="87">
        <v>5.3327596096504397</v>
      </c>
      <c r="AA40" s="87">
        <v>4.8798576083055201</v>
      </c>
      <c r="AB40" s="87">
        <v>4.2304007557273398</v>
      </c>
    </row>
    <row r="41" spans="1:28" ht="15" customHeight="1">
      <c r="B41" s="44" t="s">
        <v>2223</v>
      </c>
      <c r="C41" s="81">
        <v>35834.92</v>
      </c>
      <c r="D41" s="81">
        <v>18359.95</v>
      </c>
      <c r="E41" s="81">
        <v>19689.919999999998</v>
      </c>
      <c r="F41" s="81">
        <v>7730.47</v>
      </c>
      <c r="G41" s="81">
        <v>18208.37</v>
      </c>
      <c r="H41" s="81">
        <v>38227</v>
      </c>
      <c r="I41" s="81">
        <v>55915.83</v>
      </c>
      <c r="J41" s="81">
        <v>60383.47</v>
      </c>
      <c r="K41" s="81">
        <v>69186.320000000007</v>
      </c>
      <c r="L41" s="81">
        <v>78474.52</v>
      </c>
      <c r="M41" s="81">
        <v>82128.990000000005</v>
      </c>
      <c r="N41" s="81">
        <v>105575.92</v>
      </c>
      <c r="O41" s="81">
        <v>0</v>
      </c>
      <c r="P41" s="81">
        <v>6217.08</v>
      </c>
      <c r="Q41" s="81">
        <v>34529.56</v>
      </c>
      <c r="R41" s="81">
        <v>27238.37</v>
      </c>
      <c r="S41" s="81">
        <v>155052.15</v>
      </c>
      <c r="T41" s="81">
        <v>155052.15</v>
      </c>
      <c r="U41" s="81">
        <v>157363.6</v>
      </c>
      <c r="V41" s="81">
        <v>157231.6</v>
      </c>
      <c r="W41" s="81">
        <v>155614.28</v>
      </c>
      <c r="X41" s="81">
        <v>154935.45000000001</v>
      </c>
      <c r="Y41" s="81">
        <v>168212.44</v>
      </c>
      <c r="Z41" s="81">
        <v>172463.04</v>
      </c>
      <c r="AA41" s="81">
        <v>172463.04</v>
      </c>
      <c r="AB41" s="81">
        <v>158889.79</v>
      </c>
    </row>
    <row r="42" spans="1:28" ht="15" customHeight="1">
      <c r="B42" s="44" t="s">
        <v>1063</v>
      </c>
      <c r="C42" s="80">
        <v>3</v>
      </c>
      <c r="D42" s="80">
        <v>1</v>
      </c>
      <c r="E42" s="80">
        <v>10</v>
      </c>
      <c r="F42" s="80">
        <v>4</v>
      </c>
      <c r="G42" s="80">
        <v>9</v>
      </c>
      <c r="H42" s="80">
        <v>4</v>
      </c>
      <c r="I42" s="80">
        <v>10</v>
      </c>
      <c r="J42" s="80">
        <v>2</v>
      </c>
      <c r="K42" s="80">
        <v>7</v>
      </c>
      <c r="L42" s="80">
        <v>4</v>
      </c>
      <c r="M42" s="80">
        <v>8</v>
      </c>
      <c r="N42" s="80">
        <v>13</v>
      </c>
      <c r="O42" s="80">
        <v>0</v>
      </c>
      <c r="P42" s="80">
        <v>1</v>
      </c>
      <c r="Q42" s="80">
        <v>0</v>
      </c>
      <c r="R42" s="80">
        <v>0</v>
      </c>
      <c r="S42" s="80">
        <v>79</v>
      </c>
      <c r="T42" s="80">
        <v>79</v>
      </c>
      <c r="U42" s="80">
        <v>148</v>
      </c>
      <c r="V42" s="80">
        <v>132</v>
      </c>
      <c r="W42" s="80">
        <v>88</v>
      </c>
      <c r="X42" s="80">
        <v>41</v>
      </c>
      <c r="Y42" s="80">
        <v>109</v>
      </c>
      <c r="Z42" s="80">
        <v>88</v>
      </c>
      <c r="AA42" s="80">
        <v>45</v>
      </c>
      <c r="AB42" s="80">
        <v>32</v>
      </c>
    </row>
    <row r="43" spans="1:28" ht="15" customHeight="1">
      <c r="B43" s="44" t="s">
        <v>1064</v>
      </c>
      <c r="C43" s="80">
        <v>0</v>
      </c>
      <c r="D43" s="80">
        <v>0</v>
      </c>
      <c r="E43" s="80">
        <v>0</v>
      </c>
      <c r="F43" s="80">
        <v>0</v>
      </c>
      <c r="G43" s="80">
        <v>0</v>
      </c>
      <c r="H43" s="80">
        <v>0</v>
      </c>
      <c r="I43" s="80">
        <v>0</v>
      </c>
      <c r="J43" s="80">
        <v>0</v>
      </c>
      <c r="K43" s="80">
        <v>0</v>
      </c>
      <c r="L43" s="80">
        <v>0</v>
      </c>
      <c r="M43" s="80">
        <v>0</v>
      </c>
      <c r="N43" s="80">
        <v>4</v>
      </c>
      <c r="O43" s="80">
        <v>9</v>
      </c>
      <c r="P43" s="80">
        <v>9</v>
      </c>
      <c r="Q43" s="80">
        <v>9</v>
      </c>
      <c r="R43" s="80">
        <v>9</v>
      </c>
      <c r="S43" s="80">
        <v>12</v>
      </c>
      <c r="T43" s="80">
        <v>12</v>
      </c>
      <c r="U43" s="80">
        <v>1</v>
      </c>
      <c r="V43" s="80">
        <v>4</v>
      </c>
      <c r="W43" s="80">
        <v>16</v>
      </c>
      <c r="X43" s="80">
        <v>35</v>
      </c>
      <c r="Y43" s="80">
        <v>45</v>
      </c>
      <c r="Z43" s="80">
        <v>47</v>
      </c>
      <c r="AA43" s="80">
        <v>59</v>
      </c>
      <c r="AB43" s="80">
        <v>57</v>
      </c>
    </row>
    <row r="44" spans="1:28" ht="15" customHeight="1">
      <c r="B44" s="44" t="s">
        <v>1171</v>
      </c>
      <c r="C44" s="80">
        <v>0</v>
      </c>
      <c r="D44" s="80">
        <v>0</v>
      </c>
      <c r="E44" s="80">
        <v>0</v>
      </c>
      <c r="F44" s="80">
        <v>0</v>
      </c>
      <c r="G44" s="80">
        <v>0</v>
      </c>
      <c r="H44" s="80">
        <v>0</v>
      </c>
      <c r="I44" s="80">
        <v>0</v>
      </c>
      <c r="J44" s="80">
        <v>0</v>
      </c>
      <c r="K44" s="80">
        <v>0</v>
      </c>
      <c r="L44" s="80">
        <v>0</v>
      </c>
      <c r="M44" s="80">
        <v>0</v>
      </c>
      <c r="N44" s="80">
        <v>4</v>
      </c>
      <c r="O44" s="80">
        <v>12</v>
      </c>
      <c r="P44" s="80">
        <v>12</v>
      </c>
      <c r="Q44" s="80">
        <v>12</v>
      </c>
      <c r="R44" s="80">
        <v>12</v>
      </c>
      <c r="S44" s="80">
        <v>1</v>
      </c>
      <c r="T44" s="80">
        <v>1</v>
      </c>
      <c r="U44" s="80">
        <v>6</v>
      </c>
      <c r="V44" s="80">
        <v>11</v>
      </c>
      <c r="W44" s="80">
        <v>17</v>
      </c>
      <c r="X44" s="80">
        <v>11</v>
      </c>
      <c r="Y44" s="80">
        <v>1</v>
      </c>
      <c r="Z44" s="80">
        <v>4</v>
      </c>
      <c r="AA44" s="80">
        <v>12</v>
      </c>
      <c r="AB44" s="80">
        <v>2</v>
      </c>
    </row>
    <row r="45" spans="1:28" ht="15" customHeight="1">
      <c r="A45" s="88" t="s">
        <v>2224</v>
      </c>
      <c r="B45" s="25"/>
      <c r="C45" s="25"/>
      <c r="D45" s="25"/>
      <c r="E45" s="25"/>
      <c r="F45" s="25"/>
      <c r="G45" s="25"/>
      <c r="H45" s="25"/>
      <c r="I45" s="25"/>
      <c r="J45" s="25"/>
      <c r="K45" s="25"/>
      <c r="L45" s="25"/>
      <c r="M45" s="25"/>
      <c r="N45" s="25"/>
      <c r="O45" s="25"/>
      <c r="P45" s="25"/>
      <c r="Q45" s="25"/>
      <c r="R45" s="25"/>
      <c r="S45" s="25"/>
      <c r="T45" s="25"/>
      <c r="U45" s="25"/>
      <c r="V45" s="25"/>
      <c r="W45" s="25"/>
      <c r="X45" s="25"/>
      <c r="Y45" s="25"/>
      <c r="Z45" s="25"/>
      <c r="AA45" s="25"/>
      <c r="AB45" s="25"/>
    </row>
    <row r="46" spans="1:28" ht="15" customHeight="1">
      <c r="B46" s="57" t="s">
        <v>1075</v>
      </c>
      <c r="H46" s="28">
        <v>3.6</v>
      </c>
      <c r="I46" s="28">
        <v>4.8</v>
      </c>
      <c r="J46" s="28">
        <v>6.1</v>
      </c>
      <c r="K46" s="28">
        <v>5.7</v>
      </c>
      <c r="L46" s="28">
        <v>7</v>
      </c>
      <c r="M46" s="28">
        <v>6.9</v>
      </c>
      <c r="N46" s="28">
        <v>8.3000000000000007</v>
      </c>
      <c r="S46" s="28">
        <v>7.2</v>
      </c>
      <c r="X46" s="28">
        <v>7.5</v>
      </c>
    </row>
    <row r="47" spans="1:28" ht="15" customHeight="1">
      <c r="B47" s="57" t="s">
        <v>1077</v>
      </c>
      <c r="I47" s="28">
        <v>4.2</v>
      </c>
      <c r="J47" s="28">
        <v>5.5</v>
      </c>
      <c r="K47" s="28">
        <v>5.9</v>
      </c>
      <c r="L47" s="28">
        <v>6.3</v>
      </c>
      <c r="M47" s="28">
        <v>6.9</v>
      </c>
      <c r="N47" s="28">
        <v>7.6</v>
      </c>
      <c r="S47" s="28">
        <v>7.7</v>
      </c>
      <c r="X47" s="28">
        <v>7.4</v>
      </c>
    </row>
    <row r="48" spans="1:28" ht="15" customHeight="1"/>
    <row r="49" spans="1:28" ht="15" customHeight="1">
      <c r="A49" s="19" t="s">
        <v>972</v>
      </c>
      <c r="B49" s="16"/>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row>
    <row r="50" spans="1:28" ht="15" customHeight="1">
      <c r="B50" s="44" t="s">
        <v>2225</v>
      </c>
      <c r="C50" s="80">
        <v>0</v>
      </c>
      <c r="D50" s="80">
        <v>0</v>
      </c>
      <c r="E50" s="80">
        <v>0</v>
      </c>
      <c r="F50" s="80">
        <v>0</v>
      </c>
      <c r="G50" s="80">
        <v>1</v>
      </c>
      <c r="H50" s="80">
        <v>0</v>
      </c>
      <c r="I50" s="80">
        <v>1</v>
      </c>
      <c r="J50" s="80">
        <v>0</v>
      </c>
      <c r="K50" s="80">
        <v>1</v>
      </c>
      <c r="L50" s="80">
        <v>20</v>
      </c>
      <c r="M50" s="80">
        <v>27</v>
      </c>
      <c r="N50" s="80">
        <v>41</v>
      </c>
      <c r="O50" s="80">
        <v>14</v>
      </c>
      <c r="P50" s="80">
        <v>26</v>
      </c>
      <c r="Q50" s="80">
        <v>47</v>
      </c>
      <c r="R50" s="80">
        <v>22</v>
      </c>
      <c r="S50" s="80">
        <v>74</v>
      </c>
      <c r="T50" s="80">
        <v>27</v>
      </c>
      <c r="U50" s="80">
        <v>46</v>
      </c>
      <c r="V50" s="80">
        <v>13</v>
      </c>
      <c r="W50" s="80">
        <v>10</v>
      </c>
      <c r="X50" s="80">
        <v>29</v>
      </c>
      <c r="Y50" s="80">
        <v>29</v>
      </c>
      <c r="Z50" s="80">
        <v>18</v>
      </c>
      <c r="AA50" s="80">
        <v>19</v>
      </c>
      <c r="AB50" s="80">
        <v>4</v>
      </c>
    </row>
    <row r="51" spans="1:28" ht="15" customHeight="1">
      <c r="B51" s="44" t="s">
        <v>2226</v>
      </c>
      <c r="C51" s="80">
        <v>562</v>
      </c>
      <c r="D51" s="80">
        <v>447</v>
      </c>
      <c r="E51" s="80">
        <v>437</v>
      </c>
      <c r="F51" s="80">
        <v>470</v>
      </c>
      <c r="G51" s="80">
        <v>466</v>
      </c>
      <c r="H51" s="80">
        <v>446</v>
      </c>
      <c r="I51" s="80">
        <v>452</v>
      </c>
      <c r="J51" s="80">
        <v>494</v>
      </c>
      <c r="K51" s="80">
        <v>441</v>
      </c>
      <c r="L51" s="80">
        <v>499</v>
      </c>
      <c r="M51" s="80">
        <v>512</v>
      </c>
      <c r="N51" s="80">
        <v>505</v>
      </c>
      <c r="O51" s="80">
        <v>94</v>
      </c>
      <c r="P51" s="80">
        <v>125</v>
      </c>
      <c r="Q51" s="80">
        <v>104</v>
      </c>
      <c r="R51" s="80">
        <v>79</v>
      </c>
      <c r="S51" s="80">
        <v>442</v>
      </c>
      <c r="T51" s="80">
        <v>84</v>
      </c>
      <c r="U51" s="80">
        <v>100</v>
      </c>
      <c r="V51" s="80">
        <v>74</v>
      </c>
      <c r="W51" s="80">
        <v>80</v>
      </c>
      <c r="X51" s="80">
        <v>80</v>
      </c>
      <c r="Y51" s="80">
        <v>84</v>
      </c>
      <c r="Z51" s="80">
        <v>75</v>
      </c>
      <c r="AA51" s="80">
        <v>88</v>
      </c>
      <c r="AB51" s="80">
        <v>84</v>
      </c>
    </row>
    <row r="52" spans="1:28" ht="15" customHeight="1">
      <c r="B52" s="44" t="s">
        <v>2227</v>
      </c>
      <c r="C52" s="80">
        <v>547</v>
      </c>
      <c r="D52" s="80">
        <v>443</v>
      </c>
      <c r="E52" s="80">
        <v>431</v>
      </c>
      <c r="F52" s="80">
        <v>454</v>
      </c>
      <c r="G52" s="80">
        <v>455</v>
      </c>
      <c r="H52" s="80">
        <v>438</v>
      </c>
      <c r="I52" s="80">
        <v>447</v>
      </c>
      <c r="J52" s="80">
        <v>481</v>
      </c>
      <c r="K52" s="80">
        <v>431</v>
      </c>
      <c r="L52" s="80">
        <v>449</v>
      </c>
      <c r="M52" s="80">
        <v>479</v>
      </c>
      <c r="N52" s="80">
        <v>457</v>
      </c>
      <c r="O52" s="80">
        <v>80</v>
      </c>
      <c r="P52" s="80">
        <v>97</v>
      </c>
      <c r="Q52" s="80">
        <v>57</v>
      </c>
      <c r="R52" s="80">
        <v>57</v>
      </c>
      <c r="S52" s="80">
        <v>368</v>
      </c>
      <c r="T52" s="80">
        <v>57</v>
      </c>
      <c r="U52" s="80">
        <v>55</v>
      </c>
      <c r="V52" s="80">
        <v>64</v>
      </c>
      <c r="W52" s="80">
        <v>341</v>
      </c>
      <c r="X52" s="80">
        <v>94</v>
      </c>
      <c r="Y52" s="80">
        <v>55</v>
      </c>
      <c r="Z52" s="80">
        <v>57</v>
      </c>
      <c r="AA52" s="80">
        <v>69</v>
      </c>
      <c r="AB52" s="80">
        <v>80</v>
      </c>
    </row>
    <row r="53" spans="1:28" ht="15" customHeight="1">
      <c r="B53" s="44" t="s">
        <v>2228</v>
      </c>
      <c r="C53" s="79">
        <v>0.97330960854092496</v>
      </c>
      <c r="D53" s="79">
        <v>0.99105145413870199</v>
      </c>
      <c r="E53" s="79">
        <v>0.98627002288329502</v>
      </c>
      <c r="F53" s="79">
        <v>0.96595744680851103</v>
      </c>
      <c r="G53" s="79">
        <v>0.97639484978540803</v>
      </c>
      <c r="H53" s="79">
        <v>0.98206278026905802</v>
      </c>
      <c r="I53" s="79">
        <v>0.98893805309734495</v>
      </c>
      <c r="J53" s="79">
        <v>0.97368421052631604</v>
      </c>
      <c r="K53" s="79">
        <v>0.97732426303854902</v>
      </c>
      <c r="L53" s="79">
        <v>0.89979959919839703</v>
      </c>
      <c r="M53" s="79">
        <v>0.935546875</v>
      </c>
      <c r="N53" s="79">
        <v>0.90495049504950498</v>
      </c>
      <c r="O53" s="79">
        <v>0.85106382978723405</v>
      </c>
      <c r="P53" s="79">
        <v>0.77600000000000002</v>
      </c>
      <c r="Q53" s="79">
        <v>0.54807692307692302</v>
      </c>
      <c r="R53" s="79">
        <v>0.721518987341772</v>
      </c>
      <c r="S53" s="79">
        <v>0.83257918552036203</v>
      </c>
      <c r="T53" s="79">
        <v>0.67857142857142905</v>
      </c>
      <c r="U53" s="79">
        <v>0.55000000000000004</v>
      </c>
      <c r="V53" s="79">
        <v>0.86486486486486502</v>
      </c>
      <c r="W53" s="79">
        <v>4.2625000000000002</v>
      </c>
      <c r="X53" s="79">
        <v>1.175</v>
      </c>
      <c r="Y53" s="79">
        <v>0.65476190476190499</v>
      </c>
      <c r="Z53" s="79">
        <v>0.76</v>
      </c>
      <c r="AA53" s="79">
        <v>0.78409090909090895</v>
      </c>
      <c r="AB53" s="79">
        <v>0.952380952380952</v>
      </c>
    </row>
    <row r="54" spans="1:28">
      <c r="A54" s="19" t="s">
        <v>977</v>
      </c>
      <c r="B54" s="16"/>
      <c r="C54" s="16"/>
      <c r="D54" s="16"/>
      <c r="E54" s="16"/>
      <c r="F54" s="16"/>
      <c r="G54" s="16"/>
      <c r="H54" s="16"/>
      <c r="I54" s="16"/>
      <c r="J54" s="16"/>
      <c r="K54" s="16"/>
      <c r="L54" s="16"/>
      <c r="M54" s="16"/>
      <c r="N54" s="16"/>
      <c r="O54" s="16"/>
      <c r="P54" s="16"/>
      <c r="Q54" s="16"/>
      <c r="R54" s="16"/>
      <c r="S54" s="16"/>
      <c r="T54" s="16"/>
      <c r="U54" s="16"/>
      <c r="V54" s="16"/>
      <c r="W54" s="16"/>
      <c r="X54" s="16"/>
      <c r="Y54" s="16"/>
      <c r="Z54" s="16"/>
      <c r="AA54" s="16"/>
      <c r="AB54" s="16"/>
    </row>
    <row r="55" spans="1:28">
      <c r="B55" s="44" t="s">
        <v>2229</v>
      </c>
      <c r="C55" s="81">
        <v>1142</v>
      </c>
      <c r="D55" s="81">
        <v>1186</v>
      </c>
      <c r="E55" s="81">
        <v>1186</v>
      </c>
      <c r="F55" s="81">
        <v>1191</v>
      </c>
      <c r="G55" s="81">
        <v>1216</v>
      </c>
      <c r="H55" s="81">
        <v>1229</v>
      </c>
      <c r="I55" s="81">
        <v>1254</v>
      </c>
      <c r="J55" s="81">
        <v>1317</v>
      </c>
      <c r="K55" s="81">
        <v>1326</v>
      </c>
      <c r="L55" s="81">
        <v>1297</v>
      </c>
      <c r="M55" s="81">
        <v>1264</v>
      </c>
      <c r="N55" s="81">
        <v>1304</v>
      </c>
      <c r="O55" s="81">
        <v>1342</v>
      </c>
      <c r="P55" s="81">
        <v>1337</v>
      </c>
      <c r="Q55" s="81">
        <v>1341</v>
      </c>
      <c r="R55" s="81">
        <v>1344</v>
      </c>
      <c r="S55" s="81">
        <v>1305</v>
      </c>
      <c r="T55" s="81">
        <v>1305</v>
      </c>
      <c r="U55" s="81">
        <v>1293</v>
      </c>
      <c r="V55" s="81">
        <v>1285</v>
      </c>
      <c r="W55" s="81">
        <v>1283</v>
      </c>
      <c r="X55" s="81">
        <v>1274</v>
      </c>
      <c r="Y55" s="81">
        <v>1154</v>
      </c>
      <c r="Z55" s="81">
        <v>1147</v>
      </c>
      <c r="AA55" s="81">
        <v>1147</v>
      </c>
      <c r="AB55" s="81">
        <v>1140</v>
      </c>
    </row>
    <row r="56" spans="1:28">
      <c r="B56" s="44" t="s">
        <v>979</v>
      </c>
      <c r="C56" s="81">
        <v>1123</v>
      </c>
      <c r="D56" s="81">
        <v>1047</v>
      </c>
      <c r="E56" s="81">
        <v>1026</v>
      </c>
      <c r="F56" s="81">
        <v>1002</v>
      </c>
      <c r="G56" s="81">
        <v>1045</v>
      </c>
      <c r="H56" s="81">
        <v>1062</v>
      </c>
      <c r="I56" s="81">
        <v>1151</v>
      </c>
      <c r="J56" s="81">
        <v>1275</v>
      </c>
      <c r="K56" s="81">
        <v>1275</v>
      </c>
      <c r="L56" s="81">
        <v>1247</v>
      </c>
      <c r="M56" s="81">
        <v>1218</v>
      </c>
      <c r="N56" s="81">
        <v>1257</v>
      </c>
      <c r="O56" s="81">
        <v>1290</v>
      </c>
      <c r="P56" s="81">
        <v>1285</v>
      </c>
      <c r="Q56" s="81">
        <v>1289</v>
      </c>
      <c r="R56" s="81">
        <v>1342</v>
      </c>
      <c r="S56" s="81">
        <v>1255</v>
      </c>
      <c r="T56" s="81">
        <v>1255</v>
      </c>
      <c r="U56" s="81">
        <v>1244</v>
      </c>
      <c r="V56" s="81">
        <v>1282</v>
      </c>
      <c r="W56" s="81">
        <v>1236</v>
      </c>
      <c r="X56" s="81">
        <v>1271</v>
      </c>
      <c r="Y56" s="81">
        <v>1111</v>
      </c>
      <c r="Z56" s="81">
        <v>1103</v>
      </c>
      <c r="AA56" s="81">
        <v>1103</v>
      </c>
      <c r="AB56" s="81">
        <v>1097</v>
      </c>
    </row>
    <row r="57" spans="1:28">
      <c r="B57" s="44" t="s">
        <v>1082</v>
      </c>
      <c r="C57" s="80">
        <v>31</v>
      </c>
      <c r="D57" s="80">
        <v>35</v>
      </c>
      <c r="E57" s="80">
        <v>47</v>
      </c>
      <c r="F57" s="80">
        <v>33</v>
      </c>
      <c r="G57" s="80">
        <v>26</v>
      </c>
      <c r="H57" s="80">
        <v>31</v>
      </c>
      <c r="I57" s="80">
        <v>37</v>
      </c>
      <c r="J57" s="80">
        <v>17</v>
      </c>
      <c r="K57" s="80">
        <v>18</v>
      </c>
      <c r="L57" s="80">
        <v>18</v>
      </c>
      <c r="M57" s="80">
        <v>24</v>
      </c>
      <c r="N57" s="80">
        <v>25</v>
      </c>
      <c r="O57" s="80">
        <v>5</v>
      </c>
      <c r="P57" s="80">
        <v>3</v>
      </c>
      <c r="Q57" s="80">
        <v>7</v>
      </c>
      <c r="R57" s="80">
        <v>4</v>
      </c>
      <c r="S57" s="80">
        <v>17</v>
      </c>
      <c r="T57" s="80">
        <v>17</v>
      </c>
      <c r="U57" s="80">
        <v>19</v>
      </c>
      <c r="V57" s="80">
        <v>19</v>
      </c>
      <c r="W57" s="80">
        <v>21</v>
      </c>
      <c r="X57" s="80">
        <v>19</v>
      </c>
      <c r="Y57" s="80">
        <v>16</v>
      </c>
      <c r="Z57" s="80">
        <v>13</v>
      </c>
      <c r="AA57" s="80">
        <v>20</v>
      </c>
      <c r="AB57" s="80">
        <v>28</v>
      </c>
    </row>
  </sheetData>
  <pageMargins left="0.75" right="0.75" top="1" bottom="1" header="0.511811023622047" footer="0.511811023622047"/>
  <pageSetup paperSize="9" orientation="portrait" horizontalDpi="300" verticalDpi="30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AB32"/>
  <sheetViews>
    <sheetView showGridLines="0" zoomScaleNormal="100" workbookViewId="0">
      <pane xSplit="2" ySplit="4" topLeftCell="W5" activePane="bottomRight" state="frozen"/>
      <selection pane="topRight" activeCell="C1" sqref="C1"/>
      <selection pane="bottomLeft" activeCell="A5" sqref="A5"/>
      <selection pane="bottomRight"/>
    </sheetView>
  </sheetViews>
  <sheetFormatPr defaultColWidth="8.5546875" defaultRowHeight="14.4"/>
  <cols>
    <col min="1" max="1" width="12" customWidth="1"/>
    <col min="2" max="2" width="22" customWidth="1"/>
    <col min="3" max="28" width="10" customWidth="1"/>
  </cols>
  <sheetData>
    <row r="1" spans="1:28" ht="21.75" customHeight="1">
      <c r="A1" s="1" t="s">
        <v>783</v>
      </c>
    </row>
    <row r="2" spans="1:28" ht="15" customHeight="1">
      <c r="A2" s="2" t="s">
        <v>2230</v>
      </c>
    </row>
    <row r="4" spans="1:28" ht="15" customHeight="1">
      <c r="A4" s="17" t="s">
        <v>2231</v>
      </c>
      <c r="B4" s="17" t="s">
        <v>859</v>
      </c>
      <c r="C4" s="18">
        <v>45535</v>
      </c>
      <c r="D4" s="18">
        <v>45565</v>
      </c>
      <c r="E4" s="18">
        <v>45596</v>
      </c>
      <c r="F4" s="18">
        <v>45626</v>
      </c>
      <c r="G4" s="18">
        <v>45657</v>
      </c>
      <c r="H4" s="18">
        <v>45688</v>
      </c>
      <c r="I4" s="18">
        <v>45716</v>
      </c>
      <c r="J4" s="18">
        <v>45747</v>
      </c>
      <c r="K4" s="18">
        <v>45777</v>
      </c>
      <c r="L4" s="18">
        <v>45808</v>
      </c>
      <c r="M4" s="18">
        <v>45838</v>
      </c>
      <c r="N4" s="18">
        <v>45869</v>
      </c>
      <c r="O4" s="18">
        <v>45873</v>
      </c>
      <c r="P4" s="18">
        <v>45880</v>
      </c>
      <c r="Q4" s="18">
        <v>45887</v>
      </c>
      <c r="R4" s="18">
        <v>45894</v>
      </c>
      <c r="S4" s="18">
        <v>45900</v>
      </c>
      <c r="T4" s="18">
        <v>45901</v>
      </c>
      <c r="U4" s="18">
        <v>45908</v>
      </c>
      <c r="V4" s="18">
        <v>45915</v>
      </c>
      <c r="W4" s="18">
        <v>45922</v>
      </c>
      <c r="X4" s="18">
        <v>45929</v>
      </c>
      <c r="Y4" s="18">
        <v>45936</v>
      </c>
      <c r="Z4" s="18">
        <v>45943</v>
      </c>
      <c r="AA4" s="18">
        <v>45950</v>
      </c>
      <c r="AB4" s="18">
        <v>45957</v>
      </c>
    </row>
    <row r="5" spans="1:28" ht="15" customHeight="1">
      <c r="A5" s="19" t="s">
        <v>2232</v>
      </c>
      <c r="B5" s="16"/>
      <c r="C5" s="16"/>
      <c r="D5" s="16"/>
      <c r="E5" s="16"/>
      <c r="F5" s="16"/>
      <c r="G5" s="16"/>
      <c r="H5" s="16"/>
      <c r="I5" s="16"/>
      <c r="J5" s="16"/>
      <c r="K5" s="16"/>
      <c r="L5" s="16"/>
      <c r="M5" s="16"/>
      <c r="N5" s="16"/>
      <c r="O5" s="16"/>
      <c r="P5" s="16"/>
      <c r="Q5" s="16"/>
      <c r="R5" s="16"/>
      <c r="S5" s="16"/>
      <c r="T5" s="16"/>
      <c r="U5" s="16"/>
      <c r="V5" s="16"/>
      <c r="W5" s="16"/>
      <c r="X5" s="16"/>
      <c r="Y5" s="16"/>
      <c r="Z5" s="16"/>
      <c r="AA5" s="16"/>
      <c r="AB5" s="16"/>
    </row>
    <row r="6" spans="1:28" ht="15" customHeight="1">
      <c r="B6" s="44" t="s">
        <v>2233</v>
      </c>
      <c r="C6" s="80">
        <v>13</v>
      </c>
      <c r="D6" s="80">
        <v>11</v>
      </c>
      <c r="E6" s="80">
        <v>8</v>
      </c>
      <c r="F6" s="80">
        <v>6</v>
      </c>
      <c r="G6" s="80">
        <v>7</v>
      </c>
      <c r="H6" s="80">
        <v>6</v>
      </c>
      <c r="I6" s="80">
        <v>2</v>
      </c>
      <c r="J6" s="80">
        <v>2</v>
      </c>
      <c r="K6" s="80">
        <v>2</v>
      </c>
      <c r="L6" s="80"/>
      <c r="M6" s="80">
        <v>59</v>
      </c>
      <c r="N6" s="80">
        <v>55</v>
      </c>
      <c r="O6" s="80">
        <v>1</v>
      </c>
      <c r="P6" s="80">
        <v>2</v>
      </c>
      <c r="Q6" s="80">
        <v>2</v>
      </c>
      <c r="R6" s="80">
        <v>3</v>
      </c>
      <c r="S6" s="80">
        <v>5</v>
      </c>
      <c r="T6" s="80">
        <v>5</v>
      </c>
      <c r="U6" s="80">
        <v>5</v>
      </c>
      <c r="V6" s="80">
        <v>6</v>
      </c>
      <c r="W6" s="80">
        <v>6</v>
      </c>
      <c r="X6" s="80">
        <v>7</v>
      </c>
      <c r="Y6" s="80">
        <v>8</v>
      </c>
      <c r="Z6" s="80">
        <v>8</v>
      </c>
      <c r="AA6" s="80">
        <v>8</v>
      </c>
      <c r="AB6" s="80">
        <v>9</v>
      </c>
    </row>
    <row r="7" spans="1:28" ht="15" customHeight="1">
      <c r="B7" s="44" t="s">
        <v>2234</v>
      </c>
      <c r="C7" s="89">
        <v>2.08</v>
      </c>
      <c r="D7" s="89">
        <v>2.105</v>
      </c>
      <c r="E7" s="89">
        <v>2.16</v>
      </c>
      <c r="F7" s="89">
        <v>2.19</v>
      </c>
      <c r="G7" s="89">
        <v>1.9650000000000001</v>
      </c>
      <c r="H7" s="89">
        <v>2.105</v>
      </c>
      <c r="I7" s="89">
        <v>2.15</v>
      </c>
      <c r="J7" s="89">
        <v>1.9750000000000001</v>
      </c>
      <c r="K7" s="89">
        <v>1.84</v>
      </c>
      <c r="L7" s="89">
        <v>1.83</v>
      </c>
      <c r="M7" s="89">
        <v>1.55</v>
      </c>
      <c r="N7" s="89">
        <v>1.5349999999999999</v>
      </c>
      <c r="O7" s="89">
        <v>2.25</v>
      </c>
      <c r="P7" s="89">
        <v>2.25</v>
      </c>
      <c r="Q7" s="89">
        <v>2.25</v>
      </c>
      <c r="R7" s="89">
        <v>2.3050000000000002</v>
      </c>
      <c r="S7" s="89">
        <v>2.2999999999999998</v>
      </c>
      <c r="T7" s="89">
        <v>2.2999999999999998</v>
      </c>
      <c r="U7" s="89">
        <v>2.33</v>
      </c>
      <c r="V7" s="89">
        <v>2.335</v>
      </c>
      <c r="W7" s="89">
        <v>2.335</v>
      </c>
      <c r="X7" s="89">
        <v>2.2450000000000001</v>
      </c>
      <c r="Y7" s="89">
        <v>2.2250000000000001</v>
      </c>
      <c r="Z7" s="89">
        <v>2.2250000000000001</v>
      </c>
      <c r="AA7" s="89">
        <v>2.1800000000000002</v>
      </c>
      <c r="AB7" s="89">
        <v>2.1800000000000002</v>
      </c>
    </row>
    <row r="8" spans="1:28" ht="15" customHeight="1">
      <c r="B8" s="44" t="s">
        <v>2235</v>
      </c>
      <c r="C8" s="89">
        <v>2.15</v>
      </c>
      <c r="D8" s="89">
        <v>2.21</v>
      </c>
      <c r="E8" s="89">
        <v>2.16</v>
      </c>
      <c r="F8" s="89">
        <v>2.19</v>
      </c>
      <c r="G8" s="89">
        <v>2.1800000000000002</v>
      </c>
      <c r="H8" s="89">
        <v>2.15</v>
      </c>
      <c r="I8" s="89">
        <v>2.15</v>
      </c>
      <c r="J8" s="89">
        <v>2.08</v>
      </c>
      <c r="K8" s="89"/>
      <c r="L8" s="89"/>
      <c r="M8" s="89">
        <v>1.55</v>
      </c>
      <c r="N8" s="89">
        <v>1.58</v>
      </c>
      <c r="O8" s="89"/>
      <c r="P8" s="89"/>
      <c r="Q8" s="89"/>
      <c r="R8" s="89">
        <v>2.36</v>
      </c>
      <c r="S8" s="89">
        <v>2.2999999999999998</v>
      </c>
      <c r="T8" s="89">
        <v>2.2999999999999998</v>
      </c>
      <c r="U8" s="89">
        <v>2.2999999999999998</v>
      </c>
      <c r="V8" s="89">
        <v>2.2999999999999998</v>
      </c>
      <c r="W8" s="89">
        <v>2.2999999999999998</v>
      </c>
      <c r="X8" s="89">
        <v>2.23</v>
      </c>
      <c r="Y8" s="89">
        <v>2.19</v>
      </c>
      <c r="Z8" s="89">
        <v>2.19</v>
      </c>
      <c r="AA8" s="89">
        <v>2.1800000000000002</v>
      </c>
      <c r="AB8" s="89">
        <v>2.1800000000000002</v>
      </c>
    </row>
    <row r="9" spans="1:28" ht="15" customHeight="1">
      <c r="B9" s="44" t="s">
        <v>2236</v>
      </c>
      <c r="C9" s="89">
        <v>2.11</v>
      </c>
      <c r="D9" s="89">
        <v>1.84</v>
      </c>
      <c r="E9" s="89">
        <v>1.8</v>
      </c>
      <c r="F9" s="89">
        <v>1.87</v>
      </c>
      <c r="G9" s="89">
        <v>1.86</v>
      </c>
      <c r="H9" s="89">
        <v>1.85</v>
      </c>
      <c r="I9" s="89">
        <v>1.9</v>
      </c>
      <c r="J9" s="89">
        <v>2.04</v>
      </c>
      <c r="K9" s="89"/>
      <c r="L9" s="89"/>
      <c r="M9" s="89">
        <v>1.5</v>
      </c>
      <c r="N9" s="89">
        <v>1.52</v>
      </c>
      <c r="O9" s="89"/>
      <c r="P9" s="89"/>
      <c r="Q9" s="89"/>
      <c r="R9" s="89">
        <v>2.36</v>
      </c>
      <c r="S9" s="89">
        <v>2.21</v>
      </c>
      <c r="T9" s="89">
        <v>2.21</v>
      </c>
      <c r="U9" s="89">
        <v>2.21</v>
      </c>
      <c r="V9" s="89">
        <v>2.2999999999999998</v>
      </c>
      <c r="W9" s="89">
        <v>2.21</v>
      </c>
      <c r="X9" s="89">
        <v>2.23</v>
      </c>
      <c r="Y9" s="89">
        <v>2.1</v>
      </c>
      <c r="Z9" s="89">
        <v>2.1</v>
      </c>
      <c r="AA9" s="89">
        <v>2.1</v>
      </c>
      <c r="AB9" s="89">
        <v>2.09</v>
      </c>
    </row>
    <row r="10" spans="1:28" ht="15" customHeight="1">
      <c r="B10" s="44" t="s">
        <v>2237</v>
      </c>
      <c r="C10" s="79">
        <v>0.75</v>
      </c>
      <c r="D10" s="79">
        <v>0.72219999999999995</v>
      </c>
      <c r="E10" s="79">
        <v>0.77780000000000005</v>
      </c>
      <c r="F10" s="79">
        <v>0.80559999999999998</v>
      </c>
      <c r="G10" s="79">
        <v>0.86109999999999998</v>
      </c>
      <c r="H10" s="79">
        <v>0.86109999999999998</v>
      </c>
      <c r="I10" s="79">
        <v>0.86109999999999998</v>
      </c>
      <c r="J10" s="79">
        <v>0.94440000000000002</v>
      </c>
      <c r="K10" s="79">
        <v>0.97219999999999995</v>
      </c>
      <c r="L10" s="79">
        <v>0.97219999999999995</v>
      </c>
      <c r="M10" s="79">
        <v>0.97219999999999995</v>
      </c>
      <c r="N10" s="79">
        <v>1</v>
      </c>
      <c r="O10" s="79">
        <v>1</v>
      </c>
      <c r="P10" s="79">
        <v>1</v>
      </c>
      <c r="Q10" s="79">
        <v>1</v>
      </c>
      <c r="R10" s="79">
        <v>0.96876183263915205</v>
      </c>
      <c r="S10" s="79">
        <v>0.93673482266818098</v>
      </c>
      <c r="T10" s="79">
        <v>0.93673482266818098</v>
      </c>
      <c r="U10" s="79">
        <v>0.93673482266818098</v>
      </c>
      <c r="V10" s="79">
        <v>0.93673482266818098</v>
      </c>
      <c r="W10" s="79">
        <v>0.93673482266818098</v>
      </c>
      <c r="X10" s="79">
        <v>0.90991417392401897</v>
      </c>
      <c r="Y10" s="79">
        <v>0.90991417392401897</v>
      </c>
      <c r="Z10" s="79">
        <v>0.90991417392401897</v>
      </c>
      <c r="AA10" s="79">
        <v>0.91092142700809797</v>
      </c>
      <c r="AB10" s="79">
        <v>0.88253134477691297</v>
      </c>
    </row>
    <row r="11" spans="1:28" ht="15" customHeight="1">
      <c r="B11" s="44" t="s">
        <v>2238</v>
      </c>
      <c r="C11" s="79">
        <v>0.84615384615384603</v>
      </c>
      <c r="D11" s="79">
        <v>1</v>
      </c>
      <c r="E11" s="79">
        <v>1</v>
      </c>
      <c r="F11" s="79">
        <v>1</v>
      </c>
      <c r="G11" s="79">
        <v>0.85714285714285698</v>
      </c>
      <c r="H11" s="79">
        <v>1</v>
      </c>
      <c r="I11" s="79">
        <v>1</v>
      </c>
      <c r="J11" s="79">
        <v>0</v>
      </c>
      <c r="K11" s="79">
        <v>0</v>
      </c>
      <c r="L11" s="79">
        <v>0</v>
      </c>
      <c r="M11" s="79">
        <v>0.93220338983050799</v>
      </c>
      <c r="N11" s="79">
        <v>0.90909090909090895</v>
      </c>
      <c r="O11" s="79">
        <v>0</v>
      </c>
      <c r="P11" s="79">
        <v>0</v>
      </c>
      <c r="Q11" s="79">
        <v>0</v>
      </c>
      <c r="R11" s="79">
        <v>0.33333333333333298</v>
      </c>
      <c r="S11" s="79">
        <v>0.6</v>
      </c>
      <c r="T11" s="79">
        <v>0.6</v>
      </c>
      <c r="U11" s="79">
        <v>0.6</v>
      </c>
      <c r="V11" s="79">
        <v>0.5</v>
      </c>
      <c r="W11" s="79">
        <v>0.5</v>
      </c>
      <c r="X11" s="79">
        <v>0.57142857142857095</v>
      </c>
      <c r="Y11" s="79">
        <v>0.625</v>
      </c>
      <c r="Z11" s="79">
        <v>0.625</v>
      </c>
      <c r="AA11" s="79">
        <v>0.625</v>
      </c>
      <c r="AB11" s="79">
        <v>0.66666666666666696</v>
      </c>
    </row>
    <row r="12" spans="1:28" ht="15" customHeight="1">
      <c r="A12" s="19" t="s">
        <v>2239</v>
      </c>
      <c r="B12" s="16"/>
      <c r="C12" s="16"/>
      <c r="D12" s="16"/>
      <c r="E12" s="16"/>
      <c r="F12" s="16"/>
      <c r="G12" s="16"/>
      <c r="H12" s="16"/>
      <c r="I12" s="16"/>
      <c r="J12" s="16"/>
      <c r="K12" s="16"/>
      <c r="L12" s="16"/>
      <c r="M12" s="16"/>
      <c r="N12" s="16"/>
      <c r="O12" s="16"/>
      <c r="P12" s="16"/>
      <c r="Q12" s="16"/>
      <c r="R12" s="16"/>
      <c r="S12" s="16"/>
      <c r="T12" s="16"/>
      <c r="U12" s="16"/>
      <c r="V12" s="16"/>
      <c r="W12" s="16"/>
      <c r="X12" s="16"/>
      <c r="Y12" s="16"/>
      <c r="Z12" s="16"/>
      <c r="AA12" s="16"/>
      <c r="AB12" s="16"/>
    </row>
    <row r="13" spans="1:28" ht="15" customHeight="1">
      <c r="B13" s="44" t="s">
        <v>2233</v>
      </c>
      <c r="C13" s="80">
        <v>199</v>
      </c>
      <c r="D13" s="80">
        <v>183</v>
      </c>
      <c r="E13" s="80">
        <v>185</v>
      </c>
      <c r="F13" s="80">
        <v>158</v>
      </c>
      <c r="G13" s="80">
        <v>149</v>
      </c>
      <c r="H13" s="80">
        <v>144</v>
      </c>
      <c r="I13" s="80">
        <v>129</v>
      </c>
      <c r="J13" s="80">
        <v>144</v>
      </c>
      <c r="K13" s="80">
        <v>164</v>
      </c>
      <c r="L13" s="80">
        <v>174</v>
      </c>
      <c r="M13" s="80">
        <v>106</v>
      </c>
      <c r="N13" s="80">
        <v>115</v>
      </c>
      <c r="O13" s="80">
        <v>153</v>
      </c>
      <c r="P13" s="80">
        <v>156</v>
      </c>
      <c r="Q13" s="80">
        <v>157</v>
      </c>
      <c r="R13" s="80">
        <v>158</v>
      </c>
      <c r="S13" s="80">
        <v>154</v>
      </c>
      <c r="T13" s="80">
        <v>154</v>
      </c>
      <c r="U13" s="80">
        <v>157</v>
      </c>
      <c r="V13" s="80">
        <v>178</v>
      </c>
      <c r="W13" s="80">
        <v>179</v>
      </c>
      <c r="X13" s="80">
        <v>189</v>
      </c>
      <c r="Y13" s="80">
        <v>205</v>
      </c>
      <c r="Z13" s="80">
        <v>184</v>
      </c>
      <c r="AA13" s="80">
        <v>206</v>
      </c>
      <c r="AB13" s="80">
        <v>197</v>
      </c>
    </row>
    <row r="14" spans="1:28" ht="15" customHeight="1">
      <c r="B14" s="44" t="s">
        <v>2234</v>
      </c>
      <c r="C14" s="89">
        <v>1.536</v>
      </c>
      <c r="D14" s="89">
        <v>1.548</v>
      </c>
      <c r="E14" s="89">
        <v>1.4966666666666699</v>
      </c>
      <c r="F14" s="89">
        <v>1.5149999999999999</v>
      </c>
      <c r="G14" s="89">
        <v>1.44166666666667</v>
      </c>
      <c r="H14" s="89">
        <v>1.51</v>
      </c>
      <c r="I14" s="89">
        <v>1.5033333333333301</v>
      </c>
      <c r="J14" s="89">
        <v>1.54666666666667</v>
      </c>
      <c r="K14" s="89">
        <v>1.5516666666666701</v>
      </c>
      <c r="L14" s="89">
        <v>1.50833333333333</v>
      </c>
      <c r="M14" s="89">
        <v>1.37666666666667</v>
      </c>
      <c r="N14" s="89">
        <v>1.3716666666666699</v>
      </c>
      <c r="O14" s="89">
        <v>1.55666666666667</v>
      </c>
      <c r="P14" s="89">
        <v>1.5433333333333299</v>
      </c>
      <c r="Q14" s="89">
        <v>1.54</v>
      </c>
      <c r="R14" s="89">
        <v>1.53</v>
      </c>
      <c r="S14" s="89">
        <v>1.52</v>
      </c>
      <c r="T14" s="89">
        <v>1.52</v>
      </c>
      <c r="U14" s="89">
        <v>1.5133333333333301</v>
      </c>
      <c r="V14" s="89">
        <v>1.5166666666666699</v>
      </c>
      <c r="W14" s="89">
        <v>1.51833333333333</v>
      </c>
      <c r="X14" s="89">
        <v>1.50166666666667</v>
      </c>
      <c r="Y14" s="89">
        <v>1.4783333333333299</v>
      </c>
      <c r="Z14" s="89">
        <v>1.514</v>
      </c>
      <c r="AA14" s="89">
        <v>1.478</v>
      </c>
      <c r="AB14" s="89">
        <v>1.4566666666666701</v>
      </c>
    </row>
    <row r="15" spans="1:28" ht="15" customHeight="1">
      <c r="B15" s="44" t="s">
        <v>2235</v>
      </c>
      <c r="C15" s="89">
        <v>1.56</v>
      </c>
      <c r="D15" s="89">
        <v>1.55</v>
      </c>
      <c r="E15" s="89">
        <v>1.53</v>
      </c>
      <c r="F15" s="89">
        <v>1.56</v>
      </c>
      <c r="G15" s="89">
        <v>1.53</v>
      </c>
      <c r="H15" s="89">
        <v>1.54</v>
      </c>
      <c r="I15" s="89">
        <v>1.57</v>
      </c>
      <c r="J15" s="89">
        <v>1.55</v>
      </c>
      <c r="K15" s="89">
        <v>1.55</v>
      </c>
      <c r="L15" s="89">
        <v>1.53</v>
      </c>
      <c r="M15" s="89">
        <v>1.59</v>
      </c>
      <c r="N15" s="89">
        <v>1.61</v>
      </c>
      <c r="O15" s="89">
        <v>1.59</v>
      </c>
      <c r="P15" s="89">
        <v>1.58</v>
      </c>
      <c r="Q15" s="89">
        <v>1.58</v>
      </c>
      <c r="R15" s="89">
        <v>1.59</v>
      </c>
      <c r="S15" s="89">
        <v>1.59</v>
      </c>
      <c r="T15" s="89">
        <v>1.59</v>
      </c>
      <c r="U15" s="89">
        <v>1.6</v>
      </c>
      <c r="V15" s="89">
        <v>1.6</v>
      </c>
      <c r="W15" s="89">
        <v>1.59</v>
      </c>
      <c r="X15" s="89">
        <v>1.59</v>
      </c>
      <c r="Y15" s="89">
        <v>1.5</v>
      </c>
      <c r="Z15" s="89">
        <v>1.68</v>
      </c>
      <c r="AA15" s="89">
        <v>1.49</v>
      </c>
      <c r="AB15" s="89">
        <v>1.49</v>
      </c>
    </row>
    <row r="16" spans="1:28" ht="15" customHeight="1">
      <c r="B16" s="44" t="s">
        <v>2236</v>
      </c>
      <c r="C16" s="89">
        <v>1.53</v>
      </c>
      <c r="D16" s="89">
        <v>1.38</v>
      </c>
      <c r="E16" s="89">
        <v>1.33</v>
      </c>
      <c r="F16" s="89">
        <v>1.31</v>
      </c>
      <c r="G16" s="89">
        <v>1.31</v>
      </c>
      <c r="H16" s="89">
        <v>1.33</v>
      </c>
      <c r="I16" s="89">
        <v>1.45</v>
      </c>
      <c r="J16" s="89">
        <v>1.51</v>
      </c>
      <c r="K16" s="89">
        <v>1.49</v>
      </c>
      <c r="L16" s="89">
        <v>1.47</v>
      </c>
      <c r="M16" s="89">
        <v>1.53</v>
      </c>
      <c r="N16" s="89">
        <v>1.55</v>
      </c>
      <c r="O16" s="89">
        <v>1.53</v>
      </c>
      <c r="P16" s="89">
        <v>1.52</v>
      </c>
      <c r="Q16" s="89">
        <v>1.52</v>
      </c>
      <c r="R16" s="89">
        <v>1.59</v>
      </c>
      <c r="S16" s="89">
        <v>1.53</v>
      </c>
      <c r="T16" s="89">
        <v>1.53</v>
      </c>
      <c r="U16" s="89">
        <v>1.54</v>
      </c>
      <c r="V16" s="89">
        <v>1.59</v>
      </c>
      <c r="W16" s="89">
        <v>1.53</v>
      </c>
      <c r="X16" s="89">
        <v>1.58</v>
      </c>
      <c r="Y16" s="89">
        <v>1.45</v>
      </c>
      <c r="Z16" s="89">
        <v>1.61</v>
      </c>
      <c r="AA16" s="89">
        <v>1.43</v>
      </c>
      <c r="AB16" s="89">
        <v>1.43</v>
      </c>
    </row>
    <row r="17" spans="1:28" ht="15" customHeight="1">
      <c r="B17" s="44" t="s">
        <v>2237</v>
      </c>
      <c r="C17" s="79">
        <v>0.86720909090909104</v>
      </c>
      <c r="D17" s="79">
        <v>0.86934545454545498</v>
      </c>
      <c r="E17" s="79">
        <v>0.90408181818181799</v>
      </c>
      <c r="F17" s="79">
        <v>0.94543636363636396</v>
      </c>
      <c r="G17" s="79">
        <v>0.95097272727272697</v>
      </c>
      <c r="H17" s="79">
        <v>0.94489999999999996</v>
      </c>
      <c r="I17" s="79">
        <v>0.95888181818181795</v>
      </c>
      <c r="J17" s="79">
        <v>0.97239090909090897</v>
      </c>
      <c r="K17" s="79">
        <v>0.95981818181818201</v>
      </c>
      <c r="L17" s="79">
        <v>0.94830909090909099</v>
      </c>
      <c r="M17" s="79">
        <v>0.93152727272727298</v>
      </c>
      <c r="N17" s="79">
        <v>0.92255454545454596</v>
      </c>
      <c r="O17" s="79">
        <v>0.91209229178388496</v>
      </c>
      <c r="P17" s="79">
        <v>0.89984489003772405</v>
      </c>
      <c r="Q17" s="79">
        <v>0.90247700485470606</v>
      </c>
      <c r="R17" s="79">
        <v>0.88457688356841901</v>
      </c>
      <c r="S17" s="79">
        <v>0.892387415790035</v>
      </c>
      <c r="T17" s="79">
        <v>0.892387415790035</v>
      </c>
      <c r="U17" s="79">
        <v>0.892387415790035</v>
      </c>
      <c r="V17" s="79">
        <v>0.874492370772326</v>
      </c>
      <c r="W17" s="79">
        <v>0.86812171633012003</v>
      </c>
      <c r="X17" s="79">
        <v>0.86289410896678098</v>
      </c>
      <c r="Y17" s="79">
        <v>0.85942965517253</v>
      </c>
      <c r="Z17" s="79">
        <v>0.86063368009837604</v>
      </c>
      <c r="AA17" s="79">
        <v>0.86353612885540798</v>
      </c>
      <c r="AB17" s="79">
        <v>0.86128286111778796</v>
      </c>
    </row>
    <row r="18" spans="1:28" ht="15" customHeight="1">
      <c r="B18" s="44" t="s">
        <v>2238</v>
      </c>
      <c r="C18" s="79">
        <v>0.447236180904523</v>
      </c>
      <c r="D18" s="79">
        <v>0.39344262295082</v>
      </c>
      <c r="E18" s="79">
        <v>0.356756756756757</v>
      </c>
      <c r="F18" s="79">
        <v>0.30379746835443</v>
      </c>
      <c r="G18" s="79">
        <v>0.228187919463087</v>
      </c>
      <c r="H18" s="79">
        <v>0.21527777777777801</v>
      </c>
      <c r="I18" s="79">
        <v>0.14728682170542601</v>
      </c>
      <c r="J18" s="79">
        <v>0.15972222222222199</v>
      </c>
      <c r="K18" s="79">
        <v>0.22560975609756101</v>
      </c>
      <c r="L18" s="79">
        <v>0.25862068965517199</v>
      </c>
      <c r="M18" s="79">
        <v>0.37735849056603799</v>
      </c>
      <c r="N18" s="79">
        <v>0.41739130434782601</v>
      </c>
      <c r="O18" s="79">
        <v>0.33986928104575198</v>
      </c>
      <c r="P18" s="79">
        <v>0.35897435897435898</v>
      </c>
      <c r="Q18" s="79">
        <v>0.33121019108280297</v>
      </c>
      <c r="R18" s="79">
        <v>0.379746835443038</v>
      </c>
      <c r="S18" s="79">
        <v>0.415584415584416</v>
      </c>
      <c r="T18" s="79">
        <v>0.415584415584416</v>
      </c>
      <c r="U18" s="79">
        <v>0.40127388535031899</v>
      </c>
      <c r="V18" s="79">
        <v>0.41011235955056202</v>
      </c>
      <c r="W18" s="79">
        <v>0.41899441340782101</v>
      </c>
      <c r="X18" s="79">
        <v>0.455026455026455</v>
      </c>
      <c r="Y18" s="79">
        <v>0.44390243902439003</v>
      </c>
      <c r="Z18" s="79">
        <v>0.49456521739130399</v>
      </c>
      <c r="AA18" s="79">
        <v>0.45145631067961201</v>
      </c>
      <c r="AB18" s="79">
        <v>0.47208121827411198</v>
      </c>
    </row>
    <row r="19" spans="1:28" ht="15" customHeight="1">
      <c r="A19" s="19" t="s">
        <v>2240</v>
      </c>
      <c r="B19" s="16"/>
      <c r="C19" s="16"/>
      <c r="D19" s="16"/>
      <c r="E19" s="16"/>
      <c r="F19" s="16"/>
      <c r="G19" s="16"/>
      <c r="H19" s="16"/>
      <c r="I19" s="16"/>
      <c r="J19" s="16"/>
      <c r="K19" s="16"/>
      <c r="L19" s="16"/>
      <c r="M19" s="16"/>
      <c r="N19" s="16"/>
      <c r="O19" s="16"/>
      <c r="P19" s="16"/>
      <c r="Q19" s="16"/>
      <c r="R19" s="16"/>
      <c r="S19" s="16"/>
      <c r="T19" s="16"/>
      <c r="U19" s="16"/>
      <c r="V19" s="16"/>
      <c r="W19" s="16"/>
      <c r="X19" s="16"/>
      <c r="Y19" s="16"/>
      <c r="Z19" s="16"/>
      <c r="AA19" s="16"/>
      <c r="AB19" s="16"/>
    </row>
    <row r="20" spans="1:28" ht="15" customHeight="1">
      <c r="B20" s="44" t="s">
        <v>2233</v>
      </c>
      <c r="C20" s="80">
        <v>87</v>
      </c>
      <c r="D20" s="80">
        <v>93</v>
      </c>
      <c r="E20" s="80">
        <v>97</v>
      </c>
      <c r="F20" s="80">
        <v>94</v>
      </c>
      <c r="G20" s="80">
        <v>97</v>
      </c>
      <c r="H20" s="80">
        <v>100</v>
      </c>
      <c r="I20" s="80">
        <v>94</v>
      </c>
      <c r="J20" s="80">
        <v>107</v>
      </c>
      <c r="K20" s="80">
        <v>106</v>
      </c>
      <c r="L20" s="80">
        <v>111</v>
      </c>
      <c r="M20" s="80">
        <v>14</v>
      </c>
      <c r="N20" s="80">
        <v>13</v>
      </c>
      <c r="O20" s="80">
        <v>121</v>
      </c>
      <c r="P20" s="80">
        <v>126</v>
      </c>
      <c r="Q20" s="80">
        <v>130</v>
      </c>
      <c r="R20" s="80">
        <v>134</v>
      </c>
      <c r="S20" s="80">
        <v>129</v>
      </c>
      <c r="T20" s="80">
        <v>129</v>
      </c>
      <c r="U20" s="80">
        <v>146</v>
      </c>
      <c r="V20" s="80">
        <v>150</v>
      </c>
      <c r="W20" s="80">
        <v>152</v>
      </c>
      <c r="X20" s="80">
        <v>149</v>
      </c>
      <c r="Y20" s="80">
        <v>158</v>
      </c>
      <c r="Z20" s="80">
        <v>165</v>
      </c>
      <c r="AA20" s="80">
        <v>117</v>
      </c>
      <c r="AB20" s="80">
        <v>108</v>
      </c>
    </row>
    <row r="21" spans="1:28" ht="15" customHeight="1">
      <c r="B21" s="44" t="s">
        <v>2234</v>
      </c>
      <c r="C21" s="89">
        <v>1.36333333333333</v>
      </c>
      <c r="D21" s="89">
        <v>1.3516666666666699</v>
      </c>
      <c r="E21" s="89">
        <v>1.3583333333333301</v>
      </c>
      <c r="F21" s="89">
        <v>1.385</v>
      </c>
      <c r="G21" s="89">
        <v>1.34666666666667</v>
      </c>
      <c r="H21" s="89">
        <v>1.4166666666666701</v>
      </c>
      <c r="I21" s="89">
        <v>1.4066666666666701</v>
      </c>
      <c r="J21" s="89">
        <v>1.40333333333333</v>
      </c>
      <c r="K21" s="89">
        <v>1.4066666666666701</v>
      </c>
      <c r="L21" s="89">
        <v>1.36666666666667</v>
      </c>
      <c r="M21" s="89">
        <v>1.58666666666667</v>
      </c>
      <c r="N21" s="89">
        <v>1.55</v>
      </c>
      <c r="O21" s="89">
        <v>1.3583333333333301</v>
      </c>
      <c r="P21" s="89">
        <v>1.355</v>
      </c>
      <c r="Q21" s="89">
        <v>1.36</v>
      </c>
      <c r="R21" s="89">
        <v>1.3683333333333301</v>
      </c>
      <c r="S21" s="89">
        <v>1.355</v>
      </c>
      <c r="T21" s="89">
        <v>1.355</v>
      </c>
      <c r="U21" s="89">
        <v>1.3533333333333299</v>
      </c>
      <c r="V21" s="89">
        <v>1.34666666666667</v>
      </c>
      <c r="W21" s="89">
        <v>1.345</v>
      </c>
      <c r="X21" s="89">
        <v>1.34</v>
      </c>
      <c r="Y21" s="89">
        <v>1.35</v>
      </c>
      <c r="Z21" s="89">
        <v>1.46</v>
      </c>
      <c r="AA21" s="89">
        <v>1.405</v>
      </c>
      <c r="AB21" s="89">
        <v>1.41</v>
      </c>
    </row>
    <row r="22" spans="1:28" ht="15" customHeight="1">
      <c r="B22" s="44" t="s">
        <v>2235</v>
      </c>
      <c r="C22" s="89">
        <v>1.56</v>
      </c>
      <c r="D22" s="89">
        <v>1.65</v>
      </c>
      <c r="E22" s="89">
        <v>1.64</v>
      </c>
      <c r="F22" s="89">
        <v>1.65</v>
      </c>
      <c r="G22" s="89">
        <v>1.65</v>
      </c>
      <c r="H22" s="89">
        <v>1.61</v>
      </c>
      <c r="I22" s="89">
        <v>1.66</v>
      </c>
      <c r="J22" s="89">
        <v>1.69</v>
      </c>
      <c r="K22" s="89">
        <v>1.69</v>
      </c>
      <c r="L22" s="89">
        <v>1.62</v>
      </c>
      <c r="M22" s="89">
        <v>1.88</v>
      </c>
      <c r="N22" s="89">
        <v>1.87</v>
      </c>
      <c r="O22" s="89">
        <v>1.63</v>
      </c>
      <c r="P22" s="89">
        <v>1.63</v>
      </c>
      <c r="Q22" s="89">
        <v>1.64</v>
      </c>
      <c r="R22" s="89">
        <v>1.64</v>
      </c>
      <c r="S22" s="89">
        <v>1.64</v>
      </c>
      <c r="T22" s="89">
        <v>1.64</v>
      </c>
      <c r="U22" s="89">
        <v>1.61</v>
      </c>
      <c r="V22" s="89">
        <v>1.61</v>
      </c>
      <c r="W22" s="89">
        <v>1.61</v>
      </c>
      <c r="X22" s="89">
        <v>1.61</v>
      </c>
      <c r="Y22" s="89">
        <v>1.39</v>
      </c>
      <c r="Z22" s="89">
        <v>1.42</v>
      </c>
      <c r="AA22" s="89">
        <v>1.38</v>
      </c>
      <c r="AB22" s="89">
        <v>1.39</v>
      </c>
    </row>
    <row r="23" spans="1:28" ht="15" customHeight="1">
      <c r="B23" s="44" t="s">
        <v>2236</v>
      </c>
      <c r="C23" s="89">
        <v>1.54</v>
      </c>
      <c r="D23" s="89">
        <v>1.45</v>
      </c>
      <c r="E23" s="89">
        <v>1.42</v>
      </c>
      <c r="F23" s="89">
        <v>1.39</v>
      </c>
      <c r="G23" s="89">
        <v>1.42</v>
      </c>
      <c r="H23" s="89">
        <v>1.39</v>
      </c>
      <c r="I23" s="89">
        <v>1.52</v>
      </c>
      <c r="J23" s="89">
        <v>1.62</v>
      </c>
      <c r="K23" s="89">
        <v>1.62</v>
      </c>
      <c r="L23" s="89">
        <v>1.55</v>
      </c>
      <c r="M23" s="89">
        <v>1.81</v>
      </c>
      <c r="N23" s="89">
        <v>1.8</v>
      </c>
      <c r="O23" s="89">
        <v>1.57</v>
      </c>
      <c r="P23" s="89">
        <v>1.57</v>
      </c>
      <c r="Q23" s="89">
        <v>1.57</v>
      </c>
      <c r="R23" s="89">
        <v>1.64</v>
      </c>
      <c r="S23" s="89">
        <v>1.58</v>
      </c>
      <c r="T23" s="89">
        <v>1.58</v>
      </c>
      <c r="U23" s="89">
        <v>1.55</v>
      </c>
      <c r="V23" s="89">
        <v>1.61</v>
      </c>
      <c r="W23" s="89">
        <v>1.55</v>
      </c>
      <c r="X23" s="89">
        <v>1.61</v>
      </c>
      <c r="Y23" s="89">
        <v>1.34</v>
      </c>
      <c r="Z23" s="89">
        <v>1.37</v>
      </c>
      <c r="AA23" s="89">
        <v>1.33</v>
      </c>
      <c r="AB23" s="89">
        <v>1.33</v>
      </c>
    </row>
    <row r="24" spans="1:28" ht="15" customHeight="1">
      <c r="B24" s="44" t="s">
        <v>2237</v>
      </c>
      <c r="C24" s="79">
        <v>0.91315000000000002</v>
      </c>
      <c r="D24" s="79">
        <v>0.87855000000000005</v>
      </c>
      <c r="E24" s="79">
        <v>0.84060000000000001</v>
      </c>
      <c r="F24" s="79">
        <v>0.89572499999999999</v>
      </c>
      <c r="G24" s="79">
        <v>0.86246250000000002</v>
      </c>
      <c r="H24" s="79">
        <v>0.87890000000000001</v>
      </c>
      <c r="I24" s="79">
        <v>0.91686250000000002</v>
      </c>
      <c r="J24" s="79">
        <v>0.89006249999999998</v>
      </c>
      <c r="K24" s="79">
        <v>0.84628749999999997</v>
      </c>
      <c r="L24" s="79">
        <v>0.83247499999999997</v>
      </c>
      <c r="M24" s="79">
        <v>0.82155</v>
      </c>
      <c r="N24" s="79">
        <v>0.79464999999999997</v>
      </c>
      <c r="O24" s="79">
        <v>0.76626605286874605</v>
      </c>
      <c r="P24" s="79">
        <v>0.76213144531297305</v>
      </c>
      <c r="Q24" s="79">
        <v>0.76105089647330504</v>
      </c>
      <c r="R24" s="79">
        <v>0.74047988751142102</v>
      </c>
      <c r="S24" s="79">
        <v>0.74782107009647703</v>
      </c>
      <c r="T24" s="79">
        <v>0.74782107009647703</v>
      </c>
      <c r="U24" s="79">
        <v>0.74054994979970301</v>
      </c>
      <c r="V24" s="79">
        <v>0.73673609725818301</v>
      </c>
      <c r="W24" s="79">
        <v>0.73439343803790602</v>
      </c>
      <c r="X24" s="79">
        <v>0.73205077881762903</v>
      </c>
      <c r="Y24" s="79">
        <v>0.71945115619240196</v>
      </c>
      <c r="Z24" s="79">
        <v>0.70942204460090696</v>
      </c>
      <c r="AA24" s="79">
        <v>0.69118034991925503</v>
      </c>
      <c r="AB24" s="79">
        <v>0.69281324737795602</v>
      </c>
    </row>
    <row r="25" spans="1:28" ht="15" customHeight="1">
      <c r="B25" s="44" t="s">
        <v>2238</v>
      </c>
      <c r="C25" s="79">
        <v>0.390804597701149</v>
      </c>
      <c r="D25" s="79">
        <v>0.35483870967741898</v>
      </c>
      <c r="E25" s="79">
        <v>0.32989690721649501</v>
      </c>
      <c r="F25" s="79">
        <v>0.329787234042553</v>
      </c>
      <c r="G25" s="79">
        <v>0.32989690721649501</v>
      </c>
      <c r="H25" s="79">
        <v>0.28999999999999998</v>
      </c>
      <c r="I25" s="79">
        <v>0.23404255319148901</v>
      </c>
      <c r="J25" s="79">
        <v>0.31775700934579398</v>
      </c>
      <c r="K25" s="79">
        <v>0.37735849056603799</v>
      </c>
      <c r="L25" s="79">
        <v>0.39639639639639601</v>
      </c>
      <c r="M25" s="79">
        <v>0.14285714285714299</v>
      </c>
      <c r="N25" s="79">
        <v>0.230769230769231</v>
      </c>
      <c r="O25" s="79">
        <v>0.43801652892561999</v>
      </c>
      <c r="P25" s="79">
        <v>0.44444444444444398</v>
      </c>
      <c r="Q25" s="79">
        <v>0.44615384615384601</v>
      </c>
      <c r="R25" s="79">
        <v>0.47761194029850801</v>
      </c>
      <c r="S25" s="79">
        <v>0.50387596899224796</v>
      </c>
      <c r="T25" s="79">
        <v>0.50387596899224796</v>
      </c>
      <c r="U25" s="79">
        <v>0.43835616438356201</v>
      </c>
      <c r="V25" s="79">
        <v>0.43333333333333302</v>
      </c>
      <c r="W25" s="79">
        <v>0.42105263157894701</v>
      </c>
      <c r="X25" s="79">
        <v>0.42953020134228198</v>
      </c>
      <c r="Y25" s="79">
        <v>0.39873417721519</v>
      </c>
      <c r="Z25" s="79">
        <v>0.40606060606060601</v>
      </c>
      <c r="AA25" s="79">
        <v>0.59829059829059805</v>
      </c>
      <c r="AB25" s="79">
        <v>0.61111111111111105</v>
      </c>
    </row>
    <row r="26" spans="1:28" ht="15" customHeight="1">
      <c r="A26" s="19" t="s">
        <v>2241</v>
      </c>
      <c r="B26" s="16"/>
      <c r="C26" s="16"/>
      <c r="D26" s="16"/>
      <c r="E26" s="16"/>
      <c r="F26" s="16"/>
      <c r="G26" s="16"/>
      <c r="H26" s="16"/>
      <c r="I26" s="16"/>
      <c r="J26" s="16"/>
      <c r="K26" s="16"/>
      <c r="L26" s="16"/>
      <c r="M26" s="16"/>
      <c r="N26" s="16"/>
      <c r="O26" s="16"/>
      <c r="P26" s="16"/>
      <c r="Q26" s="16"/>
      <c r="R26" s="16"/>
      <c r="S26" s="16"/>
      <c r="T26" s="16"/>
      <c r="U26" s="16"/>
      <c r="V26" s="16"/>
      <c r="W26" s="16"/>
      <c r="X26" s="16"/>
      <c r="Y26" s="16"/>
      <c r="Z26" s="16"/>
      <c r="AA26" s="16"/>
      <c r="AB26" s="16"/>
    </row>
    <row r="27" spans="1:28" ht="15" customHeight="1">
      <c r="B27" s="44" t="s">
        <v>2233</v>
      </c>
      <c r="C27" s="80">
        <v>7</v>
      </c>
      <c r="D27" s="80">
        <v>10</v>
      </c>
      <c r="E27" s="80">
        <v>8</v>
      </c>
      <c r="F27" s="80">
        <v>8</v>
      </c>
      <c r="G27" s="80">
        <v>10</v>
      </c>
      <c r="H27" s="80">
        <v>8</v>
      </c>
      <c r="I27" s="80">
        <v>5</v>
      </c>
      <c r="J27" s="80">
        <v>8</v>
      </c>
      <c r="K27" s="80">
        <v>10</v>
      </c>
      <c r="L27" s="80">
        <v>16</v>
      </c>
      <c r="M27" s="80"/>
      <c r="N27" s="80"/>
      <c r="O27" s="80">
        <v>12</v>
      </c>
      <c r="P27" s="80">
        <v>13</v>
      </c>
      <c r="Q27" s="80">
        <v>14</v>
      </c>
      <c r="R27" s="80">
        <v>14</v>
      </c>
      <c r="S27" s="80">
        <v>14</v>
      </c>
      <c r="T27" s="80">
        <v>14</v>
      </c>
      <c r="U27" s="80">
        <v>12</v>
      </c>
      <c r="V27" s="80">
        <v>13</v>
      </c>
      <c r="W27" s="80">
        <v>13</v>
      </c>
      <c r="X27" s="80">
        <v>11</v>
      </c>
      <c r="Y27" s="80">
        <v>9</v>
      </c>
      <c r="Z27" s="80">
        <v>8</v>
      </c>
      <c r="AA27" s="80">
        <v>7</v>
      </c>
      <c r="AB27" s="80">
        <v>3</v>
      </c>
    </row>
    <row r="28" spans="1:28" ht="15" customHeight="1">
      <c r="B28" s="44" t="s">
        <v>2234</v>
      </c>
      <c r="C28" s="89">
        <v>1.58</v>
      </c>
      <c r="D28" s="89">
        <v>1.60666666666667</v>
      </c>
      <c r="E28" s="89">
        <v>1.61333333333333</v>
      </c>
      <c r="F28" s="89">
        <v>1.6866666666666701</v>
      </c>
      <c r="G28" s="89">
        <v>1.7</v>
      </c>
      <c r="H28" s="89">
        <v>1.7366666666666699</v>
      </c>
      <c r="I28" s="89">
        <v>1.6966666666666701</v>
      </c>
      <c r="J28" s="89">
        <v>1.825</v>
      </c>
      <c r="K28" s="89">
        <v>1.64333333333333</v>
      </c>
      <c r="L28" s="89">
        <v>1.61666666666667</v>
      </c>
      <c r="M28" s="89"/>
      <c r="N28" s="89"/>
      <c r="O28" s="89">
        <v>1.51</v>
      </c>
      <c r="P28" s="89">
        <v>1.54</v>
      </c>
      <c r="Q28" s="89">
        <v>1.5633333333333299</v>
      </c>
      <c r="R28" s="89">
        <v>1.56</v>
      </c>
      <c r="S28" s="89">
        <v>1.5533333333333299</v>
      </c>
      <c r="T28" s="89">
        <v>1.5533333333333299</v>
      </c>
      <c r="U28" s="89">
        <v>1.5533333333333299</v>
      </c>
      <c r="V28" s="89">
        <v>1.55666666666667</v>
      </c>
      <c r="W28" s="89">
        <v>1.55666666666667</v>
      </c>
      <c r="X28" s="89">
        <v>1.5633333333333299</v>
      </c>
      <c r="Y28" s="89">
        <v>1.57666666666667</v>
      </c>
      <c r="Z28" s="89">
        <v>1.57</v>
      </c>
      <c r="AA28" s="89">
        <v>1.55666666666667</v>
      </c>
      <c r="AB28" s="89">
        <v>1.5433333333333299</v>
      </c>
    </row>
    <row r="29" spans="1:28" ht="15" customHeight="1">
      <c r="B29" s="44" t="s">
        <v>2235</v>
      </c>
      <c r="C29" s="89">
        <v>1.65</v>
      </c>
      <c r="D29" s="89">
        <v>1.73</v>
      </c>
      <c r="E29" s="89">
        <v>1.81</v>
      </c>
      <c r="F29" s="89">
        <v>1.78</v>
      </c>
      <c r="G29" s="89">
        <v>1.78</v>
      </c>
      <c r="H29" s="89">
        <v>1.56</v>
      </c>
      <c r="I29" s="89">
        <v>1.89</v>
      </c>
      <c r="J29" s="89"/>
      <c r="K29" s="89"/>
      <c r="L29" s="89">
        <v>1.88</v>
      </c>
      <c r="M29" s="89"/>
      <c r="N29" s="89"/>
      <c r="O29" s="89">
        <v>1.87</v>
      </c>
      <c r="P29" s="89">
        <v>1.87</v>
      </c>
      <c r="Q29" s="89">
        <v>1.87</v>
      </c>
      <c r="R29" s="89">
        <v>1.85</v>
      </c>
      <c r="S29" s="89">
        <v>1.85</v>
      </c>
      <c r="T29" s="89">
        <v>1.85</v>
      </c>
      <c r="U29" s="89">
        <v>1.85</v>
      </c>
      <c r="V29" s="89">
        <v>1.85</v>
      </c>
      <c r="W29" s="89">
        <v>1.85</v>
      </c>
      <c r="X29" s="89">
        <v>1.85</v>
      </c>
      <c r="Y29" s="89">
        <v>1.68</v>
      </c>
      <c r="Z29" s="89">
        <v>1.63</v>
      </c>
      <c r="AA29" s="89">
        <v>1.63</v>
      </c>
      <c r="AB29" s="89">
        <v>1.63</v>
      </c>
    </row>
    <row r="30" spans="1:28" ht="15" customHeight="1">
      <c r="B30" s="44" t="s">
        <v>2236</v>
      </c>
      <c r="C30" s="89">
        <v>1.63</v>
      </c>
      <c r="D30" s="89">
        <v>1.54</v>
      </c>
      <c r="E30" s="89">
        <v>1.51</v>
      </c>
      <c r="F30" s="89">
        <v>1.48</v>
      </c>
      <c r="G30" s="89">
        <v>1.48</v>
      </c>
      <c r="H30" s="89">
        <v>1.3</v>
      </c>
      <c r="I30" s="89">
        <v>1.67</v>
      </c>
      <c r="J30" s="89"/>
      <c r="K30" s="89"/>
      <c r="L30" s="89">
        <v>1.81</v>
      </c>
      <c r="M30" s="89"/>
      <c r="N30" s="89"/>
      <c r="O30" s="89">
        <v>1.8</v>
      </c>
      <c r="P30" s="89">
        <v>1.8</v>
      </c>
      <c r="Q30" s="89">
        <v>1.8</v>
      </c>
      <c r="R30" s="89">
        <v>1.85</v>
      </c>
      <c r="S30" s="89">
        <v>1.78</v>
      </c>
      <c r="T30" s="89">
        <v>1.78</v>
      </c>
      <c r="U30" s="89">
        <v>1.78</v>
      </c>
      <c r="V30" s="89">
        <v>1.83</v>
      </c>
      <c r="W30" s="89">
        <v>1.78</v>
      </c>
      <c r="X30" s="89">
        <v>1.85</v>
      </c>
      <c r="Y30" s="89">
        <v>1.62</v>
      </c>
      <c r="Z30" s="89">
        <v>1.57</v>
      </c>
      <c r="AA30" s="89">
        <v>1.57</v>
      </c>
      <c r="AB30" s="89">
        <v>1.57</v>
      </c>
    </row>
    <row r="31" spans="1:28" ht="15" customHeight="1">
      <c r="B31" s="44" t="s">
        <v>2237</v>
      </c>
      <c r="C31" s="79">
        <v>1</v>
      </c>
      <c r="D31" s="79">
        <v>0.9375</v>
      </c>
      <c r="E31" s="79">
        <v>0.875</v>
      </c>
      <c r="F31" s="79">
        <v>0.9375</v>
      </c>
      <c r="G31" s="79">
        <v>0.9375</v>
      </c>
      <c r="H31" s="79">
        <v>0.9375</v>
      </c>
      <c r="I31" s="79">
        <v>0.9375</v>
      </c>
      <c r="J31" s="79">
        <v>1</v>
      </c>
      <c r="K31" s="79">
        <v>1</v>
      </c>
      <c r="L31" s="79">
        <v>1</v>
      </c>
      <c r="M31" s="79">
        <v>1</v>
      </c>
      <c r="N31" s="79">
        <v>0.9375</v>
      </c>
      <c r="O31" s="79">
        <v>0.87223142524081199</v>
      </c>
      <c r="P31" s="79">
        <v>0.87223142524081199</v>
      </c>
      <c r="Q31" s="79">
        <v>0.81164488618933694</v>
      </c>
      <c r="R31" s="79">
        <v>0.81164488618933694</v>
      </c>
      <c r="S31" s="79">
        <v>0.81164488618933694</v>
      </c>
      <c r="T31" s="79">
        <v>0.81164488618933694</v>
      </c>
      <c r="U31" s="79">
        <v>0.74814405791766403</v>
      </c>
      <c r="V31" s="79">
        <v>0.74814405791766403</v>
      </c>
      <c r="W31" s="79">
        <v>0.74814405791766403</v>
      </c>
      <c r="X31" s="79">
        <v>0.74814405791766403</v>
      </c>
      <c r="Y31" s="79">
        <v>0.75004326307410096</v>
      </c>
      <c r="Z31" s="79">
        <v>0.75004326307410096</v>
      </c>
      <c r="AA31" s="79">
        <v>0.75004326307410096</v>
      </c>
      <c r="AB31" s="79">
        <v>0.81400339182501003</v>
      </c>
    </row>
    <row r="32" spans="1:28" ht="15" customHeight="1">
      <c r="B32" s="44" t="s">
        <v>2238</v>
      </c>
      <c r="C32" s="79">
        <v>0.28571428571428598</v>
      </c>
      <c r="D32" s="79">
        <v>0.3</v>
      </c>
      <c r="E32" s="79">
        <v>0.25</v>
      </c>
      <c r="F32" s="79">
        <v>0.125</v>
      </c>
      <c r="G32" s="79">
        <v>0.1</v>
      </c>
      <c r="H32" s="79">
        <v>0</v>
      </c>
      <c r="I32" s="79">
        <v>0</v>
      </c>
      <c r="J32" s="79">
        <v>0</v>
      </c>
      <c r="K32" s="79">
        <v>0</v>
      </c>
      <c r="L32" s="79">
        <v>0.125</v>
      </c>
      <c r="M32" s="79">
        <v>0</v>
      </c>
      <c r="N32" s="79">
        <v>0</v>
      </c>
      <c r="O32" s="79">
        <v>0.25</v>
      </c>
      <c r="P32" s="79">
        <v>0.230769230769231</v>
      </c>
      <c r="Q32" s="79">
        <v>0.214285714285714</v>
      </c>
      <c r="R32" s="79">
        <v>0.28571428571428598</v>
      </c>
      <c r="S32" s="79">
        <v>0.214285714285714</v>
      </c>
      <c r="T32" s="79">
        <v>0.214285714285714</v>
      </c>
      <c r="U32" s="79">
        <v>0.25</v>
      </c>
      <c r="V32" s="79">
        <v>0.230769230769231</v>
      </c>
      <c r="W32" s="79">
        <v>0.230769230769231</v>
      </c>
      <c r="X32" s="79">
        <v>0.36363636363636398</v>
      </c>
      <c r="Y32" s="79">
        <v>0.33333333333333298</v>
      </c>
      <c r="Z32" s="79">
        <v>0.5</v>
      </c>
      <c r="AA32" s="79">
        <v>0.28571428571428598</v>
      </c>
      <c r="AB32" s="79">
        <v>0.33333333333333298</v>
      </c>
    </row>
  </sheetData>
  <pageMargins left="0.75" right="0.75" top="1" bottom="1" header="0.511811023622047" footer="0.511811023622047"/>
  <pageSetup paperSize="9" orientation="portrait" horizontalDpi="300" verticalDpi="300"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C5006F-82F8-48F8-AE75-B9F338B3A92C}">
  <sheetPr codeName="Sheet8">
    <tabColor theme="4" tint="0.59999389629810485"/>
  </sheetPr>
  <dimension ref="A1:Q22"/>
  <sheetViews>
    <sheetView workbookViewId="0">
      <selection sqref="A1:Q22"/>
    </sheetView>
  </sheetViews>
  <sheetFormatPr defaultRowHeight="14.4"/>
  <sheetData>
    <row r="1" spans="1:17">
      <c r="A1" t="s">
        <v>2231</v>
      </c>
      <c r="B1" t="s">
        <v>2242</v>
      </c>
      <c r="C1" t="s">
        <v>2243</v>
      </c>
      <c r="D1" t="s">
        <v>2244</v>
      </c>
      <c r="E1" t="s">
        <v>2245</v>
      </c>
      <c r="F1" t="s">
        <v>2246</v>
      </c>
      <c r="G1" t="s">
        <v>2247</v>
      </c>
      <c r="H1" t="s">
        <v>2248</v>
      </c>
      <c r="I1" t="s">
        <v>2249</v>
      </c>
      <c r="J1" t="s">
        <v>2250</v>
      </c>
      <c r="K1" t="s">
        <v>2251</v>
      </c>
      <c r="L1" t="s">
        <v>2252</v>
      </c>
      <c r="M1" t="s">
        <v>2253</v>
      </c>
      <c r="N1" t="s">
        <v>2254</v>
      </c>
      <c r="O1" t="s">
        <v>2255</v>
      </c>
      <c r="P1" t="s">
        <v>2256</v>
      </c>
      <c r="Q1" t="s">
        <v>2257</v>
      </c>
    </row>
    <row r="2" spans="1:17">
      <c r="A2" t="s">
        <v>2258</v>
      </c>
      <c r="B2">
        <v>505</v>
      </c>
      <c r="C2">
        <v>56</v>
      </c>
      <c r="D2">
        <v>945.66</v>
      </c>
      <c r="E2">
        <v>857.3</v>
      </c>
      <c r="F2">
        <v>0</v>
      </c>
      <c r="G2">
        <v>17</v>
      </c>
      <c r="H2">
        <v>3</v>
      </c>
      <c r="I2">
        <v>20</v>
      </c>
      <c r="J2">
        <v>0</v>
      </c>
      <c r="K2">
        <v>3</v>
      </c>
      <c r="L2">
        <v>33</v>
      </c>
      <c r="M2">
        <v>36</v>
      </c>
      <c r="N2">
        <v>0.64290000000000003</v>
      </c>
      <c r="O2">
        <v>0.69640000000000002</v>
      </c>
      <c r="P2">
        <v>0.35709999999999997</v>
      </c>
      <c r="Q2">
        <v>0.64290000000000003</v>
      </c>
    </row>
    <row r="3" spans="1:17">
      <c r="A3" t="s">
        <v>2259</v>
      </c>
      <c r="B3">
        <v>560</v>
      </c>
      <c r="C3">
        <v>20</v>
      </c>
      <c r="D3">
        <v>837.5</v>
      </c>
      <c r="E3">
        <v>954.31</v>
      </c>
      <c r="F3">
        <v>0</v>
      </c>
      <c r="G3">
        <v>4</v>
      </c>
      <c r="H3">
        <v>0</v>
      </c>
      <c r="I3">
        <v>4</v>
      </c>
      <c r="J3">
        <v>0</v>
      </c>
      <c r="K3">
        <v>2</v>
      </c>
      <c r="L3">
        <v>14</v>
      </c>
      <c r="M3">
        <v>16</v>
      </c>
      <c r="N3">
        <v>0.8</v>
      </c>
      <c r="O3">
        <v>0.8</v>
      </c>
      <c r="P3">
        <v>0.3</v>
      </c>
      <c r="Q3">
        <v>0.7</v>
      </c>
    </row>
    <row r="4" spans="1:17">
      <c r="A4" t="s">
        <v>2260</v>
      </c>
      <c r="B4">
        <v>594</v>
      </c>
      <c r="C4">
        <v>72</v>
      </c>
      <c r="D4">
        <v>846.97</v>
      </c>
      <c r="E4">
        <v>936.51</v>
      </c>
      <c r="F4">
        <v>0</v>
      </c>
      <c r="G4">
        <v>8</v>
      </c>
      <c r="H4">
        <v>3</v>
      </c>
      <c r="I4">
        <v>11</v>
      </c>
      <c r="J4">
        <v>0</v>
      </c>
      <c r="K4">
        <v>4</v>
      </c>
      <c r="L4">
        <v>57</v>
      </c>
      <c r="M4">
        <v>61</v>
      </c>
      <c r="N4">
        <v>0.84719999999999995</v>
      </c>
      <c r="O4">
        <v>0.88890000000000002</v>
      </c>
      <c r="P4">
        <v>0.16669999999999999</v>
      </c>
      <c r="Q4">
        <v>0.83330000000000004</v>
      </c>
    </row>
    <row r="5" spans="1:17">
      <c r="A5" t="s">
        <v>2261</v>
      </c>
      <c r="B5">
        <v>650</v>
      </c>
      <c r="C5">
        <v>72</v>
      </c>
      <c r="D5">
        <v>814.44</v>
      </c>
      <c r="E5">
        <v>930.78</v>
      </c>
      <c r="F5">
        <v>0</v>
      </c>
      <c r="G5">
        <v>10</v>
      </c>
      <c r="H5">
        <v>8</v>
      </c>
      <c r="I5">
        <v>18</v>
      </c>
      <c r="J5">
        <v>0</v>
      </c>
      <c r="K5">
        <v>2</v>
      </c>
      <c r="L5">
        <v>52</v>
      </c>
      <c r="M5">
        <v>54</v>
      </c>
      <c r="N5">
        <v>0.75</v>
      </c>
      <c r="O5">
        <v>0.86109999999999998</v>
      </c>
      <c r="P5">
        <v>0.16669999999999999</v>
      </c>
      <c r="Q5">
        <v>0.83330000000000004</v>
      </c>
    </row>
    <row r="6" spans="1:17">
      <c r="A6" t="s">
        <v>2262</v>
      </c>
      <c r="B6">
        <v>667</v>
      </c>
      <c r="C6">
        <v>96</v>
      </c>
      <c r="D6">
        <v>930.53</v>
      </c>
      <c r="E6" s="456">
        <v>1000.1</v>
      </c>
      <c r="F6">
        <v>1</v>
      </c>
      <c r="G6">
        <v>32</v>
      </c>
      <c r="H6">
        <v>3</v>
      </c>
      <c r="I6">
        <v>35</v>
      </c>
      <c r="J6">
        <v>1</v>
      </c>
      <c r="K6">
        <v>4</v>
      </c>
      <c r="L6">
        <v>55</v>
      </c>
      <c r="M6">
        <v>60</v>
      </c>
      <c r="N6">
        <v>0.63160000000000005</v>
      </c>
      <c r="O6">
        <v>0.66320000000000001</v>
      </c>
      <c r="P6">
        <v>0.37890000000000001</v>
      </c>
      <c r="Q6">
        <v>0.62109999999999999</v>
      </c>
    </row>
    <row r="7" spans="1:17">
      <c r="A7" t="s">
        <v>2263</v>
      </c>
      <c r="B7">
        <v>670</v>
      </c>
      <c r="C7">
        <v>48</v>
      </c>
      <c r="D7">
        <v>958.35</v>
      </c>
      <c r="E7" s="456">
        <v>1033.1300000000001</v>
      </c>
      <c r="F7">
        <v>0</v>
      </c>
      <c r="G7">
        <v>9</v>
      </c>
      <c r="H7">
        <v>0</v>
      </c>
      <c r="I7">
        <v>9</v>
      </c>
      <c r="J7">
        <v>0</v>
      </c>
      <c r="K7">
        <v>4</v>
      </c>
      <c r="L7">
        <v>35</v>
      </c>
      <c r="M7">
        <v>39</v>
      </c>
      <c r="N7">
        <v>0.8125</v>
      </c>
      <c r="O7">
        <v>0.8125</v>
      </c>
      <c r="P7">
        <v>0.27079999999999999</v>
      </c>
      <c r="Q7">
        <v>0.72919999999999996</v>
      </c>
    </row>
    <row r="8" spans="1:17">
      <c r="A8" t="s">
        <v>2264</v>
      </c>
      <c r="B8">
        <v>700</v>
      </c>
      <c r="C8">
        <v>56</v>
      </c>
      <c r="D8">
        <v>834.95</v>
      </c>
      <c r="E8">
        <v>942.88</v>
      </c>
      <c r="F8">
        <v>0</v>
      </c>
      <c r="G8">
        <v>9</v>
      </c>
      <c r="H8">
        <v>6</v>
      </c>
      <c r="I8">
        <v>15</v>
      </c>
      <c r="J8">
        <v>2</v>
      </c>
      <c r="K8">
        <v>0</v>
      </c>
      <c r="L8">
        <v>39</v>
      </c>
      <c r="M8">
        <v>41</v>
      </c>
      <c r="N8">
        <v>0.73209999999999997</v>
      </c>
      <c r="O8">
        <v>0.83930000000000005</v>
      </c>
      <c r="P8">
        <v>0.16070000000000001</v>
      </c>
      <c r="Q8">
        <v>0.83930000000000005</v>
      </c>
    </row>
    <row r="9" spans="1:17">
      <c r="A9" t="s">
        <v>2265</v>
      </c>
      <c r="B9">
        <v>746</v>
      </c>
      <c r="C9">
        <v>64</v>
      </c>
      <c r="D9">
        <v>999.78</v>
      </c>
      <c r="E9" s="456">
        <v>1156.1500000000001</v>
      </c>
      <c r="F9">
        <v>0</v>
      </c>
      <c r="G9">
        <v>25</v>
      </c>
      <c r="H9">
        <v>0</v>
      </c>
      <c r="I9">
        <v>25</v>
      </c>
      <c r="J9">
        <v>0</v>
      </c>
      <c r="K9">
        <v>4</v>
      </c>
      <c r="L9">
        <v>35</v>
      </c>
      <c r="M9">
        <v>39</v>
      </c>
      <c r="N9">
        <v>0.60940000000000005</v>
      </c>
      <c r="O9">
        <v>0.60940000000000005</v>
      </c>
      <c r="P9">
        <v>0.4531</v>
      </c>
      <c r="Q9">
        <v>0.54690000000000005</v>
      </c>
    </row>
    <row r="10" spans="1:17">
      <c r="A10" t="s">
        <v>2266</v>
      </c>
      <c r="B10">
        <v>753</v>
      </c>
      <c r="C10">
        <v>24</v>
      </c>
      <c r="D10" s="456">
        <v>1041.3800000000001</v>
      </c>
      <c r="E10" s="456">
        <v>1125</v>
      </c>
      <c r="F10">
        <v>0</v>
      </c>
      <c r="G10">
        <v>6</v>
      </c>
      <c r="H10">
        <v>2</v>
      </c>
      <c r="I10">
        <v>8</v>
      </c>
      <c r="J10">
        <v>0</v>
      </c>
      <c r="K10">
        <v>0</v>
      </c>
      <c r="L10">
        <v>16</v>
      </c>
      <c r="M10">
        <v>16</v>
      </c>
      <c r="N10">
        <v>0.66669999999999996</v>
      </c>
      <c r="O10">
        <v>0.75</v>
      </c>
      <c r="P10">
        <v>0.25</v>
      </c>
      <c r="Q10">
        <v>0.75</v>
      </c>
    </row>
    <row r="11" spans="1:17">
      <c r="A11" t="s">
        <v>2267</v>
      </c>
      <c r="B11">
        <v>800</v>
      </c>
      <c r="C11">
        <v>48</v>
      </c>
      <c r="D11">
        <v>924.6</v>
      </c>
      <c r="E11" s="456">
        <v>1063.6199999999999</v>
      </c>
      <c r="F11">
        <v>0</v>
      </c>
      <c r="G11">
        <v>21</v>
      </c>
      <c r="H11">
        <v>3</v>
      </c>
      <c r="I11">
        <v>24</v>
      </c>
      <c r="J11">
        <v>1</v>
      </c>
      <c r="K11">
        <v>1</v>
      </c>
      <c r="L11">
        <v>22</v>
      </c>
      <c r="M11">
        <v>24</v>
      </c>
      <c r="N11">
        <v>0.5</v>
      </c>
      <c r="O11">
        <v>0.5625</v>
      </c>
      <c r="P11">
        <v>0.45829999999999999</v>
      </c>
      <c r="Q11">
        <v>0.54169999999999996</v>
      </c>
    </row>
    <row r="12" spans="1:17">
      <c r="A12" t="s">
        <v>2268</v>
      </c>
      <c r="B12">
        <v>841</v>
      </c>
      <c r="C12">
        <v>28</v>
      </c>
      <c r="D12" s="456">
        <v>1105.6400000000001</v>
      </c>
      <c r="E12" s="456">
        <v>1225.43</v>
      </c>
      <c r="F12">
        <v>0</v>
      </c>
      <c r="G12">
        <v>13</v>
      </c>
      <c r="H12">
        <v>1</v>
      </c>
      <c r="I12">
        <v>14</v>
      </c>
      <c r="J12">
        <v>0</v>
      </c>
      <c r="K12">
        <v>1</v>
      </c>
      <c r="L12">
        <v>13</v>
      </c>
      <c r="M12">
        <v>14</v>
      </c>
      <c r="N12">
        <v>0.5</v>
      </c>
      <c r="O12">
        <v>0.53569999999999995</v>
      </c>
      <c r="P12">
        <v>0.5</v>
      </c>
      <c r="Q12">
        <v>0.5</v>
      </c>
    </row>
    <row r="13" spans="1:17">
      <c r="A13" t="s">
        <v>2269</v>
      </c>
      <c r="B13">
        <v>845</v>
      </c>
      <c r="C13">
        <v>32</v>
      </c>
      <c r="D13" s="456">
        <v>1284.56</v>
      </c>
      <c r="E13" s="456">
        <v>1383.44</v>
      </c>
      <c r="F13">
        <v>0</v>
      </c>
      <c r="G13">
        <v>14</v>
      </c>
      <c r="H13">
        <v>2</v>
      </c>
      <c r="I13">
        <v>16</v>
      </c>
      <c r="J13">
        <v>0</v>
      </c>
      <c r="K13">
        <v>0</v>
      </c>
      <c r="L13">
        <v>16</v>
      </c>
      <c r="M13">
        <v>16</v>
      </c>
      <c r="N13">
        <v>0.5</v>
      </c>
      <c r="O13">
        <v>0.5625</v>
      </c>
      <c r="P13">
        <v>0.4375</v>
      </c>
      <c r="Q13">
        <v>0.5625</v>
      </c>
    </row>
    <row r="14" spans="1:17">
      <c r="A14" t="s">
        <v>2270</v>
      </c>
      <c r="B14">
        <v>900</v>
      </c>
      <c r="C14">
        <v>32</v>
      </c>
      <c r="D14" s="456">
        <v>1179.0999999999999</v>
      </c>
      <c r="E14" s="456">
        <v>1307.56</v>
      </c>
      <c r="F14">
        <v>1</v>
      </c>
      <c r="G14">
        <v>6</v>
      </c>
      <c r="H14">
        <v>0</v>
      </c>
      <c r="I14">
        <v>6</v>
      </c>
      <c r="J14">
        <v>1</v>
      </c>
      <c r="K14">
        <v>3</v>
      </c>
      <c r="L14">
        <v>21</v>
      </c>
      <c r="M14">
        <v>25</v>
      </c>
      <c r="N14">
        <v>0.80649999999999999</v>
      </c>
      <c r="O14">
        <v>0.80649999999999999</v>
      </c>
      <c r="P14">
        <v>0.2903</v>
      </c>
      <c r="Q14">
        <v>0.7097</v>
      </c>
    </row>
    <row r="15" spans="1:17">
      <c r="A15" t="s">
        <v>2271</v>
      </c>
      <c r="B15">
        <v>909</v>
      </c>
      <c r="C15">
        <v>36</v>
      </c>
      <c r="D15" s="456">
        <v>1172.03</v>
      </c>
      <c r="E15" s="456">
        <v>1304.71</v>
      </c>
      <c r="F15">
        <v>0</v>
      </c>
      <c r="G15">
        <v>4</v>
      </c>
      <c r="H15">
        <v>4</v>
      </c>
      <c r="I15">
        <v>8</v>
      </c>
      <c r="J15">
        <v>0</v>
      </c>
      <c r="K15">
        <v>1</v>
      </c>
      <c r="L15">
        <v>27</v>
      </c>
      <c r="M15">
        <v>28</v>
      </c>
      <c r="N15">
        <v>0.77780000000000005</v>
      </c>
      <c r="O15">
        <v>0.88890000000000002</v>
      </c>
      <c r="P15">
        <v>0.1389</v>
      </c>
      <c r="Q15">
        <v>0.86109999999999998</v>
      </c>
    </row>
    <row r="16" spans="1:17">
      <c r="A16" t="s">
        <v>2272</v>
      </c>
      <c r="B16">
        <v>921</v>
      </c>
      <c r="C16">
        <v>32</v>
      </c>
      <c r="D16" s="456">
        <v>1067.77</v>
      </c>
      <c r="E16" s="456">
        <v>1200.7</v>
      </c>
      <c r="F16">
        <v>1</v>
      </c>
      <c r="G16">
        <v>0</v>
      </c>
      <c r="H16">
        <v>1</v>
      </c>
      <c r="I16">
        <v>1</v>
      </c>
      <c r="J16">
        <v>1</v>
      </c>
      <c r="K16">
        <v>0</v>
      </c>
      <c r="L16">
        <v>29</v>
      </c>
      <c r="M16">
        <v>30</v>
      </c>
      <c r="N16">
        <v>0.9677</v>
      </c>
      <c r="O16">
        <v>1</v>
      </c>
      <c r="P16">
        <v>0</v>
      </c>
      <c r="Q16">
        <v>1</v>
      </c>
    </row>
    <row r="17" spans="1:17">
      <c r="A17" t="s">
        <v>2273</v>
      </c>
      <c r="B17">
        <v>988</v>
      </c>
      <c r="C17">
        <v>56</v>
      </c>
      <c r="D17" s="456">
        <v>1093.27</v>
      </c>
      <c r="E17" s="456">
        <v>1244.67</v>
      </c>
      <c r="F17">
        <v>1</v>
      </c>
      <c r="G17">
        <v>0</v>
      </c>
      <c r="H17">
        <v>3</v>
      </c>
      <c r="I17">
        <v>3</v>
      </c>
      <c r="J17">
        <v>5</v>
      </c>
      <c r="K17">
        <v>0</v>
      </c>
      <c r="L17">
        <v>47</v>
      </c>
      <c r="M17">
        <v>52</v>
      </c>
      <c r="N17">
        <v>0.94550000000000001</v>
      </c>
      <c r="O17">
        <v>1</v>
      </c>
      <c r="P17">
        <v>0</v>
      </c>
      <c r="Q17">
        <v>1</v>
      </c>
    </row>
    <row r="18" spans="1:17">
      <c r="A18" t="s">
        <v>2274</v>
      </c>
      <c r="B18">
        <v>1000</v>
      </c>
      <c r="C18">
        <v>28</v>
      </c>
      <c r="D18" s="456">
        <v>1106.42</v>
      </c>
      <c r="E18" s="456">
        <v>1230.48</v>
      </c>
      <c r="F18">
        <v>2</v>
      </c>
      <c r="G18">
        <v>0</v>
      </c>
      <c r="H18">
        <v>1</v>
      </c>
      <c r="I18">
        <v>1</v>
      </c>
      <c r="J18">
        <v>2</v>
      </c>
      <c r="K18">
        <v>1</v>
      </c>
      <c r="L18">
        <v>22</v>
      </c>
      <c r="M18">
        <v>25</v>
      </c>
      <c r="N18">
        <v>0.96150000000000002</v>
      </c>
      <c r="O18">
        <v>1</v>
      </c>
      <c r="P18">
        <v>3.85E-2</v>
      </c>
      <c r="Q18">
        <v>0.96150000000000002</v>
      </c>
    </row>
    <row r="19" spans="1:17">
      <c r="A19" t="s">
        <v>2275</v>
      </c>
      <c r="B19">
        <v>1066</v>
      </c>
      <c r="C19">
        <v>12</v>
      </c>
      <c r="D19" s="456">
        <v>1200.33</v>
      </c>
      <c r="E19" s="456">
        <v>1263.67</v>
      </c>
      <c r="F19">
        <v>0</v>
      </c>
      <c r="G19">
        <v>0</v>
      </c>
      <c r="H19">
        <v>0</v>
      </c>
      <c r="I19">
        <v>0</v>
      </c>
      <c r="J19">
        <v>0</v>
      </c>
      <c r="K19">
        <v>0</v>
      </c>
      <c r="L19">
        <v>12</v>
      </c>
      <c r="M19">
        <v>12</v>
      </c>
      <c r="N19">
        <v>1</v>
      </c>
      <c r="O19">
        <v>1</v>
      </c>
      <c r="P19">
        <v>0</v>
      </c>
      <c r="Q19">
        <v>1</v>
      </c>
    </row>
    <row r="20" spans="1:17">
      <c r="A20" t="s">
        <v>2276</v>
      </c>
      <c r="B20">
        <v>1100</v>
      </c>
      <c r="C20">
        <v>16</v>
      </c>
      <c r="D20" s="456">
        <v>1223.67</v>
      </c>
      <c r="E20" s="456">
        <v>1321.6</v>
      </c>
      <c r="F20">
        <v>1</v>
      </c>
      <c r="G20">
        <v>0</v>
      </c>
      <c r="H20">
        <v>0</v>
      </c>
      <c r="I20">
        <v>0</v>
      </c>
      <c r="J20">
        <v>0</v>
      </c>
      <c r="K20">
        <v>0</v>
      </c>
      <c r="L20">
        <v>15</v>
      </c>
      <c r="M20">
        <v>15</v>
      </c>
      <c r="N20">
        <v>1</v>
      </c>
      <c r="O20">
        <v>1</v>
      </c>
      <c r="P20">
        <v>0</v>
      </c>
      <c r="Q20">
        <v>1</v>
      </c>
    </row>
    <row r="21" spans="1:17">
      <c r="A21" t="s">
        <v>1029</v>
      </c>
      <c r="B21">
        <v>1109</v>
      </c>
      <c r="C21">
        <v>16</v>
      </c>
      <c r="D21" s="456">
        <v>1666.33</v>
      </c>
      <c r="E21" s="456">
        <v>1808.79</v>
      </c>
      <c r="F21">
        <v>1</v>
      </c>
      <c r="G21">
        <v>0</v>
      </c>
      <c r="H21">
        <v>1</v>
      </c>
      <c r="I21">
        <v>1</v>
      </c>
      <c r="J21">
        <v>0</v>
      </c>
      <c r="K21">
        <v>0</v>
      </c>
      <c r="L21">
        <v>14</v>
      </c>
      <c r="M21">
        <v>14</v>
      </c>
      <c r="N21">
        <v>0.93330000000000002</v>
      </c>
      <c r="O21">
        <v>1</v>
      </c>
      <c r="P21">
        <v>0</v>
      </c>
      <c r="Q21">
        <v>1</v>
      </c>
    </row>
    <row r="22" spans="1:17">
      <c r="A22" t="s">
        <v>1023</v>
      </c>
      <c r="B22">
        <v>420</v>
      </c>
      <c r="C22">
        <v>36</v>
      </c>
      <c r="D22">
        <v>782.72</v>
      </c>
      <c r="E22">
        <v>858.38</v>
      </c>
      <c r="F22">
        <v>0</v>
      </c>
      <c r="G22">
        <v>9</v>
      </c>
      <c r="H22">
        <v>3</v>
      </c>
      <c r="I22">
        <v>12</v>
      </c>
      <c r="J22">
        <v>0</v>
      </c>
      <c r="K22">
        <v>0</v>
      </c>
      <c r="L22">
        <v>24</v>
      </c>
      <c r="M22">
        <v>24</v>
      </c>
      <c r="N22">
        <v>0.66669999999999996</v>
      </c>
      <c r="O22">
        <v>0.75</v>
      </c>
      <c r="P22">
        <v>0.25</v>
      </c>
      <c r="Q22">
        <v>0.75</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372792-F27C-43F3-BFF9-E019CC4BAEF9}">
  <sheetPr codeName="Sheet9">
    <tabColor theme="4" tint="0.59999389629810485"/>
  </sheetPr>
  <dimension ref="A1:O20"/>
  <sheetViews>
    <sheetView workbookViewId="0">
      <selection sqref="A1:O20"/>
    </sheetView>
  </sheetViews>
  <sheetFormatPr defaultRowHeight="14.4"/>
  <sheetData>
    <row r="1" spans="1:15">
      <c r="A1" t="s">
        <v>2231</v>
      </c>
      <c r="B1" t="s">
        <v>2277</v>
      </c>
      <c r="C1" t="s">
        <v>2278</v>
      </c>
      <c r="D1" t="s">
        <v>2279</v>
      </c>
      <c r="E1" t="s">
        <v>2280</v>
      </c>
      <c r="F1" t="s">
        <v>2281</v>
      </c>
      <c r="G1" t="s">
        <v>2282</v>
      </c>
      <c r="H1" t="s">
        <v>2283</v>
      </c>
      <c r="I1" t="s">
        <v>2284</v>
      </c>
      <c r="J1" t="s">
        <v>2285</v>
      </c>
      <c r="K1" t="s">
        <v>2286</v>
      </c>
      <c r="L1" t="s">
        <v>2287</v>
      </c>
      <c r="M1" t="s">
        <v>2288</v>
      </c>
      <c r="N1" t="s">
        <v>2289</v>
      </c>
      <c r="O1" t="s">
        <v>2290</v>
      </c>
    </row>
    <row r="2" spans="1:15">
      <c r="A2" t="s">
        <v>2258</v>
      </c>
      <c r="B2">
        <v>12</v>
      </c>
      <c r="C2">
        <v>2</v>
      </c>
      <c r="D2">
        <v>0</v>
      </c>
      <c r="E2">
        <v>10</v>
      </c>
      <c r="F2">
        <v>0</v>
      </c>
      <c r="G2">
        <v>0</v>
      </c>
      <c r="H2">
        <v>0</v>
      </c>
      <c r="I2">
        <v>0</v>
      </c>
      <c r="J2">
        <v>85</v>
      </c>
      <c r="K2">
        <v>9</v>
      </c>
      <c r="L2">
        <v>0</v>
      </c>
      <c r="M2">
        <v>35</v>
      </c>
      <c r="N2">
        <v>0</v>
      </c>
      <c r="O2">
        <v>0</v>
      </c>
    </row>
    <row r="3" spans="1:15">
      <c r="A3" t="s">
        <v>2259</v>
      </c>
      <c r="B3">
        <v>1</v>
      </c>
      <c r="C3">
        <v>0</v>
      </c>
      <c r="D3">
        <v>0</v>
      </c>
      <c r="E3">
        <v>1</v>
      </c>
      <c r="F3">
        <v>0</v>
      </c>
      <c r="G3">
        <v>0</v>
      </c>
      <c r="H3">
        <v>0</v>
      </c>
      <c r="I3">
        <v>0</v>
      </c>
      <c r="J3">
        <v>3</v>
      </c>
      <c r="K3">
        <v>0</v>
      </c>
      <c r="L3">
        <v>0</v>
      </c>
      <c r="M3">
        <v>2</v>
      </c>
      <c r="N3">
        <v>0</v>
      </c>
      <c r="O3">
        <v>0</v>
      </c>
    </row>
    <row r="4" spans="1:15">
      <c r="A4" t="s">
        <v>2260</v>
      </c>
      <c r="B4">
        <v>4</v>
      </c>
      <c r="C4">
        <v>0</v>
      </c>
      <c r="D4">
        <v>0</v>
      </c>
      <c r="E4">
        <v>4</v>
      </c>
      <c r="F4">
        <v>0</v>
      </c>
      <c r="G4">
        <v>0</v>
      </c>
      <c r="H4">
        <v>0</v>
      </c>
      <c r="I4">
        <v>0</v>
      </c>
      <c r="J4">
        <v>21</v>
      </c>
      <c r="K4">
        <v>3</v>
      </c>
      <c r="L4">
        <v>0</v>
      </c>
      <c r="M4">
        <v>37</v>
      </c>
      <c r="N4">
        <v>0</v>
      </c>
      <c r="O4">
        <v>0</v>
      </c>
    </row>
    <row r="5" spans="1:15">
      <c r="A5" t="s">
        <v>2261</v>
      </c>
      <c r="B5">
        <v>6</v>
      </c>
      <c r="C5">
        <v>0</v>
      </c>
      <c r="D5">
        <v>1</v>
      </c>
      <c r="E5">
        <v>4</v>
      </c>
      <c r="F5">
        <v>0</v>
      </c>
      <c r="G5">
        <v>0</v>
      </c>
      <c r="H5">
        <v>0</v>
      </c>
      <c r="I5">
        <v>0</v>
      </c>
      <c r="J5">
        <v>54</v>
      </c>
      <c r="K5">
        <v>33</v>
      </c>
      <c r="L5">
        <v>0</v>
      </c>
      <c r="M5">
        <v>16</v>
      </c>
      <c r="N5">
        <v>1</v>
      </c>
      <c r="O5">
        <v>0</v>
      </c>
    </row>
    <row r="6" spans="1:15">
      <c r="A6" t="s">
        <v>2262</v>
      </c>
      <c r="B6">
        <v>15</v>
      </c>
      <c r="C6">
        <v>0</v>
      </c>
      <c r="D6">
        <v>0</v>
      </c>
      <c r="E6">
        <v>3</v>
      </c>
      <c r="F6">
        <v>0</v>
      </c>
      <c r="G6">
        <v>0</v>
      </c>
      <c r="H6">
        <v>1</v>
      </c>
      <c r="I6">
        <v>1</v>
      </c>
      <c r="J6">
        <v>111</v>
      </c>
      <c r="K6">
        <v>12</v>
      </c>
      <c r="L6">
        <v>0</v>
      </c>
      <c r="M6">
        <v>39</v>
      </c>
      <c r="N6">
        <v>15</v>
      </c>
      <c r="O6">
        <v>0</v>
      </c>
    </row>
    <row r="7" spans="1:15">
      <c r="A7" t="s">
        <v>2264</v>
      </c>
      <c r="B7">
        <v>1</v>
      </c>
      <c r="C7">
        <v>0</v>
      </c>
      <c r="D7">
        <v>0</v>
      </c>
      <c r="E7">
        <v>1</v>
      </c>
      <c r="F7">
        <v>0</v>
      </c>
      <c r="G7">
        <v>0</v>
      </c>
      <c r="H7">
        <v>0</v>
      </c>
      <c r="I7">
        <v>0</v>
      </c>
      <c r="J7">
        <v>22</v>
      </c>
      <c r="K7">
        <v>11</v>
      </c>
      <c r="L7">
        <v>0</v>
      </c>
      <c r="M7">
        <v>13</v>
      </c>
      <c r="N7">
        <v>1</v>
      </c>
      <c r="O7">
        <v>1</v>
      </c>
    </row>
    <row r="8" spans="1:15">
      <c r="A8" t="s">
        <v>2266</v>
      </c>
      <c r="B8">
        <v>1</v>
      </c>
      <c r="C8">
        <v>0</v>
      </c>
      <c r="D8">
        <v>1</v>
      </c>
      <c r="E8">
        <v>0</v>
      </c>
      <c r="F8">
        <v>0</v>
      </c>
      <c r="G8">
        <v>0</v>
      </c>
      <c r="H8">
        <v>0</v>
      </c>
      <c r="I8">
        <v>0</v>
      </c>
      <c r="J8">
        <v>10</v>
      </c>
      <c r="K8">
        <v>1</v>
      </c>
      <c r="L8">
        <v>0</v>
      </c>
      <c r="M8">
        <v>10</v>
      </c>
      <c r="N8">
        <v>1</v>
      </c>
      <c r="O8">
        <v>0</v>
      </c>
    </row>
    <row r="9" spans="1:15">
      <c r="A9" t="s">
        <v>2267</v>
      </c>
      <c r="B9">
        <v>3</v>
      </c>
      <c r="C9">
        <v>0</v>
      </c>
      <c r="D9">
        <v>0</v>
      </c>
      <c r="E9">
        <v>3</v>
      </c>
      <c r="F9">
        <v>0</v>
      </c>
      <c r="G9">
        <v>0</v>
      </c>
      <c r="H9">
        <v>0</v>
      </c>
      <c r="I9">
        <v>0</v>
      </c>
      <c r="J9">
        <v>25</v>
      </c>
      <c r="K9">
        <v>3</v>
      </c>
      <c r="L9">
        <v>0</v>
      </c>
      <c r="M9">
        <v>27</v>
      </c>
      <c r="N9">
        <v>1</v>
      </c>
      <c r="O9">
        <v>0</v>
      </c>
    </row>
    <row r="10" spans="1:15">
      <c r="A10" t="s">
        <v>2268</v>
      </c>
      <c r="B10">
        <v>0</v>
      </c>
      <c r="C10">
        <v>0</v>
      </c>
      <c r="D10">
        <v>0</v>
      </c>
      <c r="E10">
        <v>0</v>
      </c>
      <c r="F10">
        <v>0</v>
      </c>
      <c r="G10">
        <v>0</v>
      </c>
      <c r="H10">
        <v>0</v>
      </c>
      <c r="I10">
        <v>0</v>
      </c>
      <c r="J10">
        <v>1</v>
      </c>
      <c r="K10">
        <v>0</v>
      </c>
      <c r="L10">
        <v>0</v>
      </c>
      <c r="M10">
        <v>1</v>
      </c>
      <c r="N10">
        <v>0</v>
      </c>
      <c r="O10">
        <v>0</v>
      </c>
    </row>
    <row r="11" spans="1:15">
      <c r="A11" t="s">
        <v>2269</v>
      </c>
      <c r="B11">
        <v>4</v>
      </c>
      <c r="C11">
        <v>0</v>
      </c>
      <c r="D11">
        <v>0</v>
      </c>
      <c r="E11">
        <v>2</v>
      </c>
      <c r="F11">
        <v>0</v>
      </c>
      <c r="G11">
        <v>0</v>
      </c>
      <c r="H11">
        <v>0</v>
      </c>
      <c r="I11">
        <v>0</v>
      </c>
      <c r="J11">
        <v>45</v>
      </c>
      <c r="K11">
        <v>15</v>
      </c>
      <c r="L11">
        <v>0</v>
      </c>
      <c r="M11">
        <v>10</v>
      </c>
      <c r="N11">
        <v>2</v>
      </c>
      <c r="O11">
        <v>1</v>
      </c>
    </row>
    <row r="12" spans="1:15">
      <c r="A12" t="s">
        <v>2270</v>
      </c>
      <c r="B12">
        <v>1</v>
      </c>
      <c r="C12">
        <v>0</v>
      </c>
      <c r="D12">
        <v>0</v>
      </c>
      <c r="E12">
        <v>1</v>
      </c>
      <c r="F12">
        <v>0</v>
      </c>
      <c r="G12">
        <v>0</v>
      </c>
      <c r="H12">
        <v>0</v>
      </c>
      <c r="I12">
        <v>0</v>
      </c>
      <c r="J12">
        <v>27</v>
      </c>
      <c r="K12">
        <v>4</v>
      </c>
      <c r="L12">
        <v>0</v>
      </c>
      <c r="M12">
        <v>8</v>
      </c>
      <c r="N12">
        <v>0</v>
      </c>
      <c r="O12">
        <v>0</v>
      </c>
    </row>
    <row r="13" spans="1:15">
      <c r="A13" t="s">
        <v>2271</v>
      </c>
      <c r="B13">
        <v>1</v>
      </c>
      <c r="C13">
        <v>0</v>
      </c>
      <c r="D13">
        <v>0</v>
      </c>
      <c r="E13">
        <v>1</v>
      </c>
      <c r="F13">
        <v>0</v>
      </c>
      <c r="G13">
        <v>0</v>
      </c>
      <c r="H13">
        <v>0</v>
      </c>
      <c r="I13">
        <v>0</v>
      </c>
      <c r="J13">
        <v>17</v>
      </c>
      <c r="K13">
        <v>2</v>
      </c>
      <c r="L13">
        <v>0</v>
      </c>
      <c r="M13">
        <v>14</v>
      </c>
      <c r="N13">
        <v>0</v>
      </c>
      <c r="O13">
        <v>0</v>
      </c>
    </row>
    <row r="14" spans="1:15">
      <c r="A14" t="s">
        <v>2272</v>
      </c>
      <c r="B14">
        <v>0</v>
      </c>
      <c r="C14">
        <v>0</v>
      </c>
      <c r="D14">
        <v>0</v>
      </c>
      <c r="E14">
        <v>0</v>
      </c>
      <c r="F14">
        <v>0</v>
      </c>
      <c r="G14">
        <v>0</v>
      </c>
      <c r="H14">
        <v>0</v>
      </c>
      <c r="I14">
        <v>0</v>
      </c>
      <c r="J14">
        <v>1</v>
      </c>
      <c r="K14">
        <v>0</v>
      </c>
      <c r="L14">
        <v>0</v>
      </c>
      <c r="M14">
        <v>0</v>
      </c>
      <c r="N14">
        <v>0</v>
      </c>
      <c r="O14">
        <v>0</v>
      </c>
    </row>
    <row r="15" spans="1:15">
      <c r="A15" t="s">
        <v>2273</v>
      </c>
      <c r="B15">
        <v>6</v>
      </c>
      <c r="C15">
        <v>0</v>
      </c>
      <c r="D15">
        <v>0</v>
      </c>
      <c r="E15">
        <v>1</v>
      </c>
      <c r="F15">
        <v>0</v>
      </c>
      <c r="G15">
        <v>0</v>
      </c>
      <c r="H15">
        <v>0</v>
      </c>
      <c r="I15">
        <v>0</v>
      </c>
      <c r="J15">
        <v>72</v>
      </c>
      <c r="K15">
        <v>22</v>
      </c>
      <c r="L15">
        <v>0</v>
      </c>
      <c r="M15">
        <v>55</v>
      </c>
      <c r="N15">
        <v>7</v>
      </c>
      <c r="O15">
        <v>0</v>
      </c>
    </row>
    <row r="16" spans="1:15">
      <c r="A16" t="s">
        <v>2274</v>
      </c>
      <c r="B16">
        <v>1</v>
      </c>
      <c r="C16">
        <v>1</v>
      </c>
      <c r="D16">
        <v>0</v>
      </c>
      <c r="E16">
        <v>0</v>
      </c>
      <c r="F16">
        <v>0</v>
      </c>
      <c r="G16">
        <v>0</v>
      </c>
      <c r="H16">
        <v>0</v>
      </c>
      <c r="I16">
        <v>0</v>
      </c>
      <c r="J16">
        <v>14</v>
      </c>
      <c r="K16">
        <v>12</v>
      </c>
      <c r="L16">
        <v>0</v>
      </c>
      <c r="M16">
        <v>13</v>
      </c>
      <c r="N16">
        <v>1</v>
      </c>
      <c r="O16">
        <v>0</v>
      </c>
    </row>
    <row r="17" spans="1:15">
      <c r="A17" t="s">
        <v>2275</v>
      </c>
      <c r="B17">
        <v>0</v>
      </c>
      <c r="C17">
        <v>0</v>
      </c>
      <c r="D17">
        <v>0</v>
      </c>
      <c r="E17">
        <v>0</v>
      </c>
      <c r="F17">
        <v>0</v>
      </c>
      <c r="G17">
        <v>0</v>
      </c>
      <c r="H17">
        <v>0</v>
      </c>
      <c r="I17">
        <v>0</v>
      </c>
      <c r="J17">
        <v>0</v>
      </c>
      <c r="K17">
        <v>0</v>
      </c>
      <c r="L17">
        <v>0</v>
      </c>
      <c r="M17">
        <v>1</v>
      </c>
      <c r="N17">
        <v>0</v>
      </c>
      <c r="O17">
        <v>0</v>
      </c>
    </row>
    <row r="18" spans="1:15">
      <c r="A18" t="s">
        <v>1029</v>
      </c>
      <c r="B18">
        <v>1</v>
      </c>
      <c r="C18">
        <v>0</v>
      </c>
      <c r="D18">
        <v>1</v>
      </c>
      <c r="E18">
        <v>0</v>
      </c>
      <c r="F18">
        <v>0</v>
      </c>
      <c r="G18">
        <v>0</v>
      </c>
      <c r="H18">
        <v>0</v>
      </c>
      <c r="I18">
        <v>0</v>
      </c>
      <c r="J18">
        <v>18</v>
      </c>
      <c r="K18">
        <v>5</v>
      </c>
      <c r="L18">
        <v>0</v>
      </c>
      <c r="M18">
        <v>5</v>
      </c>
      <c r="N18">
        <v>0</v>
      </c>
      <c r="O18">
        <v>0</v>
      </c>
    </row>
    <row r="19" spans="1:15">
      <c r="A19" t="s">
        <v>1023</v>
      </c>
      <c r="B19">
        <v>7</v>
      </c>
      <c r="C19">
        <v>0</v>
      </c>
      <c r="D19">
        <v>0</v>
      </c>
      <c r="E19">
        <v>7</v>
      </c>
      <c r="F19">
        <v>0</v>
      </c>
      <c r="G19">
        <v>0</v>
      </c>
      <c r="H19">
        <v>0</v>
      </c>
      <c r="I19">
        <v>0</v>
      </c>
      <c r="J19">
        <v>46</v>
      </c>
      <c r="K19">
        <v>2</v>
      </c>
      <c r="L19">
        <v>0</v>
      </c>
      <c r="M19">
        <v>16</v>
      </c>
      <c r="N19">
        <v>0</v>
      </c>
      <c r="O19">
        <v>0</v>
      </c>
    </row>
    <row r="20" spans="1:15">
      <c r="A20" t="s">
        <v>2291</v>
      </c>
      <c r="B20">
        <v>125</v>
      </c>
      <c r="C20">
        <v>47</v>
      </c>
      <c r="D20">
        <v>40</v>
      </c>
      <c r="E20">
        <v>17</v>
      </c>
      <c r="F20">
        <v>0</v>
      </c>
      <c r="G20">
        <v>0</v>
      </c>
      <c r="H20">
        <v>15</v>
      </c>
      <c r="I20">
        <v>6</v>
      </c>
      <c r="J20">
        <v>849</v>
      </c>
      <c r="K20">
        <v>118</v>
      </c>
      <c r="L20">
        <v>0</v>
      </c>
      <c r="M20">
        <v>460</v>
      </c>
      <c r="N20">
        <v>0</v>
      </c>
      <c r="O20">
        <v>0</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C82DDD-F7D7-4222-AAEF-A69DE2029F37}">
  <sheetPr codeName="Sheet10">
    <tabColor theme="4" tint="0.59999389629810485"/>
  </sheetPr>
  <dimension ref="A1:J15"/>
  <sheetViews>
    <sheetView zoomScale="88" workbookViewId="0">
      <selection activeCell="G25" sqref="G25"/>
    </sheetView>
  </sheetViews>
  <sheetFormatPr defaultRowHeight="14.4"/>
  <sheetData>
    <row r="1" spans="1:10">
      <c r="A1" t="s">
        <v>2231</v>
      </c>
      <c r="B1" t="s">
        <v>2292</v>
      </c>
      <c r="C1" t="s">
        <v>2293</v>
      </c>
      <c r="D1" t="s">
        <v>2294</v>
      </c>
      <c r="E1" t="s">
        <v>2295</v>
      </c>
      <c r="F1" t="s">
        <v>2296</v>
      </c>
      <c r="G1" t="s">
        <v>2297</v>
      </c>
      <c r="H1" t="s">
        <v>2298</v>
      </c>
      <c r="I1" t="s">
        <v>2299</v>
      </c>
      <c r="J1" t="s">
        <v>2300</v>
      </c>
    </row>
    <row r="2" spans="1:10">
      <c r="A2" t="s">
        <v>2258</v>
      </c>
      <c r="B2">
        <v>0</v>
      </c>
      <c r="C2">
        <v>0</v>
      </c>
      <c r="D2">
        <v>0</v>
      </c>
      <c r="E2">
        <v>1</v>
      </c>
      <c r="F2">
        <v>0</v>
      </c>
      <c r="G2">
        <v>0</v>
      </c>
      <c r="H2">
        <v>0</v>
      </c>
      <c r="I2">
        <v>0</v>
      </c>
      <c r="J2">
        <v>0</v>
      </c>
    </row>
    <row r="3" spans="1:10">
      <c r="A3" t="s">
        <v>2260</v>
      </c>
      <c r="B3">
        <v>3</v>
      </c>
      <c r="C3">
        <v>0</v>
      </c>
      <c r="D3">
        <v>0</v>
      </c>
      <c r="E3">
        <v>1</v>
      </c>
      <c r="F3">
        <v>0</v>
      </c>
      <c r="G3">
        <v>0</v>
      </c>
      <c r="H3">
        <v>0</v>
      </c>
      <c r="I3">
        <v>0</v>
      </c>
      <c r="J3">
        <v>0</v>
      </c>
    </row>
    <row r="4" spans="1:10">
      <c r="A4" t="s">
        <v>2261</v>
      </c>
      <c r="B4">
        <v>3</v>
      </c>
      <c r="C4">
        <v>0</v>
      </c>
      <c r="D4">
        <v>0</v>
      </c>
      <c r="E4">
        <v>2</v>
      </c>
      <c r="F4">
        <v>1</v>
      </c>
      <c r="G4">
        <v>0</v>
      </c>
      <c r="H4">
        <v>1</v>
      </c>
      <c r="I4">
        <v>0</v>
      </c>
      <c r="J4">
        <v>1</v>
      </c>
    </row>
    <row r="5" spans="1:10">
      <c r="A5" t="s">
        <v>2262</v>
      </c>
      <c r="B5">
        <v>2</v>
      </c>
      <c r="C5">
        <v>0</v>
      </c>
      <c r="D5">
        <v>0</v>
      </c>
      <c r="E5">
        <v>0</v>
      </c>
      <c r="F5">
        <v>0</v>
      </c>
      <c r="G5">
        <v>0</v>
      </c>
      <c r="H5">
        <v>0</v>
      </c>
      <c r="I5">
        <v>0</v>
      </c>
      <c r="J5">
        <v>1</v>
      </c>
    </row>
    <row r="6" spans="1:10">
      <c r="A6" t="s">
        <v>2264</v>
      </c>
      <c r="B6">
        <v>0</v>
      </c>
      <c r="C6">
        <v>0</v>
      </c>
      <c r="D6">
        <v>0</v>
      </c>
      <c r="E6">
        <v>1</v>
      </c>
      <c r="F6">
        <v>0</v>
      </c>
      <c r="G6">
        <v>0</v>
      </c>
      <c r="H6">
        <v>0</v>
      </c>
      <c r="I6">
        <v>0</v>
      </c>
      <c r="J6">
        <v>0</v>
      </c>
    </row>
    <row r="7" spans="1:10">
      <c r="A7" t="s">
        <v>2266</v>
      </c>
      <c r="B7">
        <v>1</v>
      </c>
      <c r="C7">
        <v>0</v>
      </c>
      <c r="D7">
        <v>0</v>
      </c>
      <c r="E7">
        <v>1</v>
      </c>
      <c r="F7">
        <v>0</v>
      </c>
      <c r="G7">
        <v>0</v>
      </c>
      <c r="H7">
        <v>0</v>
      </c>
      <c r="I7">
        <v>0</v>
      </c>
      <c r="J7">
        <v>0</v>
      </c>
    </row>
    <row r="8" spans="1:10">
      <c r="A8" t="s">
        <v>2267</v>
      </c>
      <c r="B8">
        <v>0</v>
      </c>
      <c r="C8">
        <v>0</v>
      </c>
      <c r="D8">
        <v>0</v>
      </c>
      <c r="E8">
        <v>0</v>
      </c>
      <c r="F8">
        <v>1</v>
      </c>
      <c r="G8">
        <v>0</v>
      </c>
      <c r="H8">
        <v>1</v>
      </c>
      <c r="I8">
        <v>0</v>
      </c>
      <c r="J8">
        <v>1</v>
      </c>
    </row>
    <row r="9" spans="1:10">
      <c r="A9" t="s">
        <v>2269</v>
      </c>
      <c r="B9">
        <v>1</v>
      </c>
      <c r="C9">
        <v>0</v>
      </c>
      <c r="D9">
        <v>0</v>
      </c>
      <c r="E9">
        <v>1</v>
      </c>
      <c r="F9">
        <v>0</v>
      </c>
      <c r="G9">
        <v>0</v>
      </c>
      <c r="H9">
        <v>0</v>
      </c>
      <c r="I9">
        <v>0</v>
      </c>
      <c r="J9">
        <v>0</v>
      </c>
    </row>
    <row r="10" spans="1:10">
      <c r="A10" t="s">
        <v>2270</v>
      </c>
      <c r="B10">
        <v>1</v>
      </c>
      <c r="C10">
        <v>0</v>
      </c>
      <c r="D10">
        <v>0</v>
      </c>
      <c r="E10">
        <v>2</v>
      </c>
      <c r="F10">
        <v>0</v>
      </c>
      <c r="G10">
        <v>0</v>
      </c>
      <c r="H10">
        <v>0</v>
      </c>
      <c r="I10">
        <v>0</v>
      </c>
      <c r="J10">
        <v>0</v>
      </c>
    </row>
    <row r="11" spans="1:10">
      <c r="A11" t="s">
        <v>2271</v>
      </c>
      <c r="B11">
        <v>2</v>
      </c>
      <c r="C11">
        <v>0</v>
      </c>
      <c r="D11">
        <v>0</v>
      </c>
      <c r="E11">
        <v>2</v>
      </c>
      <c r="F11">
        <v>0</v>
      </c>
      <c r="G11">
        <v>0</v>
      </c>
      <c r="H11">
        <v>0</v>
      </c>
      <c r="I11">
        <v>0</v>
      </c>
      <c r="J11">
        <v>1</v>
      </c>
    </row>
    <row r="12" spans="1:10">
      <c r="A12" t="s">
        <v>2273</v>
      </c>
      <c r="B12">
        <v>2</v>
      </c>
      <c r="C12">
        <v>0</v>
      </c>
      <c r="D12">
        <v>0</v>
      </c>
      <c r="E12">
        <v>0</v>
      </c>
      <c r="F12">
        <v>1</v>
      </c>
      <c r="G12">
        <v>0</v>
      </c>
      <c r="H12">
        <v>1</v>
      </c>
      <c r="I12">
        <v>0</v>
      </c>
      <c r="J12">
        <v>0</v>
      </c>
    </row>
    <row r="13" spans="1:10">
      <c r="A13" t="s">
        <v>2274</v>
      </c>
      <c r="B13">
        <v>1</v>
      </c>
      <c r="C13">
        <v>0</v>
      </c>
      <c r="D13">
        <v>0</v>
      </c>
      <c r="E13">
        <v>1</v>
      </c>
      <c r="F13">
        <v>0</v>
      </c>
      <c r="G13">
        <v>0</v>
      </c>
      <c r="H13">
        <v>0</v>
      </c>
      <c r="I13">
        <v>0</v>
      </c>
      <c r="J13">
        <v>0</v>
      </c>
    </row>
    <row r="14" spans="1:10">
      <c r="A14" t="s">
        <v>1029</v>
      </c>
      <c r="B14">
        <v>1</v>
      </c>
      <c r="C14">
        <v>0</v>
      </c>
      <c r="D14">
        <v>0</v>
      </c>
      <c r="E14">
        <v>0</v>
      </c>
      <c r="F14">
        <v>0</v>
      </c>
      <c r="G14">
        <v>0</v>
      </c>
      <c r="H14">
        <v>0</v>
      </c>
      <c r="I14">
        <v>0</v>
      </c>
      <c r="J14">
        <v>0</v>
      </c>
    </row>
    <row r="15" spans="1:10">
      <c r="A15" t="s">
        <v>1023</v>
      </c>
      <c r="B15">
        <v>0</v>
      </c>
      <c r="C15">
        <v>0</v>
      </c>
      <c r="D15">
        <v>0</v>
      </c>
      <c r="E15">
        <v>0</v>
      </c>
      <c r="F15">
        <v>2</v>
      </c>
      <c r="G15">
        <v>0</v>
      </c>
      <c r="H15">
        <v>0</v>
      </c>
      <c r="I15">
        <v>0</v>
      </c>
      <c r="J15">
        <v>0</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89C11-297E-4C40-A0EF-A70C877562C2}">
  <sheetPr codeName="Sheet11">
    <tabColor theme="4" tint="0.59999389629810485"/>
  </sheetPr>
  <dimension ref="A1:K19"/>
  <sheetViews>
    <sheetView workbookViewId="0">
      <selection activeCell="H28" sqref="H28"/>
    </sheetView>
  </sheetViews>
  <sheetFormatPr defaultRowHeight="14.4"/>
  <cols>
    <col min="2" max="2" width="13.5546875" customWidth="1"/>
    <col min="3" max="10" width="24.109375" customWidth="1"/>
    <col min="11" max="11" width="8.6640625" style="410"/>
  </cols>
  <sheetData>
    <row r="1" spans="1:10">
      <c r="A1" s="453" t="s">
        <v>2301</v>
      </c>
      <c r="B1" s="453" t="s">
        <v>1664</v>
      </c>
      <c r="C1" s="453" t="s">
        <v>2302</v>
      </c>
      <c r="D1" s="453" t="s">
        <v>2303</v>
      </c>
      <c r="E1" s="453" t="s">
        <v>954</v>
      </c>
      <c r="F1" s="453" t="s">
        <v>1282</v>
      </c>
      <c r="G1" s="453" t="s">
        <v>2304</v>
      </c>
      <c r="H1" s="453" t="s">
        <v>2305</v>
      </c>
      <c r="I1" s="453" t="s">
        <v>1278</v>
      </c>
      <c r="J1" s="453" t="s">
        <v>2215</v>
      </c>
    </row>
    <row r="2" spans="1:10">
      <c r="A2" s="453" t="s">
        <v>1751</v>
      </c>
      <c r="B2" s="855">
        <v>46054</v>
      </c>
      <c r="C2" s="453">
        <v>63</v>
      </c>
      <c r="D2" s="453">
        <v>6</v>
      </c>
      <c r="E2" s="453">
        <v>10</v>
      </c>
      <c r="F2" s="453">
        <v>34</v>
      </c>
      <c r="G2" s="453">
        <v>0</v>
      </c>
      <c r="H2" s="453">
        <v>0</v>
      </c>
      <c r="I2" s="453">
        <v>0</v>
      </c>
      <c r="J2" s="453">
        <v>13</v>
      </c>
    </row>
    <row r="3" spans="1:10">
      <c r="A3" s="90" t="s">
        <v>1751</v>
      </c>
      <c r="B3" s="92">
        <v>46082</v>
      </c>
      <c r="C3" s="453">
        <v>58</v>
      </c>
      <c r="D3" s="453">
        <v>6</v>
      </c>
      <c r="E3" s="453">
        <v>14</v>
      </c>
      <c r="F3" s="453">
        <v>38</v>
      </c>
      <c r="G3" s="453">
        <v>0</v>
      </c>
      <c r="H3" s="453">
        <v>0</v>
      </c>
      <c r="I3" s="453">
        <v>0</v>
      </c>
      <c r="J3" s="453">
        <v>0</v>
      </c>
    </row>
    <row r="4" spans="1:10">
      <c r="A4" s="90" t="s">
        <v>1751</v>
      </c>
      <c r="B4" s="92">
        <v>46113</v>
      </c>
      <c r="C4" s="90">
        <v>63</v>
      </c>
      <c r="D4" s="90">
        <v>6</v>
      </c>
      <c r="E4" s="90">
        <v>18</v>
      </c>
      <c r="F4" s="90">
        <v>29</v>
      </c>
      <c r="G4" s="90">
        <v>0</v>
      </c>
      <c r="H4" s="90">
        <v>2</v>
      </c>
      <c r="I4" s="90">
        <v>5</v>
      </c>
      <c r="J4" s="90">
        <v>3</v>
      </c>
    </row>
    <row r="5" spans="1:10">
      <c r="A5" s="90" t="s">
        <v>1751</v>
      </c>
      <c r="B5" s="92">
        <v>46143</v>
      </c>
      <c r="C5" s="1066">
        <v>57</v>
      </c>
      <c r="D5" s="1066">
        <v>10</v>
      </c>
      <c r="E5" s="1066">
        <v>10</v>
      </c>
      <c r="F5" s="1066">
        <v>34</v>
      </c>
      <c r="G5" s="1066">
        <v>0</v>
      </c>
      <c r="H5" s="1066">
        <v>1</v>
      </c>
      <c r="I5" s="1066">
        <v>1</v>
      </c>
      <c r="J5" s="1066">
        <v>1</v>
      </c>
    </row>
    <row r="6" spans="1:10">
      <c r="A6" s="90" t="s">
        <v>1751</v>
      </c>
      <c r="B6" s="92">
        <v>46174</v>
      </c>
      <c r="C6" s="90">
        <v>54</v>
      </c>
      <c r="D6" s="90">
        <v>18</v>
      </c>
      <c r="E6" s="90">
        <v>10</v>
      </c>
      <c r="F6" s="90">
        <v>23</v>
      </c>
      <c r="G6" s="90">
        <v>0</v>
      </c>
      <c r="H6" s="90">
        <v>1</v>
      </c>
      <c r="I6" s="90">
        <v>2</v>
      </c>
      <c r="J6" s="90">
        <v>0</v>
      </c>
    </row>
    <row r="7" spans="1:10">
      <c r="A7" s="90" t="s">
        <v>1751</v>
      </c>
      <c r="B7" s="92">
        <v>46204</v>
      </c>
      <c r="C7" s="90">
        <v>74</v>
      </c>
      <c r="D7" s="90">
        <v>17</v>
      </c>
      <c r="E7" s="90">
        <v>16</v>
      </c>
      <c r="F7" s="90">
        <v>35</v>
      </c>
      <c r="G7" s="90">
        <v>0</v>
      </c>
      <c r="H7" s="90">
        <v>0</v>
      </c>
      <c r="I7" s="90">
        <v>6</v>
      </c>
      <c r="J7" s="90">
        <v>0</v>
      </c>
    </row>
    <row r="8" spans="1:10">
      <c r="A8" s="90" t="s">
        <v>1751</v>
      </c>
      <c r="B8" s="92">
        <v>46235</v>
      </c>
      <c r="C8">
        <v>51</v>
      </c>
      <c r="D8">
        <v>8</v>
      </c>
      <c r="E8">
        <v>12</v>
      </c>
      <c r="F8">
        <v>31</v>
      </c>
      <c r="G8">
        <v>0</v>
      </c>
      <c r="H8">
        <v>0</v>
      </c>
      <c r="I8">
        <v>0</v>
      </c>
      <c r="J8">
        <v>0</v>
      </c>
    </row>
    <row r="9" spans="1:10">
      <c r="A9" s="90" t="s">
        <v>1751</v>
      </c>
      <c r="B9" s="92">
        <v>46266</v>
      </c>
      <c r="C9">
        <v>53</v>
      </c>
      <c r="D9">
        <v>9</v>
      </c>
      <c r="E9">
        <v>14</v>
      </c>
      <c r="F9">
        <v>24</v>
      </c>
      <c r="G9">
        <v>0</v>
      </c>
      <c r="H9">
        <v>0</v>
      </c>
      <c r="I9">
        <v>6</v>
      </c>
      <c r="J9">
        <v>0</v>
      </c>
    </row>
    <row r="10" spans="1:10">
      <c r="A10" s="90" t="s">
        <v>1751</v>
      </c>
      <c r="B10" s="92">
        <v>46296</v>
      </c>
      <c r="C10">
        <v>39</v>
      </c>
      <c r="D10">
        <v>6</v>
      </c>
      <c r="E10">
        <v>3</v>
      </c>
      <c r="F10">
        <v>15</v>
      </c>
      <c r="G10">
        <v>0</v>
      </c>
      <c r="H10">
        <v>0</v>
      </c>
      <c r="I10">
        <v>15</v>
      </c>
      <c r="J10">
        <v>0</v>
      </c>
    </row>
    <row r="11" spans="1:10">
      <c r="A11" s="90" t="s">
        <v>1751</v>
      </c>
      <c r="B11" s="92">
        <v>46327</v>
      </c>
      <c r="C11">
        <v>44</v>
      </c>
      <c r="D11">
        <v>5</v>
      </c>
      <c r="E11">
        <v>1</v>
      </c>
      <c r="F11">
        <v>0</v>
      </c>
      <c r="G11">
        <v>0</v>
      </c>
      <c r="H11">
        <v>0</v>
      </c>
      <c r="I11">
        <v>38</v>
      </c>
      <c r="J11">
        <v>0</v>
      </c>
    </row>
    <row r="12" spans="1:10">
      <c r="A12" s="90" t="s">
        <v>1751</v>
      </c>
      <c r="B12" s="92">
        <v>46357</v>
      </c>
      <c r="C12">
        <v>18</v>
      </c>
      <c r="D12">
        <v>1</v>
      </c>
      <c r="E12">
        <v>0</v>
      </c>
      <c r="F12">
        <v>0</v>
      </c>
      <c r="G12">
        <v>0</v>
      </c>
      <c r="H12">
        <v>0</v>
      </c>
      <c r="I12">
        <v>17</v>
      </c>
      <c r="J12">
        <v>0</v>
      </c>
    </row>
    <row r="13" spans="1:10">
      <c r="A13" s="90" t="s">
        <v>1751</v>
      </c>
      <c r="B13" s="92">
        <v>46388</v>
      </c>
      <c r="C13">
        <v>22</v>
      </c>
      <c r="D13">
        <v>2</v>
      </c>
      <c r="E13">
        <v>0</v>
      </c>
      <c r="F13">
        <v>0</v>
      </c>
      <c r="G13">
        <v>0</v>
      </c>
      <c r="H13">
        <v>1</v>
      </c>
      <c r="I13">
        <v>19</v>
      </c>
      <c r="J13">
        <v>0</v>
      </c>
    </row>
    <row r="14" spans="1:10">
      <c r="A14" s="90" t="s">
        <v>1751</v>
      </c>
      <c r="B14" s="92">
        <v>46419</v>
      </c>
      <c r="C14">
        <v>71</v>
      </c>
      <c r="D14">
        <v>2</v>
      </c>
      <c r="E14">
        <v>0</v>
      </c>
      <c r="F14">
        <v>0</v>
      </c>
      <c r="G14">
        <v>0</v>
      </c>
      <c r="H14">
        <v>0</v>
      </c>
      <c r="I14">
        <v>69</v>
      </c>
      <c r="J14">
        <v>0</v>
      </c>
    </row>
    <row r="15" spans="1:10">
      <c r="A15" s="90" t="s">
        <v>1751</v>
      </c>
      <c r="B15" s="855">
        <v>46447</v>
      </c>
      <c r="C15">
        <v>70</v>
      </c>
      <c r="D15">
        <v>5</v>
      </c>
      <c r="E15">
        <v>0</v>
      </c>
      <c r="F15">
        <v>0</v>
      </c>
      <c r="G15">
        <v>0</v>
      </c>
      <c r="H15">
        <v>0</v>
      </c>
      <c r="I15">
        <v>65</v>
      </c>
      <c r="J15">
        <v>0</v>
      </c>
    </row>
    <row r="16" spans="1:10">
      <c r="A16" s="90" t="s">
        <v>1751</v>
      </c>
      <c r="B16" s="855">
        <v>46478</v>
      </c>
      <c r="C16">
        <v>62</v>
      </c>
      <c r="D16">
        <v>2</v>
      </c>
      <c r="E16">
        <v>1</v>
      </c>
      <c r="F16">
        <v>0</v>
      </c>
      <c r="G16">
        <v>0</v>
      </c>
      <c r="H16">
        <v>0</v>
      </c>
      <c r="I16">
        <v>59</v>
      </c>
      <c r="J16">
        <v>0</v>
      </c>
    </row>
    <row r="17" spans="1:10">
      <c r="A17" s="90" t="s">
        <v>1751</v>
      </c>
      <c r="B17" s="455">
        <v>46508</v>
      </c>
      <c r="C17">
        <v>76</v>
      </c>
      <c r="D17">
        <v>5</v>
      </c>
      <c r="E17">
        <v>0</v>
      </c>
      <c r="F17">
        <v>0</v>
      </c>
      <c r="G17">
        <v>0</v>
      </c>
      <c r="H17">
        <v>0</v>
      </c>
      <c r="I17">
        <v>71</v>
      </c>
      <c r="J17">
        <v>0</v>
      </c>
    </row>
    <row r="18" spans="1:10">
      <c r="A18" s="90" t="s">
        <v>1751</v>
      </c>
      <c r="B18" s="455">
        <v>46539</v>
      </c>
      <c r="C18">
        <v>59</v>
      </c>
      <c r="D18">
        <v>0</v>
      </c>
      <c r="E18">
        <v>0</v>
      </c>
      <c r="F18">
        <v>0</v>
      </c>
      <c r="G18">
        <v>0</v>
      </c>
      <c r="H18">
        <v>0</v>
      </c>
      <c r="I18">
        <v>59</v>
      </c>
      <c r="J18">
        <v>0</v>
      </c>
    </row>
    <row r="19" spans="1:10">
      <c r="A19" t="s">
        <v>1751</v>
      </c>
      <c r="B19" s="455">
        <v>46569</v>
      </c>
      <c r="C19">
        <v>86</v>
      </c>
      <c r="D19">
        <v>0</v>
      </c>
      <c r="E19">
        <v>0</v>
      </c>
      <c r="F19">
        <v>0</v>
      </c>
      <c r="G19">
        <v>0</v>
      </c>
      <c r="H19">
        <v>0</v>
      </c>
      <c r="I19">
        <v>86</v>
      </c>
      <c r="J19">
        <v>0</v>
      </c>
    </row>
  </sheetData>
  <autoFilter ref="A1:J1" xr:uid="{81F89C11-297E-4C40-A0EF-A70C877562C2}">
    <sortState xmlns:xlrd2="http://schemas.microsoft.com/office/spreadsheetml/2017/richdata2" ref="A2:J14">
      <sortCondition ref="B1"/>
    </sortState>
  </autoFilter>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BE8AFA-5BAC-4BE7-B1E5-EE4D097A0695}">
  <sheetPr codeName="Sheet12">
    <tabColor theme="4" tint="0.59999389629810485"/>
  </sheetPr>
  <dimension ref="A1:J17"/>
  <sheetViews>
    <sheetView workbookViewId="0">
      <selection activeCell="M21" sqref="M21"/>
    </sheetView>
  </sheetViews>
  <sheetFormatPr defaultRowHeight="14.4"/>
  <sheetData>
    <row r="1" spans="1:10">
      <c r="A1" t="s">
        <v>2231</v>
      </c>
      <c r="B1" t="s">
        <v>2306</v>
      </c>
      <c r="C1" t="s">
        <v>2215</v>
      </c>
      <c r="D1" t="s">
        <v>2307</v>
      </c>
      <c r="E1" t="s">
        <v>2305</v>
      </c>
      <c r="F1" t="s">
        <v>2308</v>
      </c>
      <c r="G1" t="s">
        <v>2309</v>
      </c>
      <c r="H1" t="s">
        <v>1108</v>
      </c>
      <c r="I1" t="s">
        <v>2310</v>
      </c>
      <c r="J1" t="s">
        <v>1104</v>
      </c>
    </row>
    <row r="2" spans="1:10">
      <c r="A2" t="s">
        <v>2258</v>
      </c>
      <c r="B2">
        <v>0</v>
      </c>
      <c r="C2">
        <v>0</v>
      </c>
      <c r="D2">
        <v>1</v>
      </c>
      <c r="E2">
        <v>0</v>
      </c>
      <c r="F2">
        <v>1</v>
      </c>
      <c r="G2">
        <v>0</v>
      </c>
      <c r="H2">
        <v>0</v>
      </c>
      <c r="I2">
        <v>0</v>
      </c>
      <c r="J2">
        <v>0</v>
      </c>
    </row>
    <row r="3" spans="1:10">
      <c r="A3" t="s">
        <v>2260</v>
      </c>
      <c r="B3">
        <v>1</v>
      </c>
      <c r="C3">
        <v>0</v>
      </c>
      <c r="D3">
        <v>0</v>
      </c>
      <c r="E3">
        <v>0</v>
      </c>
      <c r="F3">
        <v>1</v>
      </c>
      <c r="G3">
        <v>1</v>
      </c>
      <c r="H3">
        <v>1</v>
      </c>
      <c r="I3">
        <v>2</v>
      </c>
      <c r="J3">
        <v>0</v>
      </c>
    </row>
    <row r="4" spans="1:10">
      <c r="A4" t="s">
        <v>2261</v>
      </c>
      <c r="B4">
        <v>0</v>
      </c>
      <c r="C4">
        <v>0</v>
      </c>
      <c r="D4">
        <v>0</v>
      </c>
      <c r="E4">
        <v>0</v>
      </c>
      <c r="F4">
        <v>1</v>
      </c>
      <c r="G4">
        <v>0</v>
      </c>
      <c r="H4">
        <v>0</v>
      </c>
      <c r="I4">
        <v>0</v>
      </c>
      <c r="J4">
        <v>0</v>
      </c>
    </row>
    <row r="5" spans="1:10">
      <c r="A5" t="s">
        <v>2263</v>
      </c>
      <c r="B5">
        <v>0</v>
      </c>
      <c r="C5">
        <v>0</v>
      </c>
      <c r="D5">
        <v>0</v>
      </c>
      <c r="E5">
        <v>0</v>
      </c>
      <c r="F5">
        <v>1</v>
      </c>
      <c r="G5">
        <v>0</v>
      </c>
      <c r="H5">
        <v>0</v>
      </c>
      <c r="I5">
        <v>2</v>
      </c>
      <c r="J5">
        <v>0</v>
      </c>
    </row>
    <row r="6" spans="1:10">
      <c r="A6" t="s">
        <v>2264</v>
      </c>
      <c r="B6">
        <v>2</v>
      </c>
      <c r="C6">
        <v>0</v>
      </c>
      <c r="D6">
        <v>1</v>
      </c>
      <c r="E6">
        <v>0</v>
      </c>
      <c r="F6">
        <v>0</v>
      </c>
      <c r="G6">
        <v>0</v>
      </c>
      <c r="H6">
        <v>0</v>
      </c>
      <c r="I6">
        <v>0</v>
      </c>
      <c r="J6">
        <v>0</v>
      </c>
    </row>
    <row r="7" spans="1:10">
      <c r="A7" t="s">
        <v>2265</v>
      </c>
      <c r="B7">
        <v>0</v>
      </c>
      <c r="C7">
        <v>0</v>
      </c>
      <c r="D7">
        <v>2</v>
      </c>
      <c r="E7">
        <v>0</v>
      </c>
      <c r="F7">
        <v>1</v>
      </c>
      <c r="G7">
        <v>1</v>
      </c>
      <c r="H7">
        <v>1</v>
      </c>
      <c r="I7">
        <v>1</v>
      </c>
      <c r="J7">
        <v>0</v>
      </c>
    </row>
    <row r="8" spans="1:10">
      <c r="A8" t="s">
        <v>2266</v>
      </c>
      <c r="B8">
        <v>0</v>
      </c>
      <c r="C8">
        <v>0</v>
      </c>
      <c r="D8">
        <v>2</v>
      </c>
      <c r="E8">
        <v>0</v>
      </c>
      <c r="F8">
        <v>0</v>
      </c>
      <c r="G8">
        <v>0</v>
      </c>
      <c r="H8">
        <v>0</v>
      </c>
      <c r="I8">
        <v>0</v>
      </c>
      <c r="J8">
        <v>0</v>
      </c>
    </row>
    <row r="9" spans="1:10">
      <c r="A9" t="s">
        <v>2267</v>
      </c>
      <c r="B9">
        <v>1</v>
      </c>
      <c r="C9">
        <v>0</v>
      </c>
      <c r="D9">
        <v>0</v>
      </c>
      <c r="E9">
        <v>0</v>
      </c>
      <c r="F9">
        <v>0</v>
      </c>
      <c r="G9">
        <v>0</v>
      </c>
      <c r="H9">
        <v>0</v>
      </c>
      <c r="I9">
        <v>0</v>
      </c>
      <c r="J9">
        <v>0</v>
      </c>
    </row>
    <row r="10" spans="1:10">
      <c r="A10" t="s">
        <v>2269</v>
      </c>
      <c r="B10">
        <v>0</v>
      </c>
      <c r="C10">
        <v>0</v>
      </c>
      <c r="D10">
        <v>1</v>
      </c>
      <c r="E10">
        <v>0</v>
      </c>
      <c r="F10">
        <v>0</v>
      </c>
      <c r="G10">
        <v>0</v>
      </c>
      <c r="H10">
        <v>0</v>
      </c>
      <c r="I10">
        <v>0</v>
      </c>
      <c r="J10">
        <v>0</v>
      </c>
    </row>
    <row r="11" spans="1:10">
      <c r="A11" t="s">
        <v>2270</v>
      </c>
      <c r="B11">
        <v>0</v>
      </c>
      <c r="C11">
        <v>0</v>
      </c>
      <c r="D11">
        <v>1</v>
      </c>
      <c r="E11">
        <v>0</v>
      </c>
      <c r="F11">
        <v>0</v>
      </c>
      <c r="G11">
        <v>0</v>
      </c>
      <c r="H11">
        <v>0</v>
      </c>
      <c r="I11">
        <v>0</v>
      </c>
      <c r="J11">
        <v>0</v>
      </c>
    </row>
    <row r="12" spans="1:10">
      <c r="A12" t="s">
        <v>2271</v>
      </c>
      <c r="B12">
        <v>1</v>
      </c>
      <c r="C12">
        <v>0</v>
      </c>
      <c r="D12">
        <v>0</v>
      </c>
      <c r="E12">
        <v>0</v>
      </c>
      <c r="F12">
        <v>0</v>
      </c>
      <c r="G12">
        <v>0</v>
      </c>
      <c r="H12">
        <v>0</v>
      </c>
      <c r="I12">
        <v>0</v>
      </c>
      <c r="J12">
        <v>0</v>
      </c>
    </row>
    <row r="13" spans="1:10">
      <c r="A13" t="s">
        <v>2272</v>
      </c>
      <c r="B13">
        <v>0</v>
      </c>
      <c r="C13">
        <v>0</v>
      </c>
      <c r="D13">
        <v>1</v>
      </c>
      <c r="E13">
        <v>0</v>
      </c>
      <c r="F13">
        <v>0</v>
      </c>
      <c r="G13">
        <v>0</v>
      </c>
      <c r="H13">
        <v>0</v>
      </c>
      <c r="I13">
        <v>0</v>
      </c>
      <c r="J13">
        <v>0</v>
      </c>
    </row>
    <row r="14" spans="1:10">
      <c r="A14" t="s">
        <v>2273</v>
      </c>
      <c r="B14">
        <v>1</v>
      </c>
      <c r="C14">
        <v>0</v>
      </c>
      <c r="D14">
        <v>0</v>
      </c>
      <c r="E14">
        <v>0</v>
      </c>
      <c r="F14">
        <v>0</v>
      </c>
      <c r="G14">
        <v>1</v>
      </c>
      <c r="H14">
        <v>0</v>
      </c>
      <c r="I14">
        <v>1</v>
      </c>
      <c r="J14">
        <v>0</v>
      </c>
    </row>
    <row r="15" spans="1:10">
      <c r="A15" t="s">
        <v>2274</v>
      </c>
      <c r="B15">
        <v>0</v>
      </c>
      <c r="C15">
        <v>0</v>
      </c>
      <c r="D15">
        <v>0</v>
      </c>
      <c r="E15">
        <v>0</v>
      </c>
      <c r="F15">
        <v>1</v>
      </c>
      <c r="G15">
        <v>1</v>
      </c>
      <c r="H15">
        <v>0</v>
      </c>
      <c r="I15">
        <v>1</v>
      </c>
      <c r="J15">
        <v>0</v>
      </c>
    </row>
    <row r="16" spans="1:10">
      <c r="A16" t="s">
        <v>1029</v>
      </c>
      <c r="B16">
        <v>0</v>
      </c>
      <c r="C16">
        <v>0</v>
      </c>
      <c r="D16">
        <v>0</v>
      </c>
      <c r="E16">
        <v>0</v>
      </c>
      <c r="F16">
        <v>0</v>
      </c>
      <c r="G16">
        <v>1</v>
      </c>
      <c r="H16">
        <v>0</v>
      </c>
      <c r="I16">
        <v>1</v>
      </c>
      <c r="J16">
        <v>0</v>
      </c>
    </row>
    <row r="17" spans="1:10">
      <c r="A17" t="s">
        <v>1023</v>
      </c>
      <c r="B17">
        <v>1</v>
      </c>
      <c r="C17">
        <v>0</v>
      </c>
      <c r="D17">
        <v>0</v>
      </c>
      <c r="E17">
        <v>0</v>
      </c>
      <c r="F17">
        <v>0</v>
      </c>
      <c r="G17">
        <v>0</v>
      </c>
      <c r="H17">
        <v>0</v>
      </c>
      <c r="I17">
        <v>0</v>
      </c>
      <c r="J17">
        <v>0</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FD39BF-13CF-4076-9F0D-DDEC9F809E40}">
  <sheetPr codeName="Sheet13">
    <tabColor theme="4" tint="0.59999389629810485"/>
  </sheetPr>
  <dimension ref="A1:H34"/>
  <sheetViews>
    <sheetView topLeftCell="A31" workbookViewId="0">
      <selection activeCell="F45" sqref="F45"/>
    </sheetView>
  </sheetViews>
  <sheetFormatPr defaultRowHeight="14.4"/>
  <cols>
    <col min="1" max="1" width="33.44140625" bestFit="1" customWidth="1"/>
    <col min="2" max="2" width="47" bestFit="1" customWidth="1"/>
    <col min="3" max="3" width="13.109375" bestFit="1" customWidth="1"/>
    <col min="4" max="4" width="15.6640625" bestFit="1" customWidth="1"/>
    <col min="5" max="5" width="18" bestFit="1" customWidth="1"/>
    <col min="6" max="6" width="20.88671875" bestFit="1" customWidth="1"/>
    <col min="7" max="7" width="20.33203125" bestFit="1" customWidth="1"/>
    <col min="8" max="8" width="15.88671875" bestFit="1" customWidth="1"/>
  </cols>
  <sheetData>
    <row r="1" spans="1:8">
      <c r="A1" t="s">
        <v>2311</v>
      </c>
      <c r="B1" t="s">
        <v>2312</v>
      </c>
      <c r="C1" t="s">
        <v>2052</v>
      </c>
      <c r="D1" t="s">
        <v>2313</v>
      </c>
      <c r="E1" t="s">
        <v>2314</v>
      </c>
      <c r="F1" t="s">
        <v>2315</v>
      </c>
      <c r="G1" t="s">
        <v>2316</v>
      </c>
      <c r="H1" t="s">
        <v>2317</v>
      </c>
    </row>
    <row r="2" spans="1:8">
      <c r="A2" t="s">
        <v>2318</v>
      </c>
      <c r="B2" t="s">
        <v>2319</v>
      </c>
      <c r="C2">
        <v>456</v>
      </c>
      <c r="D2">
        <v>-24</v>
      </c>
      <c r="E2">
        <v>480</v>
      </c>
      <c r="F2">
        <v>456</v>
      </c>
      <c r="G2">
        <v>0</v>
      </c>
      <c r="H2">
        <v>456</v>
      </c>
    </row>
    <row r="3" spans="1:8">
      <c r="A3" t="s">
        <v>2320</v>
      </c>
      <c r="B3" t="s">
        <v>2321</v>
      </c>
      <c r="C3" s="456">
        <v>1875</v>
      </c>
      <c r="D3">
        <v>-75</v>
      </c>
      <c r="E3" s="456">
        <v>1899</v>
      </c>
      <c r="F3" s="456">
        <v>1824</v>
      </c>
      <c r="G3">
        <v>0</v>
      </c>
      <c r="H3" s="456">
        <v>1824</v>
      </c>
    </row>
    <row r="4" spans="1:8">
      <c r="A4" t="s">
        <v>2322</v>
      </c>
      <c r="B4" t="s">
        <v>2323</v>
      </c>
      <c r="C4">
        <v>100</v>
      </c>
      <c r="D4">
        <v>0</v>
      </c>
      <c r="E4">
        <v>100</v>
      </c>
      <c r="F4">
        <v>100</v>
      </c>
      <c r="G4">
        <v>0</v>
      </c>
      <c r="H4">
        <v>100</v>
      </c>
    </row>
    <row r="5" spans="1:8">
      <c r="A5" t="s">
        <v>2324</v>
      </c>
      <c r="B5" t="s">
        <v>2325</v>
      </c>
      <c r="C5" s="456">
        <v>-59088</v>
      </c>
      <c r="D5">
        <v>0</v>
      </c>
      <c r="E5">
        <v>0</v>
      </c>
      <c r="F5">
        <v>0</v>
      </c>
      <c r="G5" s="456">
        <v>-57939.31</v>
      </c>
      <c r="H5" s="456">
        <v>-57939.31</v>
      </c>
    </row>
    <row r="6" spans="1:8">
      <c r="A6" t="s">
        <v>2326</v>
      </c>
      <c r="B6" t="s">
        <v>2327</v>
      </c>
      <c r="C6" s="456">
        <v>1000</v>
      </c>
      <c r="D6">
        <v>0</v>
      </c>
      <c r="E6" s="456">
        <v>2000</v>
      </c>
      <c r="F6" s="456">
        <v>2000</v>
      </c>
      <c r="G6">
        <v>0</v>
      </c>
      <c r="H6" s="456">
        <v>2000</v>
      </c>
    </row>
    <row r="7" spans="1:8">
      <c r="A7" t="s">
        <v>2328</v>
      </c>
      <c r="B7" t="s">
        <v>2329</v>
      </c>
      <c r="C7" s="456">
        <v>5303.2</v>
      </c>
      <c r="D7">
        <v>442.98</v>
      </c>
      <c r="E7" s="456">
        <v>4231.74</v>
      </c>
      <c r="F7" s="456">
        <v>4674.72</v>
      </c>
      <c r="G7">
        <v>144.41999999999999</v>
      </c>
      <c r="H7" s="456">
        <v>4819.1400000000003</v>
      </c>
    </row>
    <row r="8" spans="1:8">
      <c r="A8" t="s">
        <v>2330</v>
      </c>
      <c r="B8" t="s">
        <v>2331</v>
      </c>
      <c r="C8">
        <v>-285</v>
      </c>
      <c r="D8">
        <v>0</v>
      </c>
      <c r="E8">
        <v>0</v>
      </c>
      <c r="F8">
        <v>0</v>
      </c>
      <c r="G8">
        <v>0</v>
      </c>
      <c r="H8">
        <v>0</v>
      </c>
    </row>
    <row r="9" spans="1:8">
      <c r="A9" t="s">
        <v>2332</v>
      </c>
      <c r="B9" t="s">
        <v>2333</v>
      </c>
      <c r="C9">
        <v>250</v>
      </c>
      <c r="D9">
        <v>0</v>
      </c>
      <c r="E9" s="456">
        <v>3000</v>
      </c>
      <c r="F9" s="456">
        <v>3000</v>
      </c>
      <c r="G9">
        <v>-750</v>
      </c>
      <c r="H9" s="456">
        <v>2250</v>
      </c>
    </row>
    <row r="10" spans="1:8">
      <c r="A10" t="s">
        <v>2334</v>
      </c>
      <c r="B10" t="s">
        <v>2335</v>
      </c>
      <c r="C10">
        <v>100</v>
      </c>
      <c r="D10">
        <v>0</v>
      </c>
      <c r="E10">
        <v>81.05</v>
      </c>
      <c r="F10">
        <v>81.05</v>
      </c>
      <c r="G10">
        <v>0</v>
      </c>
      <c r="H10">
        <v>81.05</v>
      </c>
    </row>
    <row r="11" spans="1:8">
      <c r="A11" t="s">
        <v>2336</v>
      </c>
      <c r="B11" t="s">
        <v>2335</v>
      </c>
      <c r="C11">
        <v>172.76</v>
      </c>
      <c r="D11">
        <v>0</v>
      </c>
      <c r="E11">
        <v>42.63</v>
      </c>
      <c r="F11">
        <v>42.63</v>
      </c>
      <c r="G11">
        <v>0</v>
      </c>
      <c r="H11">
        <v>42.63</v>
      </c>
    </row>
    <row r="12" spans="1:8">
      <c r="A12" t="s">
        <v>2337</v>
      </c>
      <c r="B12" t="s">
        <v>2338</v>
      </c>
      <c r="C12" s="456">
        <v>-2150</v>
      </c>
      <c r="D12">
        <v>0</v>
      </c>
      <c r="E12">
        <v>0</v>
      </c>
      <c r="F12">
        <v>0</v>
      </c>
      <c r="G12" s="456">
        <v>-2150</v>
      </c>
      <c r="H12" s="456">
        <v>-2150</v>
      </c>
    </row>
    <row r="13" spans="1:8">
      <c r="A13" t="s">
        <v>2339</v>
      </c>
      <c r="B13" t="s">
        <v>2340</v>
      </c>
      <c r="C13" s="456">
        <v>9438.74</v>
      </c>
      <c r="D13">
        <v>609.63</v>
      </c>
      <c r="E13" s="456">
        <v>7426.79</v>
      </c>
      <c r="F13" s="456">
        <v>8036.42</v>
      </c>
      <c r="G13">
        <v>3.76</v>
      </c>
      <c r="H13" s="456">
        <v>8040.18</v>
      </c>
    </row>
    <row r="14" spans="1:8">
      <c r="A14" t="s">
        <v>2341</v>
      </c>
      <c r="B14" t="s">
        <v>2342</v>
      </c>
      <c r="C14" s="456">
        <v>10463</v>
      </c>
      <c r="D14">
        <v>0</v>
      </c>
      <c r="E14" s="456">
        <v>3439</v>
      </c>
      <c r="F14" s="456">
        <v>3439</v>
      </c>
      <c r="G14">
        <v>0</v>
      </c>
      <c r="H14" s="456">
        <v>3439</v>
      </c>
    </row>
    <row r="15" spans="1:8">
      <c r="A15" t="s">
        <v>2343</v>
      </c>
      <c r="B15" t="s">
        <v>2344</v>
      </c>
      <c r="C15" s="456">
        <v>9947</v>
      </c>
      <c r="D15">
        <v>291</v>
      </c>
      <c r="E15" s="456">
        <v>8123.99</v>
      </c>
      <c r="F15" s="456">
        <v>8414.99</v>
      </c>
      <c r="G15">
        <v>494.17</v>
      </c>
      <c r="H15" s="456">
        <v>8909.16</v>
      </c>
    </row>
    <row r="16" spans="1:8">
      <c r="A16" t="s">
        <v>2345</v>
      </c>
      <c r="B16" t="s">
        <v>2346</v>
      </c>
      <c r="C16" s="456">
        <v>2730</v>
      </c>
      <c r="D16">
        <v>0</v>
      </c>
      <c r="E16" s="456">
        <v>1160.74</v>
      </c>
      <c r="F16" s="456">
        <v>1160.74</v>
      </c>
      <c r="G16">
        <v>0</v>
      </c>
      <c r="H16" s="456">
        <v>1160.74</v>
      </c>
    </row>
    <row r="17" spans="1:8">
      <c r="A17" t="s">
        <v>2347</v>
      </c>
      <c r="B17" t="s">
        <v>2348</v>
      </c>
      <c r="C17">
        <v>200</v>
      </c>
      <c r="D17">
        <v>0</v>
      </c>
      <c r="E17">
        <v>100</v>
      </c>
      <c r="F17">
        <v>100</v>
      </c>
      <c r="G17">
        <v>0</v>
      </c>
      <c r="H17">
        <v>100</v>
      </c>
    </row>
    <row r="18" spans="1:8">
      <c r="A18" t="s">
        <v>2349</v>
      </c>
      <c r="B18" t="s">
        <v>2350</v>
      </c>
      <c r="C18" s="456">
        <v>4289</v>
      </c>
      <c r="D18">
        <v>210.62</v>
      </c>
      <c r="E18" s="456">
        <v>3482</v>
      </c>
      <c r="F18" s="456">
        <v>3692.62</v>
      </c>
      <c r="G18">
        <v>235.67</v>
      </c>
      <c r="H18" s="456">
        <v>3928.29</v>
      </c>
    </row>
    <row r="19" spans="1:8">
      <c r="A19" t="s">
        <v>2351</v>
      </c>
      <c r="B19" t="s">
        <v>2323</v>
      </c>
      <c r="C19">
        <v>400</v>
      </c>
      <c r="D19">
        <v>0</v>
      </c>
      <c r="E19">
        <v>309</v>
      </c>
      <c r="F19">
        <v>309</v>
      </c>
      <c r="G19">
        <v>0</v>
      </c>
      <c r="H19">
        <v>309</v>
      </c>
    </row>
    <row r="20" spans="1:8">
      <c r="A20" t="s">
        <v>2352</v>
      </c>
      <c r="B20" t="s">
        <v>2353</v>
      </c>
      <c r="C20">
        <v>0</v>
      </c>
      <c r="D20">
        <v>99</v>
      </c>
      <c r="E20">
        <v>-99</v>
      </c>
      <c r="F20">
        <v>0</v>
      </c>
      <c r="G20">
        <v>0</v>
      </c>
      <c r="H20">
        <v>0</v>
      </c>
    </row>
    <row r="21" spans="1:8">
      <c r="A21" t="s">
        <v>2354</v>
      </c>
      <c r="B21" t="s">
        <v>2355</v>
      </c>
      <c r="C21" s="456">
        <v>3911</v>
      </c>
      <c r="D21">
        <v>197</v>
      </c>
      <c r="E21" s="456">
        <v>3158.12</v>
      </c>
      <c r="F21" s="456">
        <v>3355.12</v>
      </c>
      <c r="G21">
        <v>240.88</v>
      </c>
      <c r="H21" s="456">
        <v>3596</v>
      </c>
    </row>
    <row r="22" spans="1:8">
      <c r="A22" t="s">
        <v>2356</v>
      </c>
      <c r="B22" t="s">
        <v>2357</v>
      </c>
      <c r="C22" s="456">
        <v>1200</v>
      </c>
      <c r="D22">
        <v>0</v>
      </c>
      <c r="E22">
        <v>400</v>
      </c>
      <c r="F22">
        <v>400</v>
      </c>
      <c r="G22">
        <v>800</v>
      </c>
      <c r="H22" s="456">
        <v>1200</v>
      </c>
    </row>
    <row r="23" spans="1:8">
      <c r="A23" t="s">
        <v>2358</v>
      </c>
      <c r="B23" t="s">
        <v>2359</v>
      </c>
      <c r="C23">
        <v>826</v>
      </c>
      <c r="D23">
        <v>105</v>
      </c>
      <c r="E23">
        <v>545</v>
      </c>
      <c r="F23">
        <v>650</v>
      </c>
      <c r="G23">
        <v>51</v>
      </c>
      <c r="H23">
        <v>701</v>
      </c>
    </row>
    <row r="24" spans="1:8">
      <c r="A24" t="s">
        <v>2360</v>
      </c>
      <c r="B24" t="s">
        <v>2361</v>
      </c>
      <c r="C24" s="456">
        <v>1555.06</v>
      </c>
      <c r="D24">
        <v>795.06</v>
      </c>
      <c r="E24">
        <v>0</v>
      </c>
      <c r="F24">
        <v>795.06</v>
      </c>
      <c r="G24">
        <v>760</v>
      </c>
      <c r="H24" s="456">
        <v>1555.06</v>
      </c>
    </row>
    <row r="25" spans="1:8">
      <c r="A25" t="s">
        <v>2362</v>
      </c>
      <c r="B25" t="s">
        <v>2363</v>
      </c>
      <c r="C25" s="456">
        <v>675020</v>
      </c>
      <c r="D25" s="456">
        <v>50753.41</v>
      </c>
      <c r="E25" s="456">
        <v>524249.1</v>
      </c>
      <c r="F25" s="456">
        <v>575002.51</v>
      </c>
      <c r="G25" s="456">
        <v>55947.12</v>
      </c>
      <c r="H25" s="456">
        <v>630949.63</v>
      </c>
    </row>
    <row r="26" spans="1:8">
      <c r="A26" t="s">
        <v>2364</v>
      </c>
      <c r="B26" t="s">
        <v>2365</v>
      </c>
      <c r="C26" s="456">
        <v>9404</v>
      </c>
      <c r="D26">
        <v>523.47</v>
      </c>
      <c r="E26" s="456">
        <v>7542.04</v>
      </c>
      <c r="F26" s="456">
        <v>8065.51</v>
      </c>
      <c r="G26">
        <v>488.49</v>
      </c>
      <c r="H26" s="456">
        <v>8554</v>
      </c>
    </row>
    <row r="27" spans="1:8">
      <c r="A27" t="s">
        <v>2366</v>
      </c>
      <c r="B27" t="s">
        <v>2344</v>
      </c>
      <c r="C27" s="456">
        <v>3328</v>
      </c>
      <c r="D27">
        <v>274</v>
      </c>
      <c r="E27" s="456">
        <v>2461</v>
      </c>
      <c r="F27" s="456">
        <v>2735</v>
      </c>
      <c r="G27">
        <v>0</v>
      </c>
      <c r="H27" s="456">
        <v>2735</v>
      </c>
    </row>
    <row r="28" spans="1:8">
      <c r="A28" t="s">
        <v>2367</v>
      </c>
      <c r="B28" t="s">
        <v>2363</v>
      </c>
      <c r="C28" s="456">
        <v>1050</v>
      </c>
      <c r="D28">
        <v>0</v>
      </c>
      <c r="E28">
        <v>900</v>
      </c>
      <c r="F28">
        <v>900</v>
      </c>
      <c r="G28">
        <v>0</v>
      </c>
      <c r="H28">
        <v>900</v>
      </c>
    </row>
    <row r="29" spans="1:8">
      <c r="A29" t="s">
        <v>2368</v>
      </c>
      <c r="B29" t="s">
        <v>2369</v>
      </c>
      <c r="C29" s="456">
        <v>8799.6200000000008</v>
      </c>
      <c r="D29">
        <v>396.52</v>
      </c>
      <c r="E29" s="456">
        <v>7289.91</v>
      </c>
      <c r="F29" s="456">
        <v>7686.43</v>
      </c>
      <c r="G29">
        <v>75.63</v>
      </c>
      <c r="H29" s="456">
        <v>7762.06</v>
      </c>
    </row>
    <row r="30" spans="1:8">
      <c r="A30" t="s">
        <v>2370</v>
      </c>
      <c r="B30" t="s">
        <v>2363</v>
      </c>
      <c r="C30" s="456">
        <v>22895</v>
      </c>
      <c r="D30">
        <v>990</v>
      </c>
      <c r="E30" s="456">
        <v>18882.63</v>
      </c>
      <c r="F30" s="456">
        <v>19872.63</v>
      </c>
      <c r="G30">
        <v>891.91</v>
      </c>
      <c r="H30" s="456">
        <v>20764.54</v>
      </c>
    </row>
    <row r="31" spans="1:8">
      <c r="A31" t="s">
        <v>2371</v>
      </c>
      <c r="B31" t="s">
        <v>2369</v>
      </c>
      <c r="C31">
        <v>48</v>
      </c>
      <c r="D31">
        <v>0</v>
      </c>
      <c r="E31">
        <v>36</v>
      </c>
      <c r="F31">
        <v>36</v>
      </c>
      <c r="G31">
        <v>0</v>
      </c>
      <c r="H31">
        <v>36</v>
      </c>
    </row>
    <row r="32" spans="1:8">
      <c r="A32" t="s">
        <v>2372</v>
      </c>
      <c r="B32" t="s">
        <v>2373</v>
      </c>
      <c r="C32">
        <v>160</v>
      </c>
      <c r="D32">
        <v>35</v>
      </c>
      <c r="E32">
        <v>35</v>
      </c>
      <c r="F32">
        <v>70</v>
      </c>
      <c r="G32">
        <v>59.58</v>
      </c>
      <c r="H32">
        <v>129.58000000000001</v>
      </c>
    </row>
    <row r="33" spans="1:8">
      <c r="A33" t="s">
        <v>2374</v>
      </c>
      <c r="B33" t="s">
        <v>2375</v>
      </c>
      <c r="C33" s="456">
        <v>9118</v>
      </c>
      <c r="D33">
        <v>240.54</v>
      </c>
      <c r="E33" s="456">
        <v>7366</v>
      </c>
      <c r="F33" s="456">
        <v>7606.54</v>
      </c>
      <c r="G33">
        <v>521.46</v>
      </c>
      <c r="H33" s="456">
        <v>8128</v>
      </c>
    </row>
    <row r="34" spans="1:8">
      <c r="A34" t="s">
        <v>2376</v>
      </c>
      <c r="B34" t="s">
        <v>2377</v>
      </c>
      <c r="C34" s="456">
        <v>38824.71</v>
      </c>
      <c r="D34" s="456">
        <v>2513.8000000000002</v>
      </c>
      <c r="E34" s="456">
        <v>30168.85</v>
      </c>
      <c r="F34" s="456">
        <v>32682.65</v>
      </c>
      <c r="G34">
        <v>125.22</v>
      </c>
      <c r="H34" s="456">
        <v>32807.870000000003</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CE161D-12A0-4181-995C-0F977385FB3E}">
  <sheetPr>
    <tabColor theme="4" tint="0.59999389629810485"/>
  </sheetPr>
  <dimension ref="A1:I198"/>
  <sheetViews>
    <sheetView topLeftCell="A179" workbookViewId="0">
      <selection activeCell="E204" sqref="E204"/>
    </sheetView>
  </sheetViews>
  <sheetFormatPr defaultRowHeight="14.4"/>
  <cols>
    <col min="1" max="6" width="17.33203125" customWidth="1"/>
  </cols>
  <sheetData>
    <row r="1" spans="1:9">
      <c r="A1" s="107"/>
      <c r="B1" s="107"/>
      <c r="C1" s="107"/>
      <c r="D1" s="107"/>
      <c r="E1" s="107"/>
      <c r="F1" s="107"/>
      <c r="G1" s="107"/>
      <c r="H1" s="107"/>
      <c r="I1" s="107"/>
    </row>
    <row r="2" spans="1:9" ht="15.6">
      <c r="A2" s="312" t="s">
        <v>2378</v>
      </c>
      <c r="B2" s="312"/>
      <c r="C2" s="107"/>
      <c r="D2" s="107"/>
      <c r="E2" s="107"/>
      <c r="F2" s="889" t="s">
        <v>2379</v>
      </c>
      <c r="G2" s="889"/>
      <c r="H2" s="889"/>
      <c r="I2" s="889"/>
    </row>
    <row r="3" spans="1:9">
      <c r="A3" s="313" t="s">
        <v>1751</v>
      </c>
      <c r="B3" s="107"/>
      <c r="C3" s="107"/>
      <c r="D3" s="107"/>
      <c r="E3" s="107"/>
      <c r="F3" s="889" t="s">
        <v>2380</v>
      </c>
      <c r="G3" s="889"/>
      <c r="H3" s="889"/>
      <c r="I3" s="889"/>
    </row>
    <row r="4" spans="1:9">
      <c r="A4" s="313"/>
      <c r="B4" s="313"/>
      <c r="C4" s="107"/>
      <c r="D4" s="107"/>
      <c r="E4" s="107"/>
      <c r="F4" s="107"/>
      <c r="G4" s="107"/>
      <c r="H4" s="107"/>
      <c r="I4" s="107"/>
    </row>
    <row r="5" spans="1:9">
      <c r="A5" s="107"/>
      <c r="B5" s="107"/>
      <c r="C5" s="107"/>
      <c r="D5" s="107"/>
      <c r="E5" s="107"/>
      <c r="F5" s="107"/>
      <c r="G5" s="107"/>
      <c r="H5" s="107"/>
      <c r="I5" s="107"/>
    </row>
    <row r="6" spans="1:9" ht="27">
      <c r="A6" s="856" t="s">
        <v>1</v>
      </c>
      <c r="B6" s="856" t="s">
        <v>2381</v>
      </c>
      <c r="C6" s="856" t="s">
        <v>1313</v>
      </c>
      <c r="D6" s="856" t="s">
        <v>1327</v>
      </c>
      <c r="E6" s="856" t="s">
        <v>1446</v>
      </c>
      <c r="F6" s="856" t="s">
        <v>2382</v>
      </c>
      <c r="G6" s="107"/>
      <c r="H6" s="107"/>
      <c r="I6" s="107"/>
    </row>
    <row r="7" spans="1:9">
      <c r="A7" s="857">
        <v>46055</v>
      </c>
      <c r="B7" s="858">
        <v>1047562.32</v>
      </c>
      <c r="C7" s="858">
        <v>195680.8</v>
      </c>
      <c r="D7" s="858">
        <v>851881.52</v>
      </c>
      <c r="E7" s="859">
        <v>0.81320000000000003</v>
      </c>
      <c r="F7" s="313">
        <v>570</v>
      </c>
      <c r="G7" s="107"/>
      <c r="H7" s="107"/>
      <c r="I7" s="107"/>
    </row>
    <row r="8" spans="1:9">
      <c r="A8" s="857">
        <v>46056</v>
      </c>
      <c r="B8" s="858">
        <v>854139.52</v>
      </c>
      <c r="C8" s="858">
        <v>166688.87</v>
      </c>
      <c r="D8" s="858">
        <v>687450.65</v>
      </c>
      <c r="E8" s="859">
        <v>0.65480000000000005</v>
      </c>
      <c r="F8" s="313">
        <v>392</v>
      </c>
      <c r="G8" s="107"/>
      <c r="H8" s="107"/>
      <c r="I8" s="107"/>
    </row>
    <row r="9" spans="1:9">
      <c r="A9" s="857">
        <v>46057</v>
      </c>
      <c r="B9" s="858">
        <v>708068.65</v>
      </c>
      <c r="C9" s="858">
        <v>31176.1</v>
      </c>
      <c r="D9" s="858">
        <v>676892.55</v>
      </c>
      <c r="E9" s="859">
        <v>0.63239999999999996</v>
      </c>
      <c r="F9" s="313">
        <v>348</v>
      </c>
      <c r="G9" s="107"/>
      <c r="H9" s="107"/>
      <c r="I9" s="107"/>
    </row>
    <row r="10" spans="1:9">
      <c r="A10" s="857">
        <v>46058</v>
      </c>
      <c r="B10" s="858">
        <v>676992.55</v>
      </c>
      <c r="C10" s="858">
        <v>19284.8</v>
      </c>
      <c r="D10" s="858">
        <v>657707.75</v>
      </c>
      <c r="E10" s="859">
        <v>0.61439999999999995</v>
      </c>
      <c r="F10" s="313">
        <v>310</v>
      </c>
      <c r="G10" s="107"/>
      <c r="H10" s="107"/>
      <c r="I10" s="107"/>
    </row>
    <row r="11" spans="1:9">
      <c r="A11" s="857">
        <v>46059</v>
      </c>
      <c r="B11" s="858">
        <v>657707.75</v>
      </c>
      <c r="C11" s="858">
        <v>15705.42</v>
      </c>
      <c r="D11" s="858">
        <v>642002.32999999996</v>
      </c>
      <c r="E11" s="859">
        <v>0.59970000000000001</v>
      </c>
      <c r="F11" s="313">
        <v>286</v>
      </c>
      <c r="G11" s="107"/>
      <c r="H11" s="107"/>
      <c r="I11" s="107"/>
    </row>
    <row r="12" spans="1:9">
      <c r="A12" s="857">
        <v>46060</v>
      </c>
      <c r="B12" s="858">
        <v>643372.32999999996</v>
      </c>
      <c r="C12" s="858">
        <v>8525.42</v>
      </c>
      <c r="D12" s="858">
        <v>634846.91</v>
      </c>
      <c r="E12" s="859">
        <v>0.59230000000000005</v>
      </c>
      <c r="F12" s="313">
        <v>278</v>
      </c>
      <c r="G12" s="107"/>
      <c r="H12" s="107"/>
      <c r="I12" s="107"/>
    </row>
    <row r="13" spans="1:9">
      <c r="A13" s="857">
        <v>46061</v>
      </c>
      <c r="B13" s="858">
        <v>637257.91</v>
      </c>
      <c r="C13" s="858">
        <v>3444.84</v>
      </c>
      <c r="D13" s="858">
        <v>633813.06999999995</v>
      </c>
      <c r="E13" s="859">
        <v>0.59</v>
      </c>
      <c r="F13" s="313">
        <v>272</v>
      </c>
      <c r="G13" s="107"/>
      <c r="H13" s="107"/>
      <c r="I13" s="107"/>
    </row>
    <row r="14" spans="1:9">
      <c r="A14" s="857">
        <v>46062</v>
      </c>
      <c r="B14" s="858">
        <v>635704.06999999995</v>
      </c>
      <c r="C14" s="858">
        <v>6841.1</v>
      </c>
      <c r="D14" s="858">
        <v>628862.97</v>
      </c>
      <c r="E14" s="859">
        <v>0.58430000000000004</v>
      </c>
      <c r="F14" s="313">
        <v>262</v>
      </c>
      <c r="G14" s="107"/>
      <c r="H14" s="107"/>
      <c r="I14" s="107"/>
    </row>
    <row r="15" spans="1:9">
      <c r="A15" s="857">
        <v>46063</v>
      </c>
      <c r="B15" s="858">
        <v>629465.97</v>
      </c>
      <c r="C15" s="858">
        <v>11640.39</v>
      </c>
      <c r="D15" s="858">
        <v>617825.57999999996</v>
      </c>
      <c r="E15" s="859">
        <v>0.57379999999999998</v>
      </c>
      <c r="F15" s="313">
        <v>247</v>
      </c>
      <c r="G15" s="107"/>
      <c r="H15" s="107"/>
      <c r="I15" s="107"/>
    </row>
    <row r="16" spans="1:9">
      <c r="A16" s="857">
        <v>46064</v>
      </c>
      <c r="B16" s="858">
        <v>619722.57999999996</v>
      </c>
      <c r="C16" s="858">
        <v>4409.6400000000003</v>
      </c>
      <c r="D16" s="858">
        <v>615312.93999999994</v>
      </c>
      <c r="E16" s="859">
        <v>0.57040000000000002</v>
      </c>
      <c r="F16" s="313">
        <v>240</v>
      </c>
      <c r="G16" s="107"/>
      <c r="H16" s="107"/>
      <c r="I16" s="107"/>
    </row>
    <row r="17" spans="1:9">
      <c r="A17" s="857">
        <v>46065</v>
      </c>
      <c r="B17" s="858">
        <v>616947.93999999994</v>
      </c>
      <c r="C17" s="858">
        <v>7825.45</v>
      </c>
      <c r="D17" s="858">
        <v>609122.49</v>
      </c>
      <c r="E17" s="859">
        <v>0.56379999999999997</v>
      </c>
      <c r="F17" s="313">
        <v>229</v>
      </c>
      <c r="G17" s="107"/>
      <c r="H17" s="107"/>
      <c r="I17" s="107"/>
    </row>
    <row r="18" spans="1:9">
      <c r="A18" s="857">
        <v>46066</v>
      </c>
      <c r="B18" s="858">
        <v>610540.49</v>
      </c>
      <c r="C18" s="858">
        <v>7165.57</v>
      </c>
      <c r="D18" s="858">
        <v>603374.92000000004</v>
      </c>
      <c r="E18" s="859">
        <v>0.55779999999999996</v>
      </c>
      <c r="F18" s="313">
        <v>219</v>
      </c>
      <c r="G18" s="107"/>
      <c r="H18" s="107"/>
      <c r="I18" s="107"/>
    </row>
    <row r="19" spans="1:9">
      <c r="A19" s="857">
        <v>46067</v>
      </c>
      <c r="B19" s="858">
        <v>603374.92000000004</v>
      </c>
      <c r="C19" s="858">
        <v>4264.51</v>
      </c>
      <c r="D19" s="858">
        <v>599110.41</v>
      </c>
      <c r="E19" s="859">
        <v>0.55379999999999996</v>
      </c>
      <c r="F19" s="313">
        <v>215</v>
      </c>
      <c r="G19" s="107"/>
      <c r="H19" s="107"/>
      <c r="I19" s="107"/>
    </row>
    <row r="20" spans="1:9">
      <c r="A20" s="857">
        <v>46068</v>
      </c>
      <c r="B20" s="858">
        <v>599683.41</v>
      </c>
      <c r="C20" s="858">
        <v>4543.2700000000004</v>
      </c>
      <c r="D20" s="858">
        <v>595140.14</v>
      </c>
      <c r="E20" s="859">
        <v>0.54990000000000006</v>
      </c>
      <c r="F20" s="313">
        <v>213</v>
      </c>
      <c r="G20" s="107"/>
      <c r="H20" s="107"/>
      <c r="I20" s="107"/>
    </row>
    <row r="21" spans="1:9">
      <c r="A21" s="857">
        <v>46069</v>
      </c>
      <c r="B21" s="858">
        <v>597068.14</v>
      </c>
      <c r="C21" s="858">
        <v>2233.4299999999998</v>
      </c>
      <c r="D21" s="858">
        <v>594834.71</v>
      </c>
      <c r="E21" s="859">
        <v>0.54859999999999998</v>
      </c>
      <c r="F21" s="313">
        <v>212</v>
      </c>
      <c r="G21" s="107"/>
      <c r="H21" s="107"/>
      <c r="I21" s="107"/>
    </row>
    <row r="22" spans="1:9">
      <c r="A22" s="857">
        <v>46070</v>
      </c>
      <c r="B22" s="858">
        <v>596326.71</v>
      </c>
      <c r="C22" s="858">
        <v>7027.37</v>
      </c>
      <c r="D22" s="858">
        <v>589299.34</v>
      </c>
      <c r="E22" s="859">
        <v>0.54279999999999995</v>
      </c>
      <c r="F22" s="313">
        <v>209</v>
      </c>
      <c r="G22" s="107"/>
      <c r="H22" s="107"/>
      <c r="I22" s="107"/>
    </row>
    <row r="23" spans="1:9">
      <c r="A23" s="857">
        <v>46071</v>
      </c>
      <c r="B23" s="858">
        <v>589876.34</v>
      </c>
      <c r="C23" s="858">
        <v>4774.68</v>
      </c>
      <c r="D23" s="858">
        <v>585101.66</v>
      </c>
      <c r="E23" s="859">
        <v>0.53859999999999997</v>
      </c>
      <c r="F23" s="313">
        <v>202</v>
      </c>
      <c r="G23" s="107"/>
      <c r="H23" s="107"/>
      <c r="I23" s="107"/>
    </row>
    <row r="24" spans="1:9">
      <c r="A24" s="857">
        <v>46072</v>
      </c>
      <c r="B24" s="858">
        <v>587061.66</v>
      </c>
      <c r="C24" s="858">
        <v>5029.45</v>
      </c>
      <c r="D24" s="858">
        <v>582032.21</v>
      </c>
      <c r="E24" s="859">
        <v>0.53480000000000005</v>
      </c>
      <c r="F24" s="313">
        <v>196</v>
      </c>
      <c r="G24" s="107"/>
      <c r="H24" s="107"/>
      <c r="I24" s="107"/>
    </row>
    <row r="25" spans="1:9">
      <c r="A25" s="857">
        <v>46073</v>
      </c>
      <c r="B25" s="858">
        <v>582521.21</v>
      </c>
      <c r="C25" s="858">
        <v>1966.17</v>
      </c>
      <c r="D25" s="858">
        <v>580555.04</v>
      </c>
      <c r="E25" s="859">
        <v>0.53320000000000001</v>
      </c>
      <c r="F25" s="313">
        <v>194</v>
      </c>
      <c r="G25" s="107"/>
      <c r="H25" s="107"/>
      <c r="I25" s="107"/>
    </row>
    <row r="26" spans="1:9">
      <c r="A26" s="857">
        <v>46074</v>
      </c>
      <c r="B26" s="858">
        <v>581535.04</v>
      </c>
      <c r="C26" s="858">
        <v>3357.33</v>
      </c>
      <c r="D26" s="858">
        <v>578177.71</v>
      </c>
      <c r="E26" s="859">
        <v>0.53059999999999996</v>
      </c>
      <c r="F26" s="313">
        <v>192</v>
      </c>
      <c r="G26" s="107"/>
      <c r="H26" s="107"/>
      <c r="I26" s="107"/>
    </row>
    <row r="27" spans="1:9">
      <c r="A27" s="857">
        <v>46075</v>
      </c>
      <c r="B27" s="858">
        <v>578384.71</v>
      </c>
      <c r="C27" s="313">
        <v>637</v>
      </c>
      <c r="D27" s="858">
        <v>577747.71</v>
      </c>
      <c r="E27" s="859">
        <v>0.53010000000000002</v>
      </c>
      <c r="F27" s="313">
        <v>192</v>
      </c>
      <c r="G27" s="107"/>
      <c r="H27" s="107"/>
      <c r="I27" s="107"/>
    </row>
    <row r="28" spans="1:9">
      <c r="A28" s="857">
        <v>46076</v>
      </c>
      <c r="B28" s="858">
        <v>578111.71</v>
      </c>
      <c r="C28" s="858">
        <v>4318.29</v>
      </c>
      <c r="D28" s="858">
        <v>573793.42000000004</v>
      </c>
      <c r="E28" s="859">
        <v>0.52629999999999999</v>
      </c>
      <c r="F28" s="313">
        <v>189</v>
      </c>
      <c r="G28" s="107"/>
      <c r="H28" s="107"/>
      <c r="I28" s="107"/>
    </row>
    <row r="29" spans="1:9">
      <c r="A29" s="857">
        <v>46077</v>
      </c>
      <c r="B29" s="858">
        <v>573793.42000000004</v>
      </c>
      <c r="C29" s="858">
        <v>1395.87</v>
      </c>
      <c r="D29" s="858">
        <v>572397.55000000005</v>
      </c>
      <c r="E29" s="859">
        <v>0.52500000000000002</v>
      </c>
      <c r="F29" s="313">
        <v>188</v>
      </c>
      <c r="G29" s="107"/>
      <c r="H29" s="107"/>
      <c r="I29" s="107"/>
    </row>
    <row r="30" spans="1:9">
      <c r="A30" s="857">
        <v>46078</v>
      </c>
      <c r="B30" s="858">
        <v>572397.55000000005</v>
      </c>
      <c r="C30" s="858">
        <v>3679.21</v>
      </c>
      <c r="D30" s="858">
        <v>568718.34</v>
      </c>
      <c r="E30" s="859">
        <v>0.52159999999999995</v>
      </c>
      <c r="F30" s="313">
        <v>184</v>
      </c>
    </row>
    <row r="31" spans="1:9">
      <c r="A31" s="857">
        <v>46079</v>
      </c>
      <c r="B31" s="858">
        <v>568857.34</v>
      </c>
      <c r="C31" s="858">
        <v>2569.2800000000002</v>
      </c>
      <c r="D31" s="858">
        <v>566288.06000000006</v>
      </c>
      <c r="E31" s="859">
        <v>0.51929999999999998</v>
      </c>
      <c r="F31" s="313">
        <v>177</v>
      </c>
    </row>
    <row r="32" spans="1:9">
      <c r="A32" s="857">
        <v>46080</v>
      </c>
      <c r="B32" s="858">
        <v>567286.06000000006</v>
      </c>
      <c r="C32" s="858">
        <v>4208.18</v>
      </c>
      <c r="D32" s="858">
        <v>563077.88</v>
      </c>
      <c r="E32" s="859">
        <v>0.51590000000000003</v>
      </c>
      <c r="F32" s="313">
        <v>175</v>
      </c>
    </row>
    <row r="33" spans="1:9">
      <c r="A33" s="857">
        <v>46081</v>
      </c>
      <c r="B33" s="858">
        <v>563311.88</v>
      </c>
      <c r="C33" s="858">
        <v>1518.15</v>
      </c>
      <c r="D33" s="858">
        <v>561793.73</v>
      </c>
      <c r="E33" s="859">
        <v>0.51459999999999995</v>
      </c>
      <c r="F33" s="313">
        <v>174</v>
      </c>
    </row>
    <row r="34" spans="1:9">
      <c r="A34" s="857">
        <v>46082</v>
      </c>
      <c r="B34" s="858">
        <v>1334267.73</v>
      </c>
      <c r="C34" s="858">
        <v>256092.74</v>
      </c>
      <c r="D34" s="858">
        <v>1078174.99</v>
      </c>
      <c r="E34" s="859">
        <v>0.57840000000000003</v>
      </c>
      <c r="F34" s="313">
        <v>514</v>
      </c>
    </row>
    <row r="35" spans="1:9">
      <c r="A35" s="857">
        <v>46083</v>
      </c>
      <c r="B35" s="858">
        <v>1136478.46</v>
      </c>
      <c r="C35" s="858">
        <v>206255.02</v>
      </c>
      <c r="D35" s="858">
        <v>930223.44</v>
      </c>
      <c r="E35" s="859">
        <v>0.4839</v>
      </c>
      <c r="F35" s="313">
        <v>546</v>
      </c>
    </row>
    <row r="36" spans="1:9">
      <c r="A36" s="857">
        <v>46084</v>
      </c>
      <c r="B36" s="858">
        <v>930573.44</v>
      </c>
      <c r="C36" s="858">
        <v>185179.54</v>
      </c>
      <c r="D36" s="858">
        <v>745393.9</v>
      </c>
      <c r="E36" s="859">
        <v>0.38769999999999999</v>
      </c>
      <c r="F36" s="313">
        <v>383</v>
      </c>
    </row>
    <row r="37" spans="1:9">
      <c r="A37" s="857">
        <v>46085</v>
      </c>
      <c r="B37" s="858">
        <v>764327.9</v>
      </c>
      <c r="C37" s="858">
        <v>30810.32</v>
      </c>
      <c r="D37" s="858">
        <v>733517.58</v>
      </c>
      <c r="E37" s="859">
        <v>0.37780000000000002</v>
      </c>
      <c r="F37" s="313">
        <v>355</v>
      </c>
    </row>
    <row r="38" spans="1:9">
      <c r="A38" s="857">
        <v>46086</v>
      </c>
      <c r="B38" s="858">
        <v>734219.83</v>
      </c>
      <c r="C38" s="858">
        <v>11741.07</v>
      </c>
      <c r="D38" s="858">
        <v>722478.76</v>
      </c>
      <c r="E38" s="859">
        <v>0.37190000000000001</v>
      </c>
      <c r="F38" s="313">
        <v>327</v>
      </c>
    </row>
    <row r="39" spans="1:9">
      <c r="A39" s="857">
        <v>46087</v>
      </c>
      <c r="B39" s="858">
        <v>738269.91</v>
      </c>
      <c r="C39" s="858">
        <v>20883.95</v>
      </c>
      <c r="D39" s="858">
        <v>717385.96</v>
      </c>
      <c r="E39" s="859">
        <v>0.36630000000000001</v>
      </c>
      <c r="F39" s="313">
        <v>299</v>
      </c>
    </row>
    <row r="40" spans="1:9">
      <c r="A40" s="857">
        <v>46088</v>
      </c>
      <c r="B40" s="858">
        <v>719783.96</v>
      </c>
      <c r="C40" s="858">
        <v>8667.7900000000009</v>
      </c>
      <c r="D40" s="858">
        <v>711116.17</v>
      </c>
      <c r="E40" s="859">
        <v>0.36270000000000002</v>
      </c>
      <c r="F40" s="313">
        <v>281</v>
      </c>
    </row>
    <row r="41" spans="1:9">
      <c r="A41" s="857">
        <v>46089</v>
      </c>
      <c r="B41" s="858">
        <v>711116.17</v>
      </c>
      <c r="C41" s="858">
        <v>3734.8</v>
      </c>
      <c r="D41" s="858">
        <v>707381.37</v>
      </c>
      <c r="E41" s="859">
        <v>0.36080000000000001</v>
      </c>
      <c r="F41" s="313">
        <v>271</v>
      </c>
    </row>
    <row r="42" spans="1:9">
      <c r="A42" s="857">
        <v>46090</v>
      </c>
      <c r="B42" s="858">
        <v>713807.37</v>
      </c>
      <c r="C42" s="858">
        <v>2735.11</v>
      </c>
      <c r="D42" s="858">
        <v>711072.26</v>
      </c>
      <c r="E42" s="859">
        <v>0.36149999999999999</v>
      </c>
      <c r="F42" s="313">
        <v>270</v>
      </c>
    </row>
    <row r="43" spans="1:9">
      <c r="A43" s="857">
        <v>46091</v>
      </c>
      <c r="B43" s="858">
        <v>711864.03</v>
      </c>
      <c r="C43" s="858">
        <v>5073.6899999999996</v>
      </c>
      <c r="D43" s="858">
        <v>706790.34</v>
      </c>
      <c r="E43" s="859">
        <v>0.223</v>
      </c>
      <c r="F43" s="313">
        <v>255</v>
      </c>
      <c r="G43" s="107"/>
      <c r="H43" s="107"/>
      <c r="I43" s="107"/>
    </row>
    <row r="44" spans="1:9">
      <c r="A44" s="857">
        <v>46092</v>
      </c>
      <c r="B44" s="858">
        <v>709429.34</v>
      </c>
      <c r="C44" s="858">
        <v>11526.65</v>
      </c>
      <c r="D44" s="858">
        <v>697902.69</v>
      </c>
      <c r="E44" s="859">
        <v>0.22</v>
      </c>
      <c r="F44" s="313">
        <v>249</v>
      </c>
      <c r="G44" s="107"/>
      <c r="H44" s="107"/>
      <c r="I44" s="107"/>
    </row>
    <row r="45" spans="1:9">
      <c r="A45" s="857">
        <v>46093</v>
      </c>
      <c r="B45" s="858">
        <v>698457.69</v>
      </c>
      <c r="C45" s="858">
        <v>3146.84</v>
      </c>
      <c r="D45" s="858">
        <v>695310.85</v>
      </c>
      <c r="E45" s="859">
        <v>0.21909999999999999</v>
      </c>
      <c r="F45" s="313">
        <v>240</v>
      </c>
      <c r="G45" s="107"/>
      <c r="H45" s="107"/>
      <c r="I45" s="107"/>
    </row>
    <row r="46" spans="1:9">
      <c r="A46" s="857">
        <v>46094</v>
      </c>
      <c r="B46" s="858">
        <v>697343.85</v>
      </c>
      <c r="C46" s="858">
        <v>5890.3</v>
      </c>
      <c r="D46" s="858">
        <v>691453.55</v>
      </c>
      <c r="E46" s="859">
        <v>0.21779999999999999</v>
      </c>
      <c r="F46" s="313">
        <v>229</v>
      </c>
      <c r="G46" s="107"/>
      <c r="H46" s="107"/>
      <c r="I46" s="107"/>
    </row>
    <row r="47" spans="1:9">
      <c r="A47" s="857">
        <v>46095</v>
      </c>
      <c r="B47" s="858">
        <v>692651.55</v>
      </c>
      <c r="C47" s="858">
        <v>3419.46</v>
      </c>
      <c r="D47" s="858">
        <v>689232.09</v>
      </c>
      <c r="E47" s="859">
        <v>0.217</v>
      </c>
      <c r="F47" s="313">
        <v>225</v>
      </c>
      <c r="G47" s="107"/>
      <c r="H47" s="107"/>
      <c r="I47" s="107"/>
    </row>
    <row r="48" spans="1:9">
      <c r="A48" s="857">
        <v>46096</v>
      </c>
      <c r="B48" s="858">
        <v>690033.09</v>
      </c>
      <c r="C48" s="858">
        <v>2433.4299999999998</v>
      </c>
      <c r="D48" s="858">
        <v>687599.66</v>
      </c>
      <c r="E48" s="859">
        <v>0.21640000000000001</v>
      </c>
      <c r="F48" s="313">
        <v>224</v>
      </c>
      <c r="G48" s="107"/>
      <c r="H48" s="107"/>
      <c r="I48" s="107"/>
    </row>
    <row r="49" spans="1:9">
      <c r="A49" s="857">
        <v>46097</v>
      </c>
      <c r="B49" s="858">
        <v>687599.66</v>
      </c>
      <c r="C49" s="313">
        <v>24</v>
      </c>
      <c r="D49" s="858">
        <v>687575.66</v>
      </c>
      <c r="E49" s="859">
        <v>0.21640000000000001</v>
      </c>
      <c r="F49" s="313">
        <v>224</v>
      </c>
      <c r="G49" s="107"/>
      <c r="H49" s="107"/>
      <c r="I49" s="107"/>
    </row>
    <row r="50" spans="1:9">
      <c r="A50" s="860">
        <v>46098</v>
      </c>
      <c r="B50" s="314">
        <v>712634.5</v>
      </c>
      <c r="C50" s="314">
        <v>13955.25</v>
      </c>
      <c r="D50" s="314">
        <v>698679.25</v>
      </c>
      <c r="E50" s="861">
        <v>0.21729999999999999</v>
      </c>
      <c r="F50" s="315">
        <v>225</v>
      </c>
    </row>
    <row r="51" spans="1:9">
      <c r="A51" s="860">
        <v>46099</v>
      </c>
      <c r="B51" s="314">
        <v>702866.25</v>
      </c>
      <c r="C51" s="314">
        <v>7114.49</v>
      </c>
      <c r="D51" s="314">
        <v>695751.76</v>
      </c>
      <c r="E51" s="861">
        <v>0.2162</v>
      </c>
      <c r="F51" s="315">
        <v>217</v>
      </c>
    </row>
    <row r="52" spans="1:9">
      <c r="A52" s="860">
        <v>46100</v>
      </c>
      <c r="B52" s="314">
        <v>707752.09</v>
      </c>
      <c r="C52" s="315">
        <v>118.74</v>
      </c>
      <c r="D52" s="314">
        <v>707633.35</v>
      </c>
      <c r="E52" s="861">
        <v>0.219</v>
      </c>
      <c r="F52" s="315">
        <v>216</v>
      </c>
    </row>
    <row r="53" spans="1:9">
      <c r="A53" s="860">
        <v>46101</v>
      </c>
      <c r="B53" s="314">
        <v>708527.35</v>
      </c>
      <c r="C53" s="314">
        <v>5022.16</v>
      </c>
      <c r="D53" s="314">
        <v>703505.19</v>
      </c>
      <c r="E53" s="861">
        <v>0.2177</v>
      </c>
      <c r="F53" s="315">
        <v>214</v>
      </c>
    </row>
    <row r="54" spans="1:9">
      <c r="A54" s="860">
        <v>46102</v>
      </c>
      <c r="B54" s="314">
        <v>704393.19</v>
      </c>
      <c r="C54" s="314">
        <v>6669.52</v>
      </c>
      <c r="D54" s="314">
        <v>697723.67</v>
      </c>
      <c r="E54" s="861">
        <v>0.21579999999999999</v>
      </c>
      <c r="F54" s="315">
        <v>209</v>
      </c>
    </row>
    <row r="55" spans="1:9">
      <c r="A55" s="857">
        <v>46103</v>
      </c>
      <c r="B55" s="858">
        <v>707032.61</v>
      </c>
      <c r="C55" s="858">
        <v>8846.32</v>
      </c>
      <c r="D55" s="858">
        <v>698186.29</v>
      </c>
      <c r="E55" s="859">
        <v>0.45689999999999997</v>
      </c>
      <c r="F55" s="313">
        <v>214</v>
      </c>
    </row>
    <row r="56" spans="1:9">
      <c r="A56" s="857">
        <v>46104</v>
      </c>
      <c r="B56" s="858">
        <v>718253.3</v>
      </c>
      <c r="C56" s="858">
        <v>7720.23</v>
      </c>
      <c r="D56" s="858">
        <v>710533.07</v>
      </c>
      <c r="E56" s="859">
        <v>0.45889999999999997</v>
      </c>
      <c r="F56" s="313">
        <v>210</v>
      </c>
    </row>
    <row r="57" spans="1:9">
      <c r="A57" s="857">
        <v>46105</v>
      </c>
      <c r="B57" s="858">
        <v>711170.07</v>
      </c>
      <c r="C57" s="858">
        <v>3323.2</v>
      </c>
      <c r="D57" s="858">
        <v>707846.87</v>
      </c>
      <c r="E57" s="859">
        <v>0.45700000000000002</v>
      </c>
      <c r="F57" s="313">
        <v>210</v>
      </c>
    </row>
    <row r="58" spans="1:9">
      <c r="A58" s="857">
        <v>46106</v>
      </c>
      <c r="B58" s="858">
        <v>710023.07</v>
      </c>
      <c r="C58" s="858">
        <v>4109.05</v>
      </c>
      <c r="D58" s="858">
        <v>705914.02</v>
      </c>
      <c r="E58" s="859">
        <v>0.4551</v>
      </c>
      <c r="F58" s="313">
        <v>207</v>
      </c>
    </row>
    <row r="59" spans="1:9">
      <c r="A59" s="857">
        <v>46107</v>
      </c>
      <c r="B59" s="858">
        <v>705914.02</v>
      </c>
      <c r="C59" s="858">
        <v>2811.6</v>
      </c>
      <c r="D59" s="858">
        <v>703102.42</v>
      </c>
      <c r="E59" s="859">
        <v>0.45329999999999998</v>
      </c>
      <c r="F59" s="313">
        <v>206</v>
      </c>
    </row>
    <row r="60" spans="1:9">
      <c r="A60" s="857">
        <v>46108</v>
      </c>
      <c r="B60" s="858">
        <v>703102.42</v>
      </c>
      <c r="C60" s="858">
        <v>3994.8</v>
      </c>
      <c r="D60" s="858">
        <v>699107.62</v>
      </c>
      <c r="E60" s="859">
        <v>0.45069999999999999</v>
      </c>
      <c r="F60" s="313">
        <v>203</v>
      </c>
    </row>
    <row r="61" spans="1:9">
      <c r="A61" s="857">
        <v>46109</v>
      </c>
      <c r="B61" s="858">
        <v>699478.62</v>
      </c>
      <c r="C61" s="858">
        <v>1400.72</v>
      </c>
      <c r="D61" s="858">
        <v>698077.9</v>
      </c>
      <c r="E61" s="859">
        <v>0.45</v>
      </c>
      <c r="F61" s="313">
        <v>202</v>
      </c>
    </row>
    <row r="62" spans="1:9">
      <c r="A62" s="857">
        <v>46110</v>
      </c>
      <c r="B62" s="858">
        <v>698452.9</v>
      </c>
      <c r="C62" s="858">
        <v>3084.33</v>
      </c>
      <c r="D62" s="858">
        <v>695368.57</v>
      </c>
      <c r="E62" s="859">
        <v>0.4481</v>
      </c>
      <c r="F62" s="313">
        <v>200</v>
      </c>
    </row>
    <row r="63" spans="1:9">
      <c r="A63" s="857">
        <v>46111</v>
      </c>
      <c r="B63" s="858">
        <v>697093.41</v>
      </c>
      <c r="C63" s="858">
        <v>4155.42</v>
      </c>
      <c r="D63" s="858">
        <v>692937.99</v>
      </c>
      <c r="E63" s="859">
        <v>0.44600000000000001</v>
      </c>
      <c r="F63" s="313">
        <v>195</v>
      </c>
    </row>
    <row r="64" spans="1:9">
      <c r="A64" s="860">
        <v>46112</v>
      </c>
      <c r="B64" s="314">
        <v>707636.5</v>
      </c>
      <c r="C64" s="314">
        <v>5223.75</v>
      </c>
      <c r="D64" s="314">
        <v>702412.75</v>
      </c>
      <c r="E64" s="861">
        <v>0.21240000000000001</v>
      </c>
      <c r="F64" s="315">
        <v>199</v>
      </c>
    </row>
    <row r="65" spans="1:6">
      <c r="A65" s="860">
        <v>46113</v>
      </c>
      <c r="B65" s="314">
        <v>1522775.6</v>
      </c>
      <c r="C65" s="314">
        <v>356589.35</v>
      </c>
      <c r="D65" s="314">
        <v>1166186.25</v>
      </c>
      <c r="E65" s="861">
        <v>0.28260000000000002</v>
      </c>
      <c r="F65" s="315">
        <v>505</v>
      </c>
    </row>
    <row r="66" spans="1:6">
      <c r="A66" s="860">
        <v>46114</v>
      </c>
      <c r="B66" s="314">
        <v>1176109.32</v>
      </c>
      <c r="C66" s="314">
        <v>146797.96</v>
      </c>
      <c r="D66" s="314">
        <v>1029311.36</v>
      </c>
      <c r="E66" s="861">
        <v>0.24879999999999999</v>
      </c>
      <c r="F66" s="315">
        <v>391</v>
      </c>
    </row>
    <row r="67" spans="1:6">
      <c r="A67" s="860">
        <v>46115</v>
      </c>
      <c r="B67" s="314">
        <v>1029311.36</v>
      </c>
      <c r="C67" s="314">
        <v>193091.43</v>
      </c>
      <c r="D67" s="314">
        <v>836219.93</v>
      </c>
      <c r="E67" s="861">
        <v>0.20219999999999999</v>
      </c>
      <c r="F67" s="315">
        <v>246</v>
      </c>
    </row>
    <row r="68" spans="1:6">
      <c r="A68" s="860">
        <v>46116</v>
      </c>
      <c r="B68" s="314">
        <v>853116.35</v>
      </c>
      <c r="C68" s="314">
        <v>25838.18</v>
      </c>
      <c r="D68" s="314">
        <v>827278.17</v>
      </c>
      <c r="E68" s="861">
        <v>0.19919999999999999</v>
      </c>
      <c r="F68" s="315">
        <v>235</v>
      </c>
    </row>
    <row r="69" spans="1:6">
      <c r="A69" s="860">
        <v>46117</v>
      </c>
      <c r="B69" s="314">
        <v>828855.17</v>
      </c>
      <c r="C69" s="314">
        <v>2241</v>
      </c>
      <c r="D69" s="314">
        <v>826614.17</v>
      </c>
      <c r="E69" s="861">
        <v>0.19889999999999999</v>
      </c>
      <c r="F69" s="315">
        <v>234</v>
      </c>
    </row>
    <row r="70" spans="1:6">
      <c r="A70" s="860">
        <v>46118</v>
      </c>
      <c r="B70" s="314">
        <v>826961.27</v>
      </c>
      <c r="C70" s="314">
        <v>7669.77</v>
      </c>
      <c r="D70" s="314">
        <v>819291.5</v>
      </c>
      <c r="E70" s="861">
        <v>0.19719999999999999</v>
      </c>
      <c r="F70" s="315">
        <v>230</v>
      </c>
    </row>
    <row r="71" spans="1:6">
      <c r="A71" s="860">
        <v>46119</v>
      </c>
      <c r="B71" s="314">
        <v>830403.53</v>
      </c>
      <c r="C71" s="314">
        <v>4508.92</v>
      </c>
      <c r="D71" s="314">
        <v>825894.61</v>
      </c>
      <c r="E71" s="861">
        <v>0.19819999999999999</v>
      </c>
      <c r="F71" s="315">
        <v>229</v>
      </c>
    </row>
    <row r="72" spans="1:6">
      <c r="A72" s="860">
        <v>46120</v>
      </c>
      <c r="B72" s="314">
        <v>870400.11</v>
      </c>
      <c r="C72" s="314">
        <v>10688.18</v>
      </c>
      <c r="D72" s="314">
        <v>859711.93</v>
      </c>
      <c r="E72" s="861">
        <v>0.52990000000000004</v>
      </c>
      <c r="F72" s="315">
        <v>251</v>
      </c>
    </row>
    <row r="73" spans="1:6">
      <c r="A73" s="860">
        <v>46121</v>
      </c>
      <c r="B73" s="314">
        <v>869638.43</v>
      </c>
      <c r="C73" s="314">
        <v>5700.79</v>
      </c>
      <c r="D73" s="314">
        <v>863937.64</v>
      </c>
      <c r="E73" s="861">
        <v>0.52929999999999999</v>
      </c>
      <c r="F73" s="315">
        <v>249</v>
      </c>
    </row>
    <row r="74" spans="1:6">
      <c r="A74" s="860">
        <v>46122</v>
      </c>
      <c r="B74" s="314">
        <v>868298.83</v>
      </c>
      <c r="C74" s="314">
        <v>6385.94</v>
      </c>
      <c r="D74" s="314">
        <v>861912.89</v>
      </c>
      <c r="E74" s="861">
        <v>0.52669999999999995</v>
      </c>
      <c r="F74" s="315">
        <v>253</v>
      </c>
    </row>
    <row r="75" spans="1:6">
      <c r="A75" s="860">
        <v>46123</v>
      </c>
      <c r="B75" s="314">
        <v>863420.13</v>
      </c>
      <c r="C75" s="314">
        <v>2699.98</v>
      </c>
      <c r="D75" s="314">
        <v>860720.15</v>
      </c>
      <c r="E75" s="861">
        <v>0.52549999999999997</v>
      </c>
      <c r="F75" s="315">
        <v>253</v>
      </c>
    </row>
    <row r="76" spans="1:6">
      <c r="A76" s="860">
        <v>46124</v>
      </c>
      <c r="B76" s="314">
        <v>861685.15</v>
      </c>
      <c r="C76" s="314">
        <v>2279</v>
      </c>
      <c r="D76" s="314">
        <v>859406.15</v>
      </c>
      <c r="E76" s="861">
        <v>0.52429999999999999</v>
      </c>
      <c r="F76" s="315">
        <v>253</v>
      </c>
    </row>
    <row r="77" spans="1:6">
      <c r="A77" s="860">
        <v>46125</v>
      </c>
      <c r="B77" s="314">
        <v>860975.15</v>
      </c>
      <c r="C77" s="314">
        <v>7895.38</v>
      </c>
      <c r="D77" s="314">
        <v>853079.77</v>
      </c>
      <c r="E77" s="861">
        <v>0.52</v>
      </c>
      <c r="F77" s="315">
        <v>237</v>
      </c>
    </row>
    <row r="78" spans="1:6">
      <c r="A78" s="964">
        <v>46126</v>
      </c>
      <c r="B78" s="965">
        <v>864706.6</v>
      </c>
      <c r="C78" s="965">
        <v>4836.87</v>
      </c>
      <c r="D78" s="965">
        <v>859869.73</v>
      </c>
      <c r="E78" s="966">
        <v>0.52149999999999996</v>
      </c>
      <c r="F78" s="963">
        <v>222</v>
      </c>
    </row>
    <row r="79" spans="1:6">
      <c r="A79" s="964">
        <v>46127</v>
      </c>
      <c r="B79" s="965">
        <v>861737.73</v>
      </c>
      <c r="C79" s="965">
        <v>5518.48</v>
      </c>
      <c r="D79" s="965">
        <v>856219.25</v>
      </c>
      <c r="E79" s="966">
        <v>0.51870000000000005</v>
      </c>
      <c r="F79" s="963">
        <v>218</v>
      </c>
    </row>
    <row r="80" spans="1:6">
      <c r="A80" s="964">
        <v>46128</v>
      </c>
      <c r="B80" s="965">
        <v>857829.25</v>
      </c>
      <c r="C80" s="965">
        <v>16752.16</v>
      </c>
      <c r="D80" s="965">
        <v>841077.09</v>
      </c>
      <c r="E80" s="966">
        <v>0.5091</v>
      </c>
      <c r="F80" s="963">
        <v>213</v>
      </c>
    </row>
    <row r="81" spans="1:6">
      <c r="A81" s="964">
        <v>46129</v>
      </c>
      <c r="B81" s="965">
        <v>844979.09</v>
      </c>
      <c r="C81" s="965">
        <v>8178.29</v>
      </c>
      <c r="D81" s="965">
        <v>836800.8</v>
      </c>
      <c r="E81" s="966">
        <v>0.50529999999999997</v>
      </c>
      <c r="F81" s="963">
        <v>212</v>
      </c>
    </row>
    <row r="82" spans="1:6">
      <c r="A82" s="964">
        <v>46130</v>
      </c>
      <c r="B82" s="965">
        <v>839101.8</v>
      </c>
      <c r="C82" s="965">
        <v>5800.2</v>
      </c>
      <c r="D82" s="965">
        <v>833301.6</v>
      </c>
      <c r="E82" s="966">
        <v>0.50249999999999995</v>
      </c>
      <c r="F82" s="963">
        <v>209</v>
      </c>
    </row>
    <row r="83" spans="1:6">
      <c r="A83" s="964">
        <v>46131</v>
      </c>
      <c r="B83" s="965">
        <v>833475.6</v>
      </c>
      <c r="C83" s="963">
        <v>789</v>
      </c>
      <c r="D83" s="965">
        <v>832686.6</v>
      </c>
      <c r="E83" s="966">
        <v>0.50209999999999999</v>
      </c>
      <c r="F83" s="963">
        <v>208</v>
      </c>
    </row>
    <row r="84" spans="1:6">
      <c r="A84" s="964">
        <v>46132</v>
      </c>
      <c r="B84" s="965">
        <v>833529.23</v>
      </c>
      <c r="C84" s="965">
        <v>3073.94</v>
      </c>
      <c r="D84" s="965">
        <v>830455.29</v>
      </c>
      <c r="E84" s="966">
        <v>0.50049999999999994</v>
      </c>
      <c r="F84" s="963">
        <v>206</v>
      </c>
    </row>
    <row r="85" spans="1:6">
      <c r="A85" s="92">
        <v>46133</v>
      </c>
      <c r="B85" s="91">
        <v>836983.54</v>
      </c>
      <c r="C85" s="91">
        <v>7140.38</v>
      </c>
      <c r="D85" s="91">
        <v>829843.16</v>
      </c>
      <c r="E85" s="90">
        <v>0.49340000000000001</v>
      </c>
      <c r="F85" s="90">
        <v>203</v>
      </c>
    </row>
    <row r="86" spans="1:6">
      <c r="A86" s="92">
        <v>46134</v>
      </c>
      <c r="B86" s="91">
        <v>831800.71</v>
      </c>
      <c r="C86" s="91">
        <v>3876.33</v>
      </c>
      <c r="D86" s="91">
        <v>827924.38</v>
      </c>
      <c r="E86" s="90">
        <v>0.49170000000000003</v>
      </c>
      <c r="F86" s="90">
        <v>201</v>
      </c>
    </row>
    <row r="87" spans="1:6">
      <c r="A87" s="92">
        <v>46135</v>
      </c>
      <c r="B87" s="91">
        <v>828426.42</v>
      </c>
      <c r="C87" s="91">
        <v>14109.4</v>
      </c>
      <c r="D87" s="91">
        <v>814317.02</v>
      </c>
      <c r="E87" s="90">
        <v>0.4834</v>
      </c>
      <c r="F87" s="90">
        <v>199</v>
      </c>
    </row>
    <row r="88" spans="1:6">
      <c r="A88" s="92">
        <v>46136</v>
      </c>
      <c r="B88" s="91">
        <v>815894.97</v>
      </c>
      <c r="C88" s="91">
        <v>5211.3100000000004</v>
      </c>
      <c r="D88" s="91">
        <v>810683.66</v>
      </c>
      <c r="E88" s="90">
        <v>0.48080000000000001</v>
      </c>
      <c r="F88" s="90">
        <v>195</v>
      </c>
    </row>
    <row r="89" spans="1:6">
      <c r="A89" s="92">
        <v>46137</v>
      </c>
      <c r="B89" s="91">
        <v>810683.66</v>
      </c>
      <c r="C89" s="90">
        <v>264</v>
      </c>
      <c r="D89" s="91">
        <v>810419.66</v>
      </c>
      <c r="E89" s="90">
        <v>0.48070000000000002</v>
      </c>
      <c r="F89" s="90">
        <v>194</v>
      </c>
    </row>
    <row r="90" spans="1:6">
      <c r="A90" s="92">
        <v>46138</v>
      </c>
      <c r="B90" s="91">
        <v>810419.66</v>
      </c>
      <c r="C90" s="90">
        <v>150</v>
      </c>
      <c r="D90" s="91">
        <v>810269.66</v>
      </c>
      <c r="E90" s="90">
        <v>0.48060000000000003</v>
      </c>
      <c r="F90" s="90">
        <v>194</v>
      </c>
    </row>
    <row r="91" spans="1:6">
      <c r="A91" s="92">
        <v>46139</v>
      </c>
      <c r="B91" s="91">
        <v>810269.66</v>
      </c>
      <c r="C91" s="90">
        <v>0</v>
      </c>
      <c r="D91" s="91">
        <v>810269.66</v>
      </c>
      <c r="E91" s="90">
        <v>0.48060000000000003</v>
      </c>
      <c r="F91" s="90">
        <v>194</v>
      </c>
    </row>
    <row r="92" spans="1:6">
      <c r="A92" s="964">
        <v>46140</v>
      </c>
      <c r="B92" s="965">
        <v>743293.91</v>
      </c>
      <c r="C92" s="965">
        <v>33790.81</v>
      </c>
      <c r="D92" s="965">
        <v>709503.1</v>
      </c>
      <c r="E92" s="966">
        <v>0.41049999999999998</v>
      </c>
      <c r="F92" s="963">
        <v>194</v>
      </c>
    </row>
    <row r="93" spans="1:6">
      <c r="A93" s="964">
        <v>46141</v>
      </c>
      <c r="B93" s="965">
        <v>737826.3</v>
      </c>
      <c r="C93" s="965">
        <v>2742.47</v>
      </c>
      <c r="D93" s="965">
        <v>735083.83</v>
      </c>
      <c r="E93" s="966">
        <v>0.41839999999999999</v>
      </c>
      <c r="F93" s="963">
        <v>193</v>
      </c>
    </row>
    <row r="94" spans="1:6">
      <c r="A94" s="964">
        <v>46142</v>
      </c>
      <c r="B94" s="965">
        <v>743501.82</v>
      </c>
      <c r="C94" s="965">
        <v>18763.82</v>
      </c>
      <c r="D94" s="965">
        <v>724738</v>
      </c>
      <c r="E94" s="966">
        <v>0.41060000000000002</v>
      </c>
      <c r="F94" s="963">
        <v>192</v>
      </c>
    </row>
    <row r="95" spans="1:6">
      <c r="A95" s="964">
        <v>46143</v>
      </c>
      <c r="B95" s="965">
        <v>1529456.23</v>
      </c>
      <c r="C95" s="965">
        <v>431986.68</v>
      </c>
      <c r="D95" s="965">
        <v>1097469.55</v>
      </c>
      <c r="E95" s="966">
        <v>0.71760000000000002</v>
      </c>
      <c r="F95" s="963">
        <v>445</v>
      </c>
    </row>
    <row r="96" spans="1:6">
      <c r="A96" s="964">
        <v>46144</v>
      </c>
      <c r="B96" s="965">
        <v>1100425.53</v>
      </c>
      <c r="C96" s="965">
        <v>159968.82</v>
      </c>
      <c r="D96" s="965">
        <v>940456.71</v>
      </c>
      <c r="E96" s="966">
        <v>0.61370000000000002</v>
      </c>
      <c r="F96" s="963">
        <v>330</v>
      </c>
    </row>
    <row r="97" spans="1:6">
      <c r="A97" s="964">
        <v>46145</v>
      </c>
      <c r="B97" s="965">
        <v>940456.71</v>
      </c>
      <c r="C97" s="965">
        <v>104412.22</v>
      </c>
      <c r="D97" s="965">
        <v>836044.49</v>
      </c>
      <c r="E97" s="966">
        <v>0.54559999999999997</v>
      </c>
      <c r="F97" s="963">
        <v>248</v>
      </c>
    </row>
    <row r="98" spans="1:6">
      <c r="A98" s="964">
        <v>46146</v>
      </c>
      <c r="B98" s="965">
        <v>849963.02</v>
      </c>
      <c r="C98" s="965">
        <v>13001.36</v>
      </c>
      <c r="D98" s="965">
        <v>836961.66</v>
      </c>
      <c r="E98" s="966">
        <v>0.5413</v>
      </c>
      <c r="F98" s="963">
        <v>239</v>
      </c>
    </row>
    <row r="99" spans="1:6">
      <c r="A99" s="1068">
        <v>46146</v>
      </c>
      <c r="B99" s="1067">
        <v>858394.14</v>
      </c>
      <c r="C99" s="1067">
        <v>11110.37</v>
      </c>
      <c r="D99" s="1067">
        <v>847283.77</v>
      </c>
      <c r="E99" s="1066">
        <v>0.54579999999999995</v>
      </c>
      <c r="F99" s="1066">
        <v>249</v>
      </c>
    </row>
    <row r="100" spans="1:6">
      <c r="A100" s="1068">
        <v>46147</v>
      </c>
      <c r="B100" s="1067">
        <v>847771.25</v>
      </c>
      <c r="C100" s="1067">
        <v>7564.66</v>
      </c>
      <c r="D100" s="1067">
        <v>840206.59</v>
      </c>
      <c r="E100" s="1066">
        <v>0.54110000000000003</v>
      </c>
      <c r="F100" s="1066">
        <v>246</v>
      </c>
    </row>
    <row r="101" spans="1:6">
      <c r="A101" s="1068">
        <v>46148</v>
      </c>
      <c r="B101" s="1067">
        <v>845408.71</v>
      </c>
      <c r="C101" s="1067">
        <v>9587.5400000000009</v>
      </c>
      <c r="D101" s="1067">
        <v>835821.17</v>
      </c>
      <c r="E101" s="1066">
        <v>0.53649999999999998</v>
      </c>
      <c r="F101" s="1066">
        <v>243</v>
      </c>
    </row>
    <row r="102" spans="1:6">
      <c r="A102" s="1068">
        <v>46149</v>
      </c>
      <c r="B102" s="1067">
        <v>854983.05</v>
      </c>
      <c r="C102" s="1067">
        <v>10648.42</v>
      </c>
      <c r="D102" s="1067">
        <v>844334.63</v>
      </c>
      <c r="E102" s="1066">
        <v>0.5353</v>
      </c>
      <c r="F102" s="1066">
        <v>239</v>
      </c>
    </row>
    <row r="103" spans="1:6">
      <c r="A103" s="1068">
        <v>46150</v>
      </c>
      <c r="B103" s="1067">
        <v>852903.29</v>
      </c>
      <c r="C103" s="1067">
        <v>11100.32</v>
      </c>
      <c r="D103" s="1067">
        <v>841802.97</v>
      </c>
      <c r="E103" s="1066">
        <v>0.53080000000000005</v>
      </c>
      <c r="F103" s="1066">
        <v>233</v>
      </c>
    </row>
    <row r="104" spans="1:6">
      <c r="A104" s="1068">
        <v>46151</v>
      </c>
      <c r="B104" s="1067">
        <v>842791.97</v>
      </c>
      <c r="C104" s="1067">
        <v>5713.03</v>
      </c>
      <c r="D104" s="1067">
        <v>837078.94</v>
      </c>
      <c r="E104" s="1066">
        <v>0.52749999999999997</v>
      </c>
      <c r="F104" s="1066">
        <v>230</v>
      </c>
    </row>
    <row r="105" spans="1:6">
      <c r="A105" s="1068">
        <v>46152</v>
      </c>
      <c r="B105" s="1067">
        <v>838015.94</v>
      </c>
      <c r="C105" s="1066">
        <v>937</v>
      </c>
      <c r="D105" s="1067">
        <v>837078.94</v>
      </c>
      <c r="E105" s="1066">
        <v>0.5272</v>
      </c>
      <c r="F105" s="1066">
        <v>230</v>
      </c>
    </row>
    <row r="106" spans="1:6">
      <c r="A106" s="92">
        <v>46153</v>
      </c>
      <c r="B106" s="91">
        <v>856721.92000000004</v>
      </c>
      <c r="C106" s="91">
        <v>5968.43</v>
      </c>
      <c r="D106" s="91">
        <v>850753.49</v>
      </c>
      <c r="E106" s="90">
        <v>0.52580000000000005</v>
      </c>
      <c r="F106" s="90">
        <v>230</v>
      </c>
    </row>
    <row r="107" spans="1:6">
      <c r="A107" s="92">
        <v>46154</v>
      </c>
      <c r="B107" s="91">
        <v>850753.49</v>
      </c>
      <c r="C107" s="91">
        <v>13517.5</v>
      </c>
      <c r="D107" s="91">
        <v>837235.99</v>
      </c>
      <c r="E107" s="90">
        <v>0.51749999999999996</v>
      </c>
      <c r="F107" s="90">
        <v>229</v>
      </c>
    </row>
    <row r="108" spans="1:6">
      <c r="A108" s="92">
        <v>46155</v>
      </c>
      <c r="B108" s="91">
        <v>837607.65</v>
      </c>
      <c r="C108" s="91">
        <v>6933.5</v>
      </c>
      <c r="D108" s="91">
        <v>830674.15</v>
      </c>
      <c r="E108" s="90">
        <v>0.51329999999999998</v>
      </c>
      <c r="F108" s="90">
        <v>224</v>
      </c>
    </row>
    <row r="109" spans="1:6">
      <c r="A109" s="92">
        <v>46156</v>
      </c>
      <c r="B109" s="91">
        <v>840184.15</v>
      </c>
      <c r="C109" s="91">
        <v>1212.93</v>
      </c>
      <c r="D109" s="91">
        <v>838971.22</v>
      </c>
      <c r="E109" s="90">
        <v>0.51539999999999997</v>
      </c>
      <c r="F109" s="90">
        <v>223</v>
      </c>
    </row>
    <row r="110" spans="1:6">
      <c r="A110" s="92">
        <v>46157</v>
      </c>
      <c r="B110" s="91">
        <v>839997.22</v>
      </c>
      <c r="C110" s="91">
        <v>7177.04</v>
      </c>
      <c r="D110" s="91">
        <v>832820.18</v>
      </c>
      <c r="E110" s="90">
        <v>0.51129999999999998</v>
      </c>
      <c r="F110" s="90">
        <v>214</v>
      </c>
    </row>
    <row r="111" spans="1:6">
      <c r="A111" s="92">
        <v>46158</v>
      </c>
      <c r="B111" s="91">
        <v>835192.46</v>
      </c>
      <c r="C111" s="91">
        <v>4172.24</v>
      </c>
      <c r="D111" s="91">
        <v>831020.22</v>
      </c>
      <c r="E111" s="90">
        <v>0.50939999999999996</v>
      </c>
      <c r="F111" s="90">
        <v>217</v>
      </c>
    </row>
    <row r="112" spans="1:6">
      <c r="A112" s="92">
        <v>46159</v>
      </c>
      <c r="B112" s="91">
        <v>831020.22</v>
      </c>
      <c r="C112" s="90">
        <v>835.63</v>
      </c>
      <c r="D112" s="91">
        <v>830184.59</v>
      </c>
      <c r="E112" s="90">
        <v>0.50890000000000002</v>
      </c>
      <c r="F112" s="90">
        <v>216</v>
      </c>
    </row>
    <row r="113" spans="1:9">
      <c r="A113" s="1068">
        <v>46160</v>
      </c>
      <c r="B113" s="1067">
        <v>839325.1</v>
      </c>
      <c r="C113" s="1067">
        <v>2439</v>
      </c>
      <c r="D113" s="1067">
        <v>836886.1</v>
      </c>
      <c r="E113" s="1066">
        <v>0.50970000000000004</v>
      </c>
      <c r="F113" s="1066">
        <v>219</v>
      </c>
    </row>
    <row r="114" spans="1:9">
      <c r="A114" s="1068">
        <v>46161</v>
      </c>
      <c r="B114" s="1067">
        <v>838246.1</v>
      </c>
      <c r="C114" s="1067">
        <v>6960.64</v>
      </c>
      <c r="D114" s="1067">
        <v>831285.46</v>
      </c>
      <c r="E114" s="1066">
        <v>0.50580000000000003</v>
      </c>
      <c r="F114" s="1066">
        <v>220</v>
      </c>
    </row>
    <row r="115" spans="1:9">
      <c r="A115" s="1068">
        <v>46162</v>
      </c>
      <c r="B115" s="1067">
        <v>831886.46</v>
      </c>
      <c r="C115" s="1067">
        <v>3810.36</v>
      </c>
      <c r="D115" s="1067">
        <v>828076.1</v>
      </c>
      <c r="E115" s="1066">
        <v>0.50370000000000004</v>
      </c>
      <c r="F115" s="1066">
        <v>217</v>
      </c>
    </row>
    <row r="116" spans="1:9">
      <c r="A116" s="1068">
        <v>46163</v>
      </c>
      <c r="B116" s="1067">
        <v>828826.1</v>
      </c>
      <c r="C116" s="1067">
        <v>4660.63</v>
      </c>
      <c r="D116" s="1067">
        <v>824165.47</v>
      </c>
      <c r="E116" s="1066">
        <v>0.50109999999999999</v>
      </c>
      <c r="F116" s="1066">
        <v>213</v>
      </c>
    </row>
    <row r="117" spans="1:9">
      <c r="A117" s="1068">
        <v>46164</v>
      </c>
      <c r="B117" s="1067">
        <v>824165.47</v>
      </c>
      <c r="C117" s="1067">
        <v>3807.83</v>
      </c>
      <c r="D117" s="1067">
        <v>820357.64</v>
      </c>
      <c r="E117" s="1066">
        <v>0.49880000000000002</v>
      </c>
      <c r="F117" s="1066">
        <v>210</v>
      </c>
    </row>
    <row r="118" spans="1:9">
      <c r="A118" s="1068">
        <v>46165</v>
      </c>
      <c r="B118" s="1067">
        <v>821901.64</v>
      </c>
      <c r="C118" s="1067">
        <v>1889.48</v>
      </c>
      <c r="D118" s="1067">
        <v>820012.16</v>
      </c>
      <c r="E118" s="1066">
        <v>0.49809999999999999</v>
      </c>
      <c r="F118" s="1066">
        <v>212</v>
      </c>
    </row>
    <row r="119" spans="1:9">
      <c r="A119" s="1068">
        <v>46166</v>
      </c>
      <c r="B119" s="1067">
        <v>820294.16</v>
      </c>
      <c r="C119" s="1066">
        <v>528</v>
      </c>
      <c r="D119" s="1067">
        <v>819766.16</v>
      </c>
      <c r="E119" s="1066">
        <v>0.49790000000000001</v>
      </c>
      <c r="F119" s="1066">
        <v>212</v>
      </c>
    </row>
    <row r="120" spans="1:9">
      <c r="A120" s="1068">
        <v>46167</v>
      </c>
      <c r="B120" s="1067">
        <v>820208.16</v>
      </c>
      <c r="C120" s="1066">
        <v>533</v>
      </c>
      <c r="D120" s="1067">
        <v>819675.16</v>
      </c>
      <c r="E120" s="1066">
        <v>0.49730000000000002</v>
      </c>
      <c r="F120" s="1066">
        <v>212</v>
      </c>
    </row>
    <row r="121" spans="1:9">
      <c r="A121" s="1068">
        <v>46168</v>
      </c>
      <c r="B121" s="1067">
        <v>821348.66</v>
      </c>
      <c r="C121" s="1066">
        <v>485.02</v>
      </c>
      <c r="D121" s="1067">
        <v>820863.64</v>
      </c>
      <c r="E121" s="1066">
        <v>0.4975</v>
      </c>
      <c r="F121" s="1066">
        <v>211</v>
      </c>
    </row>
    <row r="122" spans="1:9">
      <c r="A122" s="455">
        <v>46169</v>
      </c>
      <c r="B122" s="456">
        <v>826373.47</v>
      </c>
      <c r="C122">
        <v>923</v>
      </c>
      <c r="D122" s="456">
        <v>825450.47</v>
      </c>
      <c r="E122" s="1066">
        <v>0.49530000000000002</v>
      </c>
      <c r="F122">
        <v>209</v>
      </c>
    </row>
    <row r="123" spans="1:9">
      <c r="A123" s="455">
        <v>46170</v>
      </c>
      <c r="B123" s="456">
        <v>826015.68</v>
      </c>
      <c r="C123">
        <v>944.69</v>
      </c>
      <c r="D123" s="456">
        <v>825070.99</v>
      </c>
      <c r="E123" s="1066">
        <v>0.49490000000000001</v>
      </c>
      <c r="F123">
        <v>208</v>
      </c>
    </row>
    <row r="124" spans="1:9">
      <c r="A124" s="1113">
        <v>46171</v>
      </c>
      <c r="B124" s="1091">
        <v>828887.21</v>
      </c>
      <c r="C124" s="1091">
        <v>1673.29</v>
      </c>
      <c r="D124" s="1091">
        <v>827213.92</v>
      </c>
      <c r="E124" s="1114">
        <v>0.49130000000000001</v>
      </c>
      <c r="F124" s="1090">
        <v>210</v>
      </c>
      <c r="G124" s="107"/>
      <c r="H124" s="107"/>
      <c r="I124" s="107"/>
    </row>
    <row r="125" spans="1:9">
      <c r="A125" s="1113">
        <v>46172</v>
      </c>
      <c r="B125" s="1091">
        <v>828732.19</v>
      </c>
      <c r="C125" s="1091">
        <v>2349.9299999999998</v>
      </c>
      <c r="D125" s="1091">
        <v>826382.26</v>
      </c>
      <c r="E125" s="1114">
        <v>0.4904</v>
      </c>
      <c r="F125" s="1090">
        <v>210</v>
      </c>
      <c r="G125" s="107"/>
      <c r="H125" s="107"/>
      <c r="I125" s="107"/>
    </row>
    <row r="126" spans="1:9">
      <c r="A126" s="1113">
        <v>46173</v>
      </c>
      <c r="B126" s="1091">
        <v>826556.26</v>
      </c>
      <c r="C126" s="1090">
        <v>513.47</v>
      </c>
      <c r="D126" s="1091">
        <v>826042.79</v>
      </c>
      <c r="E126" s="1114">
        <v>0.49009999999999998</v>
      </c>
      <c r="F126" s="1090">
        <v>208</v>
      </c>
      <c r="G126" s="107"/>
      <c r="H126" s="107"/>
      <c r="I126" s="107"/>
    </row>
    <row r="127" spans="1:9">
      <c r="A127" s="1113">
        <v>46174</v>
      </c>
      <c r="B127" s="1091">
        <v>1590184.59</v>
      </c>
      <c r="C127" s="1091">
        <v>135573.92000000001</v>
      </c>
      <c r="D127" s="1091">
        <v>1454610.67</v>
      </c>
      <c r="E127" s="1114">
        <v>0.91469999999999996</v>
      </c>
      <c r="F127" s="1090">
        <v>718</v>
      </c>
      <c r="G127" s="107"/>
      <c r="H127" s="107"/>
      <c r="I127" s="107"/>
    </row>
    <row r="128" spans="1:9">
      <c r="A128" s="92">
        <v>46175</v>
      </c>
      <c r="B128" s="91">
        <v>1224740.8999999999</v>
      </c>
      <c r="C128" s="91">
        <v>165812.45000000001</v>
      </c>
      <c r="D128" s="91">
        <v>1058928.45</v>
      </c>
      <c r="E128" s="90">
        <v>0.66249999999999998</v>
      </c>
      <c r="F128" s="90">
        <v>386</v>
      </c>
    </row>
    <row r="129" spans="1:6">
      <c r="A129" s="92">
        <v>46176</v>
      </c>
      <c r="B129" s="91">
        <v>1059405.74</v>
      </c>
      <c r="C129" s="91">
        <v>131177.57999999999</v>
      </c>
      <c r="D129" s="91">
        <v>928228.16</v>
      </c>
      <c r="E129" s="90">
        <v>0.58050000000000002</v>
      </c>
      <c r="F129" s="90">
        <v>287</v>
      </c>
    </row>
    <row r="130" spans="1:6">
      <c r="A130" s="92">
        <v>46177</v>
      </c>
      <c r="B130" s="91">
        <v>939182.01</v>
      </c>
      <c r="C130" s="91">
        <v>16963.099999999999</v>
      </c>
      <c r="D130" s="91">
        <v>922218.91</v>
      </c>
      <c r="E130" s="90">
        <v>0.57279999999999998</v>
      </c>
      <c r="F130" s="90">
        <v>274</v>
      </c>
    </row>
    <row r="131" spans="1:6">
      <c r="A131" s="92">
        <v>46178</v>
      </c>
      <c r="B131" s="91">
        <v>927281.42</v>
      </c>
      <c r="C131" s="91">
        <v>20739.41</v>
      </c>
      <c r="D131" s="91">
        <v>906542.01</v>
      </c>
      <c r="E131" s="90">
        <v>0.56130000000000002</v>
      </c>
      <c r="F131" s="90">
        <v>263</v>
      </c>
    </row>
    <row r="132" spans="1:6">
      <c r="A132" s="92">
        <v>46179</v>
      </c>
      <c r="B132" s="91">
        <v>908304.01</v>
      </c>
      <c r="C132" s="91">
        <v>9738.56</v>
      </c>
      <c r="D132" s="91">
        <v>898565.45</v>
      </c>
      <c r="E132" s="90">
        <v>0.55579999999999996</v>
      </c>
      <c r="F132" s="90">
        <v>255</v>
      </c>
    </row>
    <row r="133" spans="1:6">
      <c r="A133" s="92">
        <v>46180</v>
      </c>
      <c r="B133" s="91">
        <v>898565.45</v>
      </c>
      <c r="C133" s="91">
        <v>2080.02</v>
      </c>
      <c r="D133" s="91">
        <v>896485.43</v>
      </c>
      <c r="E133" s="90">
        <v>0.55449999999999999</v>
      </c>
      <c r="F133" s="90">
        <v>254</v>
      </c>
    </row>
    <row r="134" spans="1:6">
      <c r="A134" s="92">
        <v>46181</v>
      </c>
      <c r="B134" s="91">
        <v>896485.43</v>
      </c>
      <c r="C134" s="90">
        <v>0</v>
      </c>
      <c r="D134" s="91">
        <v>896485.43</v>
      </c>
      <c r="E134" s="90">
        <v>0.55449999999999999</v>
      </c>
      <c r="F134" s="90">
        <v>254</v>
      </c>
    </row>
    <row r="135" spans="1:6">
      <c r="A135" s="92">
        <v>46182</v>
      </c>
      <c r="B135" s="91">
        <v>948424.5</v>
      </c>
      <c r="C135" s="91">
        <v>14618.46</v>
      </c>
      <c r="D135" s="91">
        <v>933806.04</v>
      </c>
      <c r="E135" s="90">
        <v>0.55469999999999997</v>
      </c>
      <c r="F135" s="90">
        <v>260</v>
      </c>
    </row>
    <row r="136" spans="1:6">
      <c r="A136" s="92">
        <v>46183</v>
      </c>
      <c r="B136" s="91">
        <v>950077.22</v>
      </c>
      <c r="C136" s="91">
        <v>18843.03</v>
      </c>
      <c r="D136" s="91">
        <v>931234.19</v>
      </c>
      <c r="E136" s="90">
        <v>0.54779999999999995</v>
      </c>
      <c r="F136" s="90">
        <v>256</v>
      </c>
    </row>
    <row r="137" spans="1:6">
      <c r="A137" s="92">
        <v>46184</v>
      </c>
      <c r="B137" s="91">
        <v>937134.69</v>
      </c>
      <c r="C137" s="91">
        <v>10538.99</v>
      </c>
      <c r="D137" s="91">
        <v>926595.7</v>
      </c>
      <c r="E137" s="90">
        <v>0.54320000000000002</v>
      </c>
      <c r="F137" s="90">
        <v>251</v>
      </c>
    </row>
    <row r="138" spans="1:6">
      <c r="A138" s="92">
        <v>46185</v>
      </c>
      <c r="B138" s="91">
        <v>946635.7</v>
      </c>
      <c r="C138" s="91">
        <v>7040.11</v>
      </c>
      <c r="D138" s="91">
        <v>939595.59</v>
      </c>
      <c r="E138" s="90">
        <v>0.54449999999999998</v>
      </c>
      <c r="F138" s="90">
        <v>245</v>
      </c>
    </row>
    <row r="139" spans="1:6">
      <c r="A139" s="92">
        <v>46186</v>
      </c>
      <c r="B139" s="91">
        <v>944467.73</v>
      </c>
      <c r="C139" s="91">
        <v>11157.28</v>
      </c>
      <c r="D139" s="91">
        <v>933310.45</v>
      </c>
      <c r="E139" s="90">
        <v>0.5393</v>
      </c>
      <c r="F139" s="90">
        <v>238</v>
      </c>
    </row>
    <row r="140" spans="1:6">
      <c r="A140" s="92">
        <v>46187</v>
      </c>
      <c r="B140" s="91">
        <v>933310.45</v>
      </c>
      <c r="C140" s="91">
        <v>2129.88</v>
      </c>
      <c r="D140" s="91">
        <v>931180.57</v>
      </c>
      <c r="E140" s="90">
        <v>0.53810000000000002</v>
      </c>
      <c r="F140" s="90">
        <v>236</v>
      </c>
    </row>
    <row r="141" spans="1:6">
      <c r="A141" s="92">
        <v>46188</v>
      </c>
      <c r="B141" s="91">
        <v>941963.57</v>
      </c>
      <c r="C141" s="91">
        <v>10673.59</v>
      </c>
      <c r="D141" s="91">
        <v>931289.98</v>
      </c>
      <c r="E141" s="90">
        <v>0.53359999999999996</v>
      </c>
      <c r="F141" s="90">
        <v>237</v>
      </c>
    </row>
    <row r="142" spans="1:6">
      <c r="A142" s="92">
        <v>46189</v>
      </c>
      <c r="B142" s="91">
        <v>938578.43</v>
      </c>
      <c r="C142" s="91">
        <v>4599</v>
      </c>
      <c r="D142" s="91">
        <v>933979.43</v>
      </c>
      <c r="E142" s="90">
        <v>0.53290000000000004</v>
      </c>
      <c r="F142" s="90">
        <v>237</v>
      </c>
    </row>
    <row r="143" spans="1:6">
      <c r="A143" s="92">
        <v>46190</v>
      </c>
      <c r="B143" s="91">
        <v>964891.88</v>
      </c>
      <c r="C143" s="91">
        <v>4140.67</v>
      </c>
      <c r="D143" s="91">
        <v>960751.21</v>
      </c>
      <c r="E143" s="90">
        <v>0.53869999999999996</v>
      </c>
      <c r="F143" s="90">
        <v>235</v>
      </c>
    </row>
    <row r="144" spans="1:6">
      <c r="A144" s="92">
        <v>46191</v>
      </c>
      <c r="B144" s="91">
        <v>971504.35</v>
      </c>
      <c r="C144" s="91">
        <v>2230.54</v>
      </c>
      <c r="D144" s="91">
        <v>969273.81</v>
      </c>
      <c r="E144" s="90">
        <v>0.54020000000000001</v>
      </c>
      <c r="F144" s="90">
        <v>234</v>
      </c>
    </row>
    <row r="145" spans="1:6">
      <c r="A145" s="92">
        <v>46192</v>
      </c>
      <c r="B145" s="91">
        <v>969273.81</v>
      </c>
      <c r="C145" s="91">
        <v>1188.42</v>
      </c>
      <c r="D145" s="91">
        <v>968085.39</v>
      </c>
      <c r="E145" s="90">
        <v>0.53959999999999997</v>
      </c>
      <c r="F145" s="90">
        <v>233</v>
      </c>
    </row>
    <row r="146" spans="1:6">
      <c r="A146" s="92">
        <v>46193</v>
      </c>
      <c r="B146" s="91">
        <v>969594.28</v>
      </c>
      <c r="C146" s="91">
        <v>1830</v>
      </c>
      <c r="D146" s="91">
        <v>967764.28</v>
      </c>
      <c r="E146" s="90">
        <v>0.53890000000000005</v>
      </c>
      <c r="F146" s="90">
        <v>235</v>
      </c>
    </row>
    <row r="147" spans="1:6">
      <c r="A147" s="92">
        <v>46194</v>
      </c>
      <c r="B147" s="91">
        <v>982012.19</v>
      </c>
      <c r="C147" s="90">
        <v>679.18</v>
      </c>
      <c r="D147" s="91">
        <v>981333.01</v>
      </c>
      <c r="E147" s="90">
        <v>0.54020000000000001</v>
      </c>
      <c r="F147" s="90">
        <v>238</v>
      </c>
    </row>
    <row r="148" spans="1:6">
      <c r="A148" s="92">
        <v>46195</v>
      </c>
      <c r="B148" s="91">
        <v>981553.11</v>
      </c>
      <c r="C148" s="91">
        <v>3509.47</v>
      </c>
      <c r="D148" s="91">
        <v>978043.64</v>
      </c>
      <c r="E148" s="90">
        <v>0.5383</v>
      </c>
      <c r="F148" s="90">
        <v>236</v>
      </c>
    </row>
    <row r="149" spans="1:6">
      <c r="A149" s="92">
        <v>46196</v>
      </c>
      <c r="B149" s="91">
        <v>978816.33</v>
      </c>
      <c r="C149" s="91">
        <v>8353.39</v>
      </c>
      <c r="D149" s="91">
        <v>970462.94</v>
      </c>
      <c r="E149" s="90">
        <v>0.53390000000000004</v>
      </c>
      <c r="F149" s="90">
        <v>233</v>
      </c>
    </row>
    <row r="150" spans="1:6">
      <c r="A150" s="92">
        <v>46197</v>
      </c>
      <c r="B150" s="91">
        <v>971456.94</v>
      </c>
      <c r="C150" s="91">
        <v>5535.41</v>
      </c>
      <c r="D150" s="91">
        <v>965921.53</v>
      </c>
      <c r="E150" s="90">
        <v>0.53110000000000002</v>
      </c>
      <c r="F150" s="90">
        <v>232</v>
      </c>
    </row>
    <row r="151" spans="1:6">
      <c r="A151" s="92">
        <v>46198</v>
      </c>
      <c r="B151" s="91">
        <v>967348.1</v>
      </c>
      <c r="C151" s="91">
        <v>13718.27</v>
      </c>
      <c r="D151" s="91">
        <v>953629.83</v>
      </c>
      <c r="E151" s="90">
        <v>0.52400000000000002</v>
      </c>
      <c r="F151" s="90">
        <v>226</v>
      </c>
    </row>
    <row r="152" spans="1:6">
      <c r="A152" s="92">
        <v>46199</v>
      </c>
      <c r="B152" s="91">
        <v>954337.35</v>
      </c>
      <c r="C152" s="91">
        <v>2141.3000000000002</v>
      </c>
      <c r="D152" s="91">
        <v>952196.05</v>
      </c>
      <c r="E152" s="90">
        <v>0.52300000000000002</v>
      </c>
      <c r="F152" s="90">
        <v>226</v>
      </c>
    </row>
    <row r="153" spans="1:6">
      <c r="A153" s="92">
        <v>46200</v>
      </c>
      <c r="B153" s="91">
        <v>954023.29</v>
      </c>
      <c r="C153" s="91">
        <v>1059</v>
      </c>
      <c r="D153" s="91">
        <v>952964.29</v>
      </c>
      <c r="E153" s="90">
        <v>0.52290000000000003</v>
      </c>
      <c r="F153" s="90">
        <v>227</v>
      </c>
    </row>
    <row r="154" spans="1:6">
      <c r="A154" s="92">
        <v>46201</v>
      </c>
      <c r="B154" s="91">
        <v>953077.29</v>
      </c>
      <c r="C154" s="90">
        <v>113</v>
      </c>
      <c r="D154" s="91">
        <v>952964.29</v>
      </c>
      <c r="E154" s="90">
        <v>0.52280000000000004</v>
      </c>
      <c r="F154" s="90">
        <v>227</v>
      </c>
    </row>
    <row r="155" spans="1:6">
      <c r="A155" s="92">
        <v>46202</v>
      </c>
      <c r="B155" s="91">
        <v>953046.29</v>
      </c>
      <c r="C155" s="90">
        <v>83</v>
      </c>
      <c r="D155" s="91">
        <v>952963.29</v>
      </c>
      <c r="E155" s="90">
        <v>0.52280000000000004</v>
      </c>
      <c r="F155" s="90">
        <v>226</v>
      </c>
    </row>
    <row r="156" spans="1:6">
      <c r="A156" s="92">
        <v>46204</v>
      </c>
      <c r="B156" s="91">
        <v>1738201.94</v>
      </c>
      <c r="C156" s="91">
        <v>355262.68</v>
      </c>
      <c r="D156" s="91">
        <v>1382939.26</v>
      </c>
      <c r="E156" s="90">
        <v>0.79559999999999997</v>
      </c>
      <c r="F156" s="90">
        <v>575</v>
      </c>
    </row>
    <row r="157" spans="1:6">
      <c r="A157" s="92">
        <v>46205</v>
      </c>
      <c r="B157" s="91">
        <v>1397692.86</v>
      </c>
      <c r="C157" s="91">
        <v>178076.3</v>
      </c>
      <c r="D157" s="91">
        <v>1219616.56</v>
      </c>
      <c r="E157" s="90">
        <v>0.69569999999999999</v>
      </c>
      <c r="F157" s="90">
        <v>431</v>
      </c>
    </row>
    <row r="158" spans="1:6">
      <c r="A158" s="92">
        <v>46206</v>
      </c>
      <c r="B158" s="91">
        <v>1222935.0900000001</v>
      </c>
      <c r="C158" s="91">
        <v>167448.92000000001</v>
      </c>
      <c r="D158" s="91">
        <v>1055486.17</v>
      </c>
      <c r="E158" s="90">
        <v>0.60099999999999998</v>
      </c>
      <c r="F158" s="90">
        <v>309</v>
      </c>
    </row>
    <row r="159" spans="1:6">
      <c r="A159" s="92">
        <v>46207</v>
      </c>
      <c r="B159" s="91">
        <v>1065517.17</v>
      </c>
      <c r="C159" s="91">
        <v>15457.06</v>
      </c>
      <c r="D159" s="91">
        <v>1050060.1100000001</v>
      </c>
      <c r="E159" s="90">
        <v>0.59450000000000003</v>
      </c>
      <c r="F159" s="90">
        <v>294</v>
      </c>
    </row>
    <row r="160" spans="1:6">
      <c r="A160" s="92">
        <v>46208</v>
      </c>
      <c r="B160" s="91">
        <v>1051912.1100000001</v>
      </c>
      <c r="C160" s="91">
        <v>6585.47</v>
      </c>
      <c r="D160" s="91">
        <v>1045326.64</v>
      </c>
      <c r="E160" s="90">
        <v>0.59119999999999995</v>
      </c>
      <c r="F160" s="90">
        <v>289</v>
      </c>
    </row>
    <row r="161" spans="1:6">
      <c r="A161" s="92">
        <v>46209</v>
      </c>
      <c r="B161" s="91">
        <v>1046509.64</v>
      </c>
      <c r="C161" s="91">
        <v>1183</v>
      </c>
      <c r="D161" s="91">
        <v>1045326.64</v>
      </c>
      <c r="E161" s="90">
        <v>0.59079999999999999</v>
      </c>
      <c r="F161" s="90">
        <v>289</v>
      </c>
    </row>
    <row r="162" spans="1:6">
      <c r="A162" s="92">
        <v>46204</v>
      </c>
      <c r="B162" s="91">
        <v>1776669.94</v>
      </c>
      <c r="C162" s="91">
        <v>376876.73</v>
      </c>
      <c r="D162" s="91">
        <v>1399793.21</v>
      </c>
      <c r="E162" s="90">
        <v>0.78790000000000004</v>
      </c>
      <c r="F162" s="90">
        <v>585</v>
      </c>
    </row>
    <row r="163" spans="1:6">
      <c r="A163" s="92">
        <v>46205</v>
      </c>
      <c r="B163" s="91">
        <v>1414640.81</v>
      </c>
      <c r="C163" s="91">
        <v>172904.16</v>
      </c>
      <c r="D163" s="91">
        <v>1241736.6499999999</v>
      </c>
      <c r="E163" s="90">
        <v>0.69310000000000005</v>
      </c>
      <c r="F163" s="90">
        <v>447</v>
      </c>
    </row>
    <row r="164" spans="1:6">
      <c r="A164" s="92">
        <v>46206</v>
      </c>
      <c r="B164" s="91">
        <v>1245255.18</v>
      </c>
      <c r="C164" s="91">
        <v>157177.01999999999</v>
      </c>
      <c r="D164" s="91">
        <v>1088078.1599999999</v>
      </c>
      <c r="E164" s="90">
        <v>0.60619999999999996</v>
      </c>
      <c r="F164" s="90">
        <v>334</v>
      </c>
    </row>
    <row r="165" spans="1:6">
      <c r="A165" s="92">
        <v>46207</v>
      </c>
      <c r="B165" s="91">
        <v>1098726.1599999999</v>
      </c>
      <c r="C165" s="91">
        <v>15548.06</v>
      </c>
      <c r="D165" s="91">
        <v>1083178.1000000001</v>
      </c>
      <c r="E165" s="90">
        <v>0.59989999999999999</v>
      </c>
      <c r="F165" s="90">
        <v>320</v>
      </c>
    </row>
    <row r="166" spans="1:6">
      <c r="A166" s="92">
        <v>46208</v>
      </c>
      <c r="B166" s="91">
        <v>1085030.1000000001</v>
      </c>
      <c r="C166" s="91">
        <v>6585.47</v>
      </c>
      <c r="D166" s="91">
        <v>1078444.6299999999</v>
      </c>
      <c r="E166" s="90">
        <v>0.59660000000000002</v>
      </c>
      <c r="F166" s="90">
        <v>315</v>
      </c>
    </row>
    <row r="167" spans="1:6">
      <c r="A167" s="92">
        <v>46209</v>
      </c>
      <c r="B167" s="91">
        <v>1081993.99</v>
      </c>
      <c r="C167" s="91">
        <v>26047.31</v>
      </c>
      <c r="D167" s="91">
        <v>1055946.68</v>
      </c>
      <c r="E167" s="90">
        <v>0.58299999999999996</v>
      </c>
      <c r="F167" s="90">
        <v>310</v>
      </c>
    </row>
    <row r="168" spans="1:6">
      <c r="A168" s="92">
        <v>46210</v>
      </c>
      <c r="B168" s="91">
        <v>1059903.17</v>
      </c>
      <c r="C168" s="91">
        <v>6346.72</v>
      </c>
      <c r="D168" s="91">
        <v>1053556.45</v>
      </c>
      <c r="E168" s="90">
        <v>0.58050000000000002</v>
      </c>
      <c r="F168" s="90">
        <v>307</v>
      </c>
    </row>
    <row r="169" spans="1:6">
      <c r="A169" s="92">
        <v>46211</v>
      </c>
      <c r="B169" s="91">
        <v>1054646.73</v>
      </c>
      <c r="C169" s="91">
        <v>10314.879999999999</v>
      </c>
      <c r="D169" s="91">
        <v>1044331.85</v>
      </c>
      <c r="E169" s="90">
        <v>0.57499999999999996</v>
      </c>
      <c r="F169" s="90">
        <v>302</v>
      </c>
    </row>
    <row r="170" spans="1:6">
      <c r="A170" s="92">
        <v>46212</v>
      </c>
      <c r="B170" s="91">
        <v>1045400.85</v>
      </c>
      <c r="C170" s="91">
        <v>7676.58</v>
      </c>
      <c r="D170" s="91">
        <v>1037724.27</v>
      </c>
      <c r="E170" s="90">
        <v>0.57110000000000005</v>
      </c>
      <c r="F170" s="90">
        <v>296</v>
      </c>
    </row>
    <row r="171" spans="1:6">
      <c r="A171" s="92">
        <v>46213</v>
      </c>
      <c r="B171" s="91">
        <v>1039337.27</v>
      </c>
      <c r="C171" s="91">
        <v>10971.06</v>
      </c>
      <c r="D171" s="91">
        <v>1028366.21</v>
      </c>
      <c r="E171" s="90">
        <v>0.56540000000000001</v>
      </c>
      <c r="F171" s="90">
        <v>290</v>
      </c>
    </row>
    <row r="172" spans="1:6">
      <c r="A172" s="92">
        <v>46214</v>
      </c>
      <c r="B172" s="91">
        <v>1032637.05</v>
      </c>
      <c r="C172" s="91">
        <v>5162.7</v>
      </c>
      <c r="D172" s="91">
        <v>1027474.35</v>
      </c>
      <c r="E172" s="90">
        <v>0.56359999999999999</v>
      </c>
      <c r="F172" s="90">
        <v>287</v>
      </c>
    </row>
    <row r="173" spans="1:6">
      <c r="A173" s="92">
        <v>46215</v>
      </c>
      <c r="B173" s="91">
        <v>1044802.9</v>
      </c>
      <c r="C173" s="91">
        <v>1714</v>
      </c>
      <c r="D173" s="91">
        <v>1043088.9</v>
      </c>
      <c r="E173" s="90">
        <v>0.56679999999999997</v>
      </c>
      <c r="F173" s="90">
        <v>286</v>
      </c>
    </row>
    <row r="174" spans="1:6">
      <c r="A174" s="92">
        <v>46216</v>
      </c>
      <c r="B174" s="91">
        <v>1043088.9</v>
      </c>
      <c r="C174" s="90">
        <v>0</v>
      </c>
      <c r="D174" s="91">
        <v>1043088.9</v>
      </c>
      <c r="E174" s="90">
        <v>0.56679999999999997</v>
      </c>
      <c r="F174" s="90">
        <v>286</v>
      </c>
    </row>
    <row r="175" spans="1:6">
      <c r="A175" s="92">
        <v>46217</v>
      </c>
      <c r="B175" s="91">
        <v>1033731.46</v>
      </c>
      <c r="C175" s="91">
        <v>3597.72</v>
      </c>
      <c r="D175" s="91">
        <v>1030133.74</v>
      </c>
      <c r="E175" s="90">
        <v>0.55830000000000002</v>
      </c>
      <c r="F175" s="90">
        <v>280</v>
      </c>
    </row>
    <row r="176" spans="1:6">
      <c r="A176" s="92">
        <v>46218</v>
      </c>
      <c r="B176" s="91">
        <v>1032732.25</v>
      </c>
      <c r="C176" s="91">
        <v>4759.87</v>
      </c>
      <c r="D176" s="91">
        <v>1027972.38</v>
      </c>
      <c r="E176" s="90">
        <v>0.55640000000000001</v>
      </c>
      <c r="F176" s="90">
        <v>277</v>
      </c>
    </row>
    <row r="177" spans="1:6">
      <c r="A177" s="92">
        <v>46219</v>
      </c>
      <c r="B177" s="91">
        <v>1029729.92</v>
      </c>
      <c r="C177" s="91">
        <v>3641.84</v>
      </c>
      <c r="D177" s="91">
        <v>1026088.08</v>
      </c>
      <c r="E177" s="90">
        <v>0.55479999999999996</v>
      </c>
      <c r="F177" s="90">
        <v>274</v>
      </c>
    </row>
    <row r="178" spans="1:6">
      <c r="A178" s="92">
        <v>46220</v>
      </c>
      <c r="B178" s="91">
        <v>1026504.79</v>
      </c>
      <c r="C178" s="91">
        <v>1777.95</v>
      </c>
      <c r="D178" s="91">
        <v>1024726.84</v>
      </c>
      <c r="E178" s="90">
        <v>0.55400000000000005</v>
      </c>
      <c r="F178" s="90">
        <v>270</v>
      </c>
    </row>
    <row r="179" spans="1:6">
      <c r="A179" s="92">
        <v>46221</v>
      </c>
      <c r="B179" s="91">
        <v>1026047.84</v>
      </c>
      <c r="C179" s="91">
        <v>1348.51</v>
      </c>
      <c r="D179" s="91">
        <v>1024699.33</v>
      </c>
      <c r="E179" s="90">
        <v>0.55359999999999998</v>
      </c>
      <c r="F179" s="90">
        <v>269</v>
      </c>
    </row>
    <row r="180" spans="1:6">
      <c r="A180" s="92">
        <v>46222</v>
      </c>
      <c r="B180" s="91">
        <v>1024699.33</v>
      </c>
      <c r="C180" s="90">
        <v>0</v>
      </c>
      <c r="D180" s="91">
        <v>1024699.33</v>
      </c>
      <c r="E180" s="90">
        <v>0.55359999999999998</v>
      </c>
      <c r="F180" s="90">
        <v>269</v>
      </c>
    </row>
    <row r="181" spans="1:6">
      <c r="A181" s="92">
        <v>46223</v>
      </c>
      <c r="B181" s="91">
        <v>1036102.53</v>
      </c>
      <c r="C181" s="91">
        <v>4684.1899999999996</v>
      </c>
      <c r="D181" s="91">
        <v>1031418.34</v>
      </c>
      <c r="E181" s="90">
        <v>0.55249999999999999</v>
      </c>
      <c r="F181" s="90">
        <v>266</v>
      </c>
    </row>
    <row r="182" spans="1:6">
      <c r="A182" s="92">
        <v>46224</v>
      </c>
      <c r="B182" s="91">
        <v>1042863.82</v>
      </c>
      <c r="C182" s="91">
        <v>5163.6099999999997</v>
      </c>
      <c r="D182" s="91">
        <v>1037700.21</v>
      </c>
      <c r="E182" s="90">
        <v>0.55249999999999999</v>
      </c>
      <c r="F182" s="90">
        <v>267</v>
      </c>
    </row>
    <row r="183" spans="1:6">
      <c r="A183" s="92">
        <v>46225</v>
      </c>
      <c r="B183" s="91">
        <v>1088531.3400000001</v>
      </c>
      <c r="C183" s="91">
        <v>8385.5300000000007</v>
      </c>
      <c r="D183" s="91">
        <v>1080145.81</v>
      </c>
      <c r="E183" s="90">
        <v>0.55989999999999995</v>
      </c>
      <c r="F183" s="90">
        <v>268</v>
      </c>
    </row>
    <row r="184" spans="1:6">
      <c r="A184" s="92">
        <v>46226</v>
      </c>
      <c r="B184" s="91">
        <v>1080169.33</v>
      </c>
      <c r="C184" s="91">
        <v>1386.43</v>
      </c>
      <c r="D184" s="91">
        <v>1078782.8999999999</v>
      </c>
      <c r="E184" s="90">
        <v>0.55920000000000003</v>
      </c>
      <c r="F184" s="90">
        <v>266</v>
      </c>
    </row>
    <row r="185" spans="1:6">
      <c r="A185" s="92">
        <v>46227</v>
      </c>
      <c r="B185" s="91">
        <v>1079834.81</v>
      </c>
      <c r="C185" s="91">
        <v>13359.76</v>
      </c>
      <c r="D185" s="91">
        <v>1066475.05</v>
      </c>
      <c r="E185" s="90">
        <v>0.55249999999999999</v>
      </c>
      <c r="F185" s="90">
        <v>260</v>
      </c>
    </row>
    <row r="186" spans="1:6">
      <c r="A186" s="92">
        <v>46228</v>
      </c>
      <c r="B186" s="91">
        <v>1067205.05</v>
      </c>
      <c r="C186" s="91">
        <v>1484.29</v>
      </c>
      <c r="D186" s="91">
        <v>1065720.76</v>
      </c>
      <c r="E186" s="90">
        <v>0.55189999999999995</v>
      </c>
      <c r="F186" s="90">
        <v>257</v>
      </c>
    </row>
    <row r="187" spans="1:6">
      <c r="A187" s="92">
        <v>46229</v>
      </c>
      <c r="B187" s="91">
        <v>1065942.76</v>
      </c>
      <c r="C187" s="91">
        <v>1815.27</v>
      </c>
      <c r="D187" s="91">
        <v>1064127.49</v>
      </c>
      <c r="E187" s="90">
        <v>0.55100000000000005</v>
      </c>
      <c r="F187" s="90">
        <v>253</v>
      </c>
    </row>
    <row r="188" spans="1:6">
      <c r="A188" s="92">
        <v>46230</v>
      </c>
      <c r="B188" s="91">
        <v>1064127.49</v>
      </c>
      <c r="C188" s="90">
        <v>0</v>
      </c>
      <c r="D188" s="91">
        <v>1064127.49</v>
      </c>
      <c r="E188" s="90">
        <v>0.55100000000000005</v>
      </c>
      <c r="F188" s="90">
        <v>253</v>
      </c>
    </row>
    <row r="189" spans="1:6">
      <c r="A189" s="455">
        <v>46235</v>
      </c>
      <c r="B189" s="456">
        <v>1400685.34</v>
      </c>
      <c r="C189" s="456">
        <v>414189.35</v>
      </c>
      <c r="D189" s="456">
        <v>986495.99</v>
      </c>
      <c r="E189">
        <v>0.70430000000000004</v>
      </c>
      <c r="F189">
        <v>438</v>
      </c>
    </row>
    <row r="190" spans="1:6">
      <c r="A190" s="455">
        <v>46236</v>
      </c>
      <c r="B190" s="456">
        <v>986495.99</v>
      </c>
      <c r="C190" s="456">
        <v>116573.56</v>
      </c>
      <c r="D190" s="456">
        <v>869922.43</v>
      </c>
      <c r="E190">
        <v>0.62109999999999999</v>
      </c>
      <c r="F190">
        <v>338</v>
      </c>
    </row>
    <row r="191" spans="1:6">
      <c r="A191" s="455">
        <v>46237</v>
      </c>
      <c r="B191" s="456">
        <v>878082.35</v>
      </c>
      <c r="C191" s="456">
        <v>159036.99</v>
      </c>
      <c r="D191" s="456">
        <v>719045.36</v>
      </c>
      <c r="E191">
        <v>0.50849999999999995</v>
      </c>
      <c r="F191">
        <v>221</v>
      </c>
    </row>
    <row r="192" spans="1:6">
      <c r="A192" s="455">
        <v>46238</v>
      </c>
      <c r="B192" s="456">
        <v>731357.36</v>
      </c>
      <c r="C192" s="456">
        <v>24153.91</v>
      </c>
      <c r="D192" s="456">
        <v>707203.45</v>
      </c>
      <c r="E192">
        <v>0.49580000000000002</v>
      </c>
      <c r="F192">
        <v>209</v>
      </c>
    </row>
    <row r="193" spans="1:6">
      <c r="A193" s="455">
        <v>46239</v>
      </c>
      <c r="B193" s="456">
        <v>707867.06</v>
      </c>
      <c r="C193" s="456">
        <v>11213.34</v>
      </c>
      <c r="D193" s="456">
        <v>696653.72</v>
      </c>
      <c r="E193">
        <v>0.48809999999999998</v>
      </c>
      <c r="F193">
        <v>198</v>
      </c>
    </row>
    <row r="194" spans="1:6">
      <c r="A194" s="455">
        <v>46240</v>
      </c>
      <c r="B194" s="456">
        <v>696653.72</v>
      </c>
      <c r="C194" s="456">
        <v>8358.2999999999993</v>
      </c>
      <c r="D194" s="456">
        <v>688295.42</v>
      </c>
      <c r="E194">
        <v>0.48230000000000001</v>
      </c>
      <c r="F194">
        <v>190</v>
      </c>
    </row>
    <row r="195" spans="1:6">
      <c r="A195" s="455">
        <v>46241</v>
      </c>
      <c r="B195" s="456">
        <v>690330.17</v>
      </c>
      <c r="C195" s="456">
        <v>5926.95</v>
      </c>
      <c r="D195" s="456">
        <v>684403.22</v>
      </c>
      <c r="E195">
        <v>0.47889999999999999</v>
      </c>
      <c r="F195">
        <v>187</v>
      </c>
    </row>
    <row r="196" spans="1:6">
      <c r="A196" s="455">
        <v>46242</v>
      </c>
      <c r="B196" s="456">
        <v>689706.77</v>
      </c>
      <c r="C196" s="456">
        <v>8515.08</v>
      </c>
      <c r="D196" s="456">
        <v>681191.69</v>
      </c>
      <c r="E196">
        <v>0.47489999999999999</v>
      </c>
      <c r="F196">
        <v>185</v>
      </c>
    </row>
    <row r="197" spans="1:6" s="1172" customFormat="1">
      <c r="A197" s="1231">
        <v>46243</v>
      </c>
      <c r="B197" s="1232">
        <v>682769.69</v>
      </c>
      <c r="C197" s="1232">
        <v>3753.95</v>
      </c>
      <c r="D197" s="1232">
        <v>679015.74</v>
      </c>
      <c r="E197" s="1172">
        <v>0.4728</v>
      </c>
      <c r="F197" s="1172">
        <v>184</v>
      </c>
    </row>
    <row r="198" spans="1:6">
      <c r="A198" s="455">
        <v>46244</v>
      </c>
      <c r="B198" s="456">
        <v>679015.74</v>
      </c>
      <c r="C198">
        <v>540</v>
      </c>
      <c r="D198" s="456">
        <v>678475.74</v>
      </c>
      <c r="E198">
        <v>0.47249999999999998</v>
      </c>
      <c r="F198">
        <v>184</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3B923-187E-492A-A916-8A288D0F2E7C}">
  <sheetPr codeName="Sheet14">
    <tabColor theme="4" tint="0.59999389629810485"/>
  </sheetPr>
  <dimension ref="A1:O719"/>
  <sheetViews>
    <sheetView topLeftCell="A167" workbookViewId="0">
      <selection sqref="A1:M1048576"/>
    </sheetView>
  </sheetViews>
  <sheetFormatPr defaultRowHeight="14.4"/>
  <cols>
    <col min="1" max="1" width="8.6640625" bestFit="1" customWidth="1"/>
    <col min="2" max="2" width="12" bestFit="1" customWidth="1"/>
    <col min="3" max="3" width="9.5546875" bestFit="1" customWidth="1"/>
    <col min="4" max="4" width="26.44140625" bestFit="1" customWidth="1"/>
    <col min="5" max="5" width="32.109375" bestFit="1" customWidth="1"/>
    <col min="6" max="8" width="11.44140625" bestFit="1" customWidth="1"/>
    <col min="9" max="9" width="27.5546875" bestFit="1" customWidth="1"/>
    <col min="10" max="10" width="9.6640625" bestFit="1" customWidth="1"/>
    <col min="11" max="12" width="10.6640625" bestFit="1" customWidth="1"/>
    <col min="13" max="13" width="9.88671875" bestFit="1" customWidth="1"/>
    <col min="14" max="14" width="17.6640625" bestFit="1" customWidth="1"/>
  </cols>
  <sheetData>
    <row r="1" spans="1:15">
      <c r="A1" t="s">
        <v>2301</v>
      </c>
      <c r="B1" t="s">
        <v>1760</v>
      </c>
      <c r="C1" t="s">
        <v>2231</v>
      </c>
      <c r="D1" t="s">
        <v>1138</v>
      </c>
      <c r="E1" t="s">
        <v>2109</v>
      </c>
      <c r="F1" t="s">
        <v>2383</v>
      </c>
      <c r="G1" t="s">
        <v>2384</v>
      </c>
      <c r="H1" t="s">
        <v>2385</v>
      </c>
      <c r="I1" t="s">
        <v>2386</v>
      </c>
      <c r="J1" t="s">
        <v>1097</v>
      </c>
      <c r="K1" t="s">
        <v>1101</v>
      </c>
      <c r="L1" t="s">
        <v>2112</v>
      </c>
      <c r="M1" t="s">
        <v>2113</v>
      </c>
      <c r="N1" s="1073" t="s">
        <v>2387</v>
      </c>
      <c r="O1" s="90"/>
    </row>
    <row r="2" spans="1:15">
      <c r="A2" t="s">
        <v>1751</v>
      </c>
      <c r="B2" t="s">
        <v>2388</v>
      </c>
      <c r="C2" t="s">
        <v>2258</v>
      </c>
      <c r="D2" t="s">
        <v>2389</v>
      </c>
      <c r="E2" t="s">
        <v>2390</v>
      </c>
      <c r="F2" s="455">
        <v>45586</v>
      </c>
      <c r="G2" s="455">
        <v>45586</v>
      </c>
      <c r="H2" s="455">
        <v>46011</v>
      </c>
      <c r="I2">
        <v>58.25</v>
      </c>
      <c r="J2">
        <v>0</v>
      </c>
      <c r="K2">
        <v>0</v>
      </c>
      <c r="L2">
        <v>0</v>
      </c>
      <c r="M2">
        <v>58.25</v>
      </c>
      <c r="N2" s="90" cm="1">
        <f t="array" ref="N2">IF(AND(OR(ISNUMBER(SEARCH("Eviction",E2)),ISNUMBER(SEARCH("Past",E2)),ISNUMBER(SEARCH("Skip",E2)),ISNUMBER(SEARCH("Collections",E2)),COUNTIF(Delinquency_Detail_3!$N$3:$N$24,D2)&gt;0),COUNTIF(Delinquency_Detail_3!$P$3:$P$24,D2)=0,I2&gt;0,SUMPRODUCT((LeaseLock!$D$2:$D$500=B2)*(ISNUMBER(SEARCH(TRIM(LEFT(SUBSTITUTE(D2,",",REPT(" ",100)),100)),LeaseLock!$C$2:$C$500))))=0),1,0)</f>
        <v>1</v>
      </c>
      <c r="O2" s="90"/>
    </row>
    <row r="3" spans="1:15">
      <c r="A3" t="s">
        <v>1751</v>
      </c>
      <c r="B3" t="s">
        <v>2388</v>
      </c>
      <c r="C3" t="s">
        <v>2258</v>
      </c>
      <c r="D3" t="s">
        <v>2391</v>
      </c>
      <c r="E3" t="s">
        <v>2392</v>
      </c>
      <c r="F3" s="455">
        <v>46097</v>
      </c>
      <c r="G3" s="455">
        <v>46097</v>
      </c>
      <c r="H3" s="455">
        <v>46461</v>
      </c>
      <c r="I3" s="456">
        <v>1106.75</v>
      </c>
      <c r="J3" s="456">
        <v>1106.75</v>
      </c>
      <c r="K3">
        <v>0</v>
      </c>
      <c r="L3">
        <v>0</v>
      </c>
      <c r="M3">
        <v>0</v>
      </c>
      <c r="N3" s="90" cm="1">
        <f t="array" ref="N3">IF(AND(OR(ISNUMBER(SEARCH("Eviction",E3)),ISNUMBER(SEARCH("Past",E3)),ISNUMBER(SEARCH("Skip",E3)),ISNUMBER(SEARCH("Collections",E3)),COUNTIF(Delinquency_Detail_3!$N$3:$N$24,D3)&gt;0),COUNTIF(Delinquency_Detail_3!$P$3:$P$24,D3)=0,I3&gt;0,SUMPRODUCT((LeaseLock!$D$2:$D$500=B3)*(ISNUMBER(SEARCH(TRIM(LEFT(SUBSTITUTE(D3,",",REPT(" ",100)),100)),LeaseLock!$C$2:$C$500))))=0),1,0)</f>
        <v>0</v>
      </c>
      <c r="O3" s="90"/>
    </row>
    <row r="4" spans="1:15">
      <c r="A4" t="s">
        <v>1751</v>
      </c>
      <c r="B4" t="s">
        <v>2393</v>
      </c>
      <c r="C4" t="s">
        <v>2258</v>
      </c>
      <c r="D4" t="s">
        <v>2394</v>
      </c>
      <c r="E4" t="s">
        <v>2135</v>
      </c>
      <c r="F4" s="455">
        <v>44750</v>
      </c>
      <c r="G4" s="455">
        <v>45839</v>
      </c>
      <c r="H4" s="455">
        <v>46203</v>
      </c>
      <c r="I4">
        <v>726.7</v>
      </c>
      <c r="J4">
        <v>0</v>
      </c>
      <c r="K4">
        <v>726.7</v>
      </c>
      <c r="L4">
        <v>0</v>
      </c>
      <c r="M4">
        <v>0</v>
      </c>
      <c r="N4" s="90" cm="1">
        <f t="array" ref="N4">IF(AND(OR(ISNUMBER(SEARCH("Eviction",E4)),ISNUMBER(SEARCH("Past",E4)),ISNUMBER(SEARCH("Skip",E4)),ISNUMBER(SEARCH("Collections",E4)),COUNTIF(Delinquency_Detail_3!$N$3:$N$24,D4)&gt;0),COUNTIF(Delinquency_Detail_3!$P$3:$P$24,D4)=0,I4&gt;0,SUMPRODUCT((LeaseLock!$D$2:$D$500=B4)*(ISNUMBER(SEARCH(TRIM(LEFT(SUBSTITUTE(D4,",",REPT(" ",100)),100)),LeaseLock!$C$2:$C$500))))=0),1,0)</f>
        <v>1</v>
      </c>
      <c r="O4" s="90"/>
    </row>
    <row r="5" spans="1:15">
      <c r="A5" t="s">
        <v>1751</v>
      </c>
      <c r="B5" t="s">
        <v>2395</v>
      </c>
      <c r="C5" t="s">
        <v>2258</v>
      </c>
      <c r="D5" t="s">
        <v>2396</v>
      </c>
      <c r="E5" t="s">
        <v>2135</v>
      </c>
      <c r="F5" s="455">
        <v>45017</v>
      </c>
      <c r="G5" s="455">
        <v>45839</v>
      </c>
      <c r="H5" s="455">
        <v>46203</v>
      </c>
      <c r="I5">
        <v>775</v>
      </c>
      <c r="J5">
        <v>0</v>
      </c>
      <c r="K5">
        <v>775</v>
      </c>
      <c r="L5">
        <v>0</v>
      </c>
      <c r="M5">
        <v>0</v>
      </c>
      <c r="N5" s="90" cm="1">
        <f t="array" ref="N5">IF(AND(OR(ISNUMBER(SEARCH("Eviction",E5)),ISNUMBER(SEARCH("Past",E5)),ISNUMBER(SEARCH("Skip",E5)),ISNUMBER(SEARCH("Collections",E5)),COUNTIF(Delinquency_Detail_3!$N$3:$N$24,D5)&gt;0),COUNTIF(Delinquency_Detail_3!$P$3:$P$24,D5)=0,I5&gt;0,SUMPRODUCT((LeaseLock!$D$2:$D$500=B5)*(ISNUMBER(SEARCH(TRIM(LEFT(SUBSTITUTE(D5,",",REPT(" ",100)),100)),LeaseLock!$C$2:$C$500))))=0),1,0)</f>
        <v>1</v>
      </c>
      <c r="O5" s="90"/>
    </row>
    <row r="6" spans="1:15">
      <c r="A6" t="s">
        <v>1751</v>
      </c>
      <c r="B6" t="s">
        <v>2397</v>
      </c>
      <c r="C6" t="s">
        <v>2258</v>
      </c>
      <c r="D6" t="s">
        <v>2398</v>
      </c>
      <c r="E6" t="s">
        <v>2120</v>
      </c>
      <c r="F6" s="455">
        <v>45873</v>
      </c>
      <c r="G6" s="455">
        <v>45873</v>
      </c>
      <c r="H6" s="455">
        <v>46237</v>
      </c>
      <c r="I6" s="456">
        <v>3337.61</v>
      </c>
      <c r="J6">
        <v>0</v>
      </c>
      <c r="K6" s="456">
        <v>1289.17</v>
      </c>
      <c r="L6" s="456">
        <v>1000.97</v>
      </c>
      <c r="M6" s="456">
        <v>1047.47</v>
      </c>
      <c r="N6" s="90" cm="1">
        <f t="array" ref="N6">IF(AND(OR(ISNUMBER(SEARCH("Eviction",E6)),ISNUMBER(SEARCH("Past",E6)),ISNUMBER(SEARCH("Skip",E6)),ISNUMBER(SEARCH("Collections",E6)),COUNTIF(Delinquency_Detail_3!$N$3:$N$24,D6)&gt;0),COUNTIF(Delinquency_Detail_3!$P$3:$P$24,D6)=0,I6&gt;0,SUMPRODUCT((LeaseLock!$D$2:$D$500=B6)*(ISNUMBER(SEARCH(TRIM(LEFT(SUBSTITUTE(D6,",",REPT(" ",100)),100)),LeaseLock!$C$2:$C$500))))=0),1,0)</f>
        <v>1</v>
      </c>
      <c r="O6" s="90"/>
    </row>
    <row r="7" spans="1:15">
      <c r="A7" t="s">
        <v>1751</v>
      </c>
      <c r="B7" t="s">
        <v>2399</v>
      </c>
      <c r="C7" t="s">
        <v>2265</v>
      </c>
      <c r="D7" t="s">
        <v>2400</v>
      </c>
      <c r="E7" t="s">
        <v>2401</v>
      </c>
      <c r="F7" s="455">
        <v>45535</v>
      </c>
      <c r="G7" s="455">
        <v>45961</v>
      </c>
      <c r="H7" s="455">
        <v>46325</v>
      </c>
      <c r="I7">
        <v>72.510000000000005</v>
      </c>
      <c r="J7">
        <v>72.510000000000005</v>
      </c>
      <c r="K7">
        <v>0</v>
      </c>
      <c r="L7">
        <v>0</v>
      </c>
      <c r="M7">
        <v>0</v>
      </c>
      <c r="N7" s="90" cm="1">
        <f t="array" ref="N7">IF(AND(OR(ISNUMBER(SEARCH("Eviction",E7)),ISNUMBER(SEARCH("Past",E7)),ISNUMBER(SEARCH("Skip",E7)),ISNUMBER(SEARCH("Collections",E7)),COUNTIF(Delinquency_Detail_3!$N$3:$N$24,D7)&gt;0),COUNTIF(Delinquency_Detail_3!$P$3:$P$24,D7)=0,I7&gt;0,SUMPRODUCT((LeaseLock!$D$2:$D$500=B7)*(ISNUMBER(SEARCH(TRIM(LEFT(SUBSTITUTE(D7,",",REPT(" ",100)),100)),LeaseLock!$C$2:$C$500))))=0),1,0)</f>
        <v>0</v>
      </c>
      <c r="O7" s="90"/>
    </row>
    <row r="8" spans="1:15">
      <c r="A8" t="s">
        <v>1751</v>
      </c>
      <c r="B8" t="s">
        <v>1834</v>
      </c>
      <c r="C8" t="s">
        <v>2261</v>
      </c>
      <c r="D8" t="s">
        <v>2402</v>
      </c>
      <c r="E8" t="s">
        <v>2118</v>
      </c>
      <c r="F8" s="455">
        <v>46153</v>
      </c>
      <c r="G8" s="455">
        <v>46153</v>
      </c>
      <c r="H8" s="455">
        <v>46517</v>
      </c>
      <c r="I8" s="456">
        <v>3706.73</v>
      </c>
      <c r="J8">
        <v>0</v>
      </c>
      <c r="K8" s="456">
        <v>3706.73</v>
      </c>
      <c r="L8">
        <v>0</v>
      </c>
      <c r="M8">
        <v>0</v>
      </c>
      <c r="N8" s="90" cm="1">
        <f t="array" ref="N8">IF(AND(OR(ISNUMBER(SEARCH("Eviction",E8)),ISNUMBER(SEARCH("Past",E8)),ISNUMBER(SEARCH("Skip",E8)),ISNUMBER(SEARCH("Collections",E8)),COUNTIF(Delinquency_Detail_3!$N$3:$N$24,D8)&gt;0),COUNTIF(Delinquency_Detail_3!$P$3:$P$24,D8)=0,I8&gt;0,SUMPRODUCT((LeaseLock!$D$2:$D$500=B8)*(ISNUMBER(SEARCH(TRIM(LEFT(SUBSTITUTE(D8,",",REPT(" ",100)),100)),LeaseLock!$C$2:$C$500))))=0),1,0)</f>
        <v>1</v>
      </c>
      <c r="O8" s="90"/>
    </row>
    <row r="9" spans="1:15">
      <c r="A9" t="s">
        <v>1751</v>
      </c>
      <c r="B9" t="s">
        <v>2403</v>
      </c>
      <c r="C9" t="s">
        <v>2261</v>
      </c>
      <c r="D9" t="s">
        <v>2404</v>
      </c>
      <c r="E9" t="s">
        <v>2392</v>
      </c>
      <c r="F9" s="455">
        <v>46171</v>
      </c>
      <c r="G9" s="455">
        <v>46171</v>
      </c>
      <c r="H9" s="455">
        <v>46535</v>
      </c>
      <c r="I9">
        <v>989.95</v>
      </c>
      <c r="J9">
        <v>989.95</v>
      </c>
      <c r="K9">
        <v>0</v>
      </c>
      <c r="L9">
        <v>0</v>
      </c>
      <c r="M9">
        <v>0</v>
      </c>
      <c r="N9" s="90" cm="1">
        <f t="array" ref="N9">IF(AND(OR(ISNUMBER(SEARCH("Eviction",E9)),ISNUMBER(SEARCH("Past",E9)),ISNUMBER(SEARCH("Skip",E9)),ISNUMBER(SEARCH("Collections",E9)),COUNTIF(Delinquency_Detail_3!$N$3:$N$24,D9)&gt;0),COUNTIF(Delinquency_Detail_3!$P$3:$P$24,D9)=0,I9&gt;0,SUMPRODUCT((LeaseLock!$D$2:$D$500=B9)*(ISNUMBER(SEARCH(TRIM(LEFT(SUBSTITUTE(D9,",",REPT(" ",100)),100)),LeaseLock!$C$2:$C$500))))=0),1,0)</f>
        <v>0</v>
      </c>
      <c r="O9" s="90"/>
    </row>
    <row r="10" spans="1:15">
      <c r="A10" t="s">
        <v>1751</v>
      </c>
      <c r="B10" t="s">
        <v>2405</v>
      </c>
      <c r="C10" t="s">
        <v>2261</v>
      </c>
      <c r="D10" t="s">
        <v>2406</v>
      </c>
      <c r="E10" t="s">
        <v>2392</v>
      </c>
      <c r="F10" s="455">
        <v>46234</v>
      </c>
      <c r="G10" s="455">
        <v>46234</v>
      </c>
      <c r="H10" s="455">
        <v>46598</v>
      </c>
      <c r="I10">
        <v>2.71</v>
      </c>
      <c r="J10">
        <v>2.71</v>
      </c>
      <c r="K10">
        <v>0</v>
      </c>
      <c r="L10">
        <v>0</v>
      </c>
      <c r="M10">
        <v>0</v>
      </c>
      <c r="N10" s="90" cm="1">
        <f t="array" ref="N10">IF(AND(OR(ISNUMBER(SEARCH("Eviction",E10)),ISNUMBER(SEARCH("Past",E10)),ISNUMBER(SEARCH("Skip",E10)),ISNUMBER(SEARCH("Collections",E10)),COUNTIF(Delinquency_Detail_3!$N$3:$N$24,D10)&gt;0),COUNTIF(Delinquency_Detail_3!$P$3:$P$24,D10)=0,I10&gt;0,SUMPRODUCT((LeaseLock!$D$2:$D$500=B10)*(ISNUMBER(SEARCH(TRIM(LEFT(SUBSTITUTE(D10,",",REPT(" ",100)),100)),LeaseLock!$C$2:$C$500))))=0),1,0)</f>
        <v>0</v>
      </c>
      <c r="O10" s="90"/>
    </row>
    <row r="11" spans="1:15">
      <c r="A11" t="s">
        <v>1751</v>
      </c>
      <c r="B11" t="s">
        <v>2407</v>
      </c>
      <c r="C11" t="s">
        <v>2261</v>
      </c>
      <c r="D11" t="s">
        <v>2408</v>
      </c>
      <c r="E11" t="s">
        <v>2120</v>
      </c>
      <c r="F11" s="455">
        <v>45470</v>
      </c>
      <c r="G11" s="455">
        <v>45870</v>
      </c>
      <c r="H11" s="455">
        <v>46234</v>
      </c>
      <c r="I11" s="456">
        <v>5448.36</v>
      </c>
      <c r="J11">
        <v>0</v>
      </c>
      <c r="K11">
        <v>0</v>
      </c>
      <c r="L11" s="456">
        <v>4198.43</v>
      </c>
      <c r="M11" s="456">
        <v>1249.93</v>
      </c>
      <c r="N11" s="90" cm="1">
        <f t="array" ref="N11">IF(AND(OR(ISNUMBER(SEARCH("Eviction",E11)),ISNUMBER(SEARCH("Past",E11)),ISNUMBER(SEARCH("Skip",E11)),ISNUMBER(SEARCH("Collections",E11)),COUNTIF(Delinquency_Detail_3!$N$3:$N$24,D11)&gt;0),COUNTIF(Delinquency_Detail_3!$P$3:$P$24,D11)=0,I11&gt;0,SUMPRODUCT((LeaseLock!$D$2:$D$500=B11)*(ISNUMBER(SEARCH(TRIM(LEFT(SUBSTITUTE(D11,",",REPT(" ",100)),100)),LeaseLock!$C$2:$C$500))))=0),1,0)</f>
        <v>0</v>
      </c>
      <c r="O11" s="90"/>
    </row>
    <row r="12" spans="1:15">
      <c r="A12" t="s">
        <v>1751</v>
      </c>
      <c r="B12" t="s">
        <v>2409</v>
      </c>
      <c r="C12" t="s">
        <v>2261</v>
      </c>
      <c r="D12" t="s">
        <v>2410</v>
      </c>
      <c r="E12" t="s">
        <v>2120</v>
      </c>
      <c r="F12" s="455">
        <v>45611</v>
      </c>
      <c r="G12" s="455">
        <v>46037</v>
      </c>
      <c r="H12" s="455">
        <v>46171</v>
      </c>
      <c r="I12" s="456">
        <v>3262.06</v>
      </c>
      <c r="J12">
        <v>0</v>
      </c>
      <c r="K12">
        <v>0</v>
      </c>
      <c r="L12">
        <v>0</v>
      </c>
      <c r="M12" s="456">
        <v>3262.06</v>
      </c>
      <c r="N12" s="90" cm="1">
        <f t="array" ref="N12">IF(AND(OR(ISNUMBER(SEARCH("Eviction",E12)),ISNUMBER(SEARCH("Past",E12)),ISNUMBER(SEARCH("Skip",E12)),ISNUMBER(SEARCH("Collections",E12)),COUNTIF(Delinquency_Detail_3!$N$3:$N$24,D12)&gt;0),COUNTIF(Delinquency_Detail_3!$P$3:$P$24,D12)=0,I12&gt;0,SUMPRODUCT((LeaseLock!$D$2:$D$500=B12)*(ISNUMBER(SEARCH(TRIM(LEFT(SUBSTITUTE(D12,",",REPT(" ",100)),100)),LeaseLock!$C$2:$C$500))))=0),1,0)</f>
        <v>0</v>
      </c>
      <c r="O12" s="90"/>
    </row>
    <row r="13" spans="1:15">
      <c r="A13" t="s">
        <v>1751</v>
      </c>
      <c r="B13" t="s">
        <v>2411</v>
      </c>
      <c r="C13" t="s">
        <v>2261</v>
      </c>
      <c r="D13" t="s">
        <v>2412</v>
      </c>
      <c r="E13" t="s">
        <v>2120</v>
      </c>
      <c r="F13" s="455">
        <v>45661</v>
      </c>
      <c r="G13" s="455">
        <v>46085</v>
      </c>
      <c r="H13" s="455">
        <v>46449</v>
      </c>
      <c r="I13" s="456">
        <v>2837.28</v>
      </c>
      <c r="J13">
        <v>0</v>
      </c>
      <c r="K13" s="456">
        <v>1545.68</v>
      </c>
      <c r="L13" s="456">
        <v>1291.5999999999999</v>
      </c>
      <c r="M13">
        <v>0</v>
      </c>
      <c r="N13" s="90" cm="1">
        <f t="array" ref="N13">IF(AND(OR(ISNUMBER(SEARCH("Eviction",E13)),ISNUMBER(SEARCH("Past",E13)),ISNUMBER(SEARCH("Skip",E13)),ISNUMBER(SEARCH("Collections",E13)),COUNTIF(Delinquency_Detail_3!$N$3:$N$24,D13)&gt;0),COUNTIF(Delinquency_Detail_3!$P$3:$P$24,D13)=0,I13&gt;0,SUMPRODUCT((LeaseLock!$D$2:$D$500=B13)*(ISNUMBER(SEARCH(TRIM(LEFT(SUBSTITUTE(D13,",",REPT(" ",100)),100)),LeaseLock!$C$2:$C$500))))=0),1,0)</f>
        <v>1</v>
      </c>
      <c r="O13" s="90"/>
    </row>
    <row r="14" spans="1:15">
      <c r="A14" t="s">
        <v>1751</v>
      </c>
      <c r="B14" t="s">
        <v>2413</v>
      </c>
      <c r="C14" t="s">
        <v>2273</v>
      </c>
      <c r="D14" t="s">
        <v>2414</v>
      </c>
      <c r="E14" t="s">
        <v>2135</v>
      </c>
      <c r="F14" s="455">
        <v>44713</v>
      </c>
      <c r="G14" s="455">
        <v>45839</v>
      </c>
      <c r="H14" s="455">
        <v>46203</v>
      </c>
      <c r="I14">
        <v>938.04</v>
      </c>
      <c r="J14">
        <v>0</v>
      </c>
      <c r="K14">
        <v>938.04</v>
      </c>
      <c r="L14">
        <v>0</v>
      </c>
      <c r="M14">
        <v>0</v>
      </c>
      <c r="N14" s="90" cm="1">
        <f t="array" ref="N14">IF(AND(OR(ISNUMBER(SEARCH("Eviction",E14)),ISNUMBER(SEARCH("Past",E14)),ISNUMBER(SEARCH("Skip",E14)),ISNUMBER(SEARCH("Collections",E14)),COUNTIF(Delinquency_Detail_3!$N$3:$N$24,D14)&gt;0),COUNTIF(Delinquency_Detail_3!$P$3:$P$24,D14)=0,I14&gt;0,SUMPRODUCT((LeaseLock!$D$2:$D$500=B14)*(ISNUMBER(SEARCH(TRIM(LEFT(SUBSTITUTE(D14,",",REPT(" ",100)),100)),LeaseLock!$C$2:$C$500))))=0),1,0)</f>
        <v>1</v>
      </c>
      <c r="O14" s="90"/>
    </row>
    <row r="15" spans="1:15">
      <c r="A15" t="s">
        <v>1751</v>
      </c>
      <c r="B15" t="s">
        <v>2415</v>
      </c>
      <c r="C15" t="s">
        <v>2258</v>
      </c>
      <c r="D15" t="s">
        <v>2416</v>
      </c>
      <c r="E15" t="s">
        <v>2120</v>
      </c>
      <c r="F15" s="455">
        <v>45646</v>
      </c>
      <c r="G15" s="455">
        <v>46011</v>
      </c>
      <c r="H15" s="455">
        <v>46204</v>
      </c>
      <c r="I15" s="456">
        <v>17611.689999999999</v>
      </c>
      <c r="J15">
        <v>0</v>
      </c>
      <c r="K15" s="456">
        <v>2888.78</v>
      </c>
      <c r="L15">
        <v>927.97</v>
      </c>
      <c r="M15" s="456">
        <v>13794.94</v>
      </c>
      <c r="N15" s="90" cm="1">
        <f t="array" ref="N15">IF(AND(OR(ISNUMBER(SEARCH("Eviction",E15)),ISNUMBER(SEARCH("Past",E15)),ISNUMBER(SEARCH("Skip",E15)),ISNUMBER(SEARCH("Collections",E15)),COUNTIF(Delinquency_Detail_3!$N$3:$N$24,D15)&gt;0),COUNTIF(Delinquency_Detail_3!$P$3:$P$24,D15)=0,I15&gt;0,SUMPRODUCT((LeaseLock!$D$2:$D$500=B15)*(ISNUMBER(SEARCH(TRIM(LEFT(SUBSTITUTE(D15,",",REPT(" ",100)),100)),LeaseLock!$C$2:$C$500))))=0),1,0)</f>
        <v>1</v>
      </c>
      <c r="O15" s="90"/>
    </row>
    <row r="16" spans="1:15">
      <c r="A16" t="s">
        <v>1751</v>
      </c>
      <c r="B16" t="s">
        <v>2417</v>
      </c>
      <c r="C16" t="s">
        <v>2258</v>
      </c>
      <c r="D16" t="s">
        <v>2418</v>
      </c>
      <c r="E16" t="s">
        <v>2135</v>
      </c>
      <c r="F16" s="455">
        <v>43017</v>
      </c>
      <c r="G16" s="455">
        <v>45870</v>
      </c>
      <c r="H16" s="455">
        <v>46234</v>
      </c>
      <c r="I16">
        <v>507.9</v>
      </c>
      <c r="J16">
        <v>0</v>
      </c>
      <c r="K16">
        <v>507.9</v>
      </c>
      <c r="L16">
        <v>0</v>
      </c>
      <c r="M16">
        <v>0</v>
      </c>
      <c r="N16" s="90" cm="1">
        <f t="array" ref="N16">IF(AND(OR(ISNUMBER(SEARCH("Eviction",E16)),ISNUMBER(SEARCH("Past",E16)),ISNUMBER(SEARCH("Skip",E16)),ISNUMBER(SEARCH("Collections",E16)),COUNTIF(Delinquency_Detail_3!$N$3:$N$24,D16)&gt;0),COUNTIF(Delinquency_Detail_3!$P$3:$P$24,D16)=0,I16&gt;0,SUMPRODUCT((LeaseLock!$D$2:$D$500=B16)*(ISNUMBER(SEARCH(TRIM(LEFT(SUBSTITUTE(D16,",",REPT(" ",100)),100)),LeaseLock!$C$2:$C$500))))=0),1,0)</f>
        <v>1</v>
      </c>
      <c r="O16" s="90"/>
    </row>
    <row r="17" spans="1:15">
      <c r="A17" t="s">
        <v>1751</v>
      </c>
      <c r="B17" t="s">
        <v>1821</v>
      </c>
      <c r="C17" t="s">
        <v>2258</v>
      </c>
      <c r="D17" t="s">
        <v>1822</v>
      </c>
      <c r="E17" t="s">
        <v>2392</v>
      </c>
      <c r="F17" s="455">
        <v>46114</v>
      </c>
      <c r="G17" s="455">
        <v>46114</v>
      </c>
      <c r="H17" s="455">
        <v>46478</v>
      </c>
      <c r="I17">
        <v>176.69</v>
      </c>
      <c r="J17">
        <v>176.69</v>
      </c>
      <c r="K17">
        <v>0</v>
      </c>
      <c r="L17">
        <v>0</v>
      </c>
      <c r="M17">
        <v>0</v>
      </c>
      <c r="N17" s="90" cm="1">
        <f t="array" ref="N17">IF(AND(OR(ISNUMBER(SEARCH("Eviction",E17)),ISNUMBER(SEARCH("Past",E17)),ISNUMBER(SEARCH("Skip",E17)),ISNUMBER(SEARCH("Collections",E17)),COUNTIF(Delinquency_Detail_3!$N$3:$N$24,D17)&gt;0),COUNTIF(Delinquency_Detail_3!$P$3:$P$24,D17)=0,I17&gt;0,SUMPRODUCT((LeaseLock!$D$2:$D$500=B17)*(ISNUMBER(SEARCH(TRIM(LEFT(SUBSTITUTE(D17,",",REPT(" ",100)),100)),LeaseLock!$C$2:$C$500))))=0),1,0)</f>
        <v>0</v>
      </c>
      <c r="O17" s="90"/>
    </row>
    <row r="18" spans="1:15">
      <c r="A18" t="s">
        <v>1751</v>
      </c>
      <c r="B18" t="s">
        <v>2419</v>
      </c>
      <c r="C18" t="s">
        <v>2258</v>
      </c>
      <c r="D18" t="s">
        <v>2420</v>
      </c>
      <c r="E18" t="s">
        <v>2421</v>
      </c>
      <c r="F18" s="455">
        <v>45709</v>
      </c>
      <c r="G18" s="455">
        <v>46133</v>
      </c>
      <c r="H18" s="455">
        <v>46265</v>
      </c>
      <c r="I18" s="456">
        <v>14833.19</v>
      </c>
      <c r="J18" s="456">
        <v>1354.7</v>
      </c>
      <c r="K18" s="456">
        <v>1369.98</v>
      </c>
      <c r="L18" s="456">
        <v>1196.97</v>
      </c>
      <c r="M18" s="456">
        <v>10911.54</v>
      </c>
      <c r="N18" s="90" cm="1">
        <f t="array" ref="N18">IF(AND(OR(ISNUMBER(SEARCH("Eviction",E18)),ISNUMBER(SEARCH("Past",E18)),ISNUMBER(SEARCH("Skip",E18)),ISNUMBER(SEARCH("Collections",E18)),COUNTIF(Delinquency_Detail_3!$N$3:$N$24,D18)&gt;0),COUNTIF(Delinquency_Detail_3!$P$3:$P$24,D18)=0,I18&gt;0,SUMPRODUCT((LeaseLock!$D$2:$D$500=B18)*(ISNUMBER(SEARCH(TRIM(LEFT(SUBSTITUTE(D18,",",REPT(" ",100)),100)),LeaseLock!$C$2:$C$500))))=0),1,0)</f>
        <v>1</v>
      </c>
      <c r="O18" s="90"/>
    </row>
    <row r="19" spans="1:15">
      <c r="A19" t="s">
        <v>1751</v>
      </c>
      <c r="B19" t="s">
        <v>2422</v>
      </c>
      <c r="C19" t="s">
        <v>2258</v>
      </c>
      <c r="D19" t="s">
        <v>2423</v>
      </c>
      <c r="E19" t="s">
        <v>2392</v>
      </c>
      <c r="F19" s="455">
        <v>45622</v>
      </c>
      <c r="G19" s="455">
        <v>45987</v>
      </c>
      <c r="H19" s="455">
        <v>46351</v>
      </c>
      <c r="I19" s="456">
        <v>1036.68</v>
      </c>
      <c r="J19" s="456">
        <v>1036.68</v>
      </c>
      <c r="K19">
        <v>0</v>
      </c>
      <c r="L19">
        <v>0</v>
      </c>
      <c r="M19">
        <v>0</v>
      </c>
      <c r="N19" s="90" cm="1">
        <f t="array" ref="N19">IF(AND(OR(ISNUMBER(SEARCH("Eviction",E19)),ISNUMBER(SEARCH("Past",E19)),ISNUMBER(SEARCH("Skip",E19)),ISNUMBER(SEARCH("Collections",E19)),COUNTIF(Delinquency_Detail_3!$N$3:$N$24,D19)&gt;0),COUNTIF(Delinquency_Detail_3!$P$3:$P$24,D19)=0,I19&gt;0,SUMPRODUCT((LeaseLock!$D$2:$D$500=B19)*(ISNUMBER(SEARCH(TRIM(LEFT(SUBSTITUTE(D19,",",REPT(" ",100)),100)),LeaseLock!$C$2:$C$500))))=0),1,0)</f>
        <v>0</v>
      </c>
      <c r="O19" s="90"/>
    </row>
    <row r="20" spans="1:15">
      <c r="A20" t="s">
        <v>1751</v>
      </c>
      <c r="B20" t="s">
        <v>1947</v>
      </c>
      <c r="C20" t="s">
        <v>2258</v>
      </c>
      <c r="D20" t="s">
        <v>2424</v>
      </c>
      <c r="E20" t="s">
        <v>2392</v>
      </c>
      <c r="F20" s="455">
        <v>46182</v>
      </c>
      <c r="G20" s="455">
        <v>46182</v>
      </c>
      <c r="H20" s="455">
        <v>46546</v>
      </c>
      <c r="I20" s="456">
        <v>1105.8</v>
      </c>
      <c r="J20" s="456">
        <v>1105.8</v>
      </c>
      <c r="K20">
        <v>0</v>
      </c>
      <c r="L20">
        <v>0</v>
      </c>
      <c r="M20">
        <v>0</v>
      </c>
      <c r="N20" s="90" cm="1">
        <f t="array" ref="N20">IF(AND(OR(ISNUMBER(SEARCH("Eviction",E20)),ISNUMBER(SEARCH("Past",E20)),ISNUMBER(SEARCH("Skip",E20)),ISNUMBER(SEARCH("Collections",E20)),COUNTIF(Delinquency_Detail_3!$N$3:$N$24,D20)&gt;0),COUNTIF(Delinquency_Detail_3!$P$3:$P$24,D20)=0,I20&gt;0,SUMPRODUCT((LeaseLock!$D$2:$D$500=B20)*(ISNUMBER(SEARCH(TRIM(LEFT(SUBSTITUTE(D20,",",REPT(" ",100)),100)),LeaseLock!$C$2:$C$500))))=0),1,0)</f>
        <v>0</v>
      </c>
      <c r="O20" s="90"/>
    </row>
    <row r="21" spans="1:15">
      <c r="A21" t="s">
        <v>1751</v>
      </c>
      <c r="B21" t="s">
        <v>2425</v>
      </c>
      <c r="C21" t="s">
        <v>2265</v>
      </c>
      <c r="D21" t="s">
        <v>2426</v>
      </c>
      <c r="E21" t="s">
        <v>2118</v>
      </c>
      <c r="F21" s="455">
        <v>45591</v>
      </c>
      <c r="G21" s="455">
        <v>46017</v>
      </c>
      <c r="H21" s="455">
        <v>46190</v>
      </c>
      <c r="I21" s="456">
        <v>3374.64</v>
      </c>
      <c r="J21">
        <v>0</v>
      </c>
      <c r="K21">
        <v>530</v>
      </c>
      <c r="L21" s="456">
        <v>1287.74</v>
      </c>
      <c r="M21" s="456">
        <v>1556.9</v>
      </c>
      <c r="N21" s="90" cm="1">
        <f t="array" ref="N21">IF(AND(OR(ISNUMBER(SEARCH("Eviction",E21)),ISNUMBER(SEARCH("Past",E21)),ISNUMBER(SEARCH("Skip",E21)),ISNUMBER(SEARCH("Collections",E21)),COUNTIF(Delinquency_Detail_3!$N$3:$N$24,D21)&gt;0),COUNTIF(Delinquency_Detail_3!$P$3:$P$24,D21)=0,I21&gt;0,SUMPRODUCT((LeaseLock!$D$2:$D$500=B21)*(ISNUMBER(SEARCH(TRIM(LEFT(SUBSTITUTE(D21,",",REPT(" ",100)),100)),LeaseLock!$C$2:$C$500))))=0),1,0)</f>
        <v>1</v>
      </c>
      <c r="O21" s="90"/>
    </row>
    <row r="22" spans="1:15">
      <c r="A22" t="s">
        <v>1751</v>
      </c>
      <c r="B22" t="s">
        <v>2427</v>
      </c>
      <c r="C22" t="s">
        <v>2258</v>
      </c>
      <c r="D22" t="s">
        <v>2428</v>
      </c>
      <c r="E22" t="s">
        <v>2401</v>
      </c>
      <c r="F22" s="455">
        <v>44682</v>
      </c>
      <c r="G22" s="455">
        <v>45962</v>
      </c>
      <c r="H22" s="455">
        <v>46326</v>
      </c>
      <c r="I22">
        <v>595.70000000000005</v>
      </c>
      <c r="J22">
        <v>595.70000000000005</v>
      </c>
      <c r="K22">
        <v>0</v>
      </c>
      <c r="L22">
        <v>0</v>
      </c>
      <c r="M22">
        <v>0</v>
      </c>
      <c r="N22" s="90" cm="1">
        <f t="array" ref="N22">IF(AND(OR(ISNUMBER(SEARCH("Eviction",E22)),ISNUMBER(SEARCH("Past",E22)),ISNUMBER(SEARCH("Skip",E22)),ISNUMBER(SEARCH("Collections",E22)),COUNTIF(Delinquency_Detail_3!$N$3:$N$24,D22)&gt;0),COUNTIF(Delinquency_Detail_3!$P$3:$P$24,D22)=0,I22&gt;0,SUMPRODUCT((LeaseLock!$D$2:$D$500=B22)*(ISNUMBER(SEARCH(TRIM(LEFT(SUBSTITUTE(D22,",",REPT(" ",100)),100)),LeaseLock!$C$2:$C$500))))=0),1,0)</f>
        <v>0</v>
      </c>
      <c r="O22" s="90"/>
    </row>
    <row r="23" spans="1:15">
      <c r="A23" t="s">
        <v>1751</v>
      </c>
      <c r="B23" t="s">
        <v>2429</v>
      </c>
      <c r="C23" t="s">
        <v>2258</v>
      </c>
      <c r="D23" t="s">
        <v>2430</v>
      </c>
      <c r="E23" t="s">
        <v>2392</v>
      </c>
      <c r="F23" s="455">
        <v>46095</v>
      </c>
      <c r="G23" s="455">
        <v>46095</v>
      </c>
      <c r="H23" s="455">
        <v>46459</v>
      </c>
      <c r="I23" s="456">
        <v>1204.76</v>
      </c>
      <c r="J23" s="456">
        <v>1204.76</v>
      </c>
      <c r="K23">
        <v>0</v>
      </c>
      <c r="L23">
        <v>0</v>
      </c>
      <c r="M23">
        <v>0</v>
      </c>
      <c r="N23" s="90" cm="1">
        <f t="array" ref="N23">IF(AND(OR(ISNUMBER(SEARCH("Eviction",E23)),ISNUMBER(SEARCH("Past",E23)),ISNUMBER(SEARCH("Skip",E23)),ISNUMBER(SEARCH("Collections",E23)),COUNTIF(Delinquency_Detail_3!$N$3:$N$24,D23)&gt;0),COUNTIF(Delinquency_Detail_3!$P$3:$P$24,D23)=0,I23&gt;0,SUMPRODUCT((LeaseLock!$D$2:$D$500=B23)*(ISNUMBER(SEARCH(TRIM(LEFT(SUBSTITUTE(D23,",",REPT(" ",100)),100)),LeaseLock!$C$2:$C$500))))=0),1,0)</f>
        <v>0</v>
      </c>
      <c r="O23" s="90"/>
    </row>
    <row r="24" spans="1:15">
      <c r="A24" t="s">
        <v>1751</v>
      </c>
      <c r="B24" t="s">
        <v>2431</v>
      </c>
      <c r="C24" t="s">
        <v>2258</v>
      </c>
      <c r="D24" t="s">
        <v>2432</v>
      </c>
      <c r="E24" t="s">
        <v>2132</v>
      </c>
      <c r="F24" s="455">
        <v>45926</v>
      </c>
      <c r="G24" s="455">
        <v>45926</v>
      </c>
      <c r="H24" s="455">
        <v>46290</v>
      </c>
      <c r="I24" s="456">
        <v>8436.07</v>
      </c>
      <c r="J24" s="456">
        <v>1060.7</v>
      </c>
      <c r="K24" s="456">
        <v>1075.98</v>
      </c>
      <c r="L24" s="456">
        <v>1013.97</v>
      </c>
      <c r="M24" s="456">
        <v>5285.42</v>
      </c>
      <c r="N24" s="90" cm="1">
        <f t="array" ref="N24">IF(AND(OR(ISNUMBER(SEARCH("Eviction",E24)),ISNUMBER(SEARCH("Past",E24)),ISNUMBER(SEARCH("Skip",E24)),ISNUMBER(SEARCH("Collections",E24)),COUNTIF(Delinquency_Detail_3!$N$3:$N$24,D24)&gt;0),COUNTIF(Delinquency_Detail_3!$P$3:$P$24,D24)=0,I24&gt;0,SUMPRODUCT((LeaseLock!$D$2:$D$500=B24)*(ISNUMBER(SEARCH(TRIM(LEFT(SUBSTITUTE(D24,",",REPT(" ",100)),100)),LeaseLock!$C$2:$C$500))))=0),1,0)</f>
        <v>1</v>
      </c>
      <c r="O24" s="90"/>
    </row>
    <row r="25" spans="1:15">
      <c r="A25" t="s">
        <v>1751</v>
      </c>
      <c r="B25" t="s">
        <v>2433</v>
      </c>
      <c r="C25" t="s">
        <v>2261</v>
      </c>
      <c r="D25" t="s">
        <v>2434</v>
      </c>
      <c r="E25" t="s">
        <v>2135</v>
      </c>
      <c r="F25" s="455">
        <v>45828</v>
      </c>
      <c r="G25" s="455">
        <v>45828</v>
      </c>
      <c r="H25" s="455">
        <v>46192</v>
      </c>
      <c r="I25">
        <v>90.87</v>
      </c>
      <c r="J25">
        <v>0</v>
      </c>
      <c r="K25">
        <v>0</v>
      </c>
      <c r="L25">
        <v>0</v>
      </c>
      <c r="M25">
        <v>90.87</v>
      </c>
      <c r="N25" s="90" cm="1">
        <f t="array" ref="N25">IF(AND(OR(ISNUMBER(SEARCH("Eviction",E25)),ISNUMBER(SEARCH("Past",E25)),ISNUMBER(SEARCH("Skip",E25)),ISNUMBER(SEARCH("Collections",E25)),COUNTIF(Delinquency_Detail_3!$N$3:$N$24,D25)&gt;0),COUNTIF(Delinquency_Detail_3!$P$3:$P$24,D25)=0,I25&gt;0,SUMPRODUCT((LeaseLock!$D$2:$D$500=B25)*(ISNUMBER(SEARCH(TRIM(LEFT(SUBSTITUTE(D25,",",REPT(" ",100)),100)),LeaseLock!$C$2:$C$500))))=0),1,0)</f>
        <v>1</v>
      </c>
      <c r="O25" s="90"/>
    </row>
    <row r="26" spans="1:15">
      <c r="A26" t="s">
        <v>1751</v>
      </c>
      <c r="B26" t="s">
        <v>2435</v>
      </c>
      <c r="C26" t="s">
        <v>2261</v>
      </c>
      <c r="D26" t="s">
        <v>2436</v>
      </c>
      <c r="E26" t="s">
        <v>2135</v>
      </c>
      <c r="F26" s="455">
        <v>45838</v>
      </c>
      <c r="G26" s="455">
        <v>46203</v>
      </c>
      <c r="H26" s="455">
        <v>46203</v>
      </c>
      <c r="I26" s="456">
        <v>1033.94</v>
      </c>
      <c r="J26">
        <v>0</v>
      </c>
      <c r="K26" s="456">
        <v>1033.94</v>
      </c>
      <c r="L26">
        <v>0</v>
      </c>
      <c r="M26">
        <v>0</v>
      </c>
      <c r="N26" s="90" cm="1">
        <f t="array" ref="N26">IF(AND(OR(ISNUMBER(SEARCH("Eviction",E26)),ISNUMBER(SEARCH("Past",E26)),ISNUMBER(SEARCH("Skip",E26)),ISNUMBER(SEARCH("Collections",E26)),COUNTIF(Delinquency_Detail_3!$N$3:$N$24,D26)&gt;0),COUNTIF(Delinquency_Detail_3!$P$3:$P$24,D26)=0,I26&gt;0,SUMPRODUCT((LeaseLock!$D$2:$D$500=B26)*(ISNUMBER(SEARCH(TRIM(LEFT(SUBSTITUTE(D26,",",REPT(" ",100)),100)),LeaseLock!$C$2:$C$500))))=0),1,0)</f>
        <v>1</v>
      </c>
      <c r="O26" s="90"/>
    </row>
    <row r="27" spans="1:15">
      <c r="A27" t="s">
        <v>1751</v>
      </c>
      <c r="B27" t="s">
        <v>1521</v>
      </c>
      <c r="C27" t="s">
        <v>2261</v>
      </c>
      <c r="D27" t="s">
        <v>2150</v>
      </c>
      <c r="E27" t="s">
        <v>2118</v>
      </c>
      <c r="F27" s="455">
        <v>45563</v>
      </c>
      <c r="G27" s="455">
        <v>45989</v>
      </c>
      <c r="H27" s="455">
        <v>46353</v>
      </c>
      <c r="I27" s="456">
        <v>9482.35</v>
      </c>
      <c r="J27">
        <v>0</v>
      </c>
      <c r="K27">
        <v>0</v>
      </c>
      <c r="L27">
        <v>0</v>
      </c>
      <c r="M27" s="456">
        <v>9482.35</v>
      </c>
      <c r="N27" s="90" cm="1">
        <f t="array" ref="N27">IF(AND(OR(ISNUMBER(SEARCH("Eviction",E27)),ISNUMBER(SEARCH("Past",E27)),ISNUMBER(SEARCH("Skip",E27)),ISNUMBER(SEARCH("Collections",E27)),COUNTIF(Delinquency_Detail_3!$N$3:$N$24,D27)&gt;0),COUNTIF(Delinquency_Detail_3!$P$3:$P$24,D27)=0,I27&gt;0,SUMPRODUCT((LeaseLock!$D$2:$D$500=B27)*(ISNUMBER(SEARCH(TRIM(LEFT(SUBSTITUTE(D27,",",REPT(" ",100)),100)),LeaseLock!$C$2:$C$500))))=0),1,0)</f>
        <v>0</v>
      </c>
      <c r="O27" s="90"/>
    </row>
    <row r="28" spans="1:15">
      <c r="A28" t="s">
        <v>1751</v>
      </c>
      <c r="B28" t="s">
        <v>2437</v>
      </c>
      <c r="C28" t="s">
        <v>2261</v>
      </c>
      <c r="D28" t="s">
        <v>2438</v>
      </c>
      <c r="E28" t="s">
        <v>2120</v>
      </c>
      <c r="F28" s="455">
        <v>45796</v>
      </c>
      <c r="G28" s="455">
        <v>46161</v>
      </c>
      <c r="H28" s="455">
        <v>46525</v>
      </c>
      <c r="I28" s="456">
        <v>7017.57</v>
      </c>
      <c r="J28">
        <v>0</v>
      </c>
      <c r="K28" s="456">
        <v>4414.99</v>
      </c>
      <c r="L28" s="456">
        <v>1049.5999999999999</v>
      </c>
      <c r="M28" s="456">
        <v>1552.98</v>
      </c>
      <c r="N28" s="90" cm="1">
        <f t="array" ref="N28">IF(AND(OR(ISNUMBER(SEARCH("Eviction",E28)),ISNUMBER(SEARCH("Past",E28)),ISNUMBER(SEARCH("Skip",E28)),ISNUMBER(SEARCH("Collections",E28)),COUNTIF(Delinquency_Detail_3!$N$3:$N$24,D28)&gt;0),COUNTIF(Delinquency_Detail_3!$P$3:$P$24,D28)=0,I28&gt;0,SUMPRODUCT((LeaseLock!$D$2:$D$500=B28)*(ISNUMBER(SEARCH(TRIM(LEFT(SUBSTITUTE(D28,",",REPT(" ",100)),100)),LeaseLock!$C$2:$C$500))))=0),1,0)</f>
        <v>1</v>
      </c>
      <c r="O28" s="90"/>
    </row>
    <row r="29" spans="1:15">
      <c r="A29" t="s">
        <v>1751</v>
      </c>
      <c r="B29" t="s">
        <v>2439</v>
      </c>
      <c r="C29" t="s">
        <v>2258</v>
      </c>
      <c r="D29" t="s">
        <v>2440</v>
      </c>
      <c r="E29" t="s">
        <v>2401</v>
      </c>
      <c r="F29" s="455">
        <v>45899</v>
      </c>
      <c r="G29" s="455">
        <v>45899</v>
      </c>
      <c r="H29" s="455">
        <v>46263</v>
      </c>
      <c r="I29">
        <v>565.65</v>
      </c>
      <c r="J29">
        <v>565.65</v>
      </c>
      <c r="K29">
        <v>0</v>
      </c>
      <c r="L29">
        <v>0</v>
      </c>
      <c r="M29">
        <v>0</v>
      </c>
      <c r="N29" s="90" cm="1">
        <f t="array" ref="N29">IF(AND(OR(ISNUMBER(SEARCH("Eviction",E29)),ISNUMBER(SEARCH("Past",E29)),ISNUMBER(SEARCH("Skip",E29)),ISNUMBER(SEARCH("Collections",E29)),COUNTIF(Delinquency_Detail_3!$N$3:$N$24,D29)&gt;0),COUNTIF(Delinquency_Detail_3!$P$3:$P$24,D29)=0,I29&gt;0,SUMPRODUCT((LeaseLock!$D$2:$D$500=B29)*(ISNUMBER(SEARCH(TRIM(LEFT(SUBSTITUTE(D29,",",REPT(" ",100)),100)),LeaseLock!$C$2:$C$500))))=0),1,0)</f>
        <v>0</v>
      </c>
      <c r="O29" s="90"/>
    </row>
    <row r="30" spans="1:15">
      <c r="A30" t="s">
        <v>1751</v>
      </c>
      <c r="B30" t="s">
        <v>2441</v>
      </c>
      <c r="C30" t="s">
        <v>2273</v>
      </c>
      <c r="D30" t="s">
        <v>2442</v>
      </c>
      <c r="E30" t="s">
        <v>2392</v>
      </c>
      <c r="F30" s="455">
        <v>38257</v>
      </c>
      <c r="G30" s="455">
        <v>46082</v>
      </c>
      <c r="H30" s="455">
        <v>46445</v>
      </c>
      <c r="I30">
        <v>511.31</v>
      </c>
      <c r="J30">
        <v>511.31</v>
      </c>
      <c r="K30">
        <v>0</v>
      </c>
      <c r="L30">
        <v>0</v>
      </c>
      <c r="M30">
        <v>0</v>
      </c>
      <c r="N30" s="90" cm="1">
        <f t="array" ref="N30">IF(AND(OR(ISNUMBER(SEARCH("Eviction",E30)),ISNUMBER(SEARCH("Past",E30)),ISNUMBER(SEARCH("Skip",E30)),ISNUMBER(SEARCH("Collections",E30)),COUNTIF(Delinquency_Detail_3!$N$3:$N$24,D30)&gt;0),COUNTIF(Delinquency_Detail_3!$P$3:$P$24,D30)=0,I30&gt;0,SUMPRODUCT((LeaseLock!$D$2:$D$500=B30)*(ISNUMBER(SEARCH(TRIM(LEFT(SUBSTITUTE(D30,",",REPT(" ",100)),100)),LeaseLock!$C$2:$C$500))))=0),1,0)</f>
        <v>0</v>
      </c>
      <c r="O30" s="90"/>
    </row>
    <row r="31" spans="1:15">
      <c r="A31" t="s">
        <v>1751</v>
      </c>
      <c r="B31" t="s">
        <v>2443</v>
      </c>
      <c r="C31" t="s">
        <v>2273</v>
      </c>
      <c r="D31" t="s">
        <v>2444</v>
      </c>
      <c r="E31" t="s">
        <v>2135</v>
      </c>
      <c r="F31" s="455">
        <v>45838</v>
      </c>
      <c r="G31" s="455">
        <v>45838</v>
      </c>
      <c r="H31" s="455">
        <v>46202</v>
      </c>
      <c r="I31" s="456">
        <v>1308.6300000000001</v>
      </c>
      <c r="J31">
        <v>0</v>
      </c>
      <c r="K31" s="456">
        <v>1308.6300000000001</v>
      </c>
      <c r="L31">
        <v>0</v>
      </c>
      <c r="M31">
        <v>0</v>
      </c>
      <c r="N31" s="90" cm="1">
        <f t="array" ref="N31">IF(AND(OR(ISNUMBER(SEARCH("Eviction",E31)),ISNUMBER(SEARCH("Past",E31)),ISNUMBER(SEARCH("Skip",E31)),ISNUMBER(SEARCH("Collections",E31)),COUNTIF(Delinquency_Detail_3!$N$3:$N$24,D31)&gt;0),COUNTIF(Delinquency_Detail_3!$P$3:$P$24,D31)=0,I31&gt;0,SUMPRODUCT((LeaseLock!$D$2:$D$500=B31)*(ISNUMBER(SEARCH(TRIM(LEFT(SUBSTITUTE(D31,",",REPT(" ",100)),100)),LeaseLock!$C$2:$C$500))))=0),1,0)</f>
        <v>1</v>
      </c>
      <c r="O31" s="90"/>
    </row>
    <row r="32" spans="1:15">
      <c r="A32" t="s">
        <v>1751</v>
      </c>
      <c r="B32" t="s">
        <v>1927</v>
      </c>
      <c r="C32" t="s">
        <v>2273</v>
      </c>
      <c r="D32" t="s">
        <v>2445</v>
      </c>
      <c r="E32" t="s">
        <v>2392</v>
      </c>
      <c r="F32" s="455">
        <v>46094</v>
      </c>
      <c r="G32" s="455">
        <v>46094</v>
      </c>
      <c r="H32" s="455">
        <v>46458</v>
      </c>
      <c r="I32" s="456">
        <v>1432.58</v>
      </c>
      <c r="J32" s="456">
        <v>1432.58</v>
      </c>
      <c r="K32">
        <v>0</v>
      </c>
      <c r="L32">
        <v>0</v>
      </c>
      <c r="M32">
        <v>0</v>
      </c>
      <c r="N32" s="90" cm="1">
        <f t="array" ref="N32">IF(AND(OR(ISNUMBER(SEARCH("Eviction",E32)),ISNUMBER(SEARCH("Past",E32)),ISNUMBER(SEARCH("Skip",E32)),ISNUMBER(SEARCH("Collections",E32)),COUNTIF(Delinquency_Detail_3!$N$3:$N$24,D32)&gt;0),COUNTIF(Delinquency_Detail_3!$P$3:$P$24,D32)=0,I32&gt;0,SUMPRODUCT((LeaseLock!$D$2:$D$500=B32)*(ISNUMBER(SEARCH(TRIM(LEFT(SUBSTITUTE(D32,",",REPT(" ",100)),100)),LeaseLock!$C$2:$C$500))))=0),1,0)</f>
        <v>0</v>
      </c>
      <c r="O32" s="90"/>
    </row>
    <row r="33" spans="1:15">
      <c r="A33" t="s">
        <v>1751</v>
      </c>
      <c r="B33" t="s">
        <v>2446</v>
      </c>
      <c r="C33" t="s">
        <v>2273</v>
      </c>
      <c r="D33" t="s">
        <v>2447</v>
      </c>
      <c r="E33" t="s">
        <v>2392</v>
      </c>
      <c r="F33" s="455">
        <v>46087</v>
      </c>
      <c r="G33" s="455">
        <v>46088</v>
      </c>
      <c r="H33" s="455">
        <v>46452</v>
      </c>
      <c r="I33">
        <v>881.58</v>
      </c>
      <c r="J33">
        <v>881.58</v>
      </c>
      <c r="K33">
        <v>0</v>
      </c>
      <c r="L33">
        <v>0</v>
      </c>
      <c r="M33">
        <v>0</v>
      </c>
      <c r="N33" s="90" cm="1">
        <f t="array" ref="N33">IF(AND(OR(ISNUMBER(SEARCH("Eviction",E33)),ISNUMBER(SEARCH("Past",E33)),ISNUMBER(SEARCH("Skip",E33)),ISNUMBER(SEARCH("Collections",E33)),COUNTIF(Delinquency_Detail_3!$N$3:$N$24,D33)&gt;0),COUNTIF(Delinquency_Detail_3!$P$3:$P$24,D33)=0,I33&gt;0,SUMPRODUCT((LeaseLock!$D$2:$D$500=B33)*(ISNUMBER(SEARCH(TRIM(LEFT(SUBSTITUTE(D33,",",REPT(" ",100)),100)),LeaseLock!$C$2:$C$500))))=0),1,0)</f>
        <v>0</v>
      </c>
      <c r="O33" s="90"/>
    </row>
    <row r="34" spans="1:15">
      <c r="A34" t="s">
        <v>1751</v>
      </c>
      <c r="B34" t="s">
        <v>2448</v>
      </c>
      <c r="C34" t="s">
        <v>2273</v>
      </c>
      <c r="D34" t="s">
        <v>1126</v>
      </c>
      <c r="E34" t="s">
        <v>2120</v>
      </c>
      <c r="F34" s="455">
        <v>44813</v>
      </c>
      <c r="G34" s="455">
        <v>45901</v>
      </c>
      <c r="H34" s="455">
        <v>46265</v>
      </c>
      <c r="I34" s="456">
        <v>6254.28</v>
      </c>
      <c r="J34">
        <v>0</v>
      </c>
      <c r="K34" s="456">
        <v>2319.85</v>
      </c>
      <c r="L34" s="456">
        <v>1956.55</v>
      </c>
      <c r="M34" s="456">
        <v>1977.88</v>
      </c>
      <c r="N34" s="90" cm="1">
        <f t="array" ref="N34">IF(AND(OR(ISNUMBER(SEARCH("Eviction",E34)),ISNUMBER(SEARCH("Past",E34)),ISNUMBER(SEARCH("Skip",E34)),ISNUMBER(SEARCH("Collections",E34)),COUNTIF(Delinquency_Detail_3!$N$3:$N$24,D34)&gt;0),COUNTIF(Delinquency_Detail_3!$P$3:$P$24,D34)=0,I34&gt;0,SUMPRODUCT((LeaseLock!$D$2:$D$500=B34)*(ISNUMBER(SEARCH(TRIM(LEFT(SUBSTITUTE(D34,",",REPT(" ",100)),100)),LeaseLock!$C$2:$C$500))))=0),1,0)</f>
        <v>1</v>
      </c>
      <c r="O34" s="90"/>
    </row>
    <row r="35" spans="1:15">
      <c r="A35" t="s">
        <v>1751</v>
      </c>
      <c r="B35" t="s">
        <v>2449</v>
      </c>
      <c r="C35" t="s">
        <v>2273</v>
      </c>
      <c r="D35" t="s">
        <v>2450</v>
      </c>
      <c r="E35" t="s">
        <v>2135</v>
      </c>
      <c r="F35" s="455">
        <v>45345</v>
      </c>
      <c r="G35" s="455">
        <v>46076</v>
      </c>
      <c r="H35" s="455">
        <v>46231</v>
      </c>
      <c r="I35" s="456">
        <v>2214.27</v>
      </c>
      <c r="J35">
        <v>0</v>
      </c>
      <c r="K35" s="456">
        <v>2214.27</v>
      </c>
      <c r="L35">
        <v>0</v>
      </c>
      <c r="M35">
        <v>0</v>
      </c>
      <c r="N35" s="90" cm="1">
        <f t="array" ref="N35">IF(AND(OR(ISNUMBER(SEARCH("Eviction",E35)),ISNUMBER(SEARCH("Past",E35)),ISNUMBER(SEARCH("Skip",E35)),ISNUMBER(SEARCH("Collections",E35)),COUNTIF(Delinquency_Detail_3!$N$3:$N$24,D35)&gt;0),COUNTIF(Delinquency_Detail_3!$P$3:$P$24,D35)=0,I35&gt;0,SUMPRODUCT((LeaseLock!$D$2:$D$500=B35)*(ISNUMBER(SEARCH(TRIM(LEFT(SUBSTITUTE(D35,",",REPT(" ",100)),100)),LeaseLock!$C$2:$C$500))))=0),1,0)</f>
        <v>1</v>
      </c>
      <c r="O35" s="90"/>
    </row>
    <row r="36" spans="1:15">
      <c r="A36" t="s">
        <v>1751</v>
      </c>
      <c r="B36" t="s">
        <v>2451</v>
      </c>
      <c r="C36" t="s">
        <v>2273</v>
      </c>
      <c r="D36" t="s">
        <v>2452</v>
      </c>
      <c r="E36" t="s">
        <v>2392</v>
      </c>
      <c r="F36" s="455">
        <v>45226</v>
      </c>
      <c r="G36" s="455">
        <v>45992</v>
      </c>
      <c r="H36" s="455">
        <v>46356</v>
      </c>
      <c r="I36" s="456">
        <v>1889.63</v>
      </c>
      <c r="J36" s="456">
        <v>1889.63</v>
      </c>
      <c r="K36">
        <v>0</v>
      </c>
      <c r="L36">
        <v>0</v>
      </c>
      <c r="M36">
        <v>0</v>
      </c>
      <c r="N36" s="90" cm="1">
        <f t="array" ref="N36">IF(AND(OR(ISNUMBER(SEARCH("Eviction",E36)),ISNUMBER(SEARCH("Past",E36)),ISNUMBER(SEARCH("Skip",E36)),ISNUMBER(SEARCH("Collections",E36)),COUNTIF(Delinquency_Detail_3!$N$3:$N$24,D36)&gt;0),COUNTIF(Delinquency_Detail_3!$P$3:$P$24,D36)=0,I36&gt;0,SUMPRODUCT((LeaseLock!$D$2:$D$500=B36)*(ISNUMBER(SEARCH(TRIM(LEFT(SUBSTITUTE(D36,",",REPT(" ",100)),100)),LeaseLock!$C$2:$C$500))))=0),1,0)</f>
        <v>0</v>
      </c>
      <c r="O36" s="90"/>
    </row>
    <row r="37" spans="1:15">
      <c r="A37" t="s">
        <v>1751</v>
      </c>
      <c r="B37" t="s">
        <v>2453</v>
      </c>
      <c r="C37" t="s">
        <v>2265</v>
      </c>
      <c r="D37" t="s">
        <v>2454</v>
      </c>
      <c r="E37" t="s">
        <v>2135</v>
      </c>
      <c r="F37" s="455">
        <v>44793</v>
      </c>
      <c r="G37" s="455">
        <v>46235</v>
      </c>
      <c r="H37" s="455">
        <v>46235</v>
      </c>
      <c r="I37">
        <v>382.4</v>
      </c>
      <c r="J37">
        <v>382.4</v>
      </c>
      <c r="K37">
        <v>0</v>
      </c>
      <c r="L37">
        <v>0</v>
      </c>
      <c r="M37">
        <v>0</v>
      </c>
      <c r="N37" s="90" cm="1">
        <f t="array" ref="N37">IF(AND(OR(ISNUMBER(SEARCH("Eviction",E37)),ISNUMBER(SEARCH("Past",E37)),ISNUMBER(SEARCH("Skip",E37)),ISNUMBER(SEARCH("Collections",E37)),COUNTIF(Delinquency_Detail_3!$N$3:$N$24,D37)&gt;0),COUNTIF(Delinquency_Detail_3!$P$3:$P$24,D37)=0,I37&gt;0,SUMPRODUCT((LeaseLock!$D$2:$D$500=B37)*(ISNUMBER(SEARCH(TRIM(LEFT(SUBSTITUTE(D37,",",REPT(" ",100)),100)),LeaseLock!$C$2:$C$500))))=0),1,0)</f>
        <v>1</v>
      </c>
      <c r="O37" s="90"/>
    </row>
    <row r="38" spans="1:15">
      <c r="A38" t="s">
        <v>1751</v>
      </c>
      <c r="B38" t="s">
        <v>2455</v>
      </c>
      <c r="C38" t="s">
        <v>2265</v>
      </c>
      <c r="D38" t="s">
        <v>2456</v>
      </c>
      <c r="E38" t="s">
        <v>2120</v>
      </c>
      <c r="F38" s="455">
        <v>45479</v>
      </c>
      <c r="G38" s="455">
        <v>45844</v>
      </c>
      <c r="H38" s="455">
        <v>46208</v>
      </c>
      <c r="I38" s="456">
        <v>9169.18</v>
      </c>
      <c r="J38">
        <v>0</v>
      </c>
      <c r="K38">
        <v>0</v>
      </c>
      <c r="L38" s="456">
        <v>4651.45</v>
      </c>
      <c r="M38" s="456">
        <v>4517.7299999999996</v>
      </c>
      <c r="N38" s="90" cm="1">
        <f t="array" ref="N38">IF(AND(OR(ISNUMBER(SEARCH("Eviction",E38)),ISNUMBER(SEARCH("Past",E38)),ISNUMBER(SEARCH("Skip",E38)),ISNUMBER(SEARCH("Collections",E38)),COUNTIF(Delinquency_Detail_3!$N$3:$N$24,D38)&gt;0),COUNTIF(Delinquency_Detail_3!$P$3:$P$24,D38)=0,I38&gt;0,SUMPRODUCT((LeaseLock!$D$2:$D$500=B38)*(ISNUMBER(SEARCH(TRIM(LEFT(SUBSTITUTE(D38,",",REPT(" ",100)),100)),LeaseLock!$C$2:$C$500))))=0),1,0)</f>
        <v>0</v>
      </c>
      <c r="O38" s="90"/>
    </row>
    <row r="39" spans="1:15">
      <c r="A39" t="s">
        <v>1751</v>
      </c>
      <c r="B39" t="s">
        <v>1923</v>
      </c>
      <c r="C39" t="s">
        <v>2265</v>
      </c>
      <c r="D39" t="s">
        <v>2457</v>
      </c>
      <c r="E39" t="s">
        <v>2135</v>
      </c>
      <c r="F39" s="455">
        <v>45439</v>
      </c>
      <c r="G39" s="455">
        <v>46169</v>
      </c>
      <c r="H39" s="455">
        <v>46195</v>
      </c>
      <c r="I39" s="456">
        <v>2368.81</v>
      </c>
      <c r="J39">
        <v>0</v>
      </c>
      <c r="K39">
        <v>630</v>
      </c>
      <c r="L39" s="456">
        <v>1738.81</v>
      </c>
      <c r="M39">
        <v>0</v>
      </c>
      <c r="N39" s="90" cm="1">
        <f t="array" ref="N39">IF(AND(OR(ISNUMBER(SEARCH("Eviction",E39)),ISNUMBER(SEARCH("Past",E39)),ISNUMBER(SEARCH("Skip",E39)),ISNUMBER(SEARCH("Collections",E39)),COUNTIF(Delinquency_Detail_3!$N$3:$N$24,D39)&gt;0),COUNTIF(Delinquency_Detail_3!$P$3:$P$24,D39)=0,I39&gt;0,SUMPRODUCT((LeaseLock!$D$2:$D$500=B39)*(ISNUMBER(SEARCH(TRIM(LEFT(SUBSTITUTE(D39,",",REPT(" ",100)),100)),LeaseLock!$C$2:$C$500))))=0),1,0)</f>
        <v>1</v>
      </c>
      <c r="O39" s="90"/>
    </row>
    <row r="40" spans="1:15">
      <c r="A40" t="s">
        <v>1751</v>
      </c>
      <c r="B40" t="s">
        <v>2458</v>
      </c>
      <c r="C40" t="s">
        <v>2265</v>
      </c>
      <c r="D40" t="s">
        <v>2459</v>
      </c>
      <c r="E40" t="s">
        <v>2135</v>
      </c>
      <c r="F40" s="455">
        <v>41467</v>
      </c>
      <c r="G40" s="455">
        <v>46143</v>
      </c>
      <c r="H40" s="455">
        <v>46191</v>
      </c>
      <c r="I40">
        <v>405.64</v>
      </c>
      <c r="J40">
        <v>0</v>
      </c>
      <c r="K40">
        <v>125</v>
      </c>
      <c r="L40">
        <v>280.64</v>
      </c>
      <c r="M40">
        <v>0</v>
      </c>
      <c r="N40" s="90" cm="1">
        <f t="array" ref="N40">IF(AND(OR(ISNUMBER(SEARCH("Eviction",E40)),ISNUMBER(SEARCH("Past",E40)),ISNUMBER(SEARCH("Skip",E40)),ISNUMBER(SEARCH("Collections",E40)),COUNTIF(Delinquency_Detail_3!$N$3:$N$24,D40)&gt;0),COUNTIF(Delinquency_Detail_3!$P$3:$P$24,D40)=0,I40&gt;0,SUMPRODUCT((LeaseLock!$D$2:$D$500=B40)*(ISNUMBER(SEARCH(TRIM(LEFT(SUBSTITUTE(D40,",",REPT(" ",100)),100)),LeaseLock!$C$2:$C$500))))=0),1,0)</f>
        <v>1</v>
      </c>
      <c r="O40" s="90"/>
    </row>
    <row r="41" spans="1:15">
      <c r="A41" t="s">
        <v>1751</v>
      </c>
      <c r="B41" t="s">
        <v>2460</v>
      </c>
      <c r="C41" t="s">
        <v>2265</v>
      </c>
      <c r="D41" t="s">
        <v>2461</v>
      </c>
      <c r="E41" t="s">
        <v>2118</v>
      </c>
      <c r="F41" s="455">
        <v>45397</v>
      </c>
      <c r="G41" s="455">
        <v>46174</v>
      </c>
      <c r="H41" s="455">
        <v>46538</v>
      </c>
      <c r="I41">
        <v>625.15</v>
      </c>
      <c r="J41">
        <v>625.15</v>
      </c>
      <c r="K41">
        <v>0</v>
      </c>
      <c r="L41">
        <v>0</v>
      </c>
      <c r="M41">
        <v>0</v>
      </c>
      <c r="N41" s="90" cm="1">
        <f t="array" ref="N41">IF(AND(OR(ISNUMBER(SEARCH("Eviction",E41)),ISNUMBER(SEARCH("Past",E41)),ISNUMBER(SEARCH("Skip",E41)),ISNUMBER(SEARCH("Collections",E41)),COUNTIF(Delinquency_Detail_3!$N$3:$N$24,D41)&gt;0),COUNTIF(Delinquency_Detail_3!$P$3:$P$24,D41)=0,I41&gt;0,SUMPRODUCT((LeaseLock!$D$2:$D$500=B41)*(ISNUMBER(SEARCH(TRIM(LEFT(SUBSTITUTE(D41,",",REPT(" ",100)),100)),LeaseLock!$C$2:$C$500))))=0),1,0)</f>
        <v>1</v>
      </c>
      <c r="O41" s="90"/>
    </row>
    <row r="42" spans="1:15">
      <c r="A42" t="s">
        <v>1751</v>
      </c>
      <c r="B42" t="s">
        <v>2462</v>
      </c>
      <c r="C42" t="s">
        <v>2265</v>
      </c>
      <c r="D42" t="s">
        <v>2463</v>
      </c>
      <c r="E42" t="s">
        <v>2120</v>
      </c>
      <c r="F42" s="455">
        <v>45869</v>
      </c>
      <c r="G42" s="455">
        <v>45869</v>
      </c>
      <c r="H42" s="455">
        <v>46233</v>
      </c>
      <c r="I42" s="456">
        <v>9160.82</v>
      </c>
      <c r="J42">
        <v>0</v>
      </c>
      <c r="K42" s="456">
        <v>4937.6899999999996</v>
      </c>
      <c r="L42" s="456">
        <v>1402.68</v>
      </c>
      <c r="M42" s="456">
        <v>2820.45</v>
      </c>
      <c r="N42" s="90" cm="1">
        <f t="array" ref="N42">IF(AND(OR(ISNUMBER(SEARCH("Eviction",E42)),ISNUMBER(SEARCH("Past",E42)),ISNUMBER(SEARCH("Skip",E42)),ISNUMBER(SEARCH("Collections",E42)),COUNTIF(Delinquency_Detail_3!$N$3:$N$24,D42)&gt;0),COUNTIF(Delinquency_Detail_3!$P$3:$P$24,D42)=0,I42&gt;0,SUMPRODUCT((LeaseLock!$D$2:$D$500=B42)*(ISNUMBER(SEARCH(TRIM(LEFT(SUBSTITUTE(D42,",",REPT(" ",100)),100)),LeaseLock!$C$2:$C$500))))=0),1,0)</f>
        <v>1</v>
      </c>
      <c r="O42" s="90"/>
    </row>
    <row r="43" spans="1:15">
      <c r="A43" t="s">
        <v>1751</v>
      </c>
      <c r="B43" t="s">
        <v>2464</v>
      </c>
      <c r="C43" t="s">
        <v>2261</v>
      </c>
      <c r="D43" t="s">
        <v>2465</v>
      </c>
      <c r="E43" t="s">
        <v>2392</v>
      </c>
      <c r="F43" s="455">
        <v>44529</v>
      </c>
      <c r="G43" s="455">
        <v>45992</v>
      </c>
      <c r="H43" s="455">
        <v>46356</v>
      </c>
      <c r="I43">
        <v>637.51</v>
      </c>
      <c r="J43">
        <v>637.51</v>
      </c>
      <c r="K43">
        <v>0</v>
      </c>
      <c r="L43">
        <v>0</v>
      </c>
      <c r="M43">
        <v>0</v>
      </c>
      <c r="N43" s="90" cm="1">
        <f t="array" ref="N43">IF(AND(OR(ISNUMBER(SEARCH("Eviction",E43)),ISNUMBER(SEARCH("Past",E43)),ISNUMBER(SEARCH("Skip",E43)),ISNUMBER(SEARCH("Collections",E43)),COUNTIF(Delinquency_Detail_3!$N$3:$N$24,D43)&gt;0),COUNTIF(Delinquency_Detail_3!$P$3:$P$24,D43)=0,I43&gt;0,SUMPRODUCT((LeaseLock!$D$2:$D$500=B43)*(ISNUMBER(SEARCH(TRIM(LEFT(SUBSTITUTE(D43,",",REPT(" ",100)),100)),LeaseLock!$C$2:$C$500))))=0),1,0)</f>
        <v>0</v>
      </c>
      <c r="O43" s="90"/>
    </row>
    <row r="44" spans="1:15">
      <c r="A44" t="s">
        <v>1751</v>
      </c>
      <c r="B44" t="s">
        <v>2466</v>
      </c>
      <c r="C44" t="s">
        <v>2261</v>
      </c>
      <c r="D44" t="s">
        <v>2467</v>
      </c>
      <c r="E44" t="s">
        <v>2120</v>
      </c>
      <c r="F44" s="455">
        <v>44233</v>
      </c>
      <c r="G44" s="455">
        <v>46054</v>
      </c>
      <c r="H44" s="455">
        <v>46170</v>
      </c>
      <c r="I44" s="456">
        <v>5926.96</v>
      </c>
      <c r="J44">
        <v>0</v>
      </c>
      <c r="K44">
        <v>0</v>
      </c>
      <c r="L44" s="456">
        <v>3359.88</v>
      </c>
      <c r="M44" s="456">
        <v>2567.08</v>
      </c>
      <c r="N44" s="90" cm="1">
        <f t="array" ref="N44">IF(AND(OR(ISNUMBER(SEARCH("Eviction",E44)),ISNUMBER(SEARCH("Past",E44)),ISNUMBER(SEARCH("Skip",E44)),ISNUMBER(SEARCH("Collections",E44)),COUNTIF(Delinquency_Detail_3!$N$3:$N$24,D44)&gt;0),COUNTIF(Delinquency_Detail_3!$P$3:$P$24,D44)=0,I44&gt;0,SUMPRODUCT((LeaseLock!$D$2:$D$500=B44)*(ISNUMBER(SEARCH(TRIM(LEFT(SUBSTITUTE(D44,",",REPT(" ",100)),100)),LeaseLock!$C$2:$C$500))))=0),1,0)</f>
        <v>0</v>
      </c>
      <c r="O44" s="90"/>
    </row>
    <row r="45" spans="1:15">
      <c r="A45" t="s">
        <v>1751</v>
      </c>
      <c r="B45" t="s">
        <v>2468</v>
      </c>
      <c r="C45" t="s">
        <v>2261</v>
      </c>
      <c r="D45" t="s">
        <v>2469</v>
      </c>
      <c r="E45" t="s">
        <v>2392</v>
      </c>
      <c r="F45" s="455">
        <v>45563</v>
      </c>
      <c r="G45" s="455">
        <v>45989</v>
      </c>
      <c r="H45" s="455">
        <v>46353</v>
      </c>
      <c r="I45" s="456">
        <v>1272.8699999999999</v>
      </c>
      <c r="J45" s="456">
        <v>1272.8699999999999</v>
      </c>
      <c r="K45">
        <v>0</v>
      </c>
      <c r="L45">
        <v>0</v>
      </c>
      <c r="M45">
        <v>0</v>
      </c>
      <c r="N45" s="90" cm="1">
        <f t="array" ref="N45">IF(AND(OR(ISNUMBER(SEARCH("Eviction",E45)),ISNUMBER(SEARCH("Past",E45)),ISNUMBER(SEARCH("Skip",E45)),ISNUMBER(SEARCH("Collections",E45)),COUNTIF(Delinquency_Detail_3!$N$3:$N$24,D45)&gt;0),COUNTIF(Delinquency_Detail_3!$P$3:$P$24,D45)=0,I45&gt;0,SUMPRODUCT((LeaseLock!$D$2:$D$500=B45)*(ISNUMBER(SEARCH(TRIM(LEFT(SUBSTITUTE(D45,",",REPT(" ",100)),100)),LeaseLock!$C$2:$C$500))))=0),1,0)</f>
        <v>0</v>
      </c>
      <c r="O45" s="90"/>
    </row>
    <row r="46" spans="1:15">
      <c r="A46" t="s">
        <v>1751</v>
      </c>
      <c r="B46" t="s">
        <v>2470</v>
      </c>
      <c r="C46" t="s">
        <v>2261</v>
      </c>
      <c r="D46" t="s">
        <v>2471</v>
      </c>
      <c r="E46" t="s">
        <v>2135</v>
      </c>
      <c r="F46" s="455">
        <v>45532</v>
      </c>
      <c r="G46" s="455">
        <v>45931</v>
      </c>
      <c r="H46" s="455">
        <v>46295</v>
      </c>
      <c r="I46">
        <v>652.45000000000005</v>
      </c>
      <c r="J46">
        <v>0</v>
      </c>
      <c r="K46">
        <v>652.45000000000005</v>
      </c>
      <c r="L46">
        <v>0</v>
      </c>
      <c r="M46">
        <v>0</v>
      </c>
      <c r="N46" s="90" cm="1">
        <f t="array" ref="N46">IF(AND(OR(ISNUMBER(SEARCH("Eviction",E46)),ISNUMBER(SEARCH("Past",E46)),ISNUMBER(SEARCH("Skip",E46)),ISNUMBER(SEARCH("Collections",E46)),COUNTIF(Delinquency_Detail_3!$N$3:$N$24,D46)&gt;0),COUNTIF(Delinquency_Detail_3!$P$3:$P$24,D46)=0,I46&gt;0,SUMPRODUCT((LeaseLock!$D$2:$D$500=B46)*(ISNUMBER(SEARCH(TRIM(LEFT(SUBSTITUTE(D46,",",REPT(" ",100)),100)),LeaseLock!$C$2:$C$500))))=0),1,0)</f>
        <v>1</v>
      </c>
      <c r="O46" s="90"/>
    </row>
    <row r="47" spans="1:15">
      <c r="A47" t="s">
        <v>1751</v>
      </c>
      <c r="B47" t="s">
        <v>2472</v>
      </c>
      <c r="C47" t="s">
        <v>2261</v>
      </c>
      <c r="D47" t="s">
        <v>2473</v>
      </c>
      <c r="E47" t="s">
        <v>2120</v>
      </c>
      <c r="F47" s="455">
        <v>45995</v>
      </c>
      <c r="G47" s="455">
        <v>45995</v>
      </c>
      <c r="H47" s="455">
        <v>46359</v>
      </c>
      <c r="I47" s="456">
        <v>9381.44</v>
      </c>
      <c r="J47">
        <v>0</v>
      </c>
      <c r="K47" s="456">
        <v>3788.68</v>
      </c>
      <c r="L47">
        <v>886.6</v>
      </c>
      <c r="M47" s="456">
        <v>4706.16</v>
      </c>
      <c r="N47" s="90" cm="1">
        <f t="array" ref="N47">IF(AND(OR(ISNUMBER(SEARCH("Eviction",E47)),ISNUMBER(SEARCH("Past",E47)),ISNUMBER(SEARCH("Skip",E47)),ISNUMBER(SEARCH("Collections",E47)),COUNTIF(Delinquency_Detail_3!$N$3:$N$24,D47)&gt;0),COUNTIF(Delinquency_Detail_3!$P$3:$P$24,D47)=0,I47&gt;0,SUMPRODUCT((LeaseLock!$D$2:$D$500=B47)*(ISNUMBER(SEARCH(TRIM(LEFT(SUBSTITUTE(D47,",",REPT(" ",100)),100)),LeaseLock!$C$2:$C$500))))=0),1,0)</f>
        <v>1</v>
      </c>
      <c r="O47" s="90"/>
    </row>
    <row r="48" spans="1:15">
      <c r="A48" t="s">
        <v>1751</v>
      </c>
      <c r="B48" t="s">
        <v>2474</v>
      </c>
      <c r="C48" t="s">
        <v>2261</v>
      </c>
      <c r="D48" t="s">
        <v>2475</v>
      </c>
      <c r="E48" t="s">
        <v>2392</v>
      </c>
      <c r="F48" s="455">
        <v>46213</v>
      </c>
      <c r="G48" s="455">
        <v>46213</v>
      </c>
      <c r="H48" s="455">
        <v>46577</v>
      </c>
      <c r="I48">
        <v>17</v>
      </c>
      <c r="J48">
        <v>17</v>
      </c>
      <c r="K48">
        <v>0</v>
      </c>
      <c r="L48">
        <v>0</v>
      </c>
      <c r="M48">
        <v>0</v>
      </c>
      <c r="N48" s="90" cm="1">
        <f t="array" ref="N48">IF(AND(OR(ISNUMBER(SEARCH("Eviction",E48)),ISNUMBER(SEARCH("Past",E48)),ISNUMBER(SEARCH("Skip",E48)),ISNUMBER(SEARCH("Collections",E48)),COUNTIF(Delinquency_Detail_3!$N$3:$N$24,D48)&gt;0),COUNTIF(Delinquency_Detail_3!$P$3:$P$24,D48)=0,I48&gt;0,SUMPRODUCT((LeaseLock!$D$2:$D$500=B48)*(ISNUMBER(SEARCH(TRIM(LEFT(SUBSTITUTE(D48,",",REPT(" ",100)),100)),LeaseLock!$C$2:$C$500))))=0),1,0)</f>
        <v>0</v>
      </c>
      <c r="O48" s="90"/>
    </row>
    <row r="49" spans="1:15">
      <c r="A49" t="s">
        <v>1751</v>
      </c>
      <c r="B49" t="s">
        <v>2476</v>
      </c>
      <c r="C49" t="s">
        <v>2273</v>
      </c>
      <c r="D49" t="s">
        <v>2477</v>
      </c>
      <c r="E49" t="s">
        <v>2421</v>
      </c>
      <c r="F49" s="455">
        <v>45397</v>
      </c>
      <c r="G49" s="455">
        <v>46235</v>
      </c>
      <c r="H49" s="455">
        <v>46255</v>
      </c>
      <c r="I49" s="456">
        <v>6392.56</v>
      </c>
      <c r="J49" s="456">
        <v>1472.65</v>
      </c>
      <c r="K49" s="456">
        <v>1739.53</v>
      </c>
      <c r="L49" s="456">
        <v>1582.43</v>
      </c>
      <c r="M49" s="456">
        <v>1597.95</v>
      </c>
      <c r="N49" s="90" cm="1">
        <f t="array" ref="N49">IF(AND(OR(ISNUMBER(SEARCH("Eviction",E49)),ISNUMBER(SEARCH("Past",E49)),ISNUMBER(SEARCH("Skip",E49)),ISNUMBER(SEARCH("Collections",E49)),COUNTIF(Delinquency_Detail_3!$N$3:$N$24,D49)&gt;0),COUNTIF(Delinquency_Detail_3!$P$3:$P$24,D49)=0,I49&gt;0,SUMPRODUCT((LeaseLock!$D$2:$D$500=B49)*(ISNUMBER(SEARCH(TRIM(LEFT(SUBSTITUTE(D49,",",REPT(" ",100)),100)),LeaseLock!$C$2:$C$500))))=0),1,0)</f>
        <v>1</v>
      </c>
      <c r="O49" s="90"/>
    </row>
    <row r="50" spans="1:15">
      <c r="A50" t="s">
        <v>1751</v>
      </c>
      <c r="B50" t="s">
        <v>2478</v>
      </c>
      <c r="C50" t="s">
        <v>2273</v>
      </c>
      <c r="D50" t="s">
        <v>2479</v>
      </c>
      <c r="E50" t="s">
        <v>2392</v>
      </c>
      <c r="F50" s="455">
        <v>46148</v>
      </c>
      <c r="G50" s="455">
        <v>46148</v>
      </c>
      <c r="H50" s="455">
        <v>46512</v>
      </c>
      <c r="I50" s="456">
        <v>1369.95</v>
      </c>
      <c r="J50" s="456">
        <v>1369.95</v>
      </c>
      <c r="K50">
        <v>0</v>
      </c>
      <c r="L50">
        <v>0</v>
      </c>
      <c r="M50">
        <v>0</v>
      </c>
      <c r="N50" s="90" cm="1">
        <f t="array" ref="N50">IF(AND(OR(ISNUMBER(SEARCH("Eviction",E50)),ISNUMBER(SEARCH("Past",E50)),ISNUMBER(SEARCH("Skip",E50)),ISNUMBER(SEARCH("Collections",E50)),COUNTIF(Delinquency_Detail_3!$N$3:$N$24,D50)&gt;0),COUNTIF(Delinquency_Detail_3!$P$3:$P$24,D50)=0,I50&gt;0,SUMPRODUCT((LeaseLock!$D$2:$D$500=B50)*(ISNUMBER(SEARCH(TRIM(LEFT(SUBSTITUTE(D50,",",REPT(" ",100)),100)),LeaseLock!$C$2:$C$500))))=0),1,0)</f>
        <v>0</v>
      </c>
      <c r="O50" s="90"/>
    </row>
    <row r="51" spans="1:15">
      <c r="A51" t="s">
        <v>1751</v>
      </c>
      <c r="B51" t="s">
        <v>2480</v>
      </c>
      <c r="C51" t="s">
        <v>2273</v>
      </c>
      <c r="D51" t="s">
        <v>2481</v>
      </c>
      <c r="E51" t="s">
        <v>2118</v>
      </c>
      <c r="F51" s="455">
        <v>45241</v>
      </c>
      <c r="G51" s="455">
        <v>46033</v>
      </c>
      <c r="H51" s="455">
        <v>46218</v>
      </c>
      <c r="I51" s="456">
        <v>2857.43</v>
      </c>
      <c r="J51">
        <v>0</v>
      </c>
      <c r="K51" s="456">
        <v>2857.43</v>
      </c>
      <c r="L51">
        <v>0</v>
      </c>
      <c r="M51">
        <v>0</v>
      </c>
      <c r="N51" s="90" cm="1">
        <f t="array" ref="N51">IF(AND(OR(ISNUMBER(SEARCH("Eviction",E51)),ISNUMBER(SEARCH("Past",E51)),ISNUMBER(SEARCH("Skip",E51)),ISNUMBER(SEARCH("Collections",E51)),COUNTIF(Delinquency_Detail_3!$N$3:$N$24,D51)&gt;0),COUNTIF(Delinquency_Detail_3!$P$3:$P$24,D51)=0,I51&gt;0,SUMPRODUCT((LeaseLock!$D$2:$D$500=B51)*(ISNUMBER(SEARCH(TRIM(LEFT(SUBSTITUTE(D51,",",REPT(" ",100)),100)),LeaseLock!$C$2:$C$500))))=0),1,0)</f>
        <v>1</v>
      </c>
      <c r="O51" s="90"/>
    </row>
    <row r="52" spans="1:15">
      <c r="A52" t="s">
        <v>1751</v>
      </c>
      <c r="B52" t="s">
        <v>2482</v>
      </c>
      <c r="C52" t="s">
        <v>2273</v>
      </c>
      <c r="D52" t="s">
        <v>2483</v>
      </c>
      <c r="E52" t="s">
        <v>2135</v>
      </c>
      <c r="F52" s="455">
        <v>42583</v>
      </c>
      <c r="G52" s="455">
        <v>46235</v>
      </c>
      <c r="H52" s="455">
        <v>46237</v>
      </c>
      <c r="I52" s="456">
        <v>1007.61</v>
      </c>
      <c r="J52" s="456">
        <v>1007.61</v>
      </c>
      <c r="K52">
        <v>0</v>
      </c>
      <c r="L52">
        <v>0</v>
      </c>
      <c r="M52">
        <v>0</v>
      </c>
      <c r="N52" s="90" cm="1">
        <f t="array" ref="N52">IF(AND(OR(ISNUMBER(SEARCH("Eviction",E52)),ISNUMBER(SEARCH("Past",E52)),ISNUMBER(SEARCH("Skip",E52)),ISNUMBER(SEARCH("Collections",E52)),COUNTIF(Delinquency_Detail_3!$N$3:$N$24,D52)&gt;0),COUNTIF(Delinquency_Detail_3!$P$3:$P$24,D52)=0,I52&gt;0,SUMPRODUCT((LeaseLock!$D$2:$D$500=B52)*(ISNUMBER(SEARCH(TRIM(LEFT(SUBSTITUTE(D52,",",REPT(" ",100)),100)),LeaseLock!$C$2:$C$500))))=0),1,0)</f>
        <v>1</v>
      </c>
      <c r="O52" s="90"/>
    </row>
    <row r="53" spans="1:15">
      <c r="A53" t="s">
        <v>1751</v>
      </c>
      <c r="B53" t="s">
        <v>2484</v>
      </c>
      <c r="C53" t="s">
        <v>2273</v>
      </c>
      <c r="D53" t="s">
        <v>2485</v>
      </c>
      <c r="E53" t="s">
        <v>2486</v>
      </c>
      <c r="F53" s="455">
        <v>45870</v>
      </c>
      <c r="G53" s="455">
        <v>46235</v>
      </c>
      <c r="H53" s="455">
        <v>46238</v>
      </c>
      <c r="I53">
        <v>581.97</v>
      </c>
      <c r="J53">
        <v>581.97</v>
      </c>
      <c r="K53">
        <v>0</v>
      </c>
      <c r="L53">
        <v>0</v>
      </c>
      <c r="M53">
        <v>0</v>
      </c>
      <c r="N53" s="90" cm="1">
        <f t="array" ref="N53">IF(AND(OR(ISNUMBER(SEARCH("Eviction",E53)),ISNUMBER(SEARCH("Past",E53)),ISNUMBER(SEARCH("Skip",E53)),ISNUMBER(SEARCH("Collections",E53)),COUNTIF(Delinquency_Detail_3!$N$3:$N$24,D53)&gt;0),COUNTIF(Delinquency_Detail_3!$P$3:$P$24,D53)=0,I53&gt;0,SUMPRODUCT((LeaseLock!$D$2:$D$500=B53)*(ISNUMBER(SEARCH(TRIM(LEFT(SUBSTITUTE(D53,",",REPT(" ",100)),100)),LeaseLock!$C$2:$C$500))))=0),1,0)</f>
        <v>1</v>
      </c>
      <c r="O53" s="90"/>
    </row>
    <row r="54" spans="1:15">
      <c r="A54" t="s">
        <v>1751</v>
      </c>
      <c r="B54" t="s">
        <v>2487</v>
      </c>
      <c r="C54" t="s">
        <v>2273</v>
      </c>
      <c r="D54" t="s">
        <v>1130</v>
      </c>
      <c r="E54" t="s">
        <v>2118</v>
      </c>
      <c r="F54" s="455">
        <v>46039</v>
      </c>
      <c r="G54" s="455">
        <v>46039</v>
      </c>
      <c r="H54" s="455">
        <v>46403</v>
      </c>
      <c r="I54" s="456">
        <v>9396.89</v>
      </c>
      <c r="J54">
        <v>0</v>
      </c>
      <c r="K54" s="456">
        <v>6500.35</v>
      </c>
      <c r="L54" s="456">
        <v>1281.58</v>
      </c>
      <c r="M54" s="456">
        <v>1614.96</v>
      </c>
      <c r="N54" s="90" cm="1">
        <f t="array" ref="N54">IF(AND(OR(ISNUMBER(SEARCH("Eviction",E54)),ISNUMBER(SEARCH("Past",E54)),ISNUMBER(SEARCH("Skip",E54)),ISNUMBER(SEARCH("Collections",E54)),COUNTIF(Delinquency_Detail_3!$N$3:$N$24,D54)&gt;0),COUNTIF(Delinquency_Detail_3!$P$3:$P$24,D54)=0,I54&gt;0,SUMPRODUCT((LeaseLock!$D$2:$D$500=B54)*(ISNUMBER(SEARCH(TRIM(LEFT(SUBSTITUTE(D54,",",REPT(" ",100)),100)),LeaseLock!$C$2:$C$500))))=0),1,0)</f>
        <v>1</v>
      </c>
      <c r="O54" s="90"/>
    </row>
    <row r="55" spans="1:15">
      <c r="A55" t="s">
        <v>1751</v>
      </c>
      <c r="B55" t="s">
        <v>2488</v>
      </c>
      <c r="C55" t="s">
        <v>2266</v>
      </c>
      <c r="D55" t="s">
        <v>2489</v>
      </c>
      <c r="E55" t="s">
        <v>2120</v>
      </c>
      <c r="F55" s="455">
        <v>45873</v>
      </c>
      <c r="G55" s="455">
        <v>45873</v>
      </c>
      <c r="H55" s="455">
        <v>46237</v>
      </c>
      <c r="I55" s="456">
        <v>9534.8700000000008</v>
      </c>
      <c r="J55">
        <v>0</v>
      </c>
      <c r="K55">
        <v>0</v>
      </c>
      <c r="L55" s="456">
        <v>4705.45</v>
      </c>
      <c r="M55" s="456">
        <v>4829.42</v>
      </c>
      <c r="N55" s="90" cm="1">
        <f t="array" ref="N55">IF(AND(OR(ISNUMBER(SEARCH("Eviction",E55)),ISNUMBER(SEARCH("Past",E55)),ISNUMBER(SEARCH("Skip",E55)),ISNUMBER(SEARCH("Collections",E55)),COUNTIF(Delinquency_Detail_3!$N$3:$N$24,D55)&gt;0),COUNTIF(Delinquency_Detail_3!$P$3:$P$24,D55)=0,I55&gt;0,SUMPRODUCT((LeaseLock!$D$2:$D$500=B55)*(ISNUMBER(SEARCH(TRIM(LEFT(SUBSTITUTE(D55,",",REPT(" ",100)),100)),LeaseLock!$C$2:$C$500))))=0),1,0)</f>
        <v>0</v>
      </c>
      <c r="O55" s="90"/>
    </row>
    <row r="56" spans="1:15">
      <c r="A56" t="s">
        <v>1751</v>
      </c>
      <c r="B56" t="s">
        <v>1227</v>
      </c>
      <c r="C56" t="s">
        <v>2266</v>
      </c>
      <c r="D56" t="s">
        <v>2490</v>
      </c>
      <c r="E56" t="s">
        <v>2392</v>
      </c>
      <c r="F56" s="455">
        <v>46121</v>
      </c>
      <c r="G56" s="455">
        <v>46121</v>
      </c>
      <c r="H56" s="455">
        <v>46485</v>
      </c>
      <c r="I56" s="456">
        <v>2709.48</v>
      </c>
      <c r="J56" s="456">
        <v>1359.53</v>
      </c>
      <c r="K56" s="456">
        <v>1349.95</v>
      </c>
      <c r="L56">
        <v>0</v>
      </c>
      <c r="M56">
        <v>0</v>
      </c>
      <c r="N56" s="90" cm="1">
        <f t="array" ref="N56">IF(AND(OR(ISNUMBER(SEARCH("Eviction",E56)),ISNUMBER(SEARCH("Past",E56)),ISNUMBER(SEARCH("Skip",E56)),ISNUMBER(SEARCH("Collections",E56)),COUNTIF(Delinquency_Detail_3!$N$3:$N$24,D56)&gt;0),COUNTIF(Delinquency_Detail_3!$P$3:$P$24,D56)=0,I56&gt;0,SUMPRODUCT((LeaseLock!$D$2:$D$500=B56)*(ISNUMBER(SEARCH(TRIM(LEFT(SUBSTITUTE(D56,",",REPT(" ",100)),100)),LeaseLock!$C$2:$C$500))))=0),1,0)</f>
        <v>0</v>
      </c>
      <c r="O56" s="90"/>
    </row>
    <row r="57" spans="1:15">
      <c r="A57" t="s">
        <v>1751</v>
      </c>
      <c r="B57" t="s">
        <v>2491</v>
      </c>
      <c r="C57" t="s">
        <v>2266</v>
      </c>
      <c r="D57" t="s">
        <v>2492</v>
      </c>
      <c r="E57" t="s">
        <v>2401</v>
      </c>
      <c r="F57" s="455">
        <v>45549</v>
      </c>
      <c r="G57" s="455">
        <v>45901</v>
      </c>
      <c r="H57" s="455">
        <v>46265</v>
      </c>
      <c r="I57">
        <v>543.12</v>
      </c>
      <c r="J57">
        <v>543.12</v>
      </c>
      <c r="K57">
        <v>0</v>
      </c>
      <c r="L57">
        <v>0</v>
      </c>
      <c r="M57">
        <v>0</v>
      </c>
      <c r="N57" s="90" cm="1">
        <f t="array" ref="N57">IF(AND(OR(ISNUMBER(SEARCH("Eviction",E57)),ISNUMBER(SEARCH("Past",E57)),ISNUMBER(SEARCH("Skip",E57)),ISNUMBER(SEARCH("Collections",E57)),COUNTIF(Delinquency_Detail_3!$N$3:$N$24,D57)&gt;0),COUNTIF(Delinquency_Detail_3!$P$3:$P$24,D57)=0,I57&gt;0,SUMPRODUCT((LeaseLock!$D$2:$D$500=B57)*(ISNUMBER(SEARCH(TRIM(LEFT(SUBSTITUTE(D57,",",REPT(" ",100)),100)),LeaseLock!$C$2:$C$500))))=0),1,0)</f>
        <v>0</v>
      </c>
      <c r="O57" s="90"/>
    </row>
    <row r="58" spans="1:15">
      <c r="A58" t="s">
        <v>1751</v>
      </c>
      <c r="B58" t="s">
        <v>2493</v>
      </c>
      <c r="C58" t="s">
        <v>2266</v>
      </c>
      <c r="D58" t="s">
        <v>1136</v>
      </c>
      <c r="E58" t="s">
        <v>2120</v>
      </c>
      <c r="F58" s="455">
        <v>45890</v>
      </c>
      <c r="G58" s="455">
        <v>45890</v>
      </c>
      <c r="H58" s="455">
        <v>46254</v>
      </c>
      <c r="I58" s="456">
        <v>19396.38</v>
      </c>
      <c r="J58">
        <v>0</v>
      </c>
      <c r="K58">
        <v>0</v>
      </c>
      <c r="L58" s="456">
        <v>6844.77</v>
      </c>
      <c r="M58" s="456">
        <v>12551.61</v>
      </c>
      <c r="N58" s="90" cm="1">
        <f t="array" ref="N58">IF(AND(OR(ISNUMBER(SEARCH("Eviction",E58)),ISNUMBER(SEARCH("Past",E58)),ISNUMBER(SEARCH("Skip",E58)),ISNUMBER(SEARCH("Collections",E58)),COUNTIF(Delinquency_Detail_3!$N$3:$N$24,D58)&gt;0),COUNTIF(Delinquency_Detail_3!$P$3:$P$24,D58)=0,I58&gt;0,SUMPRODUCT((LeaseLock!$D$2:$D$500=B58)*(ISNUMBER(SEARCH(TRIM(LEFT(SUBSTITUTE(D58,",",REPT(" ",100)),100)),LeaseLock!$C$2:$C$500))))=0),1,0)</f>
        <v>0</v>
      </c>
      <c r="O58" s="90"/>
    </row>
    <row r="59" spans="1:15">
      <c r="A59" t="s">
        <v>1751</v>
      </c>
      <c r="B59" t="s">
        <v>1225</v>
      </c>
      <c r="C59" t="s">
        <v>2266</v>
      </c>
      <c r="D59" t="s">
        <v>1148</v>
      </c>
      <c r="E59" t="s">
        <v>2118</v>
      </c>
      <c r="F59" s="455">
        <v>46087</v>
      </c>
      <c r="G59" s="455">
        <v>46087</v>
      </c>
      <c r="H59" s="455">
        <v>46451</v>
      </c>
      <c r="I59" s="456">
        <v>5291.14</v>
      </c>
      <c r="J59">
        <v>0</v>
      </c>
      <c r="K59" s="456">
        <v>4028.19</v>
      </c>
      <c r="L59">
        <v>107.95</v>
      </c>
      <c r="M59" s="456">
        <v>1155</v>
      </c>
      <c r="N59" s="90" cm="1">
        <f t="array" ref="N59">IF(AND(OR(ISNUMBER(SEARCH("Eviction",E59)),ISNUMBER(SEARCH("Past",E59)),ISNUMBER(SEARCH("Skip",E59)),ISNUMBER(SEARCH("Collections",E59)),COUNTIF(Delinquency_Detail_3!$N$3:$N$24,D59)&gt;0),COUNTIF(Delinquency_Detail_3!$P$3:$P$24,D59)=0,I59&gt;0,SUMPRODUCT((LeaseLock!$D$2:$D$500=B59)*(ISNUMBER(SEARCH(TRIM(LEFT(SUBSTITUTE(D59,",",REPT(" ",100)),100)),LeaseLock!$C$2:$C$500))))=0),1,0)</f>
        <v>1</v>
      </c>
      <c r="O59" s="90"/>
    </row>
    <row r="60" spans="1:15">
      <c r="A60" t="s">
        <v>1751</v>
      </c>
      <c r="B60" t="s">
        <v>2494</v>
      </c>
      <c r="C60" t="s">
        <v>2266</v>
      </c>
      <c r="D60" t="s">
        <v>2495</v>
      </c>
      <c r="E60" t="s">
        <v>2392</v>
      </c>
      <c r="F60" s="455">
        <v>43344</v>
      </c>
      <c r="G60" s="455">
        <v>46082</v>
      </c>
      <c r="H60" s="455">
        <v>46445</v>
      </c>
      <c r="I60" s="456">
        <v>1308.73</v>
      </c>
      <c r="J60" s="456">
        <v>1308.73</v>
      </c>
      <c r="K60">
        <v>0</v>
      </c>
      <c r="L60">
        <v>0</v>
      </c>
      <c r="M60">
        <v>0</v>
      </c>
      <c r="N60" s="90" cm="1">
        <f t="array" ref="N60">IF(AND(OR(ISNUMBER(SEARCH("Eviction",E60)),ISNUMBER(SEARCH("Past",E60)),ISNUMBER(SEARCH("Skip",E60)),ISNUMBER(SEARCH("Collections",E60)),COUNTIF(Delinquency_Detail_3!$N$3:$N$24,D60)&gt;0),COUNTIF(Delinquency_Detail_3!$P$3:$P$24,D60)=0,I60&gt;0,SUMPRODUCT((LeaseLock!$D$2:$D$500=B60)*(ISNUMBER(SEARCH(TRIM(LEFT(SUBSTITUTE(D60,",",REPT(" ",100)),100)),LeaseLock!$C$2:$C$500))))=0),1,0)</f>
        <v>0</v>
      </c>
      <c r="O60" s="90"/>
    </row>
    <row r="61" spans="1:15">
      <c r="A61" t="s">
        <v>1751</v>
      </c>
      <c r="B61" t="s">
        <v>2496</v>
      </c>
      <c r="C61" t="s">
        <v>2266</v>
      </c>
      <c r="D61" t="s">
        <v>2497</v>
      </c>
      <c r="E61" t="s">
        <v>2135</v>
      </c>
      <c r="F61" s="455">
        <v>43945</v>
      </c>
      <c r="G61" s="455">
        <v>46113</v>
      </c>
      <c r="H61" s="455">
        <v>46146</v>
      </c>
      <c r="I61">
        <v>959.88</v>
      </c>
      <c r="J61">
        <v>0</v>
      </c>
      <c r="K61">
        <v>0</v>
      </c>
      <c r="L61">
        <v>0</v>
      </c>
      <c r="M61">
        <v>959.88</v>
      </c>
      <c r="N61" s="90" cm="1">
        <f t="array" ref="N61">IF(AND(OR(ISNUMBER(SEARCH("Eviction",E61)),ISNUMBER(SEARCH("Past",E61)),ISNUMBER(SEARCH("Skip",E61)),ISNUMBER(SEARCH("Collections",E61)),COUNTIF(Delinquency_Detail_3!$N$3:$N$24,D61)&gt;0),COUNTIF(Delinquency_Detail_3!$P$3:$P$24,D61)=0,I61&gt;0,SUMPRODUCT((LeaseLock!$D$2:$D$500=B61)*(ISNUMBER(SEARCH(TRIM(LEFT(SUBSTITUTE(D61,",",REPT(" ",100)),100)),LeaseLock!$C$2:$C$500))))=0),1,0)</f>
        <v>1</v>
      </c>
      <c r="O61" s="90"/>
    </row>
    <row r="62" spans="1:15">
      <c r="A62" t="s">
        <v>1751</v>
      </c>
      <c r="B62" t="s">
        <v>2498</v>
      </c>
      <c r="C62" t="s">
        <v>2266</v>
      </c>
      <c r="D62" t="s">
        <v>2499</v>
      </c>
      <c r="E62" t="s">
        <v>2118</v>
      </c>
      <c r="F62" s="455">
        <v>44958</v>
      </c>
      <c r="G62" s="455">
        <v>46054</v>
      </c>
      <c r="H62" s="455">
        <v>46186</v>
      </c>
      <c r="I62" s="456">
        <v>2605.77</v>
      </c>
      <c r="J62">
        <v>0</v>
      </c>
      <c r="K62">
        <v>0</v>
      </c>
      <c r="L62" s="456">
        <v>2605.77</v>
      </c>
      <c r="M62">
        <v>0</v>
      </c>
      <c r="N62" s="90" cm="1">
        <f t="array" ref="N62">IF(AND(OR(ISNUMBER(SEARCH("Eviction",E62)),ISNUMBER(SEARCH("Past",E62)),ISNUMBER(SEARCH("Skip",E62)),ISNUMBER(SEARCH("Collections",E62)),COUNTIF(Delinquency_Detail_3!$N$3:$N$24,D62)&gt;0),COUNTIF(Delinquency_Detail_3!$P$3:$P$24,D62)=0,I62&gt;0,SUMPRODUCT((LeaseLock!$D$2:$D$500=B62)*(ISNUMBER(SEARCH(TRIM(LEFT(SUBSTITUTE(D62,",",REPT(" ",100)),100)),LeaseLock!$C$2:$C$500))))=0),1,0)</f>
        <v>1</v>
      </c>
      <c r="O62" s="90"/>
    </row>
    <row r="63" spans="1:15">
      <c r="A63" t="s">
        <v>1751</v>
      </c>
      <c r="B63" t="s">
        <v>2500</v>
      </c>
      <c r="C63" t="s">
        <v>2263</v>
      </c>
      <c r="D63" t="s">
        <v>2501</v>
      </c>
      <c r="E63" t="s">
        <v>2118</v>
      </c>
      <c r="F63" s="455">
        <v>45239</v>
      </c>
      <c r="G63" s="455">
        <v>45870</v>
      </c>
      <c r="H63" s="455">
        <v>46234</v>
      </c>
      <c r="I63" s="456">
        <v>7781.66</v>
      </c>
      <c r="J63">
        <v>0</v>
      </c>
      <c r="K63" s="456">
        <v>4551.71</v>
      </c>
      <c r="L63" s="456">
        <v>1405.25</v>
      </c>
      <c r="M63" s="456">
        <v>1824.7</v>
      </c>
      <c r="N63" s="90" cm="1">
        <f t="array" ref="N63">IF(AND(OR(ISNUMBER(SEARCH("Eviction",E63)),ISNUMBER(SEARCH("Past",E63)),ISNUMBER(SEARCH("Skip",E63)),ISNUMBER(SEARCH("Collections",E63)),COUNTIF(Delinquency_Detail_3!$N$3:$N$24,D63)&gt;0),COUNTIF(Delinquency_Detail_3!$P$3:$P$24,D63)=0,I63&gt;0,SUMPRODUCT((LeaseLock!$D$2:$D$500=B63)*(ISNUMBER(SEARCH(TRIM(LEFT(SUBSTITUTE(D63,",",REPT(" ",100)),100)),LeaseLock!$C$2:$C$500))))=0),1,0)</f>
        <v>1</v>
      </c>
      <c r="O63" s="90"/>
    </row>
    <row r="64" spans="1:15">
      <c r="A64" t="s">
        <v>1751</v>
      </c>
      <c r="B64" t="s">
        <v>2502</v>
      </c>
      <c r="C64" t="s">
        <v>2263</v>
      </c>
      <c r="D64" t="s">
        <v>1147</v>
      </c>
      <c r="E64" t="s">
        <v>2120</v>
      </c>
      <c r="F64" s="455">
        <v>45268</v>
      </c>
      <c r="G64" s="455">
        <v>46064</v>
      </c>
      <c r="H64" s="455">
        <v>46428</v>
      </c>
      <c r="I64" s="456">
        <v>7624.07</v>
      </c>
      <c r="J64">
        <v>0</v>
      </c>
      <c r="K64" s="456">
        <v>5203.96</v>
      </c>
      <c r="L64" s="456">
        <v>1458.34</v>
      </c>
      <c r="M64">
        <v>961.77</v>
      </c>
      <c r="N64" s="90" cm="1">
        <f t="array" ref="N64">IF(AND(OR(ISNUMBER(SEARCH("Eviction",E64)),ISNUMBER(SEARCH("Past",E64)),ISNUMBER(SEARCH("Skip",E64)),ISNUMBER(SEARCH("Collections",E64)),COUNTIF(Delinquency_Detail_3!$N$3:$N$24,D64)&gt;0),COUNTIF(Delinquency_Detail_3!$P$3:$P$24,D64)=0,I64&gt;0,SUMPRODUCT((LeaseLock!$D$2:$D$500=B64)*(ISNUMBER(SEARCH(TRIM(LEFT(SUBSTITUTE(D64,",",REPT(" ",100)),100)),LeaseLock!$C$2:$C$500))))=0),1,0)</f>
        <v>1</v>
      </c>
      <c r="O64" s="90"/>
    </row>
    <row r="65" spans="1:15">
      <c r="A65" t="s">
        <v>1751</v>
      </c>
      <c r="B65" t="s">
        <v>2503</v>
      </c>
      <c r="C65" t="s">
        <v>2263</v>
      </c>
      <c r="D65" t="s">
        <v>2504</v>
      </c>
      <c r="E65" t="s">
        <v>2392</v>
      </c>
      <c r="F65" s="455">
        <v>44713</v>
      </c>
      <c r="G65" s="455">
        <v>46174</v>
      </c>
      <c r="H65" s="455">
        <v>46538</v>
      </c>
      <c r="I65">
        <v>630.22</v>
      </c>
      <c r="J65">
        <v>630.22</v>
      </c>
      <c r="K65">
        <v>0</v>
      </c>
      <c r="L65">
        <v>0</v>
      </c>
      <c r="M65">
        <v>0</v>
      </c>
      <c r="N65" s="90" cm="1">
        <f t="array" ref="N65">IF(AND(OR(ISNUMBER(SEARCH("Eviction",E65)),ISNUMBER(SEARCH("Past",E65)),ISNUMBER(SEARCH("Skip",E65)),ISNUMBER(SEARCH("Collections",E65)),COUNTIF(Delinquency_Detail_3!$N$3:$N$24,D65)&gt;0),COUNTIF(Delinquency_Detail_3!$P$3:$P$24,D65)=0,I65&gt;0,SUMPRODUCT((LeaseLock!$D$2:$D$500=B65)*(ISNUMBER(SEARCH(TRIM(LEFT(SUBSTITUTE(D65,",",REPT(" ",100)),100)),LeaseLock!$C$2:$C$500))))=0),1,0)</f>
        <v>0</v>
      </c>
      <c r="O65" s="90"/>
    </row>
    <row r="66" spans="1:15">
      <c r="A66" t="s">
        <v>1751</v>
      </c>
      <c r="B66" t="s">
        <v>2505</v>
      </c>
      <c r="C66" t="s">
        <v>2263</v>
      </c>
      <c r="D66" t="s">
        <v>2506</v>
      </c>
      <c r="E66" t="s">
        <v>2392</v>
      </c>
      <c r="F66" s="455">
        <v>45352</v>
      </c>
      <c r="G66" s="455">
        <v>46082</v>
      </c>
      <c r="H66" s="455">
        <v>46445</v>
      </c>
      <c r="I66">
        <v>14.95</v>
      </c>
      <c r="J66">
        <v>14.95</v>
      </c>
      <c r="K66">
        <v>0</v>
      </c>
      <c r="L66">
        <v>0</v>
      </c>
      <c r="M66">
        <v>0</v>
      </c>
      <c r="N66" s="90" cm="1">
        <f t="array" ref="N66">IF(AND(OR(ISNUMBER(SEARCH("Eviction",E66)),ISNUMBER(SEARCH("Past",E66)),ISNUMBER(SEARCH("Skip",E66)),ISNUMBER(SEARCH("Collections",E66)),COUNTIF(Delinquency_Detail_3!$N$3:$N$24,D66)&gt;0),COUNTIF(Delinquency_Detail_3!$P$3:$P$24,D66)=0,I66&gt;0,SUMPRODUCT((LeaseLock!$D$2:$D$500=B66)*(ISNUMBER(SEARCH(TRIM(LEFT(SUBSTITUTE(D66,",",REPT(" ",100)),100)),LeaseLock!$C$2:$C$500))))=0),1,0)</f>
        <v>0</v>
      </c>
      <c r="O66" s="90"/>
    </row>
    <row r="67" spans="1:15">
      <c r="A67" t="s">
        <v>1751</v>
      </c>
      <c r="B67" t="s">
        <v>2507</v>
      </c>
      <c r="C67" t="s">
        <v>2263</v>
      </c>
      <c r="D67" t="s">
        <v>2508</v>
      </c>
      <c r="E67" t="s">
        <v>2135</v>
      </c>
      <c r="F67" s="455">
        <v>45465</v>
      </c>
      <c r="G67" s="455">
        <v>45870</v>
      </c>
      <c r="H67" s="455">
        <v>46234</v>
      </c>
      <c r="I67">
        <v>325.8</v>
      </c>
      <c r="J67">
        <v>0</v>
      </c>
      <c r="K67">
        <v>325.8</v>
      </c>
      <c r="L67">
        <v>0</v>
      </c>
      <c r="M67">
        <v>0</v>
      </c>
      <c r="N67" s="90" cm="1">
        <f t="array" ref="N67">IF(AND(OR(ISNUMBER(SEARCH("Eviction",E67)),ISNUMBER(SEARCH("Past",E67)),ISNUMBER(SEARCH("Skip",E67)),ISNUMBER(SEARCH("Collections",E67)),COUNTIF(Delinquency_Detail_3!$N$3:$N$24,D67)&gt;0),COUNTIF(Delinquency_Detail_3!$P$3:$P$24,D67)=0,I67&gt;0,SUMPRODUCT((LeaseLock!$D$2:$D$500=B67)*(ISNUMBER(SEARCH(TRIM(LEFT(SUBSTITUTE(D67,",",REPT(" ",100)),100)),LeaseLock!$C$2:$C$500))))=0),1,0)</f>
        <v>1</v>
      </c>
      <c r="O67" s="90"/>
    </row>
    <row r="68" spans="1:15">
      <c r="A68" t="s">
        <v>1751</v>
      </c>
      <c r="B68" t="s">
        <v>2509</v>
      </c>
      <c r="C68" t="s">
        <v>2263</v>
      </c>
      <c r="D68" t="s">
        <v>1122</v>
      </c>
      <c r="E68" t="s">
        <v>2120</v>
      </c>
      <c r="F68" s="455">
        <v>45983</v>
      </c>
      <c r="G68" s="455">
        <v>45983</v>
      </c>
      <c r="H68" s="455">
        <v>46347</v>
      </c>
      <c r="I68" s="456">
        <v>10168.61</v>
      </c>
      <c r="J68">
        <v>0</v>
      </c>
      <c r="K68" s="456">
        <v>4935.28</v>
      </c>
      <c r="L68" s="456">
        <v>1334.25</v>
      </c>
      <c r="M68" s="456">
        <v>3899.08</v>
      </c>
      <c r="N68" s="90" cm="1">
        <f t="array" ref="N68">IF(AND(OR(ISNUMBER(SEARCH("Eviction",E68)),ISNUMBER(SEARCH("Past",E68)),ISNUMBER(SEARCH("Skip",E68)),ISNUMBER(SEARCH("Collections",E68)),COUNTIF(Delinquency_Detail_3!$N$3:$N$24,D68)&gt;0),COUNTIF(Delinquency_Detail_3!$P$3:$P$24,D68)=0,I68&gt;0,SUMPRODUCT((LeaseLock!$D$2:$D$500=B68)*(ISNUMBER(SEARCH(TRIM(LEFT(SUBSTITUTE(D68,",",REPT(" ",100)),100)),LeaseLock!$C$2:$C$500))))=0),1,0)</f>
        <v>1</v>
      </c>
      <c r="O68" s="90"/>
    </row>
    <row r="69" spans="1:15">
      <c r="A69" t="s">
        <v>1751</v>
      </c>
      <c r="B69" t="s">
        <v>2510</v>
      </c>
      <c r="C69" t="s">
        <v>2263</v>
      </c>
      <c r="D69" t="s">
        <v>2511</v>
      </c>
      <c r="E69" t="s">
        <v>2512</v>
      </c>
      <c r="F69" s="455">
        <v>45495</v>
      </c>
      <c r="G69" s="455">
        <v>45922</v>
      </c>
      <c r="H69" s="455">
        <v>46286</v>
      </c>
      <c r="I69" s="456">
        <v>1360.27</v>
      </c>
      <c r="J69" s="456">
        <v>1360.27</v>
      </c>
      <c r="K69">
        <v>0</v>
      </c>
      <c r="L69">
        <v>0</v>
      </c>
      <c r="M69">
        <v>0</v>
      </c>
      <c r="N69" s="90" cm="1">
        <f t="array" ref="N69">IF(AND(OR(ISNUMBER(SEARCH("Eviction",E69)),ISNUMBER(SEARCH("Past",E69)),ISNUMBER(SEARCH("Skip",E69)),ISNUMBER(SEARCH("Collections",E69)),COUNTIF(Delinquency_Detail_3!$N$3:$N$24,D69)&gt;0),COUNTIF(Delinquency_Detail_3!$P$3:$P$24,D69)=0,I69&gt;0,SUMPRODUCT((LeaseLock!$D$2:$D$500=B69)*(ISNUMBER(SEARCH(TRIM(LEFT(SUBSTITUTE(D69,",",REPT(" ",100)),100)),LeaseLock!$C$2:$C$500))))=0),1,0)</f>
        <v>0</v>
      </c>
      <c r="O69" s="90"/>
    </row>
    <row r="70" spans="1:15">
      <c r="A70" t="s">
        <v>1751</v>
      </c>
      <c r="B70" t="s">
        <v>2513</v>
      </c>
      <c r="C70" t="s">
        <v>2263</v>
      </c>
      <c r="D70" t="s">
        <v>2514</v>
      </c>
      <c r="E70" t="s">
        <v>2392</v>
      </c>
      <c r="F70" s="455">
        <v>45807</v>
      </c>
      <c r="G70" s="455">
        <v>46172</v>
      </c>
      <c r="H70" s="455">
        <v>46536</v>
      </c>
      <c r="I70" s="456">
        <v>1304.73</v>
      </c>
      <c r="J70" s="456">
        <v>1304.73</v>
      </c>
      <c r="K70">
        <v>0</v>
      </c>
      <c r="L70">
        <v>0</v>
      </c>
      <c r="M70">
        <v>0</v>
      </c>
      <c r="N70" s="90" cm="1">
        <f t="array" ref="N70">IF(AND(OR(ISNUMBER(SEARCH("Eviction",E70)),ISNUMBER(SEARCH("Past",E70)),ISNUMBER(SEARCH("Skip",E70)),ISNUMBER(SEARCH("Collections",E70)),COUNTIF(Delinquency_Detail_3!$N$3:$N$24,D70)&gt;0),COUNTIF(Delinquency_Detail_3!$P$3:$P$24,D70)=0,I70&gt;0,SUMPRODUCT((LeaseLock!$D$2:$D$500=B70)*(ISNUMBER(SEARCH(TRIM(LEFT(SUBSTITUTE(D70,",",REPT(" ",100)),100)),LeaseLock!$C$2:$C$500))))=0),1,0)</f>
        <v>0</v>
      </c>
      <c r="O70" s="90"/>
    </row>
    <row r="71" spans="1:15">
      <c r="A71" t="s">
        <v>1751</v>
      </c>
      <c r="B71" t="s">
        <v>2515</v>
      </c>
      <c r="C71" t="s">
        <v>2263</v>
      </c>
      <c r="D71" t="s">
        <v>2516</v>
      </c>
      <c r="E71" t="s">
        <v>2135</v>
      </c>
      <c r="F71" s="455">
        <v>45139</v>
      </c>
      <c r="G71" s="455">
        <v>46113</v>
      </c>
      <c r="H71" s="455">
        <v>46160</v>
      </c>
      <c r="I71">
        <v>347.51</v>
      </c>
      <c r="J71">
        <v>0</v>
      </c>
      <c r="K71">
        <v>0</v>
      </c>
      <c r="L71">
        <v>0</v>
      </c>
      <c r="M71">
        <v>347.51</v>
      </c>
      <c r="N71" s="90" cm="1">
        <f t="array" ref="N71">IF(AND(OR(ISNUMBER(SEARCH("Eviction",E71)),ISNUMBER(SEARCH("Past",E71)),ISNUMBER(SEARCH("Skip",E71)),ISNUMBER(SEARCH("Collections",E71)),COUNTIF(Delinquency_Detail_3!$N$3:$N$24,D71)&gt;0),COUNTIF(Delinquency_Detail_3!$P$3:$P$24,D71)=0,I71&gt;0,SUMPRODUCT((LeaseLock!$D$2:$D$500=B71)*(ISNUMBER(SEARCH(TRIM(LEFT(SUBSTITUTE(D71,",",REPT(" ",100)),100)),LeaseLock!$C$2:$C$500))))=0),1,0)</f>
        <v>1</v>
      </c>
      <c r="O71" s="90"/>
    </row>
    <row r="72" spans="1:15">
      <c r="A72" t="s">
        <v>1751</v>
      </c>
      <c r="B72" t="s">
        <v>2517</v>
      </c>
      <c r="C72" t="s">
        <v>2272</v>
      </c>
      <c r="D72" t="s">
        <v>2518</v>
      </c>
      <c r="E72" t="s">
        <v>2118</v>
      </c>
      <c r="F72" s="455">
        <v>45810</v>
      </c>
      <c r="G72" s="455">
        <v>46175</v>
      </c>
      <c r="H72" s="455">
        <v>46185</v>
      </c>
      <c r="I72" s="456">
        <v>4614.41</v>
      </c>
      <c r="J72">
        <v>0</v>
      </c>
      <c r="K72" s="456">
        <v>3830</v>
      </c>
      <c r="L72">
        <v>784.41</v>
      </c>
      <c r="M72">
        <v>0</v>
      </c>
      <c r="N72" s="90" cm="1">
        <f t="array" ref="N72">IF(AND(OR(ISNUMBER(SEARCH("Eviction",E72)),ISNUMBER(SEARCH("Past",E72)),ISNUMBER(SEARCH("Skip",E72)),ISNUMBER(SEARCH("Collections",E72)),COUNTIF(Delinquency_Detail_3!$N$3:$N$24,D72)&gt;0),COUNTIF(Delinquency_Detail_3!$P$3:$P$24,D72)=0,I72&gt;0,SUMPRODUCT((LeaseLock!$D$2:$D$500=B72)*(ISNUMBER(SEARCH(TRIM(LEFT(SUBSTITUTE(D72,",",REPT(" ",100)),100)),LeaseLock!$C$2:$C$500))))=0),1,0)</f>
        <v>0</v>
      </c>
      <c r="O72" s="90"/>
    </row>
    <row r="73" spans="1:15">
      <c r="A73" t="s">
        <v>1751</v>
      </c>
      <c r="B73" t="s">
        <v>1546</v>
      </c>
      <c r="C73" t="s">
        <v>2272</v>
      </c>
      <c r="D73" t="s">
        <v>2519</v>
      </c>
      <c r="E73" t="s">
        <v>2392</v>
      </c>
      <c r="F73" s="455">
        <v>46111</v>
      </c>
      <c r="G73" s="455">
        <v>46111</v>
      </c>
      <c r="H73" s="455">
        <v>46475</v>
      </c>
      <c r="I73" s="456">
        <v>1390.09</v>
      </c>
      <c r="J73" s="456">
        <v>1390.09</v>
      </c>
      <c r="K73">
        <v>0</v>
      </c>
      <c r="L73">
        <v>0</v>
      </c>
      <c r="M73">
        <v>0</v>
      </c>
      <c r="N73" s="90" cm="1">
        <f t="array" ref="N73">IF(AND(OR(ISNUMBER(SEARCH("Eviction",E73)),ISNUMBER(SEARCH("Past",E73)),ISNUMBER(SEARCH("Skip",E73)),ISNUMBER(SEARCH("Collections",E73)),COUNTIF(Delinquency_Detail_3!$N$3:$N$24,D73)&gt;0),COUNTIF(Delinquency_Detail_3!$P$3:$P$24,D73)=0,I73&gt;0,SUMPRODUCT((LeaseLock!$D$2:$D$500=B73)*(ISNUMBER(SEARCH(TRIM(LEFT(SUBSTITUTE(D73,",",REPT(" ",100)),100)),LeaseLock!$C$2:$C$500))))=0),1,0)</f>
        <v>0</v>
      </c>
      <c r="O73" s="90"/>
    </row>
    <row r="74" spans="1:15">
      <c r="A74" t="s">
        <v>1751</v>
      </c>
      <c r="B74" t="s">
        <v>2520</v>
      </c>
      <c r="C74" t="s">
        <v>2275</v>
      </c>
      <c r="D74" t="s">
        <v>2521</v>
      </c>
      <c r="E74" t="s">
        <v>2135</v>
      </c>
      <c r="F74" s="455">
        <v>42266</v>
      </c>
      <c r="G74" s="455">
        <v>46174</v>
      </c>
      <c r="H74" s="455">
        <v>46193</v>
      </c>
      <c r="I74" s="456">
        <v>1491.53</v>
      </c>
      <c r="J74">
        <v>0</v>
      </c>
      <c r="K74" s="456">
        <v>1491.53</v>
      </c>
      <c r="L74">
        <v>0</v>
      </c>
      <c r="M74">
        <v>0</v>
      </c>
      <c r="N74" s="90" cm="1">
        <f t="array" ref="N74">IF(AND(OR(ISNUMBER(SEARCH("Eviction",E74)),ISNUMBER(SEARCH("Past",E74)),ISNUMBER(SEARCH("Skip",E74)),ISNUMBER(SEARCH("Collections",E74)),COUNTIF(Delinquency_Detail_3!$N$3:$N$24,D74)&gt;0),COUNTIF(Delinquency_Detail_3!$P$3:$P$24,D74)=0,I74&gt;0,SUMPRODUCT((LeaseLock!$D$2:$D$500=B74)*(ISNUMBER(SEARCH(TRIM(LEFT(SUBSTITUTE(D74,",",REPT(" ",100)),100)),LeaseLock!$C$2:$C$500))))=0),1,0)</f>
        <v>1</v>
      </c>
      <c r="O74" s="90"/>
    </row>
    <row r="75" spans="1:15">
      <c r="A75" t="s">
        <v>1751</v>
      </c>
      <c r="B75" t="s">
        <v>1218</v>
      </c>
      <c r="C75" t="s">
        <v>2275</v>
      </c>
      <c r="D75" t="s">
        <v>1103</v>
      </c>
      <c r="E75" t="s">
        <v>2392</v>
      </c>
      <c r="F75" s="455">
        <v>46092</v>
      </c>
      <c r="G75" s="455">
        <v>46092</v>
      </c>
      <c r="H75" s="455">
        <v>46456</v>
      </c>
      <c r="I75" s="456">
        <v>1038.83</v>
      </c>
      <c r="J75" s="456">
        <v>1038.83</v>
      </c>
      <c r="K75">
        <v>0</v>
      </c>
      <c r="L75">
        <v>0</v>
      </c>
      <c r="M75">
        <v>0</v>
      </c>
      <c r="N75" s="90" cm="1">
        <f t="array" ref="N75">IF(AND(OR(ISNUMBER(SEARCH("Eviction",E75)),ISNUMBER(SEARCH("Past",E75)),ISNUMBER(SEARCH("Skip",E75)),ISNUMBER(SEARCH("Collections",E75)),COUNTIF(Delinquency_Detail_3!$N$3:$N$24,D75)&gt;0),COUNTIF(Delinquency_Detail_3!$P$3:$P$24,D75)=0,I75&gt;0,SUMPRODUCT((LeaseLock!$D$2:$D$500=B75)*(ISNUMBER(SEARCH(TRIM(LEFT(SUBSTITUTE(D75,",",REPT(" ",100)),100)),LeaseLock!$C$2:$C$500))))=0),1,0)</f>
        <v>0</v>
      </c>
      <c r="O75" s="90"/>
    </row>
    <row r="76" spans="1:15">
      <c r="A76" t="s">
        <v>1751</v>
      </c>
      <c r="B76" t="s">
        <v>2522</v>
      </c>
      <c r="C76" t="s">
        <v>2263</v>
      </c>
      <c r="D76" t="s">
        <v>2523</v>
      </c>
      <c r="E76" t="s">
        <v>2512</v>
      </c>
      <c r="F76" s="455">
        <v>43791</v>
      </c>
      <c r="G76" s="455">
        <v>45901</v>
      </c>
      <c r="H76" s="455">
        <v>46265</v>
      </c>
      <c r="I76" s="456">
        <v>1240.78</v>
      </c>
      <c r="J76" s="456">
        <v>1240.78</v>
      </c>
      <c r="K76">
        <v>0</v>
      </c>
      <c r="L76">
        <v>0</v>
      </c>
      <c r="M76">
        <v>0</v>
      </c>
      <c r="N76" s="90" cm="1">
        <f t="array" ref="N76">IF(AND(OR(ISNUMBER(SEARCH("Eviction",E76)),ISNUMBER(SEARCH("Past",E76)),ISNUMBER(SEARCH("Skip",E76)),ISNUMBER(SEARCH("Collections",E76)),COUNTIF(Delinquency_Detail_3!$N$3:$N$24,D76)&gt;0),COUNTIF(Delinquency_Detail_3!$P$3:$P$24,D76)=0,I76&gt;0,SUMPRODUCT((LeaseLock!$D$2:$D$500=B76)*(ISNUMBER(SEARCH(TRIM(LEFT(SUBSTITUTE(D76,",",REPT(" ",100)),100)),LeaseLock!$C$2:$C$500))))=0),1,0)</f>
        <v>0</v>
      </c>
      <c r="O76" s="90"/>
    </row>
    <row r="77" spans="1:15">
      <c r="A77" t="s">
        <v>1751</v>
      </c>
      <c r="B77" t="s">
        <v>2524</v>
      </c>
      <c r="C77" t="s">
        <v>2263</v>
      </c>
      <c r="D77" t="s">
        <v>2525</v>
      </c>
      <c r="E77" t="s">
        <v>2526</v>
      </c>
      <c r="F77" s="455">
        <v>44536</v>
      </c>
      <c r="G77" s="455">
        <v>46082</v>
      </c>
      <c r="H77" s="455">
        <v>46296</v>
      </c>
      <c r="I77">
        <v>116.77</v>
      </c>
      <c r="J77">
        <v>116.77</v>
      </c>
      <c r="K77">
        <v>0</v>
      </c>
      <c r="L77">
        <v>0</v>
      </c>
      <c r="M77">
        <v>0</v>
      </c>
      <c r="N77" s="90" cm="1">
        <f t="array" ref="N77">IF(AND(OR(ISNUMBER(SEARCH("Eviction",E77)),ISNUMBER(SEARCH("Past",E77)),ISNUMBER(SEARCH("Skip",E77)),ISNUMBER(SEARCH("Collections",E77)),COUNTIF(Delinquency_Detail_3!$N$3:$N$24,D77)&gt;0),COUNTIF(Delinquency_Detail_3!$P$3:$P$24,D77)=0,I77&gt;0,SUMPRODUCT((LeaseLock!$D$2:$D$500=B77)*(ISNUMBER(SEARCH(TRIM(LEFT(SUBSTITUTE(D77,",",REPT(" ",100)),100)),LeaseLock!$C$2:$C$500))))=0),1,0)</f>
        <v>0</v>
      </c>
      <c r="O77" s="90"/>
    </row>
    <row r="78" spans="1:15">
      <c r="A78" t="s">
        <v>1751</v>
      </c>
      <c r="B78" t="s">
        <v>2527</v>
      </c>
      <c r="C78" t="s">
        <v>2272</v>
      </c>
      <c r="D78" t="s">
        <v>2528</v>
      </c>
      <c r="E78" t="s">
        <v>2135</v>
      </c>
      <c r="F78" s="455">
        <v>44958</v>
      </c>
      <c r="G78" s="455">
        <v>45870</v>
      </c>
      <c r="H78" s="455">
        <v>46234</v>
      </c>
      <c r="I78">
        <v>363.07</v>
      </c>
      <c r="J78">
        <v>363.07</v>
      </c>
      <c r="K78">
        <v>0</v>
      </c>
      <c r="L78">
        <v>0</v>
      </c>
      <c r="M78">
        <v>0</v>
      </c>
      <c r="N78" s="90" cm="1">
        <f t="array" ref="N78">IF(AND(OR(ISNUMBER(SEARCH("Eviction",E78)),ISNUMBER(SEARCH("Past",E78)),ISNUMBER(SEARCH("Skip",E78)),ISNUMBER(SEARCH("Collections",E78)),COUNTIF(Delinquency_Detail_3!$N$3:$N$24,D78)&gt;0),COUNTIF(Delinquency_Detail_3!$P$3:$P$24,D78)=0,I78&gt;0,SUMPRODUCT((LeaseLock!$D$2:$D$500=B78)*(ISNUMBER(SEARCH(TRIM(LEFT(SUBSTITUTE(D78,",",REPT(" ",100)),100)),LeaseLock!$C$2:$C$500))))=0),1,0)</f>
        <v>1</v>
      </c>
      <c r="O78" s="90"/>
    </row>
    <row r="79" spans="1:15">
      <c r="A79" t="s">
        <v>1751</v>
      </c>
      <c r="B79" t="s">
        <v>2529</v>
      </c>
      <c r="C79" t="s">
        <v>2272</v>
      </c>
      <c r="D79" t="s">
        <v>2530</v>
      </c>
      <c r="E79" t="s">
        <v>2135</v>
      </c>
      <c r="F79" s="455">
        <v>45565</v>
      </c>
      <c r="G79" s="455">
        <v>46143</v>
      </c>
      <c r="H79" s="455">
        <v>46172</v>
      </c>
      <c r="I79" s="456">
        <v>1057.23</v>
      </c>
      <c r="J79">
        <v>0</v>
      </c>
      <c r="K79">
        <v>0</v>
      </c>
      <c r="L79" s="456">
        <v>1057.23</v>
      </c>
      <c r="M79">
        <v>0</v>
      </c>
      <c r="N79" s="90" cm="1">
        <f t="array" ref="N79">IF(AND(OR(ISNUMBER(SEARCH("Eviction",E79)),ISNUMBER(SEARCH("Past",E79)),ISNUMBER(SEARCH("Skip",E79)),ISNUMBER(SEARCH("Collections",E79)),COUNTIF(Delinquency_Detail_3!$N$3:$N$24,D79)&gt;0),COUNTIF(Delinquency_Detail_3!$P$3:$P$24,D79)=0,I79&gt;0,SUMPRODUCT((LeaseLock!$D$2:$D$500=B79)*(ISNUMBER(SEARCH(TRIM(LEFT(SUBSTITUTE(D79,",",REPT(" ",100)),100)),LeaseLock!$C$2:$C$500))))=0),1,0)</f>
        <v>0</v>
      </c>
      <c r="O79" s="90"/>
    </row>
    <row r="80" spans="1:15">
      <c r="A80" t="s">
        <v>1751</v>
      </c>
      <c r="B80" t="s">
        <v>2531</v>
      </c>
      <c r="C80" t="s">
        <v>2272</v>
      </c>
      <c r="D80" t="s">
        <v>2532</v>
      </c>
      <c r="E80" t="s">
        <v>2135</v>
      </c>
      <c r="F80" s="455">
        <v>45215</v>
      </c>
      <c r="G80" s="455">
        <v>46143</v>
      </c>
      <c r="H80" s="455">
        <v>46195</v>
      </c>
      <c r="I80" s="456">
        <v>1733.91</v>
      </c>
      <c r="J80">
        <v>0</v>
      </c>
      <c r="K80" s="456">
        <v>1221.3900000000001</v>
      </c>
      <c r="L80">
        <v>512.52</v>
      </c>
      <c r="M80">
        <v>0</v>
      </c>
      <c r="N80" s="90" cm="1">
        <f t="array" ref="N80">IF(AND(OR(ISNUMBER(SEARCH("Eviction",E80)),ISNUMBER(SEARCH("Past",E80)),ISNUMBER(SEARCH("Skip",E80)),ISNUMBER(SEARCH("Collections",E80)),COUNTIF(Delinquency_Detail_3!$N$3:$N$24,D80)&gt;0),COUNTIF(Delinquency_Detail_3!$P$3:$P$24,D80)=0,I80&gt;0,SUMPRODUCT((LeaseLock!$D$2:$D$500=B80)*(ISNUMBER(SEARCH(TRIM(LEFT(SUBSTITUTE(D80,",",REPT(" ",100)),100)),LeaseLock!$C$2:$C$500))))=0),1,0)</f>
        <v>1</v>
      </c>
      <c r="O80" s="90"/>
    </row>
    <row r="81" spans="1:15">
      <c r="A81" t="s">
        <v>1751</v>
      </c>
      <c r="B81" t="s">
        <v>2533</v>
      </c>
      <c r="C81" t="s">
        <v>2268</v>
      </c>
      <c r="D81" t="s">
        <v>1095</v>
      </c>
      <c r="E81" t="s">
        <v>2392</v>
      </c>
      <c r="F81" s="455">
        <v>46150</v>
      </c>
      <c r="G81" s="455">
        <v>46150</v>
      </c>
      <c r="H81" s="455">
        <v>46511</v>
      </c>
      <c r="I81">
        <v>18</v>
      </c>
      <c r="J81">
        <v>18</v>
      </c>
      <c r="K81">
        <v>0</v>
      </c>
      <c r="L81">
        <v>0</v>
      </c>
      <c r="M81">
        <v>0</v>
      </c>
      <c r="N81" s="90" cm="1">
        <f t="array" ref="N81">IF(AND(OR(ISNUMBER(SEARCH("Eviction",E81)),ISNUMBER(SEARCH("Past",E81)),ISNUMBER(SEARCH("Skip",E81)),ISNUMBER(SEARCH("Collections",E81)),COUNTIF(Delinquency_Detail_3!$N$3:$N$24,D81)&gt;0),COUNTIF(Delinquency_Detail_3!$P$3:$P$24,D81)=0,I81&gt;0,SUMPRODUCT((LeaseLock!$D$2:$D$500=B81)*(ISNUMBER(SEARCH(TRIM(LEFT(SUBSTITUTE(D81,",",REPT(" ",100)),100)),LeaseLock!$C$2:$C$500))))=0),1,0)</f>
        <v>0</v>
      </c>
      <c r="O81" s="90"/>
    </row>
    <row r="82" spans="1:15">
      <c r="A82" t="s">
        <v>1751</v>
      </c>
      <c r="B82" t="s">
        <v>2534</v>
      </c>
      <c r="C82" t="s">
        <v>2268</v>
      </c>
      <c r="D82" t="s">
        <v>2535</v>
      </c>
      <c r="E82" t="s">
        <v>2390</v>
      </c>
      <c r="F82" s="455">
        <v>45780</v>
      </c>
      <c r="G82" s="455">
        <v>45780</v>
      </c>
      <c r="H82" s="455">
        <v>46142</v>
      </c>
      <c r="I82">
        <v>59.67</v>
      </c>
      <c r="J82">
        <v>0</v>
      </c>
      <c r="K82">
        <v>0</v>
      </c>
      <c r="L82">
        <v>0</v>
      </c>
      <c r="M82">
        <v>59.67</v>
      </c>
      <c r="N82" s="90" cm="1">
        <f t="array" ref="N82">IF(AND(OR(ISNUMBER(SEARCH("Eviction",E82)),ISNUMBER(SEARCH("Past",E82)),ISNUMBER(SEARCH("Skip",E82)),ISNUMBER(SEARCH("Collections",E82)),COUNTIF(Delinquency_Detail_3!$N$3:$N$24,D82)&gt;0),COUNTIF(Delinquency_Detail_3!$P$3:$P$24,D82)=0,I82&gt;0,SUMPRODUCT((LeaseLock!$D$2:$D$500=B82)*(ISNUMBER(SEARCH(TRIM(LEFT(SUBSTITUTE(D82,",",REPT(" ",100)),100)),LeaseLock!$C$2:$C$500))))=0),1,0)</f>
        <v>1</v>
      </c>
      <c r="O82" s="90"/>
    </row>
    <row r="83" spans="1:15">
      <c r="A83" t="s">
        <v>1751</v>
      </c>
      <c r="B83" t="s">
        <v>2536</v>
      </c>
      <c r="C83" t="s">
        <v>2268</v>
      </c>
      <c r="D83" t="s">
        <v>1111</v>
      </c>
      <c r="E83" t="s">
        <v>2135</v>
      </c>
      <c r="F83" s="455">
        <v>44896</v>
      </c>
      <c r="G83" s="455">
        <v>45870</v>
      </c>
      <c r="H83" s="455">
        <v>46234</v>
      </c>
      <c r="I83">
        <v>517.59</v>
      </c>
      <c r="J83">
        <v>0</v>
      </c>
      <c r="K83">
        <v>517.59</v>
      </c>
      <c r="L83">
        <v>0</v>
      </c>
      <c r="M83">
        <v>0</v>
      </c>
      <c r="N83" s="90" cm="1">
        <f t="array" ref="N83">IF(AND(OR(ISNUMBER(SEARCH("Eviction",E83)),ISNUMBER(SEARCH("Past",E83)),ISNUMBER(SEARCH("Skip",E83)),ISNUMBER(SEARCH("Collections",E83)),COUNTIF(Delinquency_Detail_3!$N$3:$N$24,D83)&gt;0),COUNTIF(Delinquency_Detail_3!$P$3:$P$24,D83)=0,I83&gt;0,SUMPRODUCT((LeaseLock!$D$2:$D$500=B83)*(ISNUMBER(SEARCH(TRIM(LEFT(SUBSTITUTE(D83,",",REPT(" ",100)),100)),LeaseLock!$C$2:$C$500))))=0),1,0)</f>
        <v>0</v>
      </c>
      <c r="O83" s="90"/>
    </row>
    <row r="84" spans="1:15">
      <c r="A84" t="s">
        <v>1751</v>
      </c>
      <c r="B84" t="s">
        <v>2537</v>
      </c>
      <c r="C84" t="s">
        <v>1029</v>
      </c>
      <c r="D84" t="s">
        <v>2538</v>
      </c>
      <c r="E84" t="s">
        <v>2135</v>
      </c>
      <c r="F84" s="455">
        <v>45231</v>
      </c>
      <c r="G84" s="455">
        <v>46113</v>
      </c>
      <c r="H84" s="455">
        <v>46242</v>
      </c>
      <c r="I84">
        <v>516.54999999999995</v>
      </c>
      <c r="J84">
        <v>516.54999999999995</v>
      </c>
      <c r="K84">
        <v>0</v>
      </c>
      <c r="L84">
        <v>0</v>
      </c>
      <c r="M84">
        <v>0</v>
      </c>
      <c r="N84" s="90" cm="1">
        <f t="array" ref="N84">IF(AND(OR(ISNUMBER(SEARCH("Eviction",E84)),ISNUMBER(SEARCH("Past",E84)),ISNUMBER(SEARCH("Skip",E84)),ISNUMBER(SEARCH("Collections",E84)),COUNTIF(Delinquency_Detail_3!$N$3:$N$24,D84)&gt;0),COUNTIF(Delinquency_Detail_3!$P$3:$P$24,D84)=0,I84&gt;0,SUMPRODUCT((LeaseLock!$D$2:$D$500=B84)*(ISNUMBER(SEARCH(TRIM(LEFT(SUBSTITUTE(D84,",",REPT(" ",100)),100)),LeaseLock!$C$2:$C$500))))=0),1,0)</f>
        <v>1</v>
      </c>
      <c r="O84" s="90"/>
    </row>
    <row r="85" spans="1:15">
      <c r="A85" t="s">
        <v>1751</v>
      </c>
      <c r="B85" t="s">
        <v>2539</v>
      </c>
      <c r="C85" t="s">
        <v>1029</v>
      </c>
      <c r="D85" t="s">
        <v>2540</v>
      </c>
      <c r="E85" t="s">
        <v>2120</v>
      </c>
      <c r="F85" s="455">
        <v>45696</v>
      </c>
      <c r="G85" s="455">
        <v>46064</v>
      </c>
      <c r="H85" s="455">
        <v>46428</v>
      </c>
      <c r="I85" s="456">
        <v>11479.21</v>
      </c>
      <c r="J85">
        <v>0</v>
      </c>
      <c r="K85" s="456">
        <v>6955.55</v>
      </c>
      <c r="L85" s="456">
        <v>2391.7800000000002</v>
      </c>
      <c r="M85" s="456">
        <v>2131.88</v>
      </c>
      <c r="N85" s="90" cm="1">
        <f t="array" ref="N85">IF(AND(OR(ISNUMBER(SEARCH("Eviction",E85)),ISNUMBER(SEARCH("Past",E85)),ISNUMBER(SEARCH("Skip",E85)),ISNUMBER(SEARCH("Collections",E85)),COUNTIF(Delinquency_Detail_3!$N$3:$N$24,D85)&gt;0),COUNTIF(Delinquency_Detail_3!$P$3:$P$24,D85)=0,I85&gt;0,SUMPRODUCT((LeaseLock!$D$2:$D$500=B85)*(ISNUMBER(SEARCH(TRIM(LEFT(SUBSTITUTE(D85,",",REPT(" ",100)),100)),LeaseLock!$C$2:$C$500))))=0),1,0)</f>
        <v>1</v>
      </c>
      <c r="O85" s="90"/>
    </row>
    <row r="86" spans="1:15">
      <c r="A86" t="s">
        <v>1751</v>
      </c>
      <c r="B86" t="s">
        <v>2541</v>
      </c>
      <c r="C86" t="s">
        <v>1029</v>
      </c>
      <c r="D86" t="s">
        <v>2542</v>
      </c>
      <c r="E86" t="s">
        <v>2392</v>
      </c>
      <c r="F86" s="455">
        <v>46025</v>
      </c>
      <c r="G86" s="455">
        <v>46025</v>
      </c>
      <c r="H86" s="455">
        <v>46389</v>
      </c>
      <c r="I86">
        <v>891.33</v>
      </c>
      <c r="J86">
        <v>891.33</v>
      </c>
      <c r="K86">
        <v>0</v>
      </c>
      <c r="L86">
        <v>0</v>
      </c>
      <c r="M86">
        <v>0</v>
      </c>
      <c r="N86" s="90" cm="1">
        <f t="array" ref="N86">IF(AND(OR(ISNUMBER(SEARCH("Eviction",E86)),ISNUMBER(SEARCH("Past",E86)),ISNUMBER(SEARCH("Skip",E86)),ISNUMBER(SEARCH("Collections",E86)),COUNTIF(Delinquency_Detail_3!$N$3:$N$24,D86)&gt;0),COUNTIF(Delinquency_Detail_3!$P$3:$P$24,D86)=0,I86&gt;0,SUMPRODUCT((LeaseLock!$D$2:$D$500=B86)*(ISNUMBER(SEARCH(TRIM(LEFT(SUBSTITUTE(D86,",",REPT(" ",100)),100)),LeaseLock!$C$2:$C$500))))=0),1,0)</f>
        <v>0</v>
      </c>
      <c r="O86" s="90"/>
    </row>
    <row r="87" spans="1:15">
      <c r="A87" t="s">
        <v>1751</v>
      </c>
      <c r="B87" t="s">
        <v>2543</v>
      </c>
      <c r="C87" t="s">
        <v>1029</v>
      </c>
      <c r="D87" t="s">
        <v>2544</v>
      </c>
      <c r="E87" t="s">
        <v>2118</v>
      </c>
      <c r="F87" s="455">
        <v>45108</v>
      </c>
      <c r="G87" s="455">
        <v>45839</v>
      </c>
      <c r="H87" s="455">
        <v>46203</v>
      </c>
      <c r="I87" s="456">
        <v>5217.46</v>
      </c>
      <c r="J87">
        <v>0</v>
      </c>
      <c r="K87">
        <v>0</v>
      </c>
      <c r="L87">
        <v>0</v>
      </c>
      <c r="M87" s="456">
        <v>5217.46</v>
      </c>
      <c r="N87" s="90" cm="1">
        <f t="array" ref="N87">IF(AND(OR(ISNUMBER(SEARCH("Eviction",E87)),ISNUMBER(SEARCH("Past",E87)),ISNUMBER(SEARCH("Skip",E87)),ISNUMBER(SEARCH("Collections",E87)),COUNTIF(Delinquency_Detail_3!$N$3:$N$24,D87)&gt;0),COUNTIF(Delinquency_Detail_3!$P$3:$P$24,D87)=0,I87&gt;0,SUMPRODUCT((LeaseLock!$D$2:$D$500=B87)*(ISNUMBER(SEARCH(TRIM(LEFT(SUBSTITUTE(D87,",",REPT(" ",100)),100)),LeaseLock!$C$2:$C$500))))=0),1,0)</f>
        <v>1</v>
      </c>
      <c r="O87" s="90"/>
    </row>
    <row r="88" spans="1:15">
      <c r="A88" t="s">
        <v>1751</v>
      </c>
      <c r="B88" t="s">
        <v>2545</v>
      </c>
      <c r="C88" t="s">
        <v>2262</v>
      </c>
      <c r="D88" t="s">
        <v>2546</v>
      </c>
      <c r="E88" t="s">
        <v>2118</v>
      </c>
      <c r="F88" s="455">
        <v>45777</v>
      </c>
      <c r="G88" s="455">
        <v>46142</v>
      </c>
      <c r="H88" s="455">
        <v>46506</v>
      </c>
      <c r="I88" s="456">
        <v>3519.78</v>
      </c>
      <c r="J88">
        <v>0</v>
      </c>
      <c r="K88">
        <v>0</v>
      </c>
      <c r="L88" s="456">
        <v>3519.78</v>
      </c>
      <c r="M88">
        <v>0</v>
      </c>
      <c r="N88" s="90" cm="1">
        <f t="array" ref="N88">IF(AND(OR(ISNUMBER(SEARCH("Eviction",E88)),ISNUMBER(SEARCH("Past",E88)),ISNUMBER(SEARCH("Skip",E88)),ISNUMBER(SEARCH("Collections",E88)),COUNTIF(Delinquency_Detail_3!$N$3:$N$24,D88)&gt;0),COUNTIF(Delinquency_Detail_3!$P$3:$P$24,D88)=0,I88&gt;0,SUMPRODUCT((LeaseLock!$D$2:$D$500=B88)*(ISNUMBER(SEARCH(TRIM(LEFT(SUBSTITUTE(D88,",",REPT(" ",100)),100)),LeaseLock!$C$2:$C$500))))=0),1,0)</f>
        <v>0</v>
      </c>
      <c r="O88" s="90"/>
    </row>
    <row r="89" spans="1:15">
      <c r="A89" t="s">
        <v>1751</v>
      </c>
      <c r="B89" t="s">
        <v>2547</v>
      </c>
      <c r="C89" t="s">
        <v>2262</v>
      </c>
      <c r="D89" t="s">
        <v>1150</v>
      </c>
      <c r="E89" t="s">
        <v>2118</v>
      </c>
      <c r="F89" s="455">
        <v>45155</v>
      </c>
      <c r="G89" s="455">
        <v>45870</v>
      </c>
      <c r="H89" s="455">
        <v>46234</v>
      </c>
      <c r="I89" s="456">
        <v>3243.48</v>
      </c>
      <c r="J89">
        <v>0</v>
      </c>
      <c r="K89" s="456">
        <v>2045.13</v>
      </c>
      <c r="L89" s="456">
        <v>1198.3499999999999</v>
      </c>
      <c r="M89">
        <v>0</v>
      </c>
      <c r="N89" s="90" cm="1">
        <f t="array" ref="N89">IF(AND(OR(ISNUMBER(SEARCH("Eviction",E89)),ISNUMBER(SEARCH("Past",E89)),ISNUMBER(SEARCH("Skip",E89)),ISNUMBER(SEARCH("Collections",E89)),COUNTIF(Delinquency_Detail_3!$N$3:$N$24,D89)&gt;0),COUNTIF(Delinquency_Detail_3!$P$3:$P$24,D89)=0,I89&gt;0,SUMPRODUCT((LeaseLock!$D$2:$D$500=B89)*(ISNUMBER(SEARCH(TRIM(LEFT(SUBSTITUTE(D89,",",REPT(" ",100)),100)),LeaseLock!$C$2:$C$500))))=0),1,0)</f>
        <v>1</v>
      </c>
      <c r="O89" s="90"/>
    </row>
    <row r="90" spans="1:15">
      <c r="A90" t="s">
        <v>1751</v>
      </c>
      <c r="B90" t="s">
        <v>2548</v>
      </c>
      <c r="C90" t="s">
        <v>2262</v>
      </c>
      <c r="D90" t="s">
        <v>2549</v>
      </c>
      <c r="E90" t="s">
        <v>2401</v>
      </c>
      <c r="F90" s="455">
        <v>45908</v>
      </c>
      <c r="G90" s="455">
        <v>45908</v>
      </c>
      <c r="H90" s="455">
        <v>46272</v>
      </c>
      <c r="I90">
        <v>426.56</v>
      </c>
      <c r="J90">
        <v>426.56</v>
      </c>
      <c r="K90">
        <v>0</v>
      </c>
      <c r="L90">
        <v>0</v>
      </c>
      <c r="M90">
        <v>0</v>
      </c>
      <c r="N90" s="90" cm="1">
        <f t="array" ref="N90">IF(AND(OR(ISNUMBER(SEARCH("Eviction",E90)),ISNUMBER(SEARCH("Past",E90)),ISNUMBER(SEARCH("Skip",E90)),ISNUMBER(SEARCH("Collections",E90)),COUNTIF(Delinquency_Detail_3!$N$3:$N$24,D90)&gt;0),COUNTIF(Delinquency_Detail_3!$P$3:$P$24,D90)=0,I90&gt;0,SUMPRODUCT((LeaseLock!$D$2:$D$500=B90)*(ISNUMBER(SEARCH(TRIM(LEFT(SUBSTITUTE(D90,",",REPT(" ",100)),100)),LeaseLock!$C$2:$C$500))))=0),1,0)</f>
        <v>0</v>
      </c>
      <c r="O90" s="90"/>
    </row>
    <row r="91" spans="1:15">
      <c r="A91" t="s">
        <v>1751</v>
      </c>
      <c r="B91" t="s">
        <v>2550</v>
      </c>
      <c r="C91" t="s">
        <v>2262</v>
      </c>
      <c r="D91" t="s">
        <v>2551</v>
      </c>
      <c r="E91" t="s">
        <v>2118</v>
      </c>
      <c r="F91" s="455">
        <v>45383</v>
      </c>
      <c r="G91" s="455">
        <v>45807</v>
      </c>
      <c r="H91" s="455">
        <v>46171</v>
      </c>
      <c r="I91" s="456">
        <v>12091.67</v>
      </c>
      <c r="J91">
        <v>0</v>
      </c>
      <c r="K91">
        <v>0</v>
      </c>
      <c r="L91">
        <v>0</v>
      </c>
      <c r="M91" s="456">
        <v>12091.67</v>
      </c>
      <c r="N91" s="90" cm="1">
        <f t="array" ref="N91">IF(AND(OR(ISNUMBER(SEARCH("Eviction",E91)),ISNUMBER(SEARCH("Past",E91)),ISNUMBER(SEARCH("Skip",E91)),ISNUMBER(SEARCH("Collections",E91)),COUNTIF(Delinquency_Detail_3!$N$3:$N$24,D91)&gt;0),COUNTIF(Delinquency_Detail_3!$P$3:$P$24,D91)=0,I91&gt;0,SUMPRODUCT((LeaseLock!$D$2:$D$500=B91)*(ISNUMBER(SEARCH(TRIM(LEFT(SUBSTITUTE(D91,",",REPT(" ",100)),100)),LeaseLock!$C$2:$C$500))))=0),1,0)</f>
        <v>0</v>
      </c>
      <c r="O91" s="90"/>
    </row>
    <row r="92" spans="1:15">
      <c r="A92" t="s">
        <v>1751</v>
      </c>
      <c r="B92" t="s">
        <v>2552</v>
      </c>
      <c r="C92" t="s">
        <v>2262</v>
      </c>
      <c r="D92" t="s">
        <v>2553</v>
      </c>
      <c r="E92" t="s">
        <v>2135</v>
      </c>
      <c r="F92" s="455">
        <v>45843</v>
      </c>
      <c r="G92" s="455">
        <v>45843</v>
      </c>
      <c r="H92" s="455">
        <v>46207</v>
      </c>
      <c r="I92" s="456">
        <v>1628.52</v>
      </c>
      <c r="J92">
        <v>0</v>
      </c>
      <c r="K92" s="456">
        <v>1628.52</v>
      </c>
      <c r="L92">
        <v>0</v>
      </c>
      <c r="M92">
        <v>0</v>
      </c>
      <c r="N92" s="90" cm="1">
        <f t="array" ref="N92">IF(AND(OR(ISNUMBER(SEARCH("Eviction",E92)),ISNUMBER(SEARCH("Past",E92)),ISNUMBER(SEARCH("Skip",E92)),ISNUMBER(SEARCH("Collections",E92)),COUNTIF(Delinquency_Detail_3!$N$3:$N$24,D92)&gt;0),COUNTIF(Delinquency_Detail_3!$P$3:$P$24,D92)=0,I92&gt;0,SUMPRODUCT((LeaseLock!$D$2:$D$500=B92)*(ISNUMBER(SEARCH(TRIM(LEFT(SUBSTITUTE(D92,",",REPT(" ",100)),100)),LeaseLock!$C$2:$C$500))))=0),1,0)</f>
        <v>1</v>
      </c>
      <c r="O92" s="90"/>
    </row>
    <row r="93" spans="1:15">
      <c r="A93" t="s">
        <v>1751</v>
      </c>
      <c r="B93" t="s">
        <v>2124</v>
      </c>
      <c r="C93" t="s">
        <v>2269</v>
      </c>
      <c r="D93" t="s">
        <v>2123</v>
      </c>
      <c r="E93" t="s">
        <v>2120</v>
      </c>
      <c r="F93" s="455">
        <v>45643</v>
      </c>
      <c r="G93" s="455">
        <v>45643</v>
      </c>
      <c r="H93" s="455">
        <v>46069</v>
      </c>
      <c r="I93" s="456">
        <v>12713.45</v>
      </c>
      <c r="J93">
        <v>0</v>
      </c>
      <c r="K93">
        <v>0</v>
      </c>
      <c r="L93">
        <v>0</v>
      </c>
      <c r="M93" s="456">
        <v>12713.45</v>
      </c>
      <c r="N93" s="90" cm="1">
        <f t="array" ref="N93">IF(AND(OR(ISNUMBER(SEARCH("Eviction",E93)),ISNUMBER(SEARCH("Past",E93)),ISNUMBER(SEARCH("Skip",E93)),ISNUMBER(SEARCH("Collections",E93)),COUNTIF(Delinquency_Detail_3!$N$3:$N$24,D93)&gt;0),COUNTIF(Delinquency_Detail_3!$P$3:$P$24,D93)=0,I93&gt;0,SUMPRODUCT((LeaseLock!$D$2:$D$500=B93)*(ISNUMBER(SEARCH(TRIM(LEFT(SUBSTITUTE(D93,",",REPT(" ",100)),100)),LeaseLock!$C$2:$C$500))))=0),1,0)</f>
        <v>0</v>
      </c>
      <c r="O93" s="90"/>
    </row>
    <row r="94" spans="1:15">
      <c r="A94" t="s">
        <v>1751</v>
      </c>
      <c r="B94" t="s">
        <v>2554</v>
      </c>
      <c r="C94" t="s">
        <v>2271</v>
      </c>
      <c r="D94" t="s">
        <v>2555</v>
      </c>
      <c r="E94" t="s">
        <v>2392</v>
      </c>
      <c r="F94" s="455">
        <v>37895</v>
      </c>
      <c r="G94" s="455">
        <v>46235</v>
      </c>
      <c r="H94" s="455">
        <v>46599</v>
      </c>
      <c r="I94">
        <v>549.61</v>
      </c>
      <c r="J94">
        <v>549.61</v>
      </c>
      <c r="K94">
        <v>0</v>
      </c>
      <c r="L94">
        <v>0</v>
      </c>
      <c r="M94">
        <v>0</v>
      </c>
      <c r="N94" s="90" cm="1">
        <f t="array" ref="N94">IF(AND(OR(ISNUMBER(SEARCH("Eviction",E94)),ISNUMBER(SEARCH("Past",E94)),ISNUMBER(SEARCH("Skip",E94)),ISNUMBER(SEARCH("Collections",E94)),COUNTIF(Delinquency_Detail_3!$N$3:$N$24,D94)&gt;0),COUNTIF(Delinquency_Detail_3!$P$3:$P$24,D94)=0,I94&gt;0,SUMPRODUCT((LeaseLock!$D$2:$D$500=B94)*(ISNUMBER(SEARCH(TRIM(LEFT(SUBSTITUTE(D94,",",REPT(" ",100)),100)),LeaseLock!$C$2:$C$500))))=0),1,0)</f>
        <v>0</v>
      </c>
      <c r="O94" s="90"/>
    </row>
    <row r="95" spans="1:15">
      <c r="A95" t="s">
        <v>1751</v>
      </c>
      <c r="B95" t="s">
        <v>2556</v>
      </c>
      <c r="C95" t="s">
        <v>2271</v>
      </c>
      <c r="D95" t="s">
        <v>2557</v>
      </c>
      <c r="E95" t="s">
        <v>2392</v>
      </c>
      <c r="F95" s="455">
        <v>46178</v>
      </c>
      <c r="G95" s="455">
        <v>46178</v>
      </c>
      <c r="H95" s="455">
        <v>46542</v>
      </c>
      <c r="I95">
        <v>672.4</v>
      </c>
      <c r="J95">
        <v>672.4</v>
      </c>
      <c r="K95">
        <v>0</v>
      </c>
      <c r="L95">
        <v>0</v>
      </c>
      <c r="M95">
        <v>0</v>
      </c>
      <c r="N95" s="90" cm="1">
        <f t="array" ref="N95">IF(AND(OR(ISNUMBER(SEARCH("Eviction",E95)),ISNUMBER(SEARCH("Past",E95)),ISNUMBER(SEARCH("Skip",E95)),ISNUMBER(SEARCH("Collections",E95)),COUNTIF(Delinquency_Detail_3!$N$3:$N$24,D95)&gt;0),COUNTIF(Delinquency_Detail_3!$P$3:$P$24,D95)=0,I95&gt;0,SUMPRODUCT((LeaseLock!$D$2:$D$500=B95)*(ISNUMBER(SEARCH(TRIM(LEFT(SUBSTITUTE(D95,",",REPT(" ",100)),100)),LeaseLock!$C$2:$C$500))))=0),1,0)</f>
        <v>0</v>
      </c>
      <c r="O95" s="90"/>
    </row>
    <row r="96" spans="1:15">
      <c r="A96" t="s">
        <v>1751</v>
      </c>
      <c r="B96" t="s">
        <v>2558</v>
      </c>
      <c r="C96" t="s">
        <v>2271</v>
      </c>
      <c r="D96" t="s">
        <v>2559</v>
      </c>
      <c r="E96" t="s">
        <v>2392</v>
      </c>
      <c r="F96" s="455">
        <v>45632</v>
      </c>
      <c r="G96" s="455">
        <v>46073</v>
      </c>
      <c r="H96" s="455">
        <v>46437</v>
      </c>
      <c r="I96" s="456">
        <v>1024.22</v>
      </c>
      <c r="J96" s="456">
        <v>1024.22</v>
      </c>
      <c r="K96">
        <v>0</v>
      </c>
      <c r="L96">
        <v>0</v>
      </c>
      <c r="M96">
        <v>0</v>
      </c>
      <c r="N96" s="90" cm="1">
        <f t="array" ref="N96">IF(AND(OR(ISNUMBER(SEARCH("Eviction",E96)),ISNUMBER(SEARCH("Past",E96)),ISNUMBER(SEARCH("Skip",E96)),ISNUMBER(SEARCH("Collections",E96)),COUNTIF(Delinquency_Detail_3!$N$3:$N$24,D96)&gt;0),COUNTIF(Delinquency_Detail_3!$P$3:$P$24,D96)=0,I96&gt;0,SUMPRODUCT((LeaseLock!$D$2:$D$500=B96)*(ISNUMBER(SEARCH(TRIM(LEFT(SUBSTITUTE(D96,",",REPT(" ",100)),100)),LeaseLock!$C$2:$C$500))))=0),1,0)</f>
        <v>0</v>
      </c>
      <c r="O96" s="90"/>
    </row>
    <row r="97" spans="1:15">
      <c r="A97" t="s">
        <v>1751</v>
      </c>
      <c r="B97" t="s">
        <v>2560</v>
      </c>
      <c r="C97" t="s">
        <v>2260</v>
      </c>
      <c r="D97" t="s">
        <v>2561</v>
      </c>
      <c r="E97" t="s">
        <v>2135</v>
      </c>
      <c r="F97" s="455">
        <v>45869</v>
      </c>
      <c r="G97" s="455">
        <v>45869</v>
      </c>
      <c r="H97" s="455">
        <v>46233</v>
      </c>
      <c r="I97">
        <v>435.66</v>
      </c>
      <c r="J97">
        <v>0</v>
      </c>
      <c r="K97">
        <v>435.66</v>
      </c>
      <c r="L97">
        <v>0</v>
      </c>
      <c r="M97">
        <v>0</v>
      </c>
      <c r="N97" s="90" cm="1">
        <f t="array" ref="N97">IF(AND(OR(ISNUMBER(SEARCH("Eviction",E97)),ISNUMBER(SEARCH("Past",E97)),ISNUMBER(SEARCH("Skip",E97)),ISNUMBER(SEARCH("Collections",E97)),COUNTIF(Delinquency_Detail_3!$N$3:$N$24,D97)&gt;0),COUNTIF(Delinquency_Detail_3!$P$3:$P$24,D97)=0,I97&gt;0,SUMPRODUCT((LeaseLock!$D$2:$D$500=B97)*(ISNUMBER(SEARCH(TRIM(LEFT(SUBSTITUTE(D97,",",REPT(" ",100)),100)),LeaseLock!$C$2:$C$500))))=0),1,0)</f>
        <v>1</v>
      </c>
      <c r="O97" s="90"/>
    </row>
    <row r="98" spans="1:15">
      <c r="A98" t="s">
        <v>1751</v>
      </c>
      <c r="B98" t="s">
        <v>2562</v>
      </c>
      <c r="C98" t="s">
        <v>2271</v>
      </c>
      <c r="D98" t="s">
        <v>2563</v>
      </c>
      <c r="E98" t="s">
        <v>2135</v>
      </c>
      <c r="F98" s="455">
        <v>45078</v>
      </c>
      <c r="G98" s="455">
        <v>45809</v>
      </c>
      <c r="H98" s="455">
        <v>46173</v>
      </c>
      <c r="I98" s="456">
        <v>1241.29</v>
      </c>
      <c r="J98">
        <v>0</v>
      </c>
      <c r="K98">
        <v>0</v>
      </c>
      <c r="L98" s="456">
        <v>1241.29</v>
      </c>
      <c r="M98">
        <v>0</v>
      </c>
      <c r="N98" s="90" cm="1">
        <f t="array" ref="N98">IF(AND(OR(ISNUMBER(SEARCH("Eviction",E98)),ISNUMBER(SEARCH("Past",E98)),ISNUMBER(SEARCH("Skip",E98)),ISNUMBER(SEARCH("Collections",E98)),COUNTIF(Delinquency_Detail_3!$N$3:$N$24,D98)&gt;0),COUNTIF(Delinquency_Detail_3!$P$3:$P$24,D98)=0,I98&gt;0,SUMPRODUCT((LeaseLock!$D$2:$D$500=B98)*(ISNUMBER(SEARCH(TRIM(LEFT(SUBSTITUTE(D98,",",REPT(" ",100)),100)),LeaseLock!$C$2:$C$500))))=0),1,0)</f>
        <v>1</v>
      </c>
      <c r="O98" s="90"/>
    </row>
    <row r="99" spans="1:15">
      <c r="A99" t="s">
        <v>1751</v>
      </c>
      <c r="B99" t="s">
        <v>2564</v>
      </c>
      <c r="C99" t="s">
        <v>2271</v>
      </c>
      <c r="D99" t="s">
        <v>2565</v>
      </c>
      <c r="E99" t="s">
        <v>2392</v>
      </c>
      <c r="F99" s="455">
        <v>45731</v>
      </c>
      <c r="G99" s="455">
        <v>46096</v>
      </c>
      <c r="H99" s="455">
        <v>46459</v>
      </c>
      <c r="I99">
        <v>821.22</v>
      </c>
      <c r="J99">
        <v>821.22</v>
      </c>
      <c r="K99">
        <v>0</v>
      </c>
      <c r="L99">
        <v>0</v>
      </c>
      <c r="M99">
        <v>0</v>
      </c>
      <c r="N99" s="90" cm="1">
        <f t="array" ref="N99">IF(AND(OR(ISNUMBER(SEARCH("Eviction",E99)),ISNUMBER(SEARCH("Past",E99)),ISNUMBER(SEARCH("Skip",E99)),ISNUMBER(SEARCH("Collections",E99)),COUNTIF(Delinquency_Detail_3!$N$3:$N$24,D99)&gt;0),COUNTIF(Delinquency_Detail_3!$P$3:$P$24,D99)=0,I99&gt;0,SUMPRODUCT((LeaseLock!$D$2:$D$500=B99)*(ISNUMBER(SEARCH(TRIM(LEFT(SUBSTITUTE(D99,",",REPT(" ",100)),100)),LeaseLock!$C$2:$C$500))))=0),1,0)</f>
        <v>0</v>
      </c>
      <c r="O99" s="90"/>
    </row>
    <row r="100" spans="1:15">
      <c r="A100" t="s">
        <v>1751</v>
      </c>
      <c r="B100" t="s">
        <v>2566</v>
      </c>
      <c r="C100" t="s">
        <v>2262</v>
      </c>
      <c r="D100" t="s">
        <v>2567</v>
      </c>
      <c r="E100" t="s">
        <v>2392</v>
      </c>
      <c r="F100" s="455">
        <v>38716</v>
      </c>
      <c r="G100" s="455">
        <v>46174</v>
      </c>
      <c r="H100" s="455">
        <v>46538</v>
      </c>
      <c r="I100">
        <v>114.63</v>
      </c>
      <c r="J100">
        <v>114.63</v>
      </c>
      <c r="K100">
        <v>0</v>
      </c>
      <c r="L100">
        <v>0</v>
      </c>
      <c r="M100">
        <v>0</v>
      </c>
      <c r="N100" s="90" cm="1">
        <f t="array" ref="N100">IF(AND(OR(ISNUMBER(SEARCH("Eviction",E100)),ISNUMBER(SEARCH("Past",E100)),ISNUMBER(SEARCH("Skip",E100)),ISNUMBER(SEARCH("Collections",E100)),COUNTIF(Delinquency_Detail_3!$N$3:$N$24,D100)&gt;0),COUNTIF(Delinquency_Detail_3!$P$3:$P$24,D100)=0,I100&gt;0,SUMPRODUCT((LeaseLock!$D$2:$D$500=B100)*(ISNUMBER(SEARCH(TRIM(LEFT(SUBSTITUTE(D100,",",REPT(" ",100)),100)),LeaseLock!$C$2:$C$500))))=0),1,0)</f>
        <v>0</v>
      </c>
      <c r="O100" s="90"/>
    </row>
    <row r="101" spans="1:15">
      <c r="A101" t="s">
        <v>1751</v>
      </c>
      <c r="B101" t="s">
        <v>2568</v>
      </c>
      <c r="C101" t="s">
        <v>2262</v>
      </c>
      <c r="D101" t="s">
        <v>2569</v>
      </c>
      <c r="E101" t="s">
        <v>2392</v>
      </c>
      <c r="F101" s="455">
        <v>45409</v>
      </c>
      <c r="G101" s="455">
        <v>46204</v>
      </c>
      <c r="H101" s="455">
        <v>46568</v>
      </c>
      <c r="I101">
        <v>106.63</v>
      </c>
      <c r="J101">
        <v>106.63</v>
      </c>
      <c r="K101">
        <v>0</v>
      </c>
      <c r="L101">
        <v>0</v>
      </c>
      <c r="M101">
        <v>0</v>
      </c>
      <c r="N101" s="90" cm="1">
        <f t="array" ref="N101">IF(AND(OR(ISNUMBER(SEARCH("Eviction",E101)),ISNUMBER(SEARCH("Past",E101)),ISNUMBER(SEARCH("Skip",E101)),ISNUMBER(SEARCH("Collections",E101)),COUNTIF(Delinquency_Detail_3!$N$3:$N$24,D101)&gt;0),COUNTIF(Delinquency_Detail_3!$P$3:$P$24,D101)=0,I101&gt;0,SUMPRODUCT((LeaseLock!$D$2:$D$500=B101)*(ISNUMBER(SEARCH(TRIM(LEFT(SUBSTITUTE(D101,",",REPT(" ",100)),100)),LeaseLock!$C$2:$C$500))))=0),1,0)</f>
        <v>0</v>
      </c>
      <c r="O101" s="90"/>
    </row>
    <row r="102" spans="1:15">
      <c r="A102" t="s">
        <v>1751</v>
      </c>
      <c r="B102" t="s">
        <v>2570</v>
      </c>
      <c r="C102" t="s">
        <v>2262</v>
      </c>
      <c r="D102" t="s">
        <v>2571</v>
      </c>
      <c r="E102" t="s">
        <v>2392</v>
      </c>
      <c r="F102" s="455">
        <v>42349</v>
      </c>
      <c r="G102" s="455">
        <v>46113</v>
      </c>
      <c r="H102" s="455">
        <v>46477</v>
      </c>
      <c r="I102">
        <v>84</v>
      </c>
      <c r="J102">
        <v>84</v>
      </c>
      <c r="K102">
        <v>0</v>
      </c>
      <c r="L102">
        <v>0</v>
      </c>
      <c r="M102">
        <v>0</v>
      </c>
      <c r="N102" s="90" cm="1">
        <f t="array" ref="N102">IF(AND(OR(ISNUMBER(SEARCH("Eviction",E102)),ISNUMBER(SEARCH("Past",E102)),ISNUMBER(SEARCH("Skip",E102)),ISNUMBER(SEARCH("Collections",E102)),COUNTIF(Delinquency_Detail_3!$N$3:$N$24,D102)&gt;0),COUNTIF(Delinquency_Detail_3!$P$3:$P$24,D102)=0,I102&gt;0,SUMPRODUCT((LeaseLock!$D$2:$D$500=B102)*(ISNUMBER(SEARCH(TRIM(LEFT(SUBSTITUTE(D102,",",REPT(" ",100)),100)),LeaseLock!$C$2:$C$500))))=0),1,0)</f>
        <v>0</v>
      </c>
      <c r="O102" s="90"/>
    </row>
    <row r="103" spans="1:15">
      <c r="A103" t="s">
        <v>1751</v>
      </c>
      <c r="B103" t="s">
        <v>2572</v>
      </c>
      <c r="C103" t="s">
        <v>2269</v>
      </c>
      <c r="D103" t="s">
        <v>2573</v>
      </c>
      <c r="E103" t="s">
        <v>2135</v>
      </c>
      <c r="F103" s="455">
        <v>46099</v>
      </c>
      <c r="G103" s="455">
        <v>46099</v>
      </c>
      <c r="H103" s="455">
        <v>46462</v>
      </c>
      <c r="I103" s="456">
        <v>9162.65</v>
      </c>
      <c r="J103">
        <v>0</v>
      </c>
      <c r="K103" s="456">
        <v>6039.8</v>
      </c>
      <c r="L103">
        <v>137.94999999999999</v>
      </c>
      <c r="M103" s="456">
        <v>2984.9</v>
      </c>
      <c r="N103" s="90" cm="1">
        <f t="array" ref="N103">IF(AND(OR(ISNUMBER(SEARCH("Eviction",E103)),ISNUMBER(SEARCH("Past",E103)),ISNUMBER(SEARCH("Skip",E103)),ISNUMBER(SEARCH("Collections",E103)),COUNTIF(Delinquency_Detail_3!$N$3:$N$24,D103)&gt;0),COUNTIF(Delinquency_Detail_3!$P$3:$P$24,D103)=0,I103&gt;0,SUMPRODUCT((LeaseLock!$D$2:$D$500=B103)*(ISNUMBER(SEARCH(TRIM(LEFT(SUBSTITUTE(D103,",",REPT(" ",100)),100)),LeaseLock!$C$2:$C$500))))=0),1,0)</f>
        <v>1</v>
      </c>
      <c r="O103" s="90"/>
    </row>
    <row r="104" spans="1:15">
      <c r="A104" t="s">
        <v>1751</v>
      </c>
      <c r="B104" t="s">
        <v>2574</v>
      </c>
      <c r="C104" t="s">
        <v>1023</v>
      </c>
      <c r="D104" t="s">
        <v>2575</v>
      </c>
      <c r="E104" t="s">
        <v>2392</v>
      </c>
      <c r="F104" s="455">
        <v>44302</v>
      </c>
      <c r="G104" s="455">
        <v>46113</v>
      </c>
      <c r="H104" s="455">
        <v>46477</v>
      </c>
      <c r="I104">
        <v>577.23</v>
      </c>
      <c r="J104">
        <v>577.23</v>
      </c>
      <c r="K104">
        <v>0</v>
      </c>
      <c r="L104">
        <v>0</v>
      </c>
      <c r="M104">
        <v>0</v>
      </c>
      <c r="N104" s="90" cm="1">
        <f t="array" ref="N104">IF(AND(OR(ISNUMBER(SEARCH("Eviction",E104)),ISNUMBER(SEARCH("Past",E104)),ISNUMBER(SEARCH("Skip",E104)),ISNUMBER(SEARCH("Collections",E104)),COUNTIF(Delinquency_Detail_3!$N$3:$N$24,D104)&gt;0),COUNTIF(Delinquency_Detail_3!$P$3:$P$24,D104)=0,I104&gt;0,SUMPRODUCT((LeaseLock!$D$2:$D$500=B104)*(ISNUMBER(SEARCH(TRIM(LEFT(SUBSTITUTE(D104,",",REPT(" ",100)),100)),LeaseLock!$C$2:$C$500))))=0),1,0)</f>
        <v>0</v>
      </c>
      <c r="O104" s="90"/>
    </row>
    <row r="105" spans="1:15">
      <c r="A105" t="s">
        <v>1751</v>
      </c>
      <c r="B105" t="s">
        <v>2576</v>
      </c>
      <c r="C105" t="s">
        <v>1023</v>
      </c>
      <c r="D105" t="s">
        <v>2577</v>
      </c>
      <c r="E105" t="s">
        <v>2120</v>
      </c>
      <c r="F105" s="455">
        <v>45717</v>
      </c>
      <c r="G105" s="455">
        <v>46113</v>
      </c>
      <c r="H105" s="455">
        <v>46170</v>
      </c>
      <c r="I105" s="456">
        <v>6664.09</v>
      </c>
      <c r="J105">
        <v>0</v>
      </c>
      <c r="K105">
        <v>0</v>
      </c>
      <c r="L105" s="456">
        <v>2144.4499999999998</v>
      </c>
      <c r="M105" s="456">
        <v>4519.6400000000003</v>
      </c>
      <c r="N105" s="90" cm="1">
        <f t="array" ref="N105">IF(AND(OR(ISNUMBER(SEARCH("Eviction",E105)),ISNUMBER(SEARCH("Past",E105)),ISNUMBER(SEARCH("Skip",E105)),ISNUMBER(SEARCH("Collections",E105)),COUNTIF(Delinquency_Detail_3!$N$3:$N$24,D105)&gt;0),COUNTIF(Delinquency_Detail_3!$P$3:$P$24,D105)=0,I105&gt;0,SUMPRODUCT((LeaseLock!$D$2:$D$500=B105)*(ISNUMBER(SEARCH(TRIM(LEFT(SUBSTITUTE(D105,",",REPT(" ",100)),100)),LeaseLock!$C$2:$C$500))))=0),1,0)</f>
        <v>1</v>
      </c>
      <c r="O105" s="90"/>
    </row>
    <row r="106" spans="1:15">
      <c r="A106" t="s">
        <v>1751</v>
      </c>
      <c r="B106" t="s">
        <v>2578</v>
      </c>
      <c r="C106" t="s">
        <v>2260</v>
      </c>
      <c r="D106" t="s">
        <v>2579</v>
      </c>
      <c r="E106" t="s">
        <v>2512</v>
      </c>
      <c r="F106" s="455">
        <v>44705</v>
      </c>
      <c r="G106" s="455">
        <v>45992</v>
      </c>
      <c r="H106" s="455">
        <v>46356</v>
      </c>
      <c r="I106">
        <v>285.45</v>
      </c>
      <c r="J106">
        <v>285.45</v>
      </c>
      <c r="K106">
        <v>0</v>
      </c>
      <c r="L106">
        <v>0</v>
      </c>
      <c r="M106">
        <v>0</v>
      </c>
      <c r="N106" s="90" cm="1">
        <f t="array" ref="N106">IF(AND(OR(ISNUMBER(SEARCH("Eviction",E106)),ISNUMBER(SEARCH("Past",E106)),ISNUMBER(SEARCH("Skip",E106)),ISNUMBER(SEARCH("Collections",E106)),COUNTIF(Delinquency_Detail_3!$N$3:$N$24,D106)&gt;0),COUNTIF(Delinquency_Detail_3!$P$3:$P$24,D106)=0,I106&gt;0,SUMPRODUCT((LeaseLock!$D$2:$D$500=B106)*(ISNUMBER(SEARCH(TRIM(LEFT(SUBSTITUTE(D106,",",REPT(" ",100)),100)),LeaseLock!$C$2:$C$500))))=0),1,0)</f>
        <v>0</v>
      </c>
      <c r="O106" s="90"/>
    </row>
    <row r="107" spans="1:15">
      <c r="A107" t="s">
        <v>1751</v>
      </c>
      <c r="B107" t="s">
        <v>1560</v>
      </c>
      <c r="C107" t="s">
        <v>2260</v>
      </c>
      <c r="D107" t="s">
        <v>2580</v>
      </c>
      <c r="E107" t="s">
        <v>2135</v>
      </c>
      <c r="F107" s="455">
        <v>46136</v>
      </c>
      <c r="G107" s="455">
        <v>46166</v>
      </c>
      <c r="H107" s="455">
        <v>46196</v>
      </c>
      <c r="I107" s="456">
        <v>1553.7</v>
      </c>
      <c r="J107">
        <v>0</v>
      </c>
      <c r="K107" s="456">
        <v>1553.7</v>
      </c>
      <c r="L107">
        <v>0</v>
      </c>
      <c r="M107">
        <v>0</v>
      </c>
      <c r="N107" s="90" cm="1">
        <f t="array" ref="N107">IF(AND(OR(ISNUMBER(SEARCH("Eviction",E107)),ISNUMBER(SEARCH("Past",E107)),ISNUMBER(SEARCH("Skip",E107)),ISNUMBER(SEARCH("Collections",E107)),COUNTIF(Delinquency_Detail_3!$N$3:$N$24,D107)&gt;0),COUNTIF(Delinquency_Detail_3!$P$3:$P$24,D107)=0,I107&gt;0,SUMPRODUCT((LeaseLock!$D$2:$D$500=B107)*(ISNUMBER(SEARCH(TRIM(LEFT(SUBSTITUTE(D107,",",REPT(" ",100)),100)),LeaseLock!$C$2:$C$500))))=0),1,0)</f>
        <v>1</v>
      </c>
      <c r="O107" s="90"/>
    </row>
    <row r="108" spans="1:15">
      <c r="A108" t="s">
        <v>1751</v>
      </c>
      <c r="B108" t="s">
        <v>2581</v>
      </c>
      <c r="C108" t="s">
        <v>2260</v>
      </c>
      <c r="D108" t="s">
        <v>2582</v>
      </c>
      <c r="E108" t="s">
        <v>2120</v>
      </c>
      <c r="F108" s="455">
        <v>45521</v>
      </c>
      <c r="G108" s="455">
        <v>45947</v>
      </c>
      <c r="H108" s="455">
        <v>46311</v>
      </c>
      <c r="I108" s="456">
        <v>16067.66</v>
      </c>
      <c r="J108">
        <v>0</v>
      </c>
      <c r="K108" s="456">
        <v>4384.6899999999996</v>
      </c>
      <c r="L108" s="456">
        <v>1242.82</v>
      </c>
      <c r="M108" s="456">
        <v>10440.15</v>
      </c>
      <c r="N108" s="90" cm="1">
        <f t="array" ref="N108">IF(AND(OR(ISNUMBER(SEARCH("Eviction",E108)),ISNUMBER(SEARCH("Past",E108)),ISNUMBER(SEARCH("Skip",E108)),ISNUMBER(SEARCH("Collections",E108)),COUNTIF(Delinquency_Detail_3!$N$3:$N$24,D108)&gt;0),COUNTIF(Delinquency_Detail_3!$P$3:$P$24,D108)=0,I108&gt;0,SUMPRODUCT((LeaseLock!$D$2:$D$500=B108)*(ISNUMBER(SEARCH(TRIM(LEFT(SUBSTITUTE(D108,",",REPT(" ",100)),100)),LeaseLock!$C$2:$C$500))))=0),1,0)</f>
        <v>1</v>
      </c>
      <c r="O108" s="90"/>
    </row>
    <row r="109" spans="1:15">
      <c r="A109" t="s">
        <v>1751</v>
      </c>
      <c r="B109" t="s">
        <v>2583</v>
      </c>
      <c r="C109" t="s">
        <v>2262</v>
      </c>
      <c r="D109" t="s">
        <v>2584</v>
      </c>
      <c r="E109" t="s">
        <v>2135</v>
      </c>
      <c r="F109" s="455">
        <v>44646</v>
      </c>
      <c r="G109" s="455">
        <v>46113</v>
      </c>
      <c r="H109" s="455">
        <v>46178</v>
      </c>
      <c r="I109">
        <v>894.52</v>
      </c>
      <c r="J109">
        <v>0</v>
      </c>
      <c r="K109">
        <v>0</v>
      </c>
      <c r="L109">
        <v>894.52</v>
      </c>
      <c r="M109">
        <v>0</v>
      </c>
      <c r="N109" s="90" cm="1">
        <f t="array" ref="N109">IF(AND(OR(ISNUMBER(SEARCH("Eviction",E109)),ISNUMBER(SEARCH("Past",E109)),ISNUMBER(SEARCH("Skip",E109)),ISNUMBER(SEARCH("Collections",E109)),COUNTIF(Delinquency_Detail_3!$N$3:$N$24,D109)&gt;0),COUNTIF(Delinquency_Detail_3!$P$3:$P$24,D109)=0,I109&gt;0,SUMPRODUCT((LeaseLock!$D$2:$D$500=B109)*(ISNUMBER(SEARCH(TRIM(LEFT(SUBSTITUTE(D109,",",REPT(" ",100)),100)),LeaseLock!$C$2:$C$500))))=0),1,0)</f>
        <v>0</v>
      </c>
      <c r="O109" s="90"/>
    </row>
    <row r="110" spans="1:15">
      <c r="A110" t="s">
        <v>1751</v>
      </c>
      <c r="B110" t="s">
        <v>2585</v>
      </c>
      <c r="C110" t="s">
        <v>2269</v>
      </c>
      <c r="D110" t="s">
        <v>2586</v>
      </c>
      <c r="E110" t="s">
        <v>2135</v>
      </c>
      <c r="F110" s="455">
        <v>45716</v>
      </c>
      <c r="G110" s="455">
        <v>46140</v>
      </c>
      <c r="H110" s="455">
        <v>46200</v>
      </c>
      <c r="I110">
        <v>841.15</v>
      </c>
      <c r="J110">
        <v>0</v>
      </c>
      <c r="K110">
        <v>841.15</v>
      </c>
      <c r="L110">
        <v>0</v>
      </c>
      <c r="M110">
        <v>0</v>
      </c>
      <c r="N110" s="90" cm="1">
        <f t="array" ref="N110">IF(AND(OR(ISNUMBER(SEARCH("Eviction",E110)),ISNUMBER(SEARCH("Past",E110)),ISNUMBER(SEARCH("Skip",E110)),ISNUMBER(SEARCH("Collections",E110)),COUNTIF(Delinquency_Detail_3!$N$3:$N$24,D110)&gt;0),COUNTIF(Delinquency_Detail_3!$P$3:$P$24,D110)=0,I110&gt;0,SUMPRODUCT((LeaseLock!$D$2:$D$500=B110)*(ISNUMBER(SEARCH(TRIM(LEFT(SUBSTITUTE(D110,",",REPT(" ",100)),100)),LeaseLock!$C$2:$C$500))))=0),1,0)</f>
        <v>1</v>
      </c>
      <c r="O110" s="90"/>
    </row>
    <row r="111" spans="1:15">
      <c r="A111" t="s">
        <v>1751</v>
      </c>
      <c r="B111" t="s">
        <v>2587</v>
      </c>
      <c r="C111" t="s">
        <v>1023</v>
      </c>
      <c r="D111" t="s">
        <v>2588</v>
      </c>
      <c r="E111" t="s">
        <v>2135</v>
      </c>
      <c r="F111" s="455">
        <v>45276</v>
      </c>
      <c r="G111" s="455">
        <v>46069</v>
      </c>
      <c r="H111" s="455">
        <v>46196</v>
      </c>
      <c r="I111">
        <v>555.69000000000005</v>
      </c>
      <c r="J111">
        <v>0</v>
      </c>
      <c r="K111">
        <v>555.69000000000005</v>
      </c>
      <c r="L111">
        <v>0</v>
      </c>
      <c r="M111">
        <v>0</v>
      </c>
      <c r="N111" s="90" cm="1">
        <f t="array" ref="N111">IF(AND(OR(ISNUMBER(SEARCH("Eviction",E111)),ISNUMBER(SEARCH("Past",E111)),ISNUMBER(SEARCH("Skip",E111)),ISNUMBER(SEARCH("Collections",E111)),COUNTIF(Delinquency_Detail_3!$N$3:$N$24,D111)&gt;0),COUNTIF(Delinquency_Detail_3!$P$3:$P$24,D111)=0,I111&gt;0,SUMPRODUCT((LeaseLock!$D$2:$D$500=B111)*(ISNUMBER(SEARCH(TRIM(LEFT(SUBSTITUTE(D111,",",REPT(" ",100)),100)),LeaseLock!$C$2:$C$500))))=0),1,0)</f>
        <v>1</v>
      </c>
      <c r="O111" s="90"/>
    </row>
    <row r="112" spans="1:15">
      <c r="A112" t="s">
        <v>1751</v>
      </c>
      <c r="B112" t="s">
        <v>2589</v>
      </c>
      <c r="C112" t="s">
        <v>2260</v>
      </c>
      <c r="D112" t="s">
        <v>1114</v>
      </c>
      <c r="E112" t="s">
        <v>2118</v>
      </c>
      <c r="F112" s="455">
        <v>43204</v>
      </c>
      <c r="G112" s="455">
        <v>46113</v>
      </c>
      <c r="H112" s="455">
        <v>46146</v>
      </c>
      <c r="I112" s="456">
        <v>9004.69</v>
      </c>
      <c r="J112">
        <v>0</v>
      </c>
      <c r="K112">
        <v>0</v>
      </c>
      <c r="L112">
        <v>0</v>
      </c>
      <c r="M112" s="456">
        <v>9004.69</v>
      </c>
      <c r="N112" s="90" cm="1">
        <f t="array" ref="N112">IF(AND(OR(ISNUMBER(SEARCH("Eviction",E112)),ISNUMBER(SEARCH("Past",E112)),ISNUMBER(SEARCH("Skip",E112)),ISNUMBER(SEARCH("Collections",E112)),COUNTIF(Delinquency_Detail_3!$N$3:$N$24,D112)&gt;0),COUNTIF(Delinquency_Detail_3!$P$3:$P$24,D112)=0,I112&gt;0,SUMPRODUCT((LeaseLock!$D$2:$D$500=B112)*(ISNUMBER(SEARCH(TRIM(LEFT(SUBSTITUTE(D112,",",REPT(" ",100)),100)),LeaseLock!$C$2:$C$500))))=0),1,0)</f>
        <v>1</v>
      </c>
      <c r="O112" s="90"/>
    </row>
    <row r="113" spans="1:15">
      <c r="A113" t="s">
        <v>1751</v>
      </c>
      <c r="B113" t="s">
        <v>2590</v>
      </c>
      <c r="C113" t="s">
        <v>2260</v>
      </c>
      <c r="D113" t="s">
        <v>2591</v>
      </c>
      <c r="E113" t="s">
        <v>2592</v>
      </c>
      <c r="F113" s="455">
        <v>41992</v>
      </c>
      <c r="G113" s="455">
        <v>45170</v>
      </c>
      <c r="I113">
        <v>635</v>
      </c>
      <c r="J113">
        <v>635</v>
      </c>
      <c r="K113">
        <v>0</v>
      </c>
      <c r="L113">
        <v>0</v>
      </c>
      <c r="M113">
        <v>0</v>
      </c>
      <c r="N113" s="90" cm="1">
        <f t="array" ref="N113">IF(AND(OR(ISNUMBER(SEARCH("Eviction",E113)),ISNUMBER(SEARCH("Past",E113)),ISNUMBER(SEARCH("Skip",E113)),ISNUMBER(SEARCH("Collections",E113)),COUNTIF(Delinquency_Detail_3!$N$3:$N$24,D113)&gt;0),COUNTIF(Delinquency_Detail_3!$P$3:$P$24,D113)=0,I113&gt;0,SUMPRODUCT((LeaseLock!$D$2:$D$500=B113)*(ISNUMBER(SEARCH(TRIM(LEFT(SUBSTITUTE(D113,",",REPT(" ",100)),100)),LeaseLock!$C$2:$C$500))))=0),1,0)</f>
        <v>0</v>
      </c>
      <c r="O113" s="90"/>
    </row>
    <row r="114" spans="1:15">
      <c r="A114" t="s">
        <v>1751</v>
      </c>
      <c r="B114" t="s">
        <v>2593</v>
      </c>
      <c r="C114" t="s">
        <v>2260</v>
      </c>
      <c r="D114" t="s">
        <v>2594</v>
      </c>
      <c r="E114" t="s">
        <v>2392</v>
      </c>
      <c r="F114" s="455">
        <v>45535</v>
      </c>
      <c r="G114" s="455">
        <v>46143</v>
      </c>
      <c r="H114" s="455">
        <v>46507</v>
      </c>
      <c r="I114" s="456">
        <v>1336.4</v>
      </c>
      <c r="J114" s="456">
        <v>1336.4</v>
      </c>
      <c r="K114">
        <v>0</v>
      </c>
      <c r="L114">
        <v>0</v>
      </c>
      <c r="M114">
        <v>0</v>
      </c>
      <c r="N114" s="90" cm="1">
        <f t="array" ref="N114">IF(AND(OR(ISNUMBER(SEARCH("Eviction",E114)),ISNUMBER(SEARCH("Past",E114)),ISNUMBER(SEARCH("Skip",E114)),ISNUMBER(SEARCH("Collections",E114)),COUNTIF(Delinquency_Detail_3!$N$3:$N$24,D114)&gt;0),COUNTIF(Delinquency_Detail_3!$P$3:$P$24,D114)=0,I114&gt;0,SUMPRODUCT((LeaseLock!$D$2:$D$500=B114)*(ISNUMBER(SEARCH(TRIM(LEFT(SUBSTITUTE(D114,",",REPT(" ",100)),100)),LeaseLock!$C$2:$C$500))))=0),1,0)</f>
        <v>0</v>
      </c>
      <c r="O114" s="90"/>
    </row>
    <row r="115" spans="1:15">
      <c r="A115" t="s">
        <v>1751</v>
      </c>
      <c r="B115" t="s">
        <v>2595</v>
      </c>
      <c r="C115" t="s">
        <v>1023</v>
      </c>
      <c r="D115" t="s">
        <v>2596</v>
      </c>
      <c r="E115" t="s">
        <v>2392</v>
      </c>
      <c r="F115" s="455">
        <v>44232</v>
      </c>
      <c r="G115" s="455">
        <v>46082</v>
      </c>
      <c r="H115" s="455">
        <v>46445</v>
      </c>
      <c r="I115">
        <v>8.9499999999999993</v>
      </c>
      <c r="J115">
        <v>8.9499999999999993</v>
      </c>
      <c r="K115">
        <v>0</v>
      </c>
      <c r="L115">
        <v>0</v>
      </c>
      <c r="M115">
        <v>0</v>
      </c>
      <c r="N115" s="90" cm="1">
        <f t="array" ref="N115">IF(AND(OR(ISNUMBER(SEARCH("Eviction",E115)),ISNUMBER(SEARCH("Past",E115)),ISNUMBER(SEARCH("Skip",E115)),ISNUMBER(SEARCH("Collections",E115)),COUNTIF(Delinquency_Detail_3!$N$3:$N$24,D115)&gt;0),COUNTIF(Delinquency_Detail_3!$P$3:$P$24,D115)=0,I115&gt;0,SUMPRODUCT((LeaseLock!$D$2:$D$500=B115)*(ISNUMBER(SEARCH(TRIM(LEFT(SUBSTITUTE(D115,",",REPT(" ",100)),100)),LeaseLock!$C$2:$C$500))))=0),1,0)</f>
        <v>0</v>
      </c>
      <c r="O115" s="90"/>
    </row>
    <row r="116" spans="1:15">
      <c r="A116" t="s">
        <v>1751</v>
      </c>
      <c r="B116" t="s">
        <v>2597</v>
      </c>
      <c r="C116" t="s">
        <v>2262</v>
      </c>
      <c r="D116" t="s">
        <v>2598</v>
      </c>
      <c r="E116" t="s">
        <v>2392</v>
      </c>
      <c r="F116" s="455">
        <v>45395</v>
      </c>
      <c r="G116" s="455">
        <v>46186</v>
      </c>
      <c r="H116" s="455">
        <v>46550</v>
      </c>
      <c r="I116">
        <v>696.63</v>
      </c>
      <c r="J116">
        <v>696.63</v>
      </c>
      <c r="K116">
        <v>0</v>
      </c>
      <c r="L116">
        <v>0</v>
      </c>
      <c r="M116">
        <v>0</v>
      </c>
      <c r="N116" s="90" cm="1">
        <f t="array" ref="N116">IF(AND(OR(ISNUMBER(SEARCH("Eviction",E116)),ISNUMBER(SEARCH("Past",E116)),ISNUMBER(SEARCH("Skip",E116)),ISNUMBER(SEARCH("Collections",E116)),COUNTIF(Delinquency_Detail_3!$N$3:$N$24,D116)&gt;0),COUNTIF(Delinquency_Detail_3!$P$3:$P$24,D116)=0,I116&gt;0,SUMPRODUCT((LeaseLock!$D$2:$D$500=B116)*(ISNUMBER(SEARCH(TRIM(LEFT(SUBSTITUTE(D116,",",REPT(" ",100)),100)),LeaseLock!$C$2:$C$500))))=0),1,0)</f>
        <v>0</v>
      </c>
      <c r="O116" s="90"/>
    </row>
    <row r="117" spans="1:15">
      <c r="A117" t="s">
        <v>1751</v>
      </c>
      <c r="B117" t="s">
        <v>2599</v>
      </c>
      <c r="C117" t="s">
        <v>2262</v>
      </c>
      <c r="D117" t="s">
        <v>2600</v>
      </c>
      <c r="E117" t="s">
        <v>2118</v>
      </c>
      <c r="F117" s="455">
        <v>44176</v>
      </c>
      <c r="G117" s="455">
        <v>46082</v>
      </c>
      <c r="H117" s="455">
        <v>46143</v>
      </c>
      <c r="I117" s="456">
        <v>12548.52</v>
      </c>
      <c r="J117">
        <v>0</v>
      </c>
      <c r="K117">
        <v>0</v>
      </c>
      <c r="L117">
        <v>0</v>
      </c>
      <c r="M117" s="456">
        <v>12548.52</v>
      </c>
      <c r="N117" s="90" cm="1">
        <f t="array" ref="N117">IF(AND(OR(ISNUMBER(SEARCH("Eviction",E117)),ISNUMBER(SEARCH("Past",E117)),ISNUMBER(SEARCH("Skip",E117)),ISNUMBER(SEARCH("Collections",E117)),COUNTIF(Delinquency_Detail_3!$N$3:$N$24,D117)&gt;0),COUNTIF(Delinquency_Detail_3!$P$3:$P$24,D117)=0,I117&gt;0,SUMPRODUCT((LeaseLock!$D$2:$D$500=B117)*(ISNUMBER(SEARCH(TRIM(LEFT(SUBSTITUTE(D117,",",REPT(" ",100)),100)),LeaseLock!$C$2:$C$500))))=0),1,0)</f>
        <v>0</v>
      </c>
      <c r="O117" s="90"/>
    </row>
    <row r="118" spans="1:15">
      <c r="A118" t="s">
        <v>1751</v>
      </c>
      <c r="B118" t="s">
        <v>2601</v>
      </c>
      <c r="C118" t="s">
        <v>2262</v>
      </c>
      <c r="D118" t="s">
        <v>2602</v>
      </c>
      <c r="E118" t="s">
        <v>2392</v>
      </c>
      <c r="F118" s="455">
        <v>44856</v>
      </c>
      <c r="G118" s="455">
        <v>45962</v>
      </c>
      <c r="H118" s="455">
        <v>46326</v>
      </c>
      <c r="I118">
        <v>35</v>
      </c>
      <c r="J118">
        <v>35</v>
      </c>
      <c r="K118">
        <v>0</v>
      </c>
      <c r="L118">
        <v>0</v>
      </c>
      <c r="M118">
        <v>0</v>
      </c>
      <c r="N118" s="90" cm="1">
        <f t="array" ref="N118">IF(AND(OR(ISNUMBER(SEARCH("Eviction",E118)),ISNUMBER(SEARCH("Past",E118)),ISNUMBER(SEARCH("Skip",E118)),ISNUMBER(SEARCH("Collections",E118)),COUNTIF(Delinquency_Detail_3!$N$3:$N$24,D118)&gt;0),COUNTIF(Delinquency_Detail_3!$P$3:$P$24,D118)=0,I118&gt;0,SUMPRODUCT((LeaseLock!$D$2:$D$500=B118)*(ISNUMBER(SEARCH(TRIM(LEFT(SUBSTITUTE(D118,",",REPT(" ",100)),100)),LeaseLock!$C$2:$C$500))))=0),1,0)</f>
        <v>0</v>
      </c>
      <c r="O118" s="90"/>
    </row>
    <row r="119" spans="1:15">
      <c r="A119" t="s">
        <v>1751</v>
      </c>
      <c r="B119" t="s">
        <v>2603</v>
      </c>
      <c r="C119" t="s">
        <v>2262</v>
      </c>
      <c r="D119" t="s">
        <v>2604</v>
      </c>
      <c r="E119" t="s">
        <v>2132</v>
      </c>
      <c r="F119" s="455">
        <v>45701</v>
      </c>
      <c r="G119" s="455">
        <v>46125</v>
      </c>
      <c r="H119" s="455">
        <v>46489</v>
      </c>
      <c r="I119" s="456">
        <v>2972.31</v>
      </c>
      <c r="J119" s="456">
        <v>1311.58</v>
      </c>
      <c r="K119" s="456">
        <v>1296.0899999999999</v>
      </c>
      <c r="L119">
        <v>317.52</v>
      </c>
      <c r="M119">
        <v>47.12</v>
      </c>
      <c r="N119" s="90" cm="1">
        <f t="array" ref="N119">IF(AND(OR(ISNUMBER(SEARCH("Eviction",E119)),ISNUMBER(SEARCH("Past",E119)),ISNUMBER(SEARCH("Skip",E119)),ISNUMBER(SEARCH("Collections",E119)),COUNTIF(Delinquency_Detail_3!$N$3:$N$24,D119)&gt;0),COUNTIF(Delinquency_Detail_3!$P$3:$P$24,D119)=0,I119&gt;0,SUMPRODUCT((LeaseLock!$D$2:$D$500=B119)*(ISNUMBER(SEARCH(TRIM(LEFT(SUBSTITUTE(D119,",",REPT(" ",100)),100)),LeaseLock!$C$2:$C$500))))=0),1,0)</f>
        <v>1</v>
      </c>
      <c r="O119" s="90"/>
    </row>
    <row r="120" spans="1:15">
      <c r="A120" t="s">
        <v>1751</v>
      </c>
      <c r="B120" t="s">
        <v>2605</v>
      </c>
      <c r="C120" t="s">
        <v>2262</v>
      </c>
      <c r="D120" t="s">
        <v>2606</v>
      </c>
      <c r="E120" t="s">
        <v>2120</v>
      </c>
      <c r="F120" s="455">
        <v>45898</v>
      </c>
      <c r="G120" s="455">
        <v>45901</v>
      </c>
      <c r="H120" s="455">
        <v>46265</v>
      </c>
      <c r="I120" s="456">
        <v>3269.36</v>
      </c>
      <c r="J120">
        <v>0</v>
      </c>
      <c r="K120" s="456">
        <v>2128.1999999999998</v>
      </c>
      <c r="L120" s="456">
        <v>1141.1600000000001</v>
      </c>
      <c r="M120">
        <v>0</v>
      </c>
      <c r="N120" s="90" cm="1">
        <f t="array" ref="N120">IF(AND(OR(ISNUMBER(SEARCH("Eviction",E120)),ISNUMBER(SEARCH("Past",E120)),ISNUMBER(SEARCH("Skip",E120)),ISNUMBER(SEARCH("Collections",E120)),COUNTIF(Delinquency_Detail_3!$N$3:$N$24,D120)&gt;0),COUNTIF(Delinquency_Detail_3!$P$3:$P$24,D120)=0,I120&gt;0,SUMPRODUCT((LeaseLock!$D$2:$D$500=B120)*(ISNUMBER(SEARCH(TRIM(LEFT(SUBSTITUTE(D120,",",REPT(" ",100)),100)),LeaseLock!$C$2:$C$500))))=0),1,0)</f>
        <v>1</v>
      </c>
      <c r="O120" s="90"/>
    </row>
    <row r="121" spans="1:15">
      <c r="A121" t="s">
        <v>1751</v>
      </c>
      <c r="B121" t="s">
        <v>2607</v>
      </c>
      <c r="C121" t="s">
        <v>2269</v>
      </c>
      <c r="D121" t="s">
        <v>2608</v>
      </c>
      <c r="E121" t="s">
        <v>2392</v>
      </c>
      <c r="F121" s="455">
        <v>44317</v>
      </c>
      <c r="G121" s="455">
        <v>46143</v>
      </c>
      <c r="H121" s="455">
        <v>46507</v>
      </c>
      <c r="I121" s="456">
        <v>1953.54</v>
      </c>
      <c r="J121" s="456">
        <v>1953.54</v>
      </c>
      <c r="K121">
        <v>0</v>
      </c>
      <c r="L121">
        <v>0</v>
      </c>
      <c r="M121">
        <v>0</v>
      </c>
      <c r="N121" s="90" cm="1">
        <f t="array" ref="N121">IF(AND(OR(ISNUMBER(SEARCH("Eviction",E121)),ISNUMBER(SEARCH("Past",E121)),ISNUMBER(SEARCH("Skip",E121)),ISNUMBER(SEARCH("Collections",E121)),COUNTIF(Delinquency_Detail_3!$N$3:$N$24,D121)&gt;0),COUNTIF(Delinquency_Detail_3!$P$3:$P$24,D121)=0,I121&gt;0,SUMPRODUCT((LeaseLock!$D$2:$D$500=B121)*(ISNUMBER(SEARCH(TRIM(LEFT(SUBSTITUTE(D121,",",REPT(" ",100)),100)),LeaseLock!$C$2:$C$500))))=0),1,0)</f>
        <v>0</v>
      </c>
      <c r="O121" s="90"/>
    </row>
    <row r="122" spans="1:15">
      <c r="A122" t="s">
        <v>1751</v>
      </c>
      <c r="B122" t="s">
        <v>2609</v>
      </c>
      <c r="C122" t="s">
        <v>2269</v>
      </c>
      <c r="D122" t="s">
        <v>2610</v>
      </c>
      <c r="E122" t="s">
        <v>2135</v>
      </c>
      <c r="F122" s="455">
        <v>44136</v>
      </c>
      <c r="G122" s="455">
        <v>46143</v>
      </c>
      <c r="H122" s="455">
        <v>46175</v>
      </c>
      <c r="I122" s="456">
        <v>1620.38</v>
      </c>
      <c r="J122">
        <v>0</v>
      </c>
      <c r="K122">
        <v>0</v>
      </c>
      <c r="L122" s="456">
        <v>1620.38</v>
      </c>
      <c r="M122">
        <v>0</v>
      </c>
      <c r="N122" s="90" cm="1">
        <f t="array" ref="N122">IF(AND(OR(ISNUMBER(SEARCH("Eviction",E122)),ISNUMBER(SEARCH("Past",E122)),ISNUMBER(SEARCH("Skip",E122)),ISNUMBER(SEARCH("Collections",E122)),COUNTIF(Delinquency_Detail_3!$N$3:$N$24,D122)&gt;0),COUNTIF(Delinquency_Detail_3!$P$3:$P$24,D122)=0,I122&gt;0,SUMPRODUCT((LeaseLock!$D$2:$D$500=B122)*(ISNUMBER(SEARCH(TRIM(LEFT(SUBSTITUTE(D122,",",REPT(" ",100)),100)),LeaseLock!$C$2:$C$500))))=0),1,0)</f>
        <v>0</v>
      </c>
      <c r="O122" s="90"/>
    </row>
    <row r="123" spans="1:15">
      <c r="A123" t="s">
        <v>1751</v>
      </c>
      <c r="B123" t="s">
        <v>2611</v>
      </c>
      <c r="C123" t="s">
        <v>2262</v>
      </c>
      <c r="D123" t="s">
        <v>2612</v>
      </c>
      <c r="E123" t="s">
        <v>2120</v>
      </c>
      <c r="F123" s="455">
        <v>45919</v>
      </c>
      <c r="G123" s="455">
        <v>45919</v>
      </c>
      <c r="H123" s="455">
        <v>46283</v>
      </c>
      <c r="I123" s="456">
        <v>9374.86</v>
      </c>
      <c r="J123">
        <v>0</v>
      </c>
      <c r="K123" s="456">
        <v>5406.04</v>
      </c>
      <c r="L123">
        <v>165.16</v>
      </c>
      <c r="M123" s="456">
        <v>3803.66</v>
      </c>
      <c r="N123" s="90" cm="1">
        <f t="array" ref="N123">IF(AND(OR(ISNUMBER(SEARCH("Eviction",E123)),ISNUMBER(SEARCH("Past",E123)),ISNUMBER(SEARCH("Skip",E123)),ISNUMBER(SEARCH("Collections",E123)),COUNTIF(Delinquency_Detail_3!$N$3:$N$24,D123)&gt;0),COUNTIF(Delinquency_Detail_3!$P$3:$P$24,D123)=0,I123&gt;0,SUMPRODUCT((LeaseLock!$D$2:$D$500=B123)*(ISNUMBER(SEARCH(TRIM(LEFT(SUBSTITUTE(D123,",",REPT(" ",100)),100)),LeaseLock!$C$2:$C$500))))=0),1,0)</f>
        <v>1</v>
      </c>
      <c r="O123" s="90"/>
    </row>
    <row r="124" spans="1:15">
      <c r="A124" t="s">
        <v>1751</v>
      </c>
      <c r="B124" t="s">
        <v>2613</v>
      </c>
      <c r="C124" t="s">
        <v>2262</v>
      </c>
      <c r="D124" t="s">
        <v>2614</v>
      </c>
      <c r="E124" t="s">
        <v>2392</v>
      </c>
      <c r="F124" s="455">
        <v>43881</v>
      </c>
      <c r="G124" s="455">
        <v>46082</v>
      </c>
      <c r="H124" s="455">
        <v>46445</v>
      </c>
      <c r="I124">
        <v>8.9499999999999993</v>
      </c>
      <c r="J124">
        <v>8.9499999999999993</v>
      </c>
      <c r="K124">
        <v>0</v>
      </c>
      <c r="L124">
        <v>0</v>
      </c>
      <c r="M124">
        <v>0</v>
      </c>
      <c r="N124" s="90" cm="1">
        <f t="array" ref="N124">IF(AND(OR(ISNUMBER(SEARCH("Eviction",E124)),ISNUMBER(SEARCH("Past",E124)),ISNUMBER(SEARCH("Skip",E124)),ISNUMBER(SEARCH("Collections",E124)),COUNTIF(Delinquency_Detail_3!$N$3:$N$24,D124)&gt;0),COUNTIF(Delinquency_Detail_3!$P$3:$P$24,D124)=0,I124&gt;0,SUMPRODUCT((LeaseLock!$D$2:$D$500=B124)*(ISNUMBER(SEARCH(TRIM(LEFT(SUBSTITUTE(D124,",",REPT(" ",100)),100)),LeaseLock!$C$2:$C$500))))=0),1,0)</f>
        <v>0</v>
      </c>
      <c r="O124" s="90"/>
    </row>
    <row r="125" spans="1:15">
      <c r="A125" t="s">
        <v>1751</v>
      </c>
      <c r="B125" t="s">
        <v>2615</v>
      </c>
      <c r="C125" t="s">
        <v>2262</v>
      </c>
      <c r="D125" t="s">
        <v>2616</v>
      </c>
      <c r="E125" t="s">
        <v>2392</v>
      </c>
      <c r="F125" s="455">
        <v>46158</v>
      </c>
      <c r="G125" s="455">
        <v>46158</v>
      </c>
      <c r="H125" s="455">
        <v>46522</v>
      </c>
      <c r="I125">
        <v>3.95</v>
      </c>
      <c r="J125">
        <v>3.95</v>
      </c>
      <c r="K125">
        <v>0</v>
      </c>
      <c r="L125">
        <v>0</v>
      </c>
      <c r="M125">
        <v>0</v>
      </c>
      <c r="N125" s="90" cm="1">
        <f t="array" ref="N125">IF(AND(OR(ISNUMBER(SEARCH("Eviction",E125)),ISNUMBER(SEARCH("Past",E125)),ISNUMBER(SEARCH("Skip",E125)),ISNUMBER(SEARCH("Collections",E125)),COUNTIF(Delinquency_Detail_3!$N$3:$N$24,D125)&gt;0),COUNTIF(Delinquency_Detail_3!$P$3:$P$24,D125)=0,I125&gt;0,SUMPRODUCT((LeaseLock!$D$2:$D$500=B125)*(ISNUMBER(SEARCH(TRIM(LEFT(SUBSTITUTE(D125,",",REPT(" ",100)),100)),LeaseLock!$C$2:$C$500))))=0),1,0)</f>
        <v>0</v>
      </c>
      <c r="O125" s="90"/>
    </row>
    <row r="126" spans="1:15">
      <c r="A126" t="s">
        <v>1751</v>
      </c>
      <c r="B126" t="s">
        <v>2617</v>
      </c>
      <c r="C126" t="s">
        <v>2262</v>
      </c>
      <c r="D126" t="s">
        <v>2618</v>
      </c>
      <c r="E126" t="s">
        <v>2120</v>
      </c>
      <c r="F126" s="455">
        <v>45765</v>
      </c>
      <c r="G126" s="455">
        <v>46130</v>
      </c>
      <c r="H126" s="455">
        <v>46170</v>
      </c>
      <c r="I126" s="456">
        <v>15427.4</v>
      </c>
      <c r="J126">
        <v>0</v>
      </c>
      <c r="K126">
        <v>0</v>
      </c>
      <c r="L126" s="456">
        <v>3786</v>
      </c>
      <c r="M126" s="456">
        <v>11641.4</v>
      </c>
      <c r="N126" s="90" cm="1">
        <f t="array" ref="N126">IF(AND(OR(ISNUMBER(SEARCH("Eviction",E126)),ISNUMBER(SEARCH("Past",E126)),ISNUMBER(SEARCH("Skip",E126)),ISNUMBER(SEARCH("Collections",E126)),COUNTIF(Delinquency_Detail_3!$N$3:$N$24,D126)&gt;0),COUNTIF(Delinquency_Detail_3!$P$3:$P$24,D126)=0,I126&gt;0,SUMPRODUCT((LeaseLock!$D$2:$D$500=B126)*(ISNUMBER(SEARCH(TRIM(LEFT(SUBSTITUTE(D126,",",REPT(" ",100)),100)),LeaseLock!$C$2:$C$500))))=0),1,0)</f>
        <v>0</v>
      </c>
      <c r="O126" s="90"/>
    </row>
    <row r="127" spans="1:15">
      <c r="A127" t="s">
        <v>1751</v>
      </c>
      <c r="B127" t="s">
        <v>2619</v>
      </c>
      <c r="C127" t="s">
        <v>2262</v>
      </c>
      <c r="D127" t="s">
        <v>2620</v>
      </c>
      <c r="E127" t="s">
        <v>2135</v>
      </c>
      <c r="F127" s="455">
        <v>45846</v>
      </c>
      <c r="G127" s="455">
        <v>45846</v>
      </c>
      <c r="H127" s="455">
        <v>46210</v>
      </c>
      <c r="I127">
        <v>207.84</v>
      </c>
      <c r="J127">
        <v>0</v>
      </c>
      <c r="K127">
        <v>207.84</v>
      </c>
      <c r="L127">
        <v>0</v>
      </c>
      <c r="M127">
        <v>0</v>
      </c>
      <c r="N127" s="90" cm="1">
        <f t="array" ref="N127">IF(AND(OR(ISNUMBER(SEARCH("Eviction",E127)),ISNUMBER(SEARCH("Past",E127)),ISNUMBER(SEARCH("Skip",E127)),ISNUMBER(SEARCH("Collections",E127)),COUNTIF(Delinquency_Detail_3!$N$3:$N$24,D127)&gt;0),COUNTIF(Delinquency_Detail_3!$P$3:$P$24,D127)=0,I127&gt;0,SUMPRODUCT((LeaseLock!$D$2:$D$500=B127)*(ISNUMBER(SEARCH(TRIM(LEFT(SUBSTITUTE(D127,",",REPT(" ",100)),100)),LeaseLock!$C$2:$C$500))))=0),1,0)</f>
        <v>1</v>
      </c>
      <c r="O127" s="90"/>
    </row>
    <row r="128" spans="1:15">
      <c r="A128" t="s">
        <v>1751</v>
      </c>
      <c r="B128" t="s">
        <v>2621</v>
      </c>
      <c r="C128" t="s">
        <v>2262</v>
      </c>
      <c r="D128" t="s">
        <v>2622</v>
      </c>
      <c r="E128" t="s">
        <v>2512</v>
      </c>
      <c r="F128" s="455">
        <v>45884</v>
      </c>
      <c r="G128" s="455">
        <v>45884</v>
      </c>
      <c r="H128" s="455">
        <v>46248</v>
      </c>
      <c r="I128" s="456">
        <v>2094.34</v>
      </c>
      <c r="J128">
        <v>657.63</v>
      </c>
      <c r="K128" s="456">
        <v>1192.1400000000001</v>
      </c>
      <c r="L128">
        <v>244.57</v>
      </c>
      <c r="M128">
        <v>0</v>
      </c>
      <c r="N128" s="90" cm="1">
        <f t="array" ref="N128">IF(AND(OR(ISNUMBER(SEARCH("Eviction",E128)),ISNUMBER(SEARCH("Past",E128)),ISNUMBER(SEARCH("Skip",E128)),ISNUMBER(SEARCH("Collections",E128)),COUNTIF(Delinquency_Detail_3!$N$3:$N$24,D128)&gt;0),COUNTIF(Delinquency_Detail_3!$P$3:$P$24,D128)=0,I128&gt;0,SUMPRODUCT((LeaseLock!$D$2:$D$500=B128)*(ISNUMBER(SEARCH(TRIM(LEFT(SUBSTITUTE(D128,",",REPT(" ",100)),100)),LeaseLock!$C$2:$C$500))))=0),1,0)</f>
        <v>1</v>
      </c>
      <c r="O128" s="90"/>
    </row>
    <row r="129" spans="1:15">
      <c r="A129" t="s">
        <v>1751</v>
      </c>
      <c r="B129" t="s">
        <v>2623</v>
      </c>
      <c r="C129" t="s">
        <v>2262</v>
      </c>
      <c r="D129" t="s">
        <v>2624</v>
      </c>
      <c r="E129" t="s">
        <v>2135</v>
      </c>
      <c r="F129" s="455">
        <v>45809</v>
      </c>
      <c r="G129" s="455">
        <v>46173</v>
      </c>
      <c r="H129" s="455">
        <v>46174</v>
      </c>
      <c r="I129">
        <v>354.83</v>
      </c>
      <c r="J129">
        <v>0</v>
      </c>
      <c r="K129">
        <v>0</v>
      </c>
      <c r="L129">
        <v>354.83</v>
      </c>
      <c r="M129">
        <v>0</v>
      </c>
      <c r="N129" s="90" cm="1">
        <f t="array" ref="N129">IF(AND(OR(ISNUMBER(SEARCH("Eviction",E129)),ISNUMBER(SEARCH("Past",E129)),ISNUMBER(SEARCH("Skip",E129)),ISNUMBER(SEARCH("Collections",E129)),COUNTIF(Delinquency_Detail_3!$N$3:$N$24,D129)&gt;0),COUNTIF(Delinquency_Detail_3!$P$3:$P$24,D129)=0,I129&gt;0,SUMPRODUCT((LeaseLock!$D$2:$D$500=B129)*(ISNUMBER(SEARCH(TRIM(LEFT(SUBSTITUTE(D129,",",REPT(" ",100)),100)),LeaseLock!$C$2:$C$500))))=0),1,0)</f>
        <v>1</v>
      </c>
      <c r="O129" s="90"/>
    </row>
    <row r="130" spans="1:15">
      <c r="A130" t="s">
        <v>1751</v>
      </c>
      <c r="B130" t="s">
        <v>2625</v>
      </c>
      <c r="C130" t="s">
        <v>2271</v>
      </c>
      <c r="D130" t="s">
        <v>2626</v>
      </c>
      <c r="E130" t="s">
        <v>2512</v>
      </c>
      <c r="F130" s="455">
        <v>45881</v>
      </c>
      <c r="G130" s="455">
        <v>45881</v>
      </c>
      <c r="H130" s="455">
        <v>46245</v>
      </c>
      <c r="I130">
        <v>786.27</v>
      </c>
      <c r="J130">
        <v>786.27</v>
      </c>
      <c r="K130">
        <v>0</v>
      </c>
      <c r="L130">
        <v>0</v>
      </c>
      <c r="M130">
        <v>0</v>
      </c>
      <c r="N130" s="90" cm="1">
        <f t="array" ref="N130">IF(AND(OR(ISNUMBER(SEARCH("Eviction",E130)),ISNUMBER(SEARCH("Past",E130)),ISNUMBER(SEARCH("Skip",E130)),ISNUMBER(SEARCH("Collections",E130)),COUNTIF(Delinquency_Detail_3!$N$3:$N$24,D130)&gt;0),COUNTIF(Delinquency_Detail_3!$P$3:$P$24,D130)=0,I130&gt;0,SUMPRODUCT((LeaseLock!$D$2:$D$500=B130)*(ISNUMBER(SEARCH(TRIM(LEFT(SUBSTITUTE(D130,",",REPT(" ",100)),100)),LeaseLock!$C$2:$C$500))))=0),1,0)</f>
        <v>0</v>
      </c>
      <c r="O130" s="90"/>
    </row>
    <row r="131" spans="1:15">
      <c r="A131" t="s">
        <v>1751</v>
      </c>
      <c r="B131" t="s">
        <v>2627</v>
      </c>
      <c r="C131" t="s">
        <v>2271</v>
      </c>
      <c r="D131" t="s">
        <v>2628</v>
      </c>
      <c r="E131" t="s">
        <v>2120</v>
      </c>
      <c r="F131" s="455">
        <v>45569</v>
      </c>
      <c r="G131" s="455">
        <v>45995</v>
      </c>
      <c r="H131" s="455">
        <v>46169</v>
      </c>
      <c r="I131" s="456">
        <v>42277.71</v>
      </c>
      <c r="J131">
        <v>0</v>
      </c>
      <c r="K131">
        <v>0</v>
      </c>
      <c r="L131" s="456">
        <v>9090</v>
      </c>
      <c r="M131" s="456">
        <v>33187.71</v>
      </c>
      <c r="N131" s="90" cm="1">
        <f t="array" ref="N131">IF(AND(OR(ISNUMBER(SEARCH("Eviction",E131)),ISNUMBER(SEARCH("Past",E131)),ISNUMBER(SEARCH("Skip",E131)),ISNUMBER(SEARCH("Collections",E131)),COUNTIF(Delinquency_Detail_3!$N$3:$N$24,D131)&gt;0),COUNTIF(Delinquency_Detail_3!$P$3:$P$24,D131)=0,I131&gt;0,SUMPRODUCT((LeaseLock!$D$2:$D$500=B131)*(ISNUMBER(SEARCH(TRIM(LEFT(SUBSTITUTE(D131,",",REPT(" ",100)),100)),LeaseLock!$C$2:$C$500))))=0),1,0)</f>
        <v>0</v>
      </c>
      <c r="O131" s="90"/>
    </row>
    <row r="132" spans="1:15">
      <c r="A132" t="s">
        <v>1751</v>
      </c>
      <c r="B132" t="s">
        <v>2629</v>
      </c>
      <c r="C132" t="s">
        <v>2271</v>
      </c>
      <c r="D132" t="s">
        <v>1134</v>
      </c>
      <c r="E132" t="s">
        <v>2120</v>
      </c>
      <c r="F132" s="455">
        <v>43980</v>
      </c>
      <c r="G132" s="455">
        <v>46204</v>
      </c>
      <c r="H132" s="455">
        <v>46210</v>
      </c>
      <c r="I132" s="456">
        <v>5164.28</v>
      </c>
      <c r="J132">
        <v>0</v>
      </c>
      <c r="K132" s="456">
        <v>1993.68</v>
      </c>
      <c r="L132" s="456">
        <v>1702.91</v>
      </c>
      <c r="M132" s="456">
        <v>1467.69</v>
      </c>
      <c r="N132" s="90" cm="1">
        <f t="array" ref="N132">IF(AND(OR(ISNUMBER(SEARCH("Eviction",E132)),ISNUMBER(SEARCH("Past",E132)),ISNUMBER(SEARCH("Skip",E132)),ISNUMBER(SEARCH("Collections",E132)),COUNTIF(Delinquency_Detail_3!$N$3:$N$24,D132)&gt;0),COUNTIF(Delinquency_Detail_3!$P$3:$P$24,D132)=0,I132&gt;0,SUMPRODUCT((LeaseLock!$D$2:$D$500=B132)*(ISNUMBER(SEARCH(TRIM(LEFT(SUBSTITUTE(D132,",",REPT(" ",100)),100)),LeaseLock!$C$2:$C$500))))=0),1,0)</f>
        <v>1</v>
      </c>
      <c r="O132" s="90"/>
    </row>
    <row r="133" spans="1:15">
      <c r="A133" t="s">
        <v>1751</v>
      </c>
      <c r="B133" t="s">
        <v>2630</v>
      </c>
      <c r="C133" t="s">
        <v>2260</v>
      </c>
      <c r="D133" t="s">
        <v>2631</v>
      </c>
      <c r="E133" t="s">
        <v>2392</v>
      </c>
      <c r="F133" s="455">
        <v>45628</v>
      </c>
      <c r="G133" s="455">
        <v>45993</v>
      </c>
      <c r="H133" s="455">
        <v>46357</v>
      </c>
      <c r="I133" s="456">
        <v>2131.6999999999998</v>
      </c>
      <c r="J133" s="456">
        <v>1068.45</v>
      </c>
      <c r="K133" s="456">
        <v>1063.25</v>
      </c>
      <c r="L133">
        <v>0</v>
      </c>
      <c r="M133">
        <v>0</v>
      </c>
      <c r="N133" s="90" cm="1">
        <f t="array" ref="N133">IF(AND(OR(ISNUMBER(SEARCH("Eviction",E133)),ISNUMBER(SEARCH("Past",E133)),ISNUMBER(SEARCH("Skip",E133)),ISNUMBER(SEARCH("Collections",E133)),COUNTIF(Delinquency_Detail_3!$N$3:$N$24,D133)&gt;0),COUNTIF(Delinquency_Detail_3!$P$3:$P$24,D133)=0,I133&gt;0,SUMPRODUCT((LeaseLock!$D$2:$D$500=B133)*(ISNUMBER(SEARCH(TRIM(LEFT(SUBSTITUTE(D133,",",REPT(" ",100)),100)),LeaseLock!$C$2:$C$500))))=0),1,0)</f>
        <v>0</v>
      </c>
      <c r="O133" s="90"/>
    </row>
    <row r="134" spans="1:15">
      <c r="A134" t="s">
        <v>1751</v>
      </c>
      <c r="B134" t="s">
        <v>2632</v>
      </c>
      <c r="C134" t="s">
        <v>2260</v>
      </c>
      <c r="D134" t="s">
        <v>2633</v>
      </c>
      <c r="E134" t="s">
        <v>2135</v>
      </c>
      <c r="F134" s="455">
        <v>45412</v>
      </c>
      <c r="G134" s="455">
        <v>46205</v>
      </c>
      <c r="H134" s="455">
        <v>46205</v>
      </c>
      <c r="I134" s="456">
        <v>3322.15</v>
      </c>
      <c r="J134">
        <v>0</v>
      </c>
      <c r="K134" s="456">
        <v>3322.15</v>
      </c>
      <c r="L134">
        <v>0</v>
      </c>
      <c r="M134">
        <v>0</v>
      </c>
      <c r="N134" s="90" cm="1">
        <f t="array" ref="N134">IF(AND(OR(ISNUMBER(SEARCH("Eviction",E134)),ISNUMBER(SEARCH("Past",E134)),ISNUMBER(SEARCH("Skip",E134)),ISNUMBER(SEARCH("Collections",E134)),COUNTIF(Delinquency_Detail_3!$N$3:$N$24,D134)&gt;0),COUNTIF(Delinquency_Detail_3!$P$3:$P$24,D134)=0,I134&gt;0,SUMPRODUCT((LeaseLock!$D$2:$D$500=B134)*(ISNUMBER(SEARCH(TRIM(LEFT(SUBSTITUTE(D134,",",REPT(" ",100)),100)),LeaseLock!$C$2:$C$500))))=0),1,0)</f>
        <v>1</v>
      </c>
      <c r="O134" s="90"/>
    </row>
    <row r="135" spans="1:15">
      <c r="A135" t="s">
        <v>1751</v>
      </c>
      <c r="B135" t="s">
        <v>2634</v>
      </c>
      <c r="C135" t="s">
        <v>2260</v>
      </c>
      <c r="D135" t="s">
        <v>2635</v>
      </c>
      <c r="E135" t="s">
        <v>2392</v>
      </c>
      <c r="F135" s="455">
        <v>45570</v>
      </c>
      <c r="G135" s="455">
        <v>45996</v>
      </c>
      <c r="H135" s="455">
        <v>46360</v>
      </c>
      <c r="I135">
        <v>0.1</v>
      </c>
      <c r="J135">
        <v>0.1</v>
      </c>
      <c r="K135">
        <v>0</v>
      </c>
      <c r="L135">
        <v>0</v>
      </c>
      <c r="M135">
        <v>0</v>
      </c>
      <c r="N135" s="90" cm="1">
        <f t="array" ref="N135">IF(AND(OR(ISNUMBER(SEARCH("Eviction",E135)),ISNUMBER(SEARCH("Past",E135)),ISNUMBER(SEARCH("Skip",E135)),ISNUMBER(SEARCH("Collections",E135)),COUNTIF(Delinquency_Detail_3!$N$3:$N$24,D135)&gt;0),COUNTIF(Delinquency_Detail_3!$P$3:$P$24,D135)=0,I135&gt;0,SUMPRODUCT((LeaseLock!$D$2:$D$500=B135)*(ISNUMBER(SEARCH(TRIM(LEFT(SUBSTITUTE(D135,",",REPT(" ",100)),100)),LeaseLock!$C$2:$C$500))))=0),1,0)</f>
        <v>0</v>
      </c>
      <c r="O135" s="90"/>
    </row>
    <row r="136" spans="1:15">
      <c r="A136" t="s">
        <v>1751</v>
      </c>
      <c r="B136" t="s">
        <v>2636</v>
      </c>
      <c r="C136" t="s">
        <v>1023</v>
      </c>
      <c r="D136" t="s">
        <v>2637</v>
      </c>
      <c r="E136" t="s">
        <v>2392</v>
      </c>
      <c r="F136" s="455">
        <v>42613</v>
      </c>
      <c r="G136" s="455">
        <v>45992</v>
      </c>
      <c r="H136" s="455">
        <v>46356</v>
      </c>
      <c r="I136">
        <v>153.28</v>
      </c>
      <c r="J136">
        <v>153.28</v>
      </c>
      <c r="K136">
        <v>0</v>
      </c>
      <c r="L136">
        <v>0</v>
      </c>
      <c r="M136">
        <v>0</v>
      </c>
      <c r="N136" s="90" cm="1">
        <f t="array" ref="N136">IF(AND(OR(ISNUMBER(SEARCH("Eviction",E136)),ISNUMBER(SEARCH("Past",E136)),ISNUMBER(SEARCH("Skip",E136)),ISNUMBER(SEARCH("Collections",E136)),COUNTIF(Delinquency_Detail_3!$N$3:$N$24,D136)&gt;0),COUNTIF(Delinquency_Detail_3!$P$3:$P$24,D136)=0,I136&gt;0,SUMPRODUCT((LeaseLock!$D$2:$D$500=B136)*(ISNUMBER(SEARCH(TRIM(LEFT(SUBSTITUTE(D136,",",REPT(" ",100)),100)),LeaseLock!$C$2:$C$500))))=0),1,0)</f>
        <v>0</v>
      </c>
      <c r="O136" s="90"/>
    </row>
    <row r="137" spans="1:15">
      <c r="A137" t="s">
        <v>1751</v>
      </c>
      <c r="B137" t="s">
        <v>2638</v>
      </c>
      <c r="C137" t="s">
        <v>1023</v>
      </c>
      <c r="D137" t="s">
        <v>2639</v>
      </c>
      <c r="E137" t="s">
        <v>2118</v>
      </c>
      <c r="F137" s="455">
        <v>43927</v>
      </c>
      <c r="G137" s="455">
        <v>46113</v>
      </c>
      <c r="H137" s="455">
        <v>46477</v>
      </c>
      <c r="I137" s="456">
        <v>4635.1400000000003</v>
      </c>
      <c r="J137">
        <v>0</v>
      </c>
      <c r="K137" s="456">
        <v>3712.76</v>
      </c>
      <c r="L137">
        <v>922.38</v>
      </c>
      <c r="M137">
        <v>0</v>
      </c>
      <c r="N137" s="90" cm="1">
        <f t="array" ref="N137">IF(AND(OR(ISNUMBER(SEARCH("Eviction",E137)),ISNUMBER(SEARCH("Past",E137)),ISNUMBER(SEARCH("Skip",E137)),ISNUMBER(SEARCH("Collections",E137)),COUNTIF(Delinquency_Detail_3!$N$3:$N$24,D137)&gt;0),COUNTIF(Delinquency_Detail_3!$P$3:$P$24,D137)=0,I137&gt;0,SUMPRODUCT((LeaseLock!$D$2:$D$500=B137)*(ISNUMBER(SEARCH(TRIM(LEFT(SUBSTITUTE(D137,",",REPT(" ",100)),100)),LeaseLock!$C$2:$C$500))))=0),1,0)</f>
        <v>1</v>
      </c>
      <c r="O137" s="90"/>
    </row>
    <row r="138" spans="1:15">
      <c r="A138" t="s">
        <v>1751</v>
      </c>
      <c r="B138" t="s">
        <v>2640</v>
      </c>
      <c r="C138" t="s">
        <v>2271</v>
      </c>
      <c r="D138" t="s">
        <v>2641</v>
      </c>
      <c r="E138" t="s">
        <v>2135</v>
      </c>
      <c r="F138" s="455">
        <v>45778</v>
      </c>
      <c r="G138" s="455">
        <v>46143</v>
      </c>
      <c r="H138" s="455">
        <v>46186</v>
      </c>
      <c r="I138" s="456">
        <v>5704.82</v>
      </c>
      <c r="J138">
        <v>0</v>
      </c>
      <c r="K138">
        <v>0</v>
      </c>
      <c r="L138" s="456">
        <v>5704.82</v>
      </c>
      <c r="M138">
        <v>0</v>
      </c>
      <c r="N138" s="90" cm="1">
        <f t="array" ref="N138">IF(AND(OR(ISNUMBER(SEARCH("Eviction",E138)),ISNUMBER(SEARCH("Past",E138)),ISNUMBER(SEARCH("Skip",E138)),ISNUMBER(SEARCH("Collections",E138)),COUNTIF(Delinquency_Detail_3!$N$3:$N$24,D138)&gt;0),COUNTIF(Delinquency_Detail_3!$P$3:$P$24,D138)=0,I138&gt;0,SUMPRODUCT((LeaseLock!$D$2:$D$500=B138)*(ISNUMBER(SEARCH(TRIM(LEFT(SUBSTITUTE(D138,",",REPT(" ",100)),100)),LeaseLock!$C$2:$C$500))))=0),1,0)</f>
        <v>0</v>
      </c>
      <c r="O138" s="90"/>
    </row>
    <row r="139" spans="1:15">
      <c r="A139" t="s">
        <v>1751</v>
      </c>
      <c r="B139" t="s">
        <v>2642</v>
      </c>
      <c r="C139" t="s">
        <v>2260</v>
      </c>
      <c r="D139" t="s">
        <v>2643</v>
      </c>
      <c r="E139" t="s">
        <v>2118</v>
      </c>
      <c r="F139" s="455">
        <v>44872</v>
      </c>
      <c r="G139" s="455">
        <v>46174</v>
      </c>
      <c r="H139" s="455">
        <v>46538</v>
      </c>
      <c r="I139">
        <v>651.59</v>
      </c>
      <c r="J139">
        <v>651.59</v>
      </c>
      <c r="K139">
        <v>0</v>
      </c>
      <c r="L139">
        <v>0</v>
      </c>
      <c r="M139">
        <v>0</v>
      </c>
      <c r="N139" s="90" cm="1">
        <f t="array" ref="N139">IF(AND(OR(ISNUMBER(SEARCH("Eviction",E139)),ISNUMBER(SEARCH("Past",E139)),ISNUMBER(SEARCH("Skip",E139)),ISNUMBER(SEARCH("Collections",E139)),COUNTIF(Delinquency_Detail_3!$N$3:$N$24,D139)&gt;0),COUNTIF(Delinquency_Detail_3!$P$3:$P$24,D139)=0,I139&gt;0,SUMPRODUCT((LeaseLock!$D$2:$D$500=B139)*(ISNUMBER(SEARCH(TRIM(LEFT(SUBSTITUTE(D139,",",REPT(" ",100)),100)),LeaseLock!$C$2:$C$500))))=0),1,0)</f>
        <v>1</v>
      </c>
      <c r="O139" s="90"/>
    </row>
    <row r="140" spans="1:15">
      <c r="A140" t="s">
        <v>1751</v>
      </c>
      <c r="B140" t="s">
        <v>1577</v>
      </c>
      <c r="C140" t="s">
        <v>2260</v>
      </c>
      <c r="D140" t="s">
        <v>2644</v>
      </c>
      <c r="E140" t="s">
        <v>2392</v>
      </c>
      <c r="F140" s="455">
        <v>46234</v>
      </c>
      <c r="G140" s="455">
        <v>46234</v>
      </c>
      <c r="H140" s="455">
        <v>46598</v>
      </c>
      <c r="I140">
        <v>74</v>
      </c>
      <c r="J140">
        <v>74</v>
      </c>
      <c r="K140">
        <v>0</v>
      </c>
      <c r="L140">
        <v>0</v>
      </c>
      <c r="M140">
        <v>0</v>
      </c>
      <c r="N140" s="90" cm="1">
        <f t="array" ref="N140">IF(AND(OR(ISNUMBER(SEARCH("Eviction",E140)),ISNUMBER(SEARCH("Past",E140)),ISNUMBER(SEARCH("Skip",E140)),ISNUMBER(SEARCH("Collections",E140)),COUNTIF(Delinquency_Detail_3!$N$3:$N$24,D140)&gt;0),COUNTIF(Delinquency_Detail_3!$P$3:$P$24,D140)=0,I140&gt;0,SUMPRODUCT((LeaseLock!$D$2:$D$500=B140)*(ISNUMBER(SEARCH(TRIM(LEFT(SUBSTITUTE(D140,",",REPT(" ",100)),100)),LeaseLock!$C$2:$C$500))))=0),1,0)</f>
        <v>0</v>
      </c>
      <c r="O140" s="90"/>
    </row>
    <row r="141" spans="1:15">
      <c r="A141" t="s">
        <v>1751</v>
      </c>
      <c r="B141" t="s">
        <v>2645</v>
      </c>
      <c r="C141" t="s">
        <v>2260</v>
      </c>
      <c r="D141" t="s">
        <v>1117</v>
      </c>
      <c r="E141" t="s">
        <v>2120</v>
      </c>
      <c r="F141" s="455">
        <v>45807</v>
      </c>
      <c r="G141" s="455">
        <v>45807</v>
      </c>
      <c r="H141" s="455">
        <v>46171</v>
      </c>
      <c r="I141" s="456">
        <v>14597.27</v>
      </c>
      <c r="J141">
        <v>0</v>
      </c>
      <c r="K141">
        <v>0</v>
      </c>
      <c r="L141">
        <v>0</v>
      </c>
      <c r="M141" s="456">
        <v>14597.27</v>
      </c>
      <c r="N141" s="90" cm="1">
        <f t="array" ref="N141">IF(AND(OR(ISNUMBER(SEARCH("Eviction",E141)),ISNUMBER(SEARCH("Past",E141)),ISNUMBER(SEARCH("Skip",E141)),ISNUMBER(SEARCH("Collections",E141)),COUNTIF(Delinquency_Detail_3!$N$3:$N$24,D141)&gt;0),COUNTIF(Delinquency_Detail_3!$P$3:$P$24,D141)=0,I141&gt;0,SUMPRODUCT((LeaseLock!$D$2:$D$500=B141)*(ISNUMBER(SEARCH(TRIM(LEFT(SUBSTITUTE(D141,",",REPT(" ",100)),100)),LeaseLock!$C$2:$C$500))))=0),1,0)</f>
        <v>1</v>
      </c>
      <c r="O141" s="90"/>
    </row>
    <row r="142" spans="1:15">
      <c r="A142" t="s">
        <v>1751</v>
      </c>
      <c r="B142" t="s">
        <v>2646</v>
      </c>
      <c r="C142" t="s">
        <v>2260</v>
      </c>
      <c r="D142" t="s">
        <v>2647</v>
      </c>
      <c r="E142" t="s">
        <v>2120</v>
      </c>
      <c r="F142" s="455">
        <v>45899</v>
      </c>
      <c r="G142" s="455">
        <v>45899</v>
      </c>
      <c r="H142" s="455">
        <v>46263</v>
      </c>
      <c r="I142" s="456">
        <v>10406.23</v>
      </c>
      <c r="J142">
        <v>0</v>
      </c>
      <c r="K142">
        <v>0</v>
      </c>
      <c r="L142" s="456">
        <v>3807.5</v>
      </c>
      <c r="M142" s="456">
        <v>6598.73</v>
      </c>
      <c r="N142" s="90" cm="1">
        <f t="array" ref="N142">IF(AND(OR(ISNUMBER(SEARCH("Eviction",E142)),ISNUMBER(SEARCH("Past",E142)),ISNUMBER(SEARCH("Skip",E142)),ISNUMBER(SEARCH("Collections",E142)),COUNTIF(Delinquency_Detail_3!$N$3:$N$24,D142)&gt;0),COUNTIF(Delinquency_Detail_3!$P$3:$P$24,D142)=0,I142&gt;0,SUMPRODUCT((LeaseLock!$D$2:$D$500=B142)*(ISNUMBER(SEARCH(TRIM(LEFT(SUBSTITUTE(D142,",",REPT(" ",100)),100)),LeaseLock!$C$2:$C$500))))=0),1,0)</f>
        <v>0</v>
      </c>
      <c r="O142" s="90"/>
    </row>
    <row r="143" spans="1:15">
      <c r="A143" t="s">
        <v>1751</v>
      </c>
      <c r="B143" t="s">
        <v>2648</v>
      </c>
      <c r="C143" t="s">
        <v>2267</v>
      </c>
      <c r="D143" t="s">
        <v>2649</v>
      </c>
      <c r="E143" t="s">
        <v>2512</v>
      </c>
      <c r="F143" s="455">
        <v>45523</v>
      </c>
      <c r="G143" s="455">
        <v>45888</v>
      </c>
      <c r="H143" s="455">
        <v>46252</v>
      </c>
      <c r="I143">
        <v>921.92</v>
      </c>
      <c r="J143">
        <v>921.92</v>
      </c>
      <c r="K143">
        <v>0</v>
      </c>
      <c r="L143">
        <v>0</v>
      </c>
      <c r="M143">
        <v>0</v>
      </c>
      <c r="N143" s="90" cm="1">
        <f t="array" ref="N143">IF(AND(OR(ISNUMBER(SEARCH("Eviction",E143)),ISNUMBER(SEARCH("Past",E143)),ISNUMBER(SEARCH("Skip",E143)),ISNUMBER(SEARCH("Collections",E143)),COUNTIF(Delinquency_Detail_3!$N$3:$N$24,D143)&gt;0),COUNTIF(Delinquency_Detail_3!$P$3:$P$24,D143)=0,I143&gt;0,SUMPRODUCT((LeaseLock!$D$2:$D$500=B143)*(ISNUMBER(SEARCH(TRIM(LEFT(SUBSTITUTE(D143,",",REPT(" ",100)),100)),LeaseLock!$C$2:$C$500))))=0),1,0)</f>
        <v>0</v>
      </c>
      <c r="O143" s="90"/>
    </row>
    <row r="144" spans="1:15">
      <c r="A144" t="s">
        <v>1751</v>
      </c>
      <c r="B144" t="s">
        <v>2650</v>
      </c>
      <c r="C144" t="s">
        <v>2267</v>
      </c>
      <c r="D144" t="s">
        <v>2651</v>
      </c>
      <c r="E144" t="s">
        <v>2135</v>
      </c>
      <c r="F144" s="455">
        <v>45866</v>
      </c>
      <c r="G144" s="455">
        <v>45866</v>
      </c>
      <c r="H144" s="455">
        <v>46230</v>
      </c>
      <c r="I144">
        <v>424.84</v>
      </c>
      <c r="J144">
        <v>0</v>
      </c>
      <c r="K144">
        <v>424.84</v>
      </c>
      <c r="L144">
        <v>0</v>
      </c>
      <c r="M144">
        <v>0</v>
      </c>
      <c r="N144" s="90" cm="1">
        <f t="array" ref="N144">IF(AND(OR(ISNUMBER(SEARCH("Eviction",E144)),ISNUMBER(SEARCH("Past",E144)),ISNUMBER(SEARCH("Skip",E144)),ISNUMBER(SEARCH("Collections",E144)),COUNTIF(Delinquency_Detail_3!$N$3:$N$24,D144)&gt;0),COUNTIF(Delinquency_Detail_3!$P$3:$P$24,D144)=0,I144&gt;0,SUMPRODUCT((LeaseLock!$D$2:$D$500=B144)*(ISNUMBER(SEARCH(TRIM(LEFT(SUBSTITUTE(D144,",",REPT(" ",100)),100)),LeaseLock!$C$2:$C$500))))=0),1,0)</f>
        <v>1</v>
      </c>
      <c r="O144" s="90"/>
    </row>
    <row r="145" spans="1:15">
      <c r="A145" t="s">
        <v>1751</v>
      </c>
      <c r="B145" t="s">
        <v>2652</v>
      </c>
      <c r="C145" t="s">
        <v>2267</v>
      </c>
      <c r="D145" t="s">
        <v>2653</v>
      </c>
      <c r="E145" t="s">
        <v>2120</v>
      </c>
      <c r="F145" s="455">
        <v>45377</v>
      </c>
      <c r="G145" s="455">
        <v>45839</v>
      </c>
      <c r="H145" s="455">
        <v>46203</v>
      </c>
      <c r="I145" s="456">
        <v>6139.08</v>
      </c>
      <c r="J145">
        <v>0</v>
      </c>
      <c r="K145">
        <v>0</v>
      </c>
      <c r="L145" s="456">
        <v>4395</v>
      </c>
      <c r="M145" s="456">
        <v>1744.08</v>
      </c>
      <c r="N145" s="90" cm="1">
        <f t="array" ref="N145">IF(AND(OR(ISNUMBER(SEARCH("Eviction",E145)),ISNUMBER(SEARCH("Past",E145)),ISNUMBER(SEARCH("Skip",E145)),ISNUMBER(SEARCH("Collections",E145)),COUNTIF(Delinquency_Detail_3!$N$3:$N$24,D145)&gt;0),COUNTIF(Delinquency_Detail_3!$P$3:$P$24,D145)=0,I145&gt;0,SUMPRODUCT((LeaseLock!$D$2:$D$500=B145)*(ISNUMBER(SEARCH(TRIM(LEFT(SUBSTITUTE(D145,",",REPT(" ",100)),100)),LeaseLock!$C$2:$C$500))))=0),1,0)</f>
        <v>0</v>
      </c>
      <c r="O145" s="90"/>
    </row>
    <row r="146" spans="1:15">
      <c r="A146" t="s">
        <v>1751</v>
      </c>
      <c r="B146" t="s">
        <v>2654</v>
      </c>
      <c r="C146" t="s">
        <v>2267</v>
      </c>
      <c r="D146" t="s">
        <v>2655</v>
      </c>
      <c r="E146" t="s">
        <v>2120</v>
      </c>
      <c r="F146" s="455">
        <v>45747</v>
      </c>
      <c r="G146" s="455">
        <v>46112</v>
      </c>
      <c r="H146" s="455">
        <v>46169</v>
      </c>
      <c r="I146" s="456">
        <v>3700.23</v>
      </c>
      <c r="J146">
        <v>0</v>
      </c>
      <c r="K146">
        <v>0</v>
      </c>
      <c r="L146">
        <v>0</v>
      </c>
      <c r="M146" s="456">
        <v>3700.23</v>
      </c>
      <c r="N146" s="90" cm="1">
        <f t="array" ref="N146">IF(AND(OR(ISNUMBER(SEARCH("Eviction",E146)),ISNUMBER(SEARCH("Past",E146)),ISNUMBER(SEARCH("Skip",E146)),ISNUMBER(SEARCH("Collections",E146)),COUNTIF(Delinquency_Detail_3!$N$3:$N$24,D146)&gt;0),COUNTIF(Delinquency_Detail_3!$P$3:$P$24,D146)=0,I146&gt;0,SUMPRODUCT((LeaseLock!$D$2:$D$500=B146)*(ISNUMBER(SEARCH(TRIM(LEFT(SUBSTITUTE(D146,",",REPT(" ",100)),100)),LeaseLock!$C$2:$C$500))))=0),1,0)</f>
        <v>0</v>
      </c>
      <c r="O146" s="90"/>
    </row>
    <row r="147" spans="1:15">
      <c r="A147" t="s">
        <v>1751</v>
      </c>
      <c r="B147" t="s">
        <v>2179</v>
      </c>
      <c r="C147" t="s">
        <v>2267</v>
      </c>
      <c r="D147" t="s">
        <v>2178</v>
      </c>
      <c r="E147" t="s">
        <v>2118</v>
      </c>
      <c r="F147" s="455">
        <v>44506</v>
      </c>
      <c r="G147" s="455">
        <v>45839</v>
      </c>
      <c r="H147" s="455">
        <v>46203</v>
      </c>
      <c r="I147" s="456">
        <v>2789.06</v>
      </c>
      <c r="J147">
        <v>0</v>
      </c>
      <c r="K147">
        <v>0</v>
      </c>
      <c r="L147">
        <v>0</v>
      </c>
      <c r="M147" s="456">
        <v>2789.06</v>
      </c>
      <c r="N147" s="90" cm="1">
        <f t="array" ref="N147">IF(AND(OR(ISNUMBER(SEARCH("Eviction",E147)),ISNUMBER(SEARCH("Past",E147)),ISNUMBER(SEARCH("Skip",E147)),ISNUMBER(SEARCH("Collections",E147)),COUNTIF(Delinquency_Detail_3!$N$3:$N$24,D147)&gt;0),COUNTIF(Delinquency_Detail_3!$P$3:$P$24,D147)=0,I147&gt;0,SUMPRODUCT((LeaseLock!$D$2:$D$500=B147)*(ISNUMBER(SEARCH(TRIM(LEFT(SUBSTITUTE(D147,",",REPT(" ",100)),100)),LeaseLock!$C$2:$C$500))))=0),1,0)</f>
        <v>1</v>
      </c>
      <c r="O147" s="90"/>
    </row>
    <row r="148" spans="1:15">
      <c r="A148" t="s">
        <v>1751</v>
      </c>
      <c r="B148" t="s">
        <v>2656</v>
      </c>
      <c r="C148" t="s">
        <v>2267</v>
      </c>
      <c r="D148" t="s">
        <v>2657</v>
      </c>
      <c r="E148" t="s">
        <v>2135</v>
      </c>
      <c r="F148" s="455">
        <v>45842</v>
      </c>
      <c r="G148" s="455">
        <v>46207</v>
      </c>
      <c r="H148" s="455">
        <v>46209</v>
      </c>
      <c r="I148">
        <v>509.89</v>
      </c>
      <c r="J148">
        <v>0</v>
      </c>
      <c r="K148">
        <v>509.89</v>
      </c>
      <c r="L148">
        <v>0</v>
      </c>
      <c r="M148">
        <v>0</v>
      </c>
      <c r="N148" s="90" cm="1">
        <f t="array" ref="N148">IF(AND(OR(ISNUMBER(SEARCH("Eviction",E148)),ISNUMBER(SEARCH("Past",E148)),ISNUMBER(SEARCH("Skip",E148)),ISNUMBER(SEARCH("Collections",E148)),COUNTIF(Delinquency_Detail_3!$N$3:$N$24,D148)&gt;0),COUNTIF(Delinquency_Detail_3!$P$3:$P$24,D148)=0,I148&gt;0,SUMPRODUCT((LeaseLock!$D$2:$D$500=B148)*(ISNUMBER(SEARCH(TRIM(LEFT(SUBSTITUTE(D148,",",REPT(" ",100)),100)),LeaseLock!$C$2:$C$500))))=0),1,0)</f>
        <v>1</v>
      </c>
      <c r="O148" s="90"/>
    </row>
    <row r="149" spans="1:15">
      <c r="A149" t="s">
        <v>1751</v>
      </c>
      <c r="B149" t="s">
        <v>2658</v>
      </c>
      <c r="C149" t="s">
        <v>2267</v>
      </c>
      <c r="D149" t="s">
        <v>2659</v>
      </c>
      <c r="E149" t="s">
        <v>2120</v>
      </c>
      <c r="F149" s="455">
        <v>45618</v>
      </c>
      <c r="G149" s="455">
        <v>46044</v>
      </c>
      <c r="H149" s="455">
        <v>46169</v>
      </c>
      <c r="I149" s="456">
        <v>14025.43</v>
      </c>
      <c r="J149">
        <v>0</v>
      </c>
      <c r="K149">
        <v>0</v>
      </c>
      <c r="L149" s="456">
        <v>7186</v>
      </c>
      <c r="M149" s="456">
        <v>6839.43</v>
      </c>
      <c r="N149" s="90" cm="1">
        <f t="array" ref="N149">IF(AND(OR(ISNUMBER(SEARCH("Eviction",E149)),ISNUMBER(SEARCH("Past",E149)),ISNUMBER(SEARCH("Skip",E149)),ISNUMBER(SEARCH("Collections",E149)),COUNTIF(Delinquency_Detail_3!$N$3:$N$24,D149)&gt;0),COUNTIF(Delinquency_Detail_3!$P$3:$P$24,D149)=0,I149&gt;0,SUMPRODUCT((LeaseLock!$D$2:$D$500=B149)*(ISNUMBER(SEARCH(TRIM(LEFT(SUBSTITUTE(D149,",",REPT(" ",100)),100)),LeaseLock!$C$2:$C$500))))=0),1,0)</f>
        <v>0</v>
      </c>
      <c r="O149" s="90"/>
    </row>
    <row r="150" spans="1:15">
      <c r="A150" t="s">
        <v>1751</v>
      </c>
      <c r="B150" t="s">
        <v>2660</v>
      </c>
      <c r="C150" t="s">
        <v>2267</v>
      </c>
      <c r="D150" t="s">
        <v>2661</v>
      </c>
      <c r="E150" t="s">
        <v>2135</v>
      </c>
      <c r="F150" s="455">
        <v>43204</v>
      </c>
      <c r="G150" s="455">
        <v>46143</v>
      </c>
      <c r="H150" s="455">
        <v>46172</v>
      </c>
      <c r="I150">
        <v>270.82</v>
      </c>
      <c r="J150">
        <v>0</v>
      </c>
      <c r="K150">
        <v>0</v>
      </c>
      <c r="L150">
        <v>270.82</v>
      </c>
      <c r="M150">
        <v>0</v>
      </c>
      <c r="N150" s="90" cm="1">
        <f t="array" ref="N150">IF(AND(OR(ISNUMBER(SEARCH("Eviction",E150)),ISNUMBER(SEARCH("Past",E150)),ISNUMBER(SEARCH("Skip",E150)),ISNUMBER(SEARCH("Collections",E150)),COUNTIF(Delinquency_Detail_3!$N$3:$N$24,D150)&gt;0),COUNTIF(Delinquency_Detail_3!$P$3:$P$24,D150)=0,I150&gt;0,SUMPRODUCT((LeaseLock!$D$2:$D$500=B150)*(ISNUMBER(SEARCH(TRIM(LEFT(SUBSTITUTE(D150,",",REPT(" ",100)),100)),LeaseLock!$C$2:$C$500))))=0),1,0)</f>
        <v>0</v>
      </c>
      <c r="O150" s="90"/>
    </row>
    <row r="151" spans="1:15">
      <c r="A151" t="s">
        <v>1751</v>
      </c>
      <c r="B151" t="s">
        <v>2662</v>
      </c>
      <c r="C151" t="s">
        <v>2267</v>
      </c>
      <c r="D151" t="s">
        <v>2663</v>
      </c>
      <c r="E151" t="s">
        <v>2392</v>
      </c>
      <c r="F151" s="455">
        <v>45566</v>
      </c>
      <c r="G151" s="455">
        <v>45992</v>
      </c>
      <c r="H151" s="455">
        <v>46356</v>
      </c>
      <c r="I151" s="456">
        <v>1392.58</v>
      </c>
      <c r="J151" s="456">
        <v>1392.58</v>
      </c>
      <c r="K151">
        <v>0</v>
      </c>
      <c r="L151">
        <v>0</v>
      </c>
      <c r="M151">
        <v>0</v>
      </c>
      <c r="N151" s="90" cm="1">
        <f t="array" ref="N151">IF(AND(OR(ISNUMBER(SEARCH("Eviction",E151)),ISNUMBER(SEARCH("Past",E151)),ISNUMBER(SEARCH("Skip",E151)),ISNUMBER(SEARCH("Collections",E151)),COUNTIF(Delinquency_Detail_3!$N$3:$N$24,D151)&gt;0),COUNTIF(Delinquency_Detail_3!$P$3:$P$24,D151)=0,I151&gt;0,SUMPRODUCT((LeaseLock!$D$2:$D$500=B151)*(ISNUMBER(SEARCH(TRIM(LEFT(SUBSTITUTE(D151,",",REPT(" ",100)),100)),LeaseLock!$C$2:$C$500))))=0),1,0)</f>
        <v>0</v>
      </c>
      <c r="O151" s="90"/>
    </row>
    <row r="152" spans="1:15">
      <c r="A152" t="s">
        <v>1751</v>
      </c>
      <c r="B152" t="s">
        <v>1961</v>
      </c>
      <c r="C152" t="s">
        <v>2274</v>
      </c>
      <c r="D152" t="s">
        <v>2119</v>
      </c>
      <c r="E152" t="s">
        <v>2120</v>
      </c>
      <c r="F152" s="455">
        <v>45696</v>
      </c>
      <c r="G152" s="455">
        <v>45696</v>
      </c>
      <c r="H152" s="455">
        <v>46060</v>
      </c>
      <c r="I152" s="456">
        <v>16185.1</v>
      </c>
      <c r="J152">
        <v>0</v>
      </c>
      <c r="K152">
        <v>0</v>
      </c>
      <c r="L152">
        <v>0</v>
      </c>
      <c r="M152" s="456">
        <v>16185.1</v>
      </c>
      <c r="N152" s="90" cm="1">
        <f t="array" ref="N152">IF(AND(OR(ISNUMBER(SEARCH("Eviction",E152)),ISNUMBER(SEARCH("Past",E152)),ISNUMBER(SEARCH("Skip",E152)),ISNUMBER(SEARCH("Collections",E152)),COUNTIF(Delinquency_Detail_3!$N$3:$N$24,D152)&gt;0),COUNTIF(Delinquency_Detail_3!$P$3:$P$24,D152)=0,I152&gt;0,SUMPRODUCT((LeaseLock!$D$2:$D$500=B152)*(ISNUMBER(SEARCH(TRIM(LEFT(SUBSTITUTE(D152,",",REPT(" ",100)),100)),LeaseLock!$C$2:$C$500))))=0),1,0)</f>
        <v>0</v>
      </c>
      <c r="O152" s="90"/>
    </row>
    <row r="153" spans="1:15">
      <c r="A153" t="s">
        <v>1751</v>
      </c>
      <c r="B153" t="s">
        <v>2664</v>
      </c>
      <c r="C153" t="s">
        <v>2274</v>
      </c>
      <c r="D153" t="s">
        <v>2665</v>
      </c>
      <c r="E153" t="s">
        <v>2392</v>
      </c>
      <c r="F153" s="455">
        <v>45720</v>
      </c>
      <c r="G153" s="455">
        <v>46087</v>
      </c>
      <c r="H153" s="455">
        <v>46451</v>
      </c>
      <c r="I153" s="456">
        <v>3504.84</v>
      </c>
      <c r="J153" s="456">
        <v>1747.4</v>
      </c>
      <c r="K153" s="456">
        <v>1757.44</v>
      </c>
      <c r="L153">
        <v>0</v>
      </c>
      <c r="M153">
        <v>0</v>
      </c>
      <c r="N153" s="90" cm="1">
        <f t="array" ref="N153">IF(AND(OR(ISNUMBER(SEARCH("Eviction",E153)),ISNUMBER(SEARCH("Past",E153)),ISNUMBER(SEARCH("Skip",E153)),ISNUMBER(SEARCH("Collections",E153)),COUNTIF(Delinquency_Detail_3!$N$3:$N$24,D153)&gt;0),COUNTIF(Delinquency_Detail_3!$P$3:$P$24,D153)=0,I153&gt;0,SUMPRODUCT((LeaseLock!$D$2:$D$500=B153)*(ISNUMBER(SEARCH(TRIM(LEFT(SUBSTITUTE(D153,",",REPT(" ",100)),100)),LeaseLock!$C$2:$C$500))))=0),1,0)</f>
        <v>1</v>
      </c>
      <c r="O153" s="90"/>
    </row>
    <row r="154" spans="1:15">
      <c r="A154" t="s">
        <v>1751</v>
      </c>
      <c r="B154" t="s">
        <v>2666</v>
      </c>
      <c r="C154" t="s">
        <v>2274</v>
      </c>
      <c r="D154" t="s">
        <v>2667</v>
      </c>
      <c r="E154" t="s">
        <v>2392</v>
      </c>
      <c r="F154" s="455">
        <v>44593</v>
      </c>
      <c r="G154" s="455">
        <v>46072</v>
      </c>
      <c r="H154" s="455">
        <v>46436</v>
      </c>
      <c r="I154" s="456">
        <v>1947.4</v>
      </c>
      <c r="J154" s="456">
        <v>1947.4</v>
      </c>
      <c r="K154">
        <v>0</v>
      </c>
      <c r="L154">
        <v>0</v>
      </c>
      <c r="M154">
        <v>0</v>
      </c>
      <c r="N154" s="90" cm="1">
        <f t="array" ref="N154">IF(AND(OR(ISNUMBER(SEARCH("Eviction",E154)),ISNUMBER(SEARCH("Past",E154)),ISNUMBER(SEARCH("Skip",E154)),ISNUMBER(SEARCH("Collections",E154)),COUNTIF(Delinquency_Detail_3!$N$3:$N$24,D154)&gt;0),COUNTIF(Delinquency_Detail_3!$P$3:$P$24,D154)=0,I154&gt;0,SUMPRODUCT((LeaseLock!$D$2:$D$500=B154)*(ISNUMBER(SEARCH(TRIM(LEFT(SUBSTITUTE(D154,",",REPT(" ",100)),100)),LeaseLock!$C$2:$C$500))))=0),1,0)</f>
        <v>0</v>
      </c>
      <c r="O154" s="90"/>
    </row>
    <row r="155" spans="1:15">
      <c r="A155" t="s">
        <v>1751</v>
      </c>
      <c r="B155" t="s">
        <v>1965</v>
      </c>
      <c r="C155" t="s">
        <v>2274</v>
      </c>
      <c r="D155" t="s">
        <v>1953</v>
      </c>
      <c r="E155" t="s">
        <v>2392</v>
      </c>
      <c r="F155" s="455">
        <v>46129</v>
      </c>
      <c r="G155" s="455">
        <v>46129</v>
      </c>
      <c r="H155" s="455">
        <v>46493</v>
      </c>
      <c r="I155" s="456">
        <v>1387.45</v>
      </c>
      <c r="J155" s="456">
        <v>1387.45</v>
      </c>
      <c r="K155">
        <v>0</v>
      </c>
      <c r="L155">
        <v>0</v>
      </c>
      <c r="M155">
        <v>0</v>
      </c>
      <c r="N155" s="90" cm="1">
        <f t="array" ref="N155">IF(AND(OR(ISNUMBER(SEARCH("Eviction",E155)),ISNUMBER(SEARCH("Past",E155)),ISNUMBER(SEARCH("Skip",E155)),ISNUMBER(SEARCH("Collections",E155)),COUNTIF(Delinquency_Detail_3!$N$3:$N$24,D155)&gt;0),COUNTIF(Delinquency_Detail_3!$P$3:$P$24,D155)=0,I155&gt;0,SUMPRODUCT((LeaseLock!$D$2:$D$500=B155)*(ISNUMBER(SEARCH(TRIM(LEFT(SUBSTITUTE(D155,",",REPT(" ",100)),100)),LeaseLock!$C$2:$C$500))))=0),1,0)</f>
        <v>0</v>
      </c>
      <c r="O155" s="90"/>
    </row>
    <row r="156" spans="1:15">
      <c r="A156" t="s">
        <v>1751</v>
      </c>
      <c r="B156" t="s">
        <v>2668</v>
      </c>
      <c r="C156" t="s">
        <v>2274</v>
      </c>
      <c r="D156" t="s">
        <v>2669</v>
      </c>
      <c r="E156" t="s">
        <v>2135</v>
      </c>
      <c r="F156" s="455">
        <v>44774</v>
      </c>
      <c r="G156" s="455">
        <v>46235</v>
      </c>
      <c r="H156" s="455">
        <v>46237</v>
      </c>
      <c r="I156">
        <v>759.91</v>
      </c>
      <c r="J156">
        <v>724.91</v>
      </c>
      <c r="K156">
        <v>35</v>
      </c>
      <c r="L156">
        <v>0</v>
      </c>
      <c r="M156">
        <v>0</v>
      </c>
      <c r="N156" s="90" cm="1">
        <f t="array" ref="N156">IF(AND(OR(ISNUMBER(SEARCH("Eviction",E156)),ISNUMBER(SEARCH("Past",E156)),ISNUMBER(SEARCH("Skip",E156)),ISNUMBER(SEARCH("Collections",E156)),COUNTIF(Delinquency_Detail_3!$N$3:$N$24,D156)&gt;0),COUNTIF(Delinquency_Detail_3!$P$3:$P$24,D156)=0,I156&gt;0,SUMPRODUCT((LeaseLock!$D$2:$D$500=B156)*(ISNUMBER(SEARCH(TRIM(LEFT(SUBSTITUTE(D156,",",REPT(" ",100)),100)),LeaseLock!$C$2:$C$500))))=0),1,0)</f>
        <v>1</v>
      </c>
      <c r="O156" s="90"/>
    </row>
    <row r="157" spans="1:15">
      <c r="A157" t="s">
        <v>1751</v>
      </c>
      <c r="B157" t="s">
        <v>1967</v>
      </c>
      <c r="C157" t="s">
        <v>2274</v>
      </c>
      <c r="D157" t="s">
        <v>2670</v>
      </c>
      <c r="E157" t="s">
        <v>2392</v>
      </c>
      <c r="F157" s="455">
        <v>46135</v>
      </c>
      <c r="G157" s="455">
        <v>46135</v>
      </c>
      <c r="H157" s="455">
        <v>46499</v>
      </c>
      <c r="I157">
        <v>950.05</v>
      </c>
      <c r="J157">
        <v>950.05</v>
      </c>
      <c r="K157">
        <v>0</v>
      </c>
      <c r="L157">
        <v>0</v>
      </c>
      <c r="M157">
        <v>0</v>
      </c>
      <c r="N157" s="90" cm="1">
        <f t="array" ref="N157">IF(AND(OR(ISNUMBER(SEARCH("Eviction",E157)),ISNUMBER(SEARCH("Past",E157)),ISNUMBER(SEARCH("Skip",E157)),ISNUMBER(SEARCH("Collections",E157)),COUNTIF(Delinquency_Detail_3!$N$3:$N$24,D157)&gt;0),COUNTIF(Delinquency_Detail_3!$P$3:$P$24,D157)=0,I157&gt;0,SUMPRODUCT((LeaseLock!$D$2:$D$500=B157)*(ISNUMBER(SEARCH(TRIM(LEFT(SUBSTITUTE(D157,",",REPT(" ",100)),100)),LeaseLock!$C$2:$C$500))))=0),1,0)</f>
        <v>0</v>
      </c>
      <c r="O157" s="90"/>
    </row>
    <row r="158" spans="1:15">
      <c r="A158" t="s">
        <v>1751</v>
      </c>
      <c r="B158" t="s">
        <v>2671</v>
      </c>
      <c r="C158" t="s">
        <v>2276</v>
      </c>
      <c r="D158" t="s">
        <v>2672</v>
      </c>
      <c r="E158" t="s">
        <v>2592</v>
      </c>
      <c r="F158" s="455">
        <v>45658</v>
      </c>
      <c r="G158" s="455">
        <v>46022</v>
      </c>
      <c r="I158" s="456">
        <v>2215.6799999999998</v>
      </c>
      <c r="J158" s="456">
        <v>2040.9</v>
      </c>
      <c r="K158">
        <v>174.78</v>
      </c>
      <c r="L158">
        <v>0</v>
      </c>
      <c r="M158">
        <v>0</v>
      </c>
      <c r="N158" s="90" cm="1">
        <f t="array" ref="N158">IF(AND(OR(ISNUMBER(SEARCH("Eviction",E158)),ISNUMBER(SEARCH("Past",E158)),ISNUMBER(SEARCH("Skip",E158)),ISNUMBER(SEARCH("Collections",E158)),COUNTIF(Delinquency_Detail_3!$N$3:$N$24,D158)&gt;0),COUNTIF(Delinquency_Detail_3!$P$3:$P$24,D158)=0,I158&gt;0,SUMPRODUCT((LeaseLock!$D$2:$D$500=B158)*(ISNUMBER(SEARCH(TRIM(LEFT(SUBSTITUTE(D158,",",REPT(" ",100)),100)),LeaseLock!$C$2:$C$500))))=0),1,0)</f>
        <v>0</v>
      </c>
      <c r="O158" s="90"/>
    </row>
    <row r="159" spans="1:15">
      <c r="A159" t="s">
        <v>1751</v>
      </c>
      <c r="B159" t="s">
        <v>1556</v>
      </c>
      <c r="C159" t="s">
        <v>2276</v>
      </c>
      <c r="D159" t="s">
        <v>2673</v>
      </c>
      <c r="E159" t="s">
        <v>2392</v>
      </c>
      <c r="F159" s="455">
        <v>46142</v>
      </c>
      <c r="G159" s="455">
        <v>46142</v>
      </c>
      <c r="H159" s="455">
        <v>46506</v>
      </c>
      <c r="I159" s="456">
        <v>1497.95</v>
      </c>
      <c r="J159" s="456">
        <v>1497.95</v>
      </c>
      <c r="K159">
        <v>0</v>
      </c>
      <c r="L159">
        <v>0</v>
      </c>
      <c r="M159">
        <v>0</v>
      </c>
      <c r="N159" s="90" cm="1">
        <f t="array" ref="N159">IF(AND(OR(ISNUMBER(SEARCH("Eviction",E159)),ISNUMBER(SEARCH("Past",E159)),ISNUMBER(SEARCH("Skip",E159)),ISNUMBER(SEARCH("Collections",E159)),COUNTIF(Delinquency_Detail_3!$N$3:$N$24,D159)&gt;0),COUNTIF(Delinquency_Detail_3!$P$3:$P$24,D159)=0,I159&gt;0,SUMPRODUCT((LeaseLock!$D$2:$D$500=B159)*(ISNUMBER(SEARCH(TRIM(LEFT(SUBSTITUTE(D159,",",REPT(" ",100)),100)),LeaseLock!$C$2:$C$500))))=0),1,0)</f>
        <v>0</v>
      </c>
      <c r="O159" s="90"/>
    </row>
    <row r="160" spans="1:15">
      <c r="A160" t="s">
        <v>1751</v>
      </c>
      <c r="B160" t="s">
        <v>2674</v>
      </c>
      <c r="C160" t="s">
        <v>2270</v>
      </c>
      <c r="D160" t="s">
        <v>2675</v>
      </c>
      <c r="E160" t="s">
        <v>2512</v>
      </c>
      <c r="F160" s="455">
        <v>44470</v>
      </c>
      <c r="G160" s="455">
        <v>45931</v>
      </c>
      <c r="H160" s="455">
        <v>46295</v>
      </c>
      <c r="I160">
        <v>870.73</v>
      </c>
      <c r="J160">
        <v>870.73</v>
      </c>
      <c r="K160">
        <v>0</v>
      </c>
      <c r="L160">
        <v>0</v>
      </c>
      <c r="M160">
        <v>0</v>
      </c>
      <c r="N160" s="90" cm="1">
        <f t="array" ref="N160">IF(AND(OR(ISNUMBER(SEARCH("Eviction",E160)),ISNUMBER(SEARCH("Past",E160)),ISNUMBER(SEARCH("Skip",E160)),ISNUMBER(SEARCH("Collections",E160)),COUNTIF(Delinquency_Detail_3!$N$3:$N$24,D160)&gt;0),COUNTIF(Delinquency_Detail_3!$P$3:$P$24,D160)=0,I160&gt;0,SUMPRODUCT((LeaseLock!$D$2:$D$500=B160)*(ISNUMBER(SEARCH(TRIM(LEFT(SUBSTITUTE(D160,",",REPT(" ",100)),100)),LeaseLock!$C$2:$C$500))))=0),1,0)</f>
        <v>0</v>
      </c>
      <c r="O160" s="90"/>
    </row>
    <row r="161" spans="1:15">
      <c r="A161" t="s">
        <v>1751</v>
      </c>
      <c r="B161" t="s">
        <v>2676</v>
      </c>
      <c r="C161" t="s">
        <v>2270</v>
      </c>
      <c r="D161" t="s">
        <v>2677</v>
      </c>
      <c r="E161" t="s">
        <v>2120</v>
      </c>
      <c r="F161" s="455">
        <v>45818</v>
      </c>
      <c r="G161" s="455">
        <v>45818</v>
      </c>
      <c r="H161" s="455">
        <v>46182</v>
      </c>
      <c r="I161" s="456">
        <v>22415.68</v>
      </c>
      <c r="J161">
        <v>0</v>
      </c>
      <c r="K161">
        <v>0</v>
      </c>
      <c r="L161" s="456">
        <v>6981.2</v>
      </c>
      <c r="M161" s="456">
        <v>15434.48</v>
      </c>
      <c r="N161" s="90" cm="1">
        <f t="array" ref="N161">IF(AND(OR(ISNUMBER(SEARCH("Eviction",E161)),ISNUMBER(SEARCH("Past",E161)),ISNUMBER(SEARCH("Skip",E161)),ISNUMBER(SEARCH("Collections",E161)),COUNTIF(Delinquency_Detail_3!$N$3:$N$24,D161)&gt;0),COUNTIF(Delinquency_Detail_3!$P$3:$P$24,D161)=0,I161&gt;0,SUMPRODUCT((LeaseLock!$D$2:$D$500=B161)*(ISNUMBER(SEARCH(TRIM(LEFT(SUBSTITUTE(D161,",",REPT(" ",100)),100)),LeaseLock!$C$2:$C$500))))=0),1,0)</f>
        <v>0</v>
      </c>
      <c r="O161" s="90"/>
    </row>
    <row r="162" spans="1:15">
      <c r="A162" t="s">
        <v>1751</v>
      </c>
      <c r="B162" t="s">
        <v>2678</v>
      </c>
      <c r="C162" t="s">
        <v>2270</v>
      </c>
      <c r="D162" t="s">
        <v>2679</v>
      </c>
      <c r="E162" t="s">
        <v>2120</v>
      </c>
      <c r="F162" s="455">
        <v>45251</v>
      </c>
      <c r="G162" s="455">
        <v>45870</v>
      </c>
      <c r="H162" s="455">
        <v>46234</v>
      </c>
      <c r="I162" s="456">
        <v>3237.88</v>
      </c>
      <c r="J162">
        <v>0</v>
      </c>
      <c r="K162">
        <v>0</v>
      </c>
      <c r="L162" s="456">
        <v>1596.57</v>
      </c>
      <c r="M162" s="456">
        <v>1641.31</v>
      </c>
      <c r="N162" s="90" cm="1">
        <f t="array" ref="N162">IF(AND(OR(ISNUMBER(SEARCH("Eviction",E162)),ISNUMBER(SEARCH("Past",E162)),ISNUMBER(SEARCH("Skip",E162)),ISNUMBER(SEARCH("Collections",E162)),COUNTIF(Delinquency_Detail_3!$N$3:$N$24,D162)&gt;0),COUNTIF(Delinquency_Detail_3!$P$3:$P$24,D162)=0,I162&gt;0,SUMPRODUCT((LeaseLock!$D$2:$D$500=B162)*(ISNUMBER(SEARCH(TRIM(LEFT(SUBSTITUTE(D162,",",REPT(" ",100)),100)),LeaseLock!$C$2:$C$500))))=0),1,0)</f>
        <v>1</v>
      </c>
      <c r="O162" s="90"/>
    </row>
    <row r="163" spans="1:15">
      <c r="A163" t="s">
        <v>1751</v>
      </c>
      <c r="B163" t="s">
        <v>2680</v>
      </c>
      <c r="C163" t="s">
        <v>2270</v>
      </c>
      <c r="D163" t="s">
        <v>1092</v>
      </c>
      <c r="E163" t="s">
        <v>2681</v>
      </c>
      <c r="F163" s="455">
        <v>45848</v>
      </c>
      <c r="G163" s="455">
        <v>46213</v>
      </c>
      <c r="H163" s="455">
        <v>46265</v>
      </c>
      <c r="I163" s="456">
        <v>21680.73</v>
      </c>
      <c r="J163" s="456">
        <v>1657.72</v>
      </c>
      <c r="K163" s="456">
        <v>1678.37</v>
      </c>
      <c r="L163" s="456">
        <v>1611.61</v>
      </c>
      <c r="M163" s="456">
        <v>16733.03</v>
      </c>
      <c r="N163" s="90" cm="1">
        <f t="array" ref="N163">IF(AND(OR(ISNUMBER(SEARCH("Eviction",E163)),ISNUMBER(SEARCH("Past",E163)),ISNUMBER(SEARCH("Skip",E163)),ISNUMBER(SEARCH("Collections",E163)),COUNTIF(Delinquency_Detail_3!$N$3:$N$24,D163)&gt;0),COUNTIF(Delinquency_Detail_3!$P$3:$P$24,D163)=0,I163&gt;0,SUMPRODUCT((LeaseLock!$D$2:$D$500=B163)*(ISNUMBER(SEARCH(TRIM(LEFT(SUBSTITUTE(D163,",",REPT(" ",100)),100)),LeaseLock!$C$2:$C$500))))=0),1,0)</f>
        <v>0</v>
      </c>
      <c r="O163" s="90"/>
    </row>
    <row r="164" spans="1:15">
      <c r="A164" t="s">
        <v>1751</v>
      </c>
      <c r="B164" t="s">
        <v>2682</v>
      </c>
      <c r="C164" t="s">
        <v>2259</v>
      </c>
      <c r="D164" t="s">
        <v>2683</v>
      </c>
      <c r="E164" t="s">
        <v>2135</v>
      </c>
      <c r="F164" s="455">
        <v>45948</v>
      </c>
      <c r="G164" s="455">
        <v>45948</v>
      </c>
      <c r="H164" s="455">
        <v>46312</v>
      </c>
      <c r="I164">
        <v>370</v>
      </c>
      <c r="J164">
        <v>0</v>
      </c>
      <c r="K164">
        <v>370</v>
      </c>
      <c r="L164">
        <v>0</v>
      </c>
      <c r="M164">
        <v>0</v>
      </c>
      <c r="N164" s="90" cm="1">
        <f t="array" ref="N164">IF(AND(OR(ISNUMBER(SEARCH("Eviction",E164)),ISNUMBER(SEARCH("Past",E164)),ISNUMBER(SEARCH("Skip",E164)),ISNUMBER(SEARCH("Collections",E164)),COUNTIF(Delinquency_Detail_3!$N$3:$N$24,D164)&gt;0),COUNTIF(Delinquency_Detail_3!$P$3:$P$24,D164)=0,I164&gt;0,SUMPRODUCT((LeaseLock!$D$2:$D$500=B164)*(ISNUMBER(SEARCH(TRIM(LEFT(SUBSTITUTE(D164,",",REPT(" ",100)),100)),LeaseLock!$C$2:$C$500))))=0),1,0)</f>
        <v>1</v>
      </c>
      <c r="O164" s="90"/>
    </row>
    <row r="165" spans="1:15">
      <c r="A165" t="s">
        <v>1751</v>
      </c>
      <c r="B165" t="s">
        <v>2684</v>
      </c>
      <c r="C165" t="s">
        <v>2259</v>
      </c>
      <c r="D165" t="s">
        <v>2685</v>
      </c>
      <c r="E165" t="s">
        <v>2512</v>
      </c>
      <c r="F165" s="455">
        <v>44107</v>
      </c>
      <c r="G165" s="455">
        <v>45931</v>
      </c>
      <c r="H165" s="455">
        <v>46295</v>
      </c>
      <c r="I165" s="456">
        <v>2381.7800000000002</v>
      </c>
      <c r="J165" s="456">
        <v>1182.19</v>
      </c>
      <c r="K165" s="456">
        <v>1199.5899999999999</v>
      </c>
      <c r="L165">
        <v>0</v>
      </c>
      <c r="M165">
        <v>0</v>
      </c>
      <c r="N165" s="90" cm="1">
        <f t="array" ref="N165">IF(AND(OR(ISNUMBER(SEARCH("Eviction",E165)),ISNUMBER(SEARCH("Past",E165)),ISNUMBER(SEARCH("Skip",E165)),ISNUMBER(SEARCH("Collections",E165)),COUNTIF(Delinquency_Detail_3!$N$3:$N$24,D165)&gt;0),COUNTIF(Delinquency_Detail_3!$P$3:$P$24,D165)=0,I165&gt;0,SUMPRODUCT((LeaseLock!$D$2:$D$500=B165)*(ISNUMBER(SEARCH(TRIM(LEFT(SUBSTITUTE(D165,",",REPT(" ",100)),100)),LeaseLock!$C$2:$C$500))))=0),1,0)</f>
        <v>0</v>
      </c>
      <c r="O165" s="90"/>
    </row>
    <row r="166" spans="1:15">
      <c r="A166" t="s">
        <v>1751</v>
      </c>
      <c r="B166" t="s">
        <v>2686</v>
      </c>
      <c r="C166" t="s">
        <v>2259</v>
      </c>
      <c r="D166" t="s">
        <v>2687</v>
      </c>
      <c r="E166" t="s">
        <v>2118</v>
      </c>
      <c r="F166" s="455">
        <v>44501</v>
      </c>
      <c r="G166" s="455">
        <v>45962</v>
      </c>
      <c r="H166" s="455">
        <v>46326</v>
      </c>
      <c r="I166" s="456">
        <v>5092.43</v>
      </c>
      <c r="J166">
        <v>0</v>
      </c>
      <c r="K166" s="456">
        <v>4004.04</v>
      </c>
      <c r="L166" s="456">
        <v>1088.3900000000001</v>
      </c>
      <c r="M166">
        <v>0</v>
      </c>
      <c r="N166" s="90" cm="1">
        <f t="array" ref="N166">IF(AND(OR(ISNUMBER(SEARCH("Eviction",E166)),ISNUMBER(SEARCH("Past",E166)),ISNUMBER(SEARCH("Skip",E166)),ISNUMBER(SEARCH("Collections",E166)),COUNTIF(Delinquency_Detail_3!$N$3:$N$24,D166)&gt;0),COUNTIF(Delinquency_Detail_3!$P$3:$P$24,D166)=0,I166&gt;0,SUMPRODUCT((LeaseLock!$D$2:$D$500=B166)*(ISNUMBER(SEARCH(TRIM(LEFT(SUBSTITUTE(D166,",",REPT(" ",100)),100)),LeaseLock!$C$2:$C$500))))=0),1,0)</f>
        <v>1</v>
      </c>
      <c r="O166" s="90"/>
    </row>
    <row r="167" spans="1:15">
      <c r="A167" t="s">
        <v>1751</v>
      </c>
      <c r="B167" t="s">
        <v>2688</v>
      </c>
      <c r="C167" t="s">
        <v>2259</v>
      </c>
      <c r="D167" t="s">
        <v>2689</v>
      </c>
      <c r="E167" t="s">
        <v>2392</v>
      </c>
      <c r="F167" s="455">
        <v>45856</v>
      </c>
      <c r="G167" s="455">
        <v>46221</v>
      </c>
      <c r="H167" s="455">
        <v>46585</v>
      </c>
      <c r="I167" s="456">
        <v>1343.78</v>
      </c>
      <c r="J167" s="456">
        <v>1178.19</v>
      </c>
      <c r="K167">
        <v>165.59</v>
      </c>
      <c r="L167">
        <v>0</v>
      </c>
      <c r="M167">
        <v>0</v>
      </c>
      <c r="N167" s="90" cm="1">
        <f t="array" ref="N167">IF(AND(OR(ISNUMBER(SEARCH("Eviction",E167)),ISNUMBER(SEARCH("Past",E167)),ISNUMBER(SEARCH("Skip",E167)),ISNUMBER(SEARCH("Collections",E167)),COUNTIF(Delinquency_Detail_3!$N$3:$N$24,D167)&gt;0),COUNTIF(Delinquency_Detail_3!$P$3:$P$24,D167)=0,I167&gt;0,SUMPRODUCT((LeaseLock!$D$2:$D$500=B167)*(ISNUMBER(SEARCH(TRIM(LEFT(SUBSTITUTE(D167,",",REPT(" ",100)),100)),LeaseLock!$C$2:$C$500))))=0),1,0)</f>
        <v>0</v>
      </c>
      <c r="O167" s="90"/>
    </row>
    <row r="168" spans="1:15">
      <c r="A168" t="s">
        <v>1751</v>
      </c>
      <c r="B168" t="s">
        <v>2690</v>
      </c>
      <c r="C168" t="s">
        <v>2259</v>
      </c>
      <c r="D168" t="s">
        <v>2691</v>
      </c>
      <c r="E168" t="s">
        <v>2392</v>
      </c>
      <c r="F168" s="455">
        <v>45710</v>
      </c>
      <c r="G168" s="455">
        <v>46134</v>
      </c>
      <c r="H168" s="455">
        <v>46498</v>
      </c>
      <c r="I168" s="456">
        <v>1346.14</v>
      </c>
      <c r="J168" s="456">
        <v>1346.14</v>
      </c>
      <c r="K168">
        <v>0</v>
      </c>
      <c r="L168">
        <v>0</v>
      </c>
      <c r="M168">
        <v>0</v>
      </c>
      <c r="N168" s="90" cm="1">
        <f t="array" ref="N168">IF(AND(OR(ISNUMBER(SEARCH("Eviction",E168)),ISNUMBER(SEARCH("Past",E168)),ISNUMBER(SEARCH("Skip",E168)),ISNUMBER(SEARCH("Collections",E168)),COUNTIF(Delinquency_Detail_3!$N$3:$N$24,D168)&gt;0),COUNTIF(Delinquency_Detail_3!$P$3:$P$24,D168)=0,I168&gt;0,SUMPRODUCT((LeaseLock!$D$2:$D$500=B168)*(ISNUMBER(SEARCH(TRIM(LEFT(SUBSTITUTE(D168,",",REPT(" ",100)),100)),LeaseLock!$C$2:$C$500))))=0),1,0)</f>
        <v>0</v>
      </c>
      <c r="O168" s="90"/>
    </row>
    <row r="169" spans="1:15">
      <c r="A169" t="s">
        <v>1751</v>
      </c>
      <c r="B169" t="s">
        <v>2692</v>
      </c>
      <c r="C169" t="s">
        <v>2270</v>
      </c>
      <c r="D169" t="s">
        <v>2693</v>
      </c>
      <c r="E169" t="s">
        <v>2120</v>
      </c>
      <c r="F169" s="455">
        <v>45955</v>
      </c>
      <c r="G169" s="455">
        <v>45955</v>
      </c>
      <c r="H169" s="455">
        <v>46319</v>
      </c>
      <c r="I169" s="456">
        <v>13778.24</v>
      </c>
      <c r="J169">
        <v>0</v>
      </c>
      <c r="K169">
        <v>0</v>
      </c>
      <c r="L169" s="456">
        <v>8046.55</v>
      </c>
      <c r="M169" s="456">
        <v>5731.69</v>
      </c>
      <c r="N169" s="90" cm="1">
        <f t="array" ref="N169">IF(AND(OR(ISNUMBER(SEARCH("Eviction",E169)),ISNUMBER(SEARCH("Past",E169)),ISNUMBER(SEARCH("Skip",E169)),ISNUMBER(SEARCH("Collections",E169)),COUNTIF(Delinquency_Detail_3!$N$3:$N$24,D169)&gt;0),COUNTIF(Delinquency_Detail_3!$P$3:$P$24,D169)=0,I169&gt;0,SUMPRODUCT((LeaseLock!$D$2:$D$500=B169)*(ISNUMBER(SEARCH(TRIM(LEFT(SUBSTITUTE(D169,",",REPT(" ",100)),100)),LeaseLock!$C$2:$C$500))))=0),1,0)</f>
        <v>0</v>
      </c>
      <c r="O169" s="90"/>
    </row>
    <row r="170" spans="1:15">
      <c r="A170" t="s">
        <v>1751</v>
      </c>
      <c r="B170" t="s">
        <v>2694</v>
      </c>
      <c r="C170" t="s">
        <v>2270</v>
      </c>
      <c r="D170" t="s">
        <v>2695</v>
      </c>
      <c r="E170" t="s">
        <v>2392</v>
      </c>
      <c r="F170" s="455">
        <v>45594</v>
      </c>
      <c r="G170" s="455">
        <v>46020</v>
      </c>
      <c r="H170" s="455">
        <v>46384</v>
      </c>
      <c r="I170">
        <v>35</v>
      </c>
      <c r="J170">
        <v>35</v>
      </c>
      <c r="K170">
        <v>0</v>
      </c>
      <c r="L170">
        <v>0</v>
      </c>
      <c r="M170">
        <v>0</v>
      </c>
      <c r="N170" s="90" cm="1">
        <f t="array" ref="N170">IF(AND(OR(ISNUMBER(SEARCH("Eviction",E170)),ISNUMBER(SEARCH("Past",E170)),ISNUMBER(SEARCH("Skip",E170)),ISNUMBER(SEARCH("Collections",E170)),COUNTIF(Delinquency_Detail_3!$N$3:$N$24,D170)&gt;0),COUNTIF(Delinquency_Detail_3!$P$3:$P$24,D170)=0,I170&gt;0,SUMPRODUCT((LeaseLock!$D$2:$D$500=B170)*(ISNUMBER(SEARCH(TRIM(LEFT(SUBSTITUTE(D170,",",REPT(" ",100)),100)),LeaseLock!$C$2:$C$500))))=0),1,0)</f>
        <v>0</v>
      </c>
      <c r="O170" s="90"/>
    </row>
    <row r="171" spans="1:15">
      <c r="A171" t="s">
        <v>1751</v>
      </c>
      <c r="B171" t="s">
        <v>2696</v>
      </c>
      <c r="C171" t="s">
        <v>2270</v>
      </c>
      <c r="D171" t="s">
        <v>2697</v>
      </c>
      <c r="E171" t="s">
        <v>2392</v>
      </c>
      <c r="F171" s="455">
        <v>46161</v>
      </c>
      <c r="G171" s="455">
        <v>46161</v>
      </c>
      <c r="H171" s="455">
        <v>46525</v>
      </c>
      <c r="I171" s="456">
        <v>1016.01</v>
      </c>
      <c r="J171" s="456">
        <v>1016.01</v>
      </c>
      <c r="K171">
        <v>0</v>
      </c>
      <c r="L171">
        <v>0</v>
      </c>
      <c r="M171">
        <v>0</v>
      </c>
      <c r="N171" s="90" cm="1">
        <f t="array" ref="N171">IF(AND(OR(ISNUMBER(SEARCH("Eviction",E171)),ISNUMBER(SEARCH("Past",E171)),ISNUMBER(SEARCH("Skip",E171)),ISNUMBER(SEARCH("Collections",E171)),COUNTIF(Delinquency_Detail_3!$N$3:$N$24,D171)&gt;0),COUNTIF(Delinquency_Detail_3!$P$3:$P$24,D171)=0,I171&gt;0,SUMPRODUCT((LeaseLock!$D$2:$D$500=B171)*(ISNUMBER(SEARCH(TRIM(LEFT(SUBSTITUTE(D171,",",REPT(" ",100)),100)),LeaseLock!$C$2:$C$500))))=0),1,0)</f>
        <v>0</v>
      </c>
      <c r="O171" s="90"/>
    </row>
    <row r="172" spans="1:15">
      <c r="A172" t="s">
        <v>1751</v>
      </c>
      <c r="B172" t="s">
        <v>2698</v>
      </c>
      <c r="C172" t="s">
        <v>2264</v>
      </c>
      <c r="D172" t="s">
        <v>2699</v>
      </c>
      <c r="E172" t="s">
        <v>2120</v>
      </c>
      <c r="F172" s="455">
        <v>45552</v>
      </c>
      <c r="G172" s="455">
        <v>45978</v>
      </c>
      <c r="H172" s="455">
        <v>46342</v>
      </c>
      <c r="I172" s="456">
        <v>8801.51</v>
      </c>
      <c r="J172">
        <v>0</v>
      </c>
      <c r="K172">
        <v>0</v>
      </c>
      <c r="L172" s="456">
        <v>4712.95</v>
      </c>
      <c r="M172" s="456">
        <v>4088.56</v>
      </c>
      <c r="N172" s="90" cm="1">
        <f t="array" ref="N172">IF(AND(OR(ISNUMBER(SEARCH("Eviction",E172)),ISNUMBER(SEARCH("Past",E172)),ISNUMBER(SEARCH("Skip",E172)),ISNUMBER(SEARCH("Collections",E172)),COUNTIF(Delinquency_Detail_3!$N$3:$N$24,D172)&gt;0),COUNTIF(Delinquency_Detail_3!$P$3:$P$24,D172)=0,I172&gt;0,SUMPRODUCT((LeaseLock!$D$2:$D$500=B172)*(ISNUMBER(SEARCH(TRIM(LEFT(SUBSTITUTE(D172,",",REPT(" ",100)),100)),LeaseLock!$C$2:$C$500))))=0),1,0)</f>
        <v>0</v>
      </c>
      <c r="O172" s="90"/>
    </row>
    <row r="173" spans="1:15">
      <c r="A173" t="s">
        <v>1751</v>
      </c>
      <c r="B173" t="s">
        <v>2700</v>
      </c>
      <c r="C173" t="s">
        <v>2264</v>
      </c>
      <c r="D173" t="s">
        <v>2701</v>
      </c>
      <c r="E173" t="s">
        <v>2120</v>
      </c>
      <c r="F173" s="455">
        <v>45224</v>
      </c>
      <c r="G173" s="455">
        <v>46054</v>
      </c>
      <c r="H173" s="455">
        <v>46169</v>
      </c>
      <c r="I173" s="456">
        <v>12265.64</v>
      </c>
      <c r="J173">
        <v>0</v>
      </c>
      <c r="K173">
        <v>0</v>
      </c>
      <c r="L173" s="456">
        <v>3235.7</v>
      </c>
      <c r="M173" s="456">
        <v>9029.94</v>
      </c>
      <c r="N173" s="90" cm="1">
        <f t="array" ref="N173">IF(AND(OR(ISNUMBER(SEARCH("Eviction",E173)),ISNUMBER(SEARCH("Past",E173)),ISNUMBER(SEARCH("Skip",E173)),ISNUMBER(SEARCH("Collections",E173)),COUNTIF(Delinquency_Detail_3!$N$3:$N$24,D173)&gt;0),COUNTIF(Delinquency_Detail_3!$P$3:$P$24,D173)=0,I173&gt;0,SUMPRODUCT((LeaseLock!$D$2:$D$500=B173)*(ISNUMBER(SEARCH(TRIM(LEFT(SUBSTITUTE(D173,",",REPT(" ",100)),100)),LeaseLock!$C$2:$C$500))))=0),1,0)</f>
        <v>0</v>
      </c>
      <c r="O173" s="90"/>
    </row>
    <row r="174" spans="1:15">
      <c r="A174" t="s">
        <v>1751</v>
      </c>
      <c r="B174" t="s">
        <v>2702</v>
      </c>
      <c r="C174" t="s">
        <v>2267</v>
      </c>
      <c r="D174" t="s">
        <v>2703</v>
      </c>
      <c r="E174" t="s">
        <v>2401</v>
      </c>
      <c r="F174" s="455">
        <v>45899</v>
      </c>
      <c r="G174" s="455">
        <v>45899</v>
      </c>
      <c r="H174" s="455">
        <v>46263</v>
      </c>
      <c r="I174">
        <v>138.13999999999999</v>
      </c>
      <c r="J174">
        <v>138.13999999999999</v>
      </c>
      <c r="K174">
        <v>0</v>
      </c>
      <c r="L174">
        <v>0</v>
      </c>
      <c r="M174">
        <v>0</v>
      </c>
      <c r="N174" s="90" cm="1">
        <f t="array" ref="N174">IF(AND(OR(ISNUMBER(SEARCH("Eviction",E174)),ISNUMBER(SEARCH("Past",E174)),ISNUMBER(SEARCH("Skip",E174)),ISNUMBER(SEARCH("Collections",E174)),COUNTIF(Delinquency_Detail_3!$N$3:$N$24,D174)&gt;0),COUNTIF(Delinquency_Detail_3!$P$3:$P$24,D174)=0,I174&gt;0,SUMPRODUCT((LeaseLock!$D$2:$D$500=B174)*(ISNUMBER(SEARCH(TRIM(LEFT(SUBSTITUTE(D174,",",REPT(" ",100)),100)),LeaseLock!$C$2:$C$500))))=0),1,0)</f>
        <v>0</v>
      </c>
      <c r="O174" s="90"/>
    </row>
    <row r="175" spans="1:15">
      <c r="A175" t="s">
        <v>1751</v>
      </c>
      <c r="B175" t="s">
        <v>2704</v>
      </c>
      <c r="C175" t="s">
        <v>2267</v>
      </c>
      <c r="D175" t="s">
        <v>2705</v>
      </c>
      <c r="E175" t="s">
        <v>2135</v>
      </c>
      <c r="F175" s="455">
        <v>45856</v>
      </c>
      <c r="G175" s="455">
        <v>45856</v>
      </c>
      <c r="H175" s="455">
        <v>46220</v>
      </c>
      <c r="I175" s="456">
        <v>1641.37</v>
      </c>
      <c r="J175">
        <v>0</v>
      </c>
      <c r="K175" s="456">
        <v>1641.37</v>
      </c>
      <c r="L175">
        <v>0</v>
      </c>
      <c r="M175">
        <v>0</v>
      </c>
      <c r="N175" s="90" cm="1">
        <f t="array" ref="N175">IF(AND(OR(ISNUMBER(SEARCH("Eviction",E175)),ISNUMBER(SEARCH("Past",E175)),ISNUMBER(SEARCH("Skip",E175)),ISNUMBER(SEARCH("Collections",E175)),COUNTIF(Delinquency_Detail_3!$N$3:$N$24,D175)&gt;0),COUNTIF(Delinquency_Detail_3!$P$3:$P$24,D175)=0,I175&gt;0,SUMPRODUCT((LeaseLock!$D$2:$D$500=B175)*(ISNUMBER(SEARCH(TRIM(LEFT(SUBSTITUTE(D175,",",REPT(" ",100)),100)),LeaseLock!$C$2:$C$500))))=0),1,0)</f>
        <v>1</v>
      </c>
      <c r="O175" s="90"/>
    </row>
    <row r="176" spans="1:15">
      <c r="A176" t="s">
        <v>1751</v>
      </c>
      <c r="B176" t="s">
        <v>2706</v>
      </c>
      <c r="C176" t="s">
        <v>2267</v>
      </c>
      <c r="D176" t="s">
        <v>2707</v>
      </c>
      <c r="E176" t="s">
        <v>2120</v>
      </c>
      <c r="F176" s="455">
        <v>45590</v>
      </c>
      <c r="G176" s="455">
        <v>46016</v>
      </c>
      <c r="H176" s="455">
        <v>46170</v>
      </c>
      <c r="I176" s="456">
        <v>21493.39</v>
      </c>
      <c r="J176">
        <v>0</v>
      </c>
      <c r="K176">
        <v>0</v>
      </c>
      <c r="L176" s="456">
        <v>3255</v>
      </c>
      <c r="M176" s="456">
        <v>18238.39</v>
      </c>
      <c r="N176" s="90" cm="1">
        <f t="array" ref="N176">IF(AND(OR(ISNUMBER(SEARCH("Eviction",E176)),ISNUMBER(SEARCH("Past",E176)),ISNUMBER(SEARCH("Skip",E176)),ISNUMBER(SEARCH("Collections",E176)),COUNTIF(Delinquency_Detail_3!$N$3:$N$24,D176)&gt;0),COUNTIF(Delinquency_Detail_3!$P$3:$P$24,D176)=0,I176&gt;0,SUMPRODUCT((LeaseLock!$D$2:$D$500=B176)*(ISNUMBER(SEARCH(TRIM(LEFT(SUBSTITUTE(D176,",",REPT(" ",100)),100)),LeaseLock!$C$2:$C$500))))=0),1,0)</f>
        <v>0</v>
      </c>
      <c r="O176" s="90"/>
    </row>
    <row r="177" spans="1:15">
      <c r="A177" t="s">
        <v>1751</v>
      </c>
      <c r="B177" t="s">
        <v>2708</v>
      </c>
      <c r="C177" t="s">
        <v>2264</v>
      </c>
      <c r="D177" t="s">
        <v>2709</v>
      </c>
      <c r="E177" t="s">
        <v>2486</v>
      </c>
      <c r="F177" s="455">
        <v>45869</v>
      </c>
      <c r="G177" s="455">
        <v>46234</v>
      </c>
      <c r="H177" s="455">
        <v>46237</v>
      </c>
      <c r="I177">
        <v>232.37</v>
      </c>
      <c r="J177">
        <v>197.37</v>
      </c>
      <c r="K177">
        <v>35</v>
      </c>
      <c r="L177">
        <v>0</v>
      </c>
      <c r="M177">
        <v>0</v>
      </c>
      <c r="N177" s="90" cm="1">
        <f t="array" ref="N177">IF(AND(OR(ISNUMBER(SEARCH("Eviction",E177)),ISNUMBER(SEARCH("Past",E177)),ISNUMBER(SEARCH("Skip",E177)),ISNUMBER(SEARCH("Collections",E177)),COUNTIF(Delinquency_Detail_3!$N$3:$N$24,D177)&gt;0),COUNTIF(Delinquency_Detail_3!$P$3:$P$24,D177)=0,I177&gt;0,SUMPRODUCT((LeaseLock!$D$2:$D$500=B177)*(ISNUMBER(SEARCH(TRIM(LEFT(SUBSTITUTE(D177,",",REPT(" ",100)),100)),LeaseLock!$C$2:$C$500))))=0),1,0)</f>
        <v>1</v>
      </c>
      <c r="O177" s="90"/>
    </row>
    <row r="178" spans="1:15">
      <c r="A178" t="s">
        <v>1751</v>
      </c>
      <c r="B178" t="s">
        <v>1905</v>
      </c>
      <c r="C178" t="s">
        <v>2264</v>
      </c>
      <c r="D178" t="s">
        <v>1906</v>
      </c>
      <c r="E178" t="s">
        <v>2392</v>
      </c>
      <c r="F178" s="455">
        <v>46087</v>
      </c>
      <c r="G178" s="455">
        <v>46087</v>
      </c>
      <c r="H178" s="455">
        <v>46451</v>
      </c>
      <c r="I178">
        <v>91</v>
      </c>
      <c r="J178">
        <v>91</v>
      </c>
      <c r="K178">
        <v>0</v>
      </c>
      <c r="L178">
        <v>0</v>
      </c>
      <c r="M178">
        <v>0</v>
      </c>
      <c r="N178" s="90" cm="1">
        <f t="array" ref="N178">IF(AND(OR(ISNUMBER(SEARCH("Eviction",E178)),ISNUMBER(SEARCH("Past",E178)),ISNUMBER(SEARCH("Skip",E178)),ISNUMBER(SEARCH("Collections",E178)),COUNTIF(Delinquency_Detail_3!$N$3:$N$24,D178)&gt;0),COUNTIF(Delinquency_Detail_3!$P$3:$P$24,D178)=0,I178&gt;0,SUMPRODUCT((LeaseLock!$D$2:$D$500=B178)*(ISNUMBER(SEARCH(TRIM(LEFT(SUBSTITUTE(D178,",",REPT(" ",100)),100)),LeaseLock!$C$2:$C$500))))=0),1,0)</f>
        <v>0</v>
      </c>
      <c r="O178" s="90"/>
    </row>
    <row r="179" spans="1:15">
      <c r="A179" t="s">
        <v>1751</v>
      </c>
      <c r="B179" t="s">
        <v>2710</v>
      </c>
      <c r="C179" t="s">
        <v>2264</v>
      </c>
      <c r="D179" t="s">
        <v>2711</v>
      </c>
      <c r="E179" t="s">
        <v>2135</v>
      </c>
      <c r="F179" s="455">
        <v>45836</v>
      </c>
      <c r="G179" s="455">
        <v>46201</v>
      </c>
      <c r="H179" s="455">
        <v>46217</v>
      </c>
      <c r="I179" s="456">
        <v>1702.94</v>
      </c>
      <c r="J179">
        <v>0</v>
      </c>
      <c r="K179" s="456">
        <v>1702.94</v>
      </c>
      <c r="L179">
        <v>0</v>
      </c>
      <c r="M179">
        <v>0</v>
      </c>
      <c r="N179" s="90" cm="1">
        <f t="array" ref="N179">IF(AND(OR(ISNUMBER(SEARCH("Eviction",E179)),ISNUMBER(SEARCH("Past",E179)),ISNUMBER(SEARCH("Skip",E179)),ISNUMBER(SEARCH("Collections",E179)),COUNTIF(Delinquency_Detail_3!$N$3:$N$24,D179)&gt;0),COUNTIF(Delinquency_Detail_3!$P$3:$P$24,D179)=0,I179&gt;0,SUMPRODUCT((LeaseLock!$D$2:$D$500=B179)*(ISNUMBER(SEARCH(TRIM(LEFT(SUBSTITUTE(D179,",",REPT(" ",100)),100)),LeaseLock!$C$2:$C$500))))=0),1,0)</f>
        <v>1</v>
      </c>
      <c r="O179" s="90"/>
    </row>
    <row r="180" spans="1:15">
      <c r="A180" t="s">
        <v>1751</v>
      </c>
      <c r="B180" t="s">
        <v>1915</v>
      </c>
      <c r="C180" t="s">
        <v>2264</v>
      </c>
      <c r="D180" t="s">
        <v>2712</v>
      </c>
      <c r="E180" t="s">
        <v>2392</v>
      </c>
      <c r="F180" s="455">
        <v>46171</v>
      </c>
      <c r="G180" s="455">
        <v>46171</v>
      </c>
      <c r="H180" s="455">
        <v>46535</v>
      </c>
      <c r="I180">
        <v>8.9499999999999993</v>
      </c>
      <c r="J180">
        <v>8.9499999999999993</v>
      </c>
      <c r="K180">
        <v>0</v>
      </c>
      <c r="L180">
        <v>0</v>
      </c>
      <c r="M180">
        <v>0</v>
      </c>
      <c r="N180" s="90" cm="1">
        <f t="array" ref="N180">IF(AND(OR(ISNUMBER(SEARCH("Eviction",E180)),ISNUMBER(SEARCH("Past",E180)),ISNUMBER(SEARCH("Skip",E180)),ISNUMBER(SEARCH("Collections",E180)),COUNTIF(Delinquency_Detail_3!$N$3:$N$24,D180)&gt;0),COUNTIF(Delinquency_Detail_3!$P$3:$P$24,D180)=0,I180&gt;0,SUMPRODUCT((LeaseLock!$D$2:$D$500=B180)*(ISNUMBER(SEARCH(TRIM(LEFT(SUBSTITUTE(D180,",",REPT(" ",100)),100)),LeaseLock!$C$2:$C$500))))=0),1,0)</f>
        <v>0</v>
      </c>
      <c r="O180" s="90"/>
    </row>
    <row r="181" spans="1:15">
      <c r="A181" t="s">
        <v>1751</v>
      </c>
      <c r="B181" t="s">
        <v>2713</v>
      </c>
      <c r="C181" t="s">
        <v>2264</v>
      </c>
      <c r="D181" t="s">
        <v>2714</v>
      </c>
      <c r="E181" t="s">
        <v>2392</v>
      </c>
      <c r="F181" s="455">
        <v>46172</v>
      </c>
      <c r="G181" s="455">
        <v>46172</v>
      </c>
      <c r="H181" s="455">
        <v>46536</v>
      </c>
      <c r="I181" s="456">
        <v>2197.54</v>
      </c>
      <c r="J181" s="456">
        <v>1114</v>
      </c>
      <c r="K181" s="456">
        <v>1083.54</v>
      </c>
      <c r="L181">
        <v>0</v>
      </c>
      <c r="M181">
        <v>0</v>
      </c>
      <c r="N181" s="90" cm="1">
        <f t="array" ref="N181">IF(AND(OR(ISNUMBER(SEARCH("Eviction",E181)),ISNUMBER(SEARCH("Past",E181)),ISNUMBER(SEARCH("Skip",E181)),ISNUMBER(SEARCH("Collections",E181)),COUNTIF(Delinquency_Detail_3!$N$3:$N$24,D181)&gt;0),COUNTIF(Delinquency_Detail_3!$P$3:$P$24,D181)=0,I181&gt;0,SUMPRODUCT((LeaseLock!$D$2:$D$500=B181)*(ISNUMBER(SEARCH(TRIM(LEFT(SUBSTITUTE(D181,",",REPT(" ",100)),100)),LeaseLock!$C$2:$C$500))))=0),1,0)</f>
        <v>0</v>
      </c>
      <c r="O181" s="90"/>
    </row>
    <row r="182" spans="1:15">
      <c r="A182" t="s">
        <v>1751</v>
      </c>
      <c r="B182" t="s">
        <v>2715</v>
      </c>
      <c r="C182" t="s">
        <v>2264</v>
      </c>
      <c r="D182" t="s">
        <v>2716</v>
      </c>
      <c r="E182" t="s">
        <v>2392</v>
      </c>
      <c r="F182" s="455">
        <v>45252</v>
      </c>
      <c r="G182" s="455">
        <v>46113</v>
      </c>
      <c r="H182" s="455">
        <v>46477</v>
      </c>
      <c r="I182">
        <v>956.52</v>
      </c>
      <c r="J182">
        <v>956.52</v>
      </c>
      <c r="K182">
        <v>0</v>
      </c>
      <c r="L182">
        <v>0</v>
      </c>
      <c r="M182">
        <v>0</v>
      </c>
      <c r="N182" s="90" cm="1">
        <f t="array" ref="N182">IF(AND(OR(ISNUMBER(SEARCH("Eviction",E182)),ISNUMBER(SEARCH("Past",E182)),ISNUMBER(SEARCH("Skip",E182)),ISNUMBER(SEARCH("Collections",E182)),COUNTIF(Delinquency_Detail_3!$N$3:$N$24,D182)&gt;0),COUNTIF(Delinquency_Detail_3!$P$3:$P$24,D182)=0,I182&gt;0,SUMPRODUCT((LeaseLock!$D$2:$D$500=B182)*(ISNUMBER(SEARCH(TRIM(LEFT(SUBSTITUTE(D182,",",REPT(" ",100)),100)),LeaseLock!$C$2:$C$500))))=0),1,0)</f>
        <v>0</v>
      </c>
      <c r="O182" s="90"/>
    </row>
    <row r="183" spans="1:15">
      <c r="N183" s="90" cm="1">
        <f t="array" ref="N183">IF(AND(OR(ISNUMBER(SEARCH("Eviction",E183)),ISNUMBER(SEARCH("Past",E183)),ISNUMBER(SEARCH("Skip",E183)),ISNUMBER(SEARCH("Collections",E183)),COUNTIF(Delinquency_Detail_3!$N$3:$N$24,D183)&gt;0),COUNTIF(Delinquency_Detail_3!$P$3:$P$24,D183)=0,I183&gt;0,SUMPRODUCT((LeaseLock!$D$2:$D$500=B183)*(ISNUMBER(SEARCH(TRIM(LEFT(SUBSTITUTE(D183,",",REPT(" ",100)),100)),LeaseLock!$C$2:$C$500))))=0),1,0)</f>
        <v>0</v>
      </c>
      <c r="O183" s="90"/>
    </row>
    <row r="184" spans="1:15">
      <c r="N184" s="90" cm="1">
        <f t="array" ref="N184">IF(AND(OR(ISNUMBER(SEARCH("Eviction",E184)),ISNUMBER(SEARCH("Past",E184)),ISNUMBER(SEARCH("Skip",E184)),ISNUMBER(SEARCH("Collections",E184)),COUNTIF(Delinquency_Detail_3!$N$3:$N$24,D184)&gt;0),COUNTIF(Delinquency_Detail_3!$P$3:$P$24,D184)=0,I184&gt;0,SUMPRODUCT((LeaseLock!$D$2:$D$500=B184)*(ISNUMBER(SEARCH(TRIM(LEFT(SUBSTITUTE(D184,",",REPT(" ",100)),100)),LeaseLock!$C$2:$C$500))))=0),1,0)</f>
        <v>0</v>
      </c>
      <c r="O184" s="90"/>
    </row>
    <row r="185" spans="1:15">
      <c r="N185" s="90" cm="1">
        <f t="array" ref="N185">IF(AND(OR(ISNUMBER(SEARCH("Eviction",E185)),ISNUMBER(SEARCH("Past",E185)),ISNUMBER(SEARCH("Skip",E185)),ISNUMBER(SEARCH("Collections",E185)),COUNTIF(Delinquency_Detail_3!$N$3:$N$24,D185)&gt;0),COUNTIF(Delinquency_Detail_3!$P$3:$P$24,D185)=0,I185&gt;0,SUMPRODUCT((LeaseLock!$D$2:$D$500=B185)*(ISNUMBER(SEARCH(TRIM(LEFT(SUBSTITUTE(D185,",",REPT(" ",100)),100)),LeaseLock!$C$2:$C$500))))=0),1,0)</f>
        <v>0</v>
      </c>
      <c r="O185" s="90"/>
    </row>
    <row r="186" spans="1:15">
      <c r="N186" s="90" cm="1">
        <f t="array" ref="N186">IF(AND(OR(ISNUMBER(SEARCH("Eviction",E186)),ISNUMBER(SEARCH("Past",E186)),ISNUMBER(SEARCH("Skip",E186)),ISNUMBER(SEARCH("Collections",E186)),COUNTIF(Delinquency_Detail_3!$N$3:$N$24,D186)&gt;0),COUNTIF(Delinquency_Detail_3!$P$3:$P$24,D186)=0,I186&gt;0,SUMPRODUCT((LeaseLock!$D$2:$D$500=B186)*(ISNUMBER(SEARCH(TRIM(LEFT(SUBSTITUTE(D186,",",REPT(" ",100)),100)),LeaseLock!$C$2:$C$500))))=0),1,0)</f>
        <v>0</v>
      </c>
      <c r="O186" s="90"/>
    </row>
    <row r="187" spans="1:15">
      <c r="N187" s="90" cm="1">
        <f t="array" ref="N187">IF(AND(OR(ISNUMBER(SEARCH("Eviction",E187)),ISNUMBER(SEARCH("Past",E187)),ISNUMBER(SEARCH("Skip",E187)),ISNUMBER(SEARCH("Collections",E187)),COUNTIF(Delinquency_Detail_3!$N$3:$N$24,D187)&gt;0),COUNTIF(Delinquency_Detail_3!$P$3:$P$24,D187)=0,I187&gt;0,SUMPRODUCT((LeaseLock!$D$2:$D$500=B187)*(ISNUMBER(SEARCH(TRIM(LEFT(SUBSTITUTE(D187,",",REPT(" ",100)),100)),LeaseLock!$C$2:$C$500))))=0),1,0)</f>
        <v>0</v>
      </c>
      <c r="O187" s="90"/>
    </row>
    <row r="188" spans="1:15">
      <c r="N188" s="90" cm="1">
        <f t="array" ref="N188">IF(AND(OR(ISNUMBER(SEARCH("Eviction",E188)),ISNUMBER(SEARCH("Past",E188)),ISNUMBER(SEARCH("Skip",E188)),ISNUMBER(SEARCH("Collections",E188)),COUNTIF(Delinquency_Detail_3!$N$3:$N$24,D188)&gt;0),COUNTIF(Delinquency_Detail_3!$P$3:$P$24,D188)=0,I188&gt;0,SUMPRODUCT((LeaseLock!$D$2:$D$500=B188)*(ISNUMBER(SEARCH(TRIM(LEFT(SUBSTITUTE(D188,",",REPT(" ",100)),100)),LeaseLock!$C$2:$C$500))))=0),1,0)</f>
        <v>0</v>
      </c>
      <c r="O188" s="90"/>
    </row>
    <row r="189" spans="1:15">
      <c r="N189" s="90" cm="1">
        <f t="array" ref="N189">IF(AND(OR(ISNUMBER(SEARCH("Eviction",E189)),ISNUMBER(SEARCH("Past",E189)),ISNUMBER(SEARCH("Skip",E189)),ISNUMBER(SEARCH("Collections",E189)),COUNTIF(Delinquency_Detail_3!$N$3:$N$24,D189)&gt;0),COUNTIF(Delinquency_Detail_3!$P$3:$P$24,D189)=0,I189&gt;0,SUMPRODUCT((LeaseLock!$D$2:$D$500=B189)*(ISNUMBER(SEARCH(TRIM(LEFT(SUBSTITUTE(D189,",",REPT(" ",100)),100)),LeaseLock!$C$2:$C$500))))=0),1,0)</f>
        <v>0</v>
      </c>
      <c r="O189" s="90"/>
    </row>
    <row r="190" spans="1:15">
      <c r="N190" s="90" cm="1">
        <f t="array" ref="N190">IF(AND(OR(ISNUMBER(SEARCH("Eviction",E190)),ISNUMBER(SEARCH("Past",E190)),ISNUMBER(SEARCH("Skip",E190)),ISNUMBER(SEARCH("Collections",E190)),COUNTIF(Delinquency_Detail_3!$N$3:$N$24,D190)&gt;0),COUNTIF(Delinquency_Detail_3!$P$3:$P$24,D190)=0,I190&gt;0,SUMPRODUCT((LeaseLock!$D$2:$D$500=B190)*(ISNUMBER(SEARCH(TRIM(LEFT(SUBSTITUTE(D190,",",REPT(" ",100)),100)),LeaseLock!$C$2:$C$500))))=0),1,0)</f>
        <v>0</v>
      </c>
      <c r="O190" s="90"/>
    </row>
    <row r="191" spans="1:15">
      <c r="N191" s="90" cm="1">
        <f t="array" ref="N191">IF(AND(OR(ISNUMBER(SEARCH("Eviction",E191)),ISNUMBER(SEARCH("Past",E191)),ISNUMBER(SEARCH("Skip",E191)),ISNUMBER(SEARCH("Collections",E191)),COUNTIF(Delinquency_Detail_3!$N$3:$N$24,D191)&gt;0),COUNTIF(Delinquency_Detail_3!$P$3:$P$24,D191)=0,I191&gt;0,SUMPRODUCT((LeaseLock!$D$2:$D$500=B191)*(ISNUMBER(SEARCH(TRIM(LEFT(SUBSTITUTE(D191,",",REPT(" ",100)),100)),LeaseLock!$C$2:$C$500))))=0),1,0)</f>
        <v>0</v>
      </c>
      <c r="O191" s="90"/>
    </row>
    <row r="192" spans="1:15">
      <c r="N192" s="90" cm="1">
        <f t="array" ref="N192">IF(AND(OR(ISNUMBER(SEARCH("Eviction",E192)),ISNUMBER(SEARCH("Past",E192)),ISNUMBER(SEARCH("Skip",E192)),ISNUMBER(SEARCH("Collections",E192)),COUNTIF(Delinquency_Detail_3!$N$3:$N$24,D192)&gt;0),COUNTIF(Delinquency_Detail_3!$P$3:$P$24,D192)=0,I192&gt;0,SUMPRODUCT((LeaseLock!$D$2:$D$500=B192)*(ISNUMBER(SEARCH(TRIM(LEFT(SUBSTITUTE(D192,",",REPT(" ",100)),100)),LeaseLock!$C$2:$C$500))))=0),1,0)</f>
        <v>0</v>
      </c>
      <c r="O192" s="90"/>
    </row>
    <row r="193" spans="14:15">
      <c r="N193" s="90" cm="1">
        <f t="array" ref="N193">IF(AND(OR(ISNUMBER(SEARCH("Eviction",E193)),ISNUMBER(SEARCH("Past",E193)),ISNUMBER(SEARCH("Skip",E193)),ISNUMBER(SEARCH("Collections",E193)),COUNTIF(Delinquency_Detail_3!$N$3:$N$24,D193)&gt;0),COUNTIF(Delinquency_Detail_3!$P$3:$P$24,D193)=0,I193&gt;0,SUMPRODUCT((LeaseLock!$D$2:$D$500=B193)*(ISNUMBER(SEARCH(TRIM(LEFT(SUBSTITUTE(D193,",",REPT(" ",100)),100)),LeaseLock!$C$2:$C$500))))=0),1,0)</f>
        <v>0</v>
      </c>
      <c r="O193" s="90"/>
    </row>
    <row r="194" spans="14:15">
      <c r="N194" s="90" cm="1">
        <f t="array" ref="N194">IF(AND(OR(ISNUMBER(SEARCH("Eviction",E194)),ISNUMBER(SEARCH("Past",E194)),ISNUMBER(SEARCH("Skip",E194)),ISNUMBER(SEARCH("Collections",E194)),COUNTIF(Delinquency_Detail_3!$N$3:$N$24,D194)&gt;0),COUNTIF(Delinquency_Detail_3!$P$3:$P$24,D194)=0,I194&gt;0,SUMPRODUCT((LeaseLock!$D$2:$D$500=B194)*(ISNUMBER(SEARCH(TRIM(LEFT(SUBSTITUTE(D194,",",REPT(" ",100)),100)),LeaseLock!$C$2:$C$500))))=0),1,0)</f>
        <v>0</v>
      </c>
      <c r="O194" s="90"/>
    </row>
    <row r="195" spans="14:15">
      <c r="N195" s="90" cm="1">
        <f t="array" ref="N195">IF(AND(OR(ISNUMBER(SEARCH("Eviction",E195)),ISNUMBER(SEARCH("Past",E195)),ISNUMBER(SEARCH("Skip",E195)),ISNUMBER(SEARCH("Collections",E195)),COUNTIF(Delinquency_Detail_3!$N$3:$N$24,D195)&gt;0),COUNTIF(Delinquency_Detail_3!$P$3:$P$24,D195)=0,I195&gt;0,SUMPRODUCT((LeaseLock!$D$2:$D$500=B195)*(ISNUMBER(SEARCH(TRIM(LEFT(SUBSTITUTE(D195,",",REPT(" ",100)),100)),LeaseLock!$C$2:$C$500))))=0),1,0)</f>
        <v>0</v>
      </c>
      <c r="O195" s="90"/>
    </row>
    <row r="196" spans="14:15">
      <c r="N196" s="90" cm="1">
        <f t="array" ref="N196">IF(AND(OR(ISNUMBER(SEARCH("Eviction",E196)),ISNUMBER(SEARCH("Past",E196)),ISNUMBER(SEARCH("Skip",E196)),ISNUMBER(SEARCH("Collections",E196)),COUNTIF(Delinquency_Detail_3!$N$3:$N$24,D196)&gt;0),COUNTIF(Delinquency_Detail_3!$P$3:$P$24,D196)=0,I196&gt;0,SUMPRODUCT((LeaseLock!$D$2:$D$500=B196)*(ISNUMBER(SEARCH(TRIM(LEFT(SUBSTITUTE(D196,",",REPT(" ",100)),100)),LeaseLock!$C$2:$C$500))))=0),1,0)</f>
        <v>0</v>
      </c>
      <c r="O196" s="90"/>
    </row>
    <row r="197" spans="14:15">
      <c r="N197" s="90" cm="1">
        <f t="array" ref="N197">IF(AND(OR(ISNUMBER(SEARCH("Eviction",E197)),ISNUMBER(SEARCH("Past",E197)),ISNUMBER(SEARCH("Skip",E197)),ISNUMBER(SEARCH("Collections",E197)),COUNTIF(Delinquency_Detail_3!$N$3:$N$24,D197)&gt;0),COUNTIF(Delinquency_Detail_3!$P$3:$P$24,D197)=0,I197&gt;0,SUMPRODUCT((LeaseLock!$D$2:$D$500=B197)*(ISNUMBER(SEARCH(TRIM(LEFT(SUBSTITUTE(D197,",",REPT(" ",100)),100)),LeaseLock!$C$2:$C$500))))=0),1,0)</f>
        <v>0</v>
      </c>
      <c r="O197" s="90"/>
    </row>
    <row r="198" spans="14:15">
      <c r="N198" s="90" cm="1">
        <f t="array" ref="N198">IF(AND(OR(ISNUMBER(SEARCH("Eviction",E198)),ISNUMBER(SEARCH("Past",E198)),ISNUMBER(SEARCH("Skip",E198)),ISNUMBER(SEARCH("Collections",E198)),COUNTIF(Delinquency_Detail_3!$N$3:$N$24,D198)&gt;0),COUNTIF(Delinquency_Detail_3!$P$3:$P$24,D198)=0,I198&gt;0,SUMPRODUCT((LeaseLock!$D$2:$D$500=B198)*(ISNUMBER(SEARCH(TRIM(LEFT(SUBSTITUTE(D198,",",REPT(" ",100)),100)),LeaseLock!$C$2:$C$500))))=0),1,0)</f>
        <v>0</v>
      </c>
      <c r="O198" s="90"/>
    </row>
    <row r="199" spans="14:15">
      <c r="N199" s="90" cm="1">
        <f t="array" ref="N199">IF(AND(OR(ISNUMBER(SEARCH("Eviction",E199)),ISNUMBER(SEARCH("Past",E199)),ISNUMBER(SEARCH("Skip",E199)),ISNUMBER(SEARCH("Collections",E199)),COUNTIF(Delinquency_Detail_3!$N$3:$N$24,D199)&gt;0),COUNTIF(Delinquency_Detail_3!$P$3:$P$24,D199)=0,I199&gt;0,SUMPRODUCT((LeaseLock!$D$2:$D$500=B199)*(ISNUMBER(SEARCH(TRIM(LEFT(SUBSTITUTE(D199,",",REPT(" ",100)),100)),LeaseLock!$C$2:$C$500))))=0),1,0)</f>
        <v>0</v>
      </c>
      <c r="O199" s="90"/>
    </row>
    <row r="200" spans="14:15">
      <c r="N200" s="90" cm="1">
        <f t="array" ref="N200">IF(AND(OR(ISNUMBER(SEARCH("Eviction",E200)),ISNUMBER(SEARCH("Past",E200)),ISNUMBER(SEARCH("Skip",E200)),ISNUMBER(SEARCH("Collections",E200)),COUNTIF(Delinquency_Detail_3!$N$3:$N$24,D200)&gt;0),COUNTIF(Delinquency_Detail_3!$P$3:$P$24,D200)=0,I200&gt;0,SUMPRODUCT((LeaseLock!$D$2:$D$500=B200)*(ISNUMBER(SEARCH(TRIM(LEFT(SUBSTITUTE(D200,",",REPT(" ",100)),100)),LeaseLock!$C$2:$C$500))))=0),1,0)</f>
        <v>0</v>
      </c>
      <c r="O200" s="90"/>
    </row>
    <row r="201" spans="14:15">
      <c r="N201" s="90" cm="1">
        <f t="array" ref="N201">IF(AND(OR(ISNUMBER(SEARCH("Eviction",E201)),ISNUMBER(SEARCH("Past",E201)),ISNUMBER(SEARCH("Skip",E201)),ISNUMBER(SEARCH("Collections",E201)),COUNTIF(Delinquency_Detail_3!$N$3:$N$24,D201)&gt;0),COUNTIF(Delinquency_Detail_3!$P$3:$P$24,D201)=0,I201&gt;0,SUMPRODUCT((LeaseLock!$D$2:$D$500=B201)*(ISNUMBER(SEARCH(TRIM(LEFT(SUBSTITUTE(D201,",",REPT(" ",100)),100)),LeaseLock!$C$2:$C$500))))=0),1,0)</f>
        <v>0</v>
      </c>
      <c r="O201" s="90"/>
    </row>
    <row r="202" spans="14:15">
      <c r="N202" s="90" cm="1">
        <f t="array" ref="N202">IF(AND(OR(ISNUMBER(SEARCH("Eviction",E202)),ISNUMBER(SEARCH("Past",E202)),ISNUMBER(SEARCH("Skip",E202)),ISNUMBER(SEARCH("Collections",E202)),COUNTIF(Delinquency_Detail_3!$N$3:$N$24,D202)&gt;0),COUNTIF(Delinquency_Detail_3!$P$3:$P$24,D202)=0,I202&gt;0,SUMPRODUCT((LeaseLock!$D$2:$D$500=B202)*(ISNUMBER(SEARCH(TRIM(LEFT(SUBSTITUTE(D202,",",REPT(" ",100)),100)),LeaseLock!$C$2:$C$500))))=0),1,0)</f>
        <v>0</v>
      </c>
      <c r="O202" s="90"/>
    </row>
    <row r="203" spans="14:15">
      <c r="N203" s="90" cm="1">
        <f t="array" ref="N203">IF(AND(OR(ISNUMBER(SEARCH("Eviction",E203)),ISNUMBER(SEARCH("Past",E203)),ISNUMBER(SEARCH("Skip",E203)),ISNUMBER(SEARCH("Collections",E203)),COUNTIF(Delinquency_Detail_3!$N$3:$N$24,D203)&gt;0),COUNTIF(Delinquency_Detail_3!$P$3:$P$24,D203)=0,I203&gt;0,SUMPRODUCT((LeaseLock!$D$2:$D$500=B203)*(ISNUMBER(SEARCH(TRIM(LEFT(SUBSTITUTE(D203,",",REPT(" ",100)),100)),LeaseLock!$C$2:$C$500))))=0),1,0)</f>
        <v>0</v>
      </c>
      <c r="O203" s="90"/>
    </row>
    <row r="204" spans="14:15">
      <c r="N204" s="90" cm="1">
        <f t="array" ref="N204">IF(AND(OR(ISNUMBER(SEARCH("Eviction",E204)),ISNUMBER(SEARCH("Past",E204)),ISNUMBER(SEARCH("Skip",E204)),ISNUMBER(SEARCH("Collections",E204)),COUNTIF(Delinquency_Detail_3!$N$3:$N$24,D204)&gt;0),COUNTIF(Delinquency_Detail_3!$P$3:$P$24,D204)=0,I204&gt;0,SUMPRODUCT((LeaseLock!$D$2:$D$500=B204)*(ISNUMBER(SEARCH(TRIM(LEFT(SUBSTITUTE(D204,",",REPT(" ",100)),100)),LeaseLock!$C$2:$C$500))))=0),1,0)</f>
        <v>0</v>
      </c>
      <c r="O204" s="90"/>
    </row>
    <row r="205" spans="14:15">
      <c r="N205" s="90" cm="1">
        <f t="array" ref="N205">IF(AND(OR(ISNUMBER(SEARCH("Eviction",E205)),ISNUMBER(SEARCH("Past",E205)),ISNUMBER(SEARCH("Skip",E205)),ISNUMBER(SEARCH("Collections",E205)),COUNTIF(Delinquency_Detail_3!$N$3:$N$24,D205)&gt;0),COUNTIF(Delinquency_Detail_3!$P$3:$P$24,D205)=0,I205&gt;0,SUMPRODUCT((LeaseLock!$D$2:$D$500=B205)*(ISNUMBER(SEARCH(TRIM(LEFT(SUBSTITUTE(D205,",",REPT(" ",100)),100)),LeaseLock!$C$2:$C$500))))=0),1,0)</f>
        <v>0</v>
      </c>
      <c r="O205" s="90"/>
    </row>
    <row r="206" spans="14:15">
      <c r="N206" s="90" cm="1">
        <f t="array" ref="N206">IF(AND(OR(ISNUMBER(SEARCH("Eviction",E206)),ISNUMBER(SEARCH("Past",E206)),ISNUMBER(SEARCH("Skip",E206)),ISNUMBER(SEARCH("Collections",E206)),COUNTIF(Delinquency_Detail_3!$N$3:$N$24,D206)&gt;0),COUNTIF(Delinquency_Detail_3!$P$3:$P$24,D206)=0,I206&gt;0,SUMPRODUCT((LeaseLock!$D$2:$D$500=B206)*(ISNUMBER(SEARCH(TRIM(LEFT(SUBSTITUTE(D206,",",REPT(" ",100)),100)),LeaseLock!$C$2:$C$500))))=0),1,0)</f>
        <v>0</v>
      </c>
      <c r="O206" s="90"/>
    </row>
    <row r="207" spans="14:15">
      <c r="N207" s="90" cm="1">
        <f t="array" ref="N207">IF(AND(OR(ISNUMBER(SEARCH("Eviction",E207)),ISNUMBER(SEARCH("Past",E207)),ISNUMBER(SEARCH("Skip",E207)),ISNUMBER(SEARCH("Collections",E207)),COUNTIF(Delinquency_Detail_3!$N$3:$N$24,D207)&gt;0),COUNTIF(Delinquency_Detail_3!$P$3:$P$24,D207)=0,I207&gt;0,SUMPRODUCT((LeaseLock!$D$2:$D$500=B207)*(ISNUMBER(SEARCH(TRIM(LEFT(SUBSTITUTE(D207,",",REPT(" ",100)),100)),LeaseLock!$C$2:$C$500))))=0),1,0)</f>
        <v>0</v>
      </c>
      <c r="O207" s="90"/>
    </row>
    <row r="208" spans="14:15">
      <c r="N208" s="90" cm="1">
        <f t="array" ref="N208">IF(AND(OR(ISNUMBER(SEARCH("Eviction",E208)),ISNUMBER(SEARCH("Past",E208)),ISNUMBER(SEARCH("Skip",E208)),ISNUMBER(SEARCH("Collections",E208)),COUNTIF(Delinquency_Detail_3!$N$3:$N$24,D208)&gt;0),COUNTIF(Delinquency_Detail_3!$P$3:$P$24,D208)=0,I208&gt;0,SUMPRODUCT((LeaseLock!$D$2:$D$500=B208)*(ISNUMBER(SEARCH(TRIM(LEFT(SUBSTITUTE(D208,",",REPT(" ",100)),100)),LeaseLock!$C$2:$C$500))))=0),1,0)</f>
        <v>0</v>
      </c>
      <c r="O208" s="90"/>
    </row>
    <row r="209" spans="14:15">
      <c r="N209" s="90" cm="1">
        <f t="array" ref="N209">IF(AND(OR(ISNUMBER(SEARCH("Eviction",E209)),ISNUMBER(SEARCH("Past",E209)),ISNUMBER(SEARCH("Skip",E209)),ISNUMBER(SEARCH("Collections",E209)),COUNTIF(Delinquency_Detail_3!$N$3:$N$24,D209)&gt;0),COUNTIF(Delinquency_Detail_3!$P$3:$P$24,D209)=0,I209&gt;0,SUMPRODUCT((LeaseLock!$D$2:$D$500=B209)*(ISNUMBER(SEARCH(TRIM(LEFT(SUBSTITUTE(D209,",",REPT(" ",100)),100)),LeaseLock!$C$2:$C$500))))=0),1,0)</f>
        <v>0</v>
      </c>
      <c r="O209" s="90"/>
    </row>
    <row r="210" spans="14:15">
      <c r="N210" s="90" cm="1">
        <f t="array" ref="N210">IF(AND(OR(ISNUMBER(SEARCH("Eviction",E210)),ISNUMBER(SEARCH("Past",E210)),ISNUMBER(SEARCH("Skip",E210)),ISNUMBER(SEARCH("Collections",E210)),COUNTIF(Delinquency_Detail_3!$N$3:$N$24,D210)&gt;0),COUNTIF(Delinquency_Detail_3!$P$3:$P$24,D210)=0,I210&gt;0,SUMPRODUCT((LeaseLock!$D$2:$D$500=B210)*(ISNUMBER(SEARCH(TRIM(LEFT(SUBSTITUTE(D210,",",REPT(" ",100)),100)),LeaseLock!$C$2:$C$500))))=0),1,0)</f>
        <v>0</v>
      </c>
      <c r="O210" s="90"/>
    </row>
    <row r="211" spans="14:15">
      <c r="N211" s="90" cm="1">
        <f t="array" ref="N211">IF(AND(OR(ISNUMBER(SEARCH("Eviction",E211)),ISNUMBER(SEARCH("Past",E211)),ISNUMBER(SEARCH("Skip",E211)),ISNUMBER(SEARCH("Collections",E211)),COUNTIF(Delinquency_Detail_3!$N$3:$N$24,D211)&gt;0),COUNTIF(Delinquency_Detail_3!$P$3:$P$24,D211)=0,I211&gt;0,SUMPRODUCT((LeaseLock!$D$2:$D$500=B211)*(ISNUMBER(SEARCH(TRIM(LEFT(SUBSTITUTE(D211,",",REPT(" ",100)),100)),LeaseLock!$C$2:$C$500))))=0),1,0)</f>
        <v>0</v>
      </c>
      <c r="O211" s="90"/>
    </row>
    <row r="212" spans="14:15">
      <c r="N212" s="90" cm="1">
        <f t="array" ref="N212">IF(AND(OR(ISNUMBER(SEARCH("Eviction",E212)),ISNUMBER(SEARCH("Past",E212)),ISNUMBER(SEARCH("Skip",E212)),ISNUMBER(SEARCH("Collections",E212)),COUNTIF(Delinquency_Detail_3!$N$3:$N$24,D212)&gt;0),COUNTIF(Delinquency_Detail_3!$P$3:$P$24,D212)=0,I212&gt;0,SUMPRODUCT((LeaseLock!$D$2:$D$500=B212)*(ISNUMBER(SEARCH(TRIM(LEFT(SUBSTITUTE(D212,",",REPT(" ",100)),100)),LeaseLock!$C$2:$C$500))))=0),1,0)</f>
        <v>0</v>
      </c>
      <c r="O212" s="90"/>
    </row>
    <row r="213" spans="14:15">
      <c r="N213" s="90" cm="1">
        <f t="array" ref="N213">IF(AND(OR(ISNUMBER(SEARCH("Eviction",E213)),ISNUMBER(SEARCH("Past",E213)),ISNUMBER(SEARCH("Skip",E213)),ISNUMBER(SEARCH("Collections",E213)),COUNTIF(Delinquency_Detail_3!$N$3:$N$24,D213)&gt;0),COUNTIF(Delinquency_Detail_3!$P$3:$P$24,D213)=0,I213&gt;0,SUMPRODUCT((LeaseLock!$D$2:$D$500=B213)*(ISNUMBER(SEARCH(TRIM(LEFT(SUBSTITUTE(D213,",",REPT(" ",100)),100)),LeaseLock!$C$2:$C$500))))=0),1,0)</f>
        <v>0</v>
      </c>
      <c r="O213" s="90"/>
    </row>
    <row r="214" spans="14:15">
      <c r="N214" s="90" cm="1">
        <f t="array" ref="N214">IF(AND(OR(ISNUMBER(SEARCH("Eviction",E214)),ISNUMBER(SEARCH("Past",E214)),ISNUMBER(SEARCH("Skip",E214)),ISNUMBER(SEARCH("Collections",E214)),COUNTIF(Delinquency_Detail_3!$N$3:$N$24,D214)&gt;0),COUNTIF(Delinquency_Detail_3!$P$3:$P$24,D214)=0,I214&gt;0,SUMPRODUCT((LeaseLock!$D$2:$D$500=B214)*(ISNUMBER(SEARCH(TRIM(LEFT(SUBSTITUTE(D214,",",REPT(" ",100)),100)),LeaseLock!$C$2:$C$500))))=0),1,0)</f>
        <v>0</v>
      </c>
      <c r="O214" s="90"/>
    </row>
    <row r="215" spans="14:15">
      <c r="N215" s="90" cm="1">
        <f t="array" ref="N215">IF(AND(OR(ISNUMBER(SEARCH("Eviction",E215)),ISNUMBER(SEARCH("Past",E215)),ISNUMBER(SEARCH("Skip",E215)),ISNUMBER(SEARCH("Collections",E215)),COUNTIF(Delinquency_Detail_3!$N$3:$N$24,D215)&gt;0),COUNTIF(Delinquency_Detail_3!$P$3:$P$24,D215)=0,I215&gt;0,SUMPRODUCT((LeaseLock!$D$2:$D$500=B215)*(ISNUMBER(SEARCH(TRIM(LEFT(SUBSTITUTE(D215,",",REPT(" ",100)),100)),LeaseLock!$C$2:$C$500))))=0),1,0)</f>
        <v>0</v>
      </c>
      <c r="O215" s="90"/>
    </row>
    <row r="216" spans="14:15">
      <c r="N216" s="90" cm="1">
        <f t="array" ref="N216">IF(AND(OR(ISNUMBER(SEARCH("Eviction",E216)),ISNUMBER(SEARCH("Past",E216)),ISNUMBER(SEARCH("Skip",E216)),ISNUMBER(SEARCH("Collections",E216)),COUNTIF(Delinquency_Detail_3!$N$3:$N$24,D216)&gt;0),COUNTIF(Delinquency_Detail_3!$P$3:$P$24,D216)=0,I216&gt;0,SUMPRODUCT((LeaseLock!$D$2:$D$500=B216)*(ISNUMBER(SEARCH(TRIM(LEFT(SUBSTITUTE(D216,",",REPT(" ",100)),100)),LeaseLock!$C$2:$C$500))))=0),1,0)</f>
        <v>0</v>
      </c>
      <c r="O216" s="90"/>
    </row>
    <row r="217" spans="14:15">
      <c r="N217" s="90" cm="1">
        <f t="array" ref="N217">IF(AND(OR(ISNUMBER(SEARCH("Eviction",E217)),ISNUMBER(SEARCH("Past",E217)),ISNUMBER(SEARCH("Skip",E217)),ISNUMBER(SEARCH("Collections",E217)),COUNTIF(Delinquency_Detail_3!$N$3:$N$24,D217)&gt;0),COUNTIF(Delinquency_Detail_3!$P$3:$P$24,D217)=0,I217&gt;0,SUMPRODUCT((LeaseLock!$D$2:$D$500=B217)*(ISNUMBER(SEARCH(TRIM(LEFT(SUBSTITUTE(D217,",",REPT(" ",100)),100)),LeaseLock!$C$2:$C$500))))=0),1,0)</f>
        <v>0</v>
      </c>
      <c r="O217" s="90"/>
    </row>
    <row r="218" spans="14:15">
      <c r="N218" s="90" cm="1">
        <f t="array" ref="N218">IF(AND(OR(ISNUMBER(SEARCH("Eviction",E218)),ISNUMBER(SEARCH("Past",E218)),ISNUMBER(SEARCH("Skip",E218)),ISNUMBER(SEARCH("Collections",E218)),COUNTIF(Delinquency_Detail_3!$N$3:$N$24,D218)&gt;0),COUNTIF(Delinquency_Detail_3!$P$3:$P$24,D218)=0,I218&gt;0,SUMPRODUCT((LeaseLock!$D$2:$D$500=B218)*(ISNUMBER(SEARCH(TRIM(LEFT(SUBSTITUTE(D218,",",REPT(" ",100)),100)),LeaseLock!$C$2:$C$500))))=0),1,0)</f>
        <v>0</v>
      </c>
      <c r="O218" s="90"/>
    </row>
    <row r="219" spans="14:15">
      <c r="N219" s="90" cm="1">
        <f t="array" ref="N219">IF(AND(OR(ISNUMBER(SEARCH("Eviction",E219)),ISNUMBER(SEARCH("Past",E219)),ISNUMBER(SEARCH("Skip",E219)),ISNUMBER(SEARCH("Collections",E219)),COUNTIF(Delinquency_Detail_3!$N$3:$N$24,D219)&gt;0),COUNTIF(Delinquency_Detail_3!$P$3:$P$24,D219)=0,I219&gt;0,SUMPRODUCT((LeaseLock!$D$2:$D$500=B219)*(ISNUMBER(SEARCH(TRIM(LEFT(SUBSTITUTE(D219,",",REPT(" ",100)),100)),LeaseLock!$C$2:$C$500))))=0),1,0)</f>
        <v>0</v>
      </c>
      <c r="O219" s="90"/>
    </row>
    <row r="220" spans="14:15">
      <c r="N220" s="90" cm="1">
        <f t="array" ref="N220">IF(AND(OR(ISNUMBER(SEARCH("Eviction",E220)),ISNUMBER(SEARCH("Past",E220)),ISNUMBER(SEARCH("Skip",E220)),ISNUMBER(SEARCH("Collections",E220)),COUNTIF(Delinquency_Detail_3!$N$3:$N$24,D220)&gt;0),COUNTIF(Delinquency_Detail_3!$P$3:$P$24,D220)=0,I220&gt;0,SUMPRODUCT((LeaseLock!$D$2:$D$500=B220)*(ISNUMBER(SEARCH(TRIM(LEFT(SUBSTITUTE(D220,",",REPT(" ",100)),100)),LeaseLock!$C$2:$C$500))))=0),1,0)</f>
        <v>0</v>
      </c>
      <c r="O220" s="90"/>
    </row>
    <row r="221" spans="14:15">
      <c r="N221" s="90" cm="1">
        <f t="array" ref="N221">IF(AND(OR(ISNUMBER(SEARCH("Eviction",E221)),ISNUMBER(SEARCH("Past",E221)),ISNUMBER(SEARCH("Skip",E221)),ISNUMBER(SEARCH("Collections",E221)),COUNTIF(Delinquency_Detail_3!$N$3:$N$24,D221)&gt;0),COUNTIF(Delinquency_Detail_3!$P$3:$P$24,D221)=0,I221&gt;0,SUMPRODUCT((LeaseLock!$D$2:$D$500=B221)*(ISNUMBER(SEARCH(TRIM(LEFT(SUBSTITUTE(D221,",",REPT(" ",100)),100)),LeaseLock!$C$2:$C$500))))=0),1,0)</f>
        <v>0</v>
      </c>
      <c r="O221" s="90"/>
    </row>
    <row r="222" spans="14:15">
      <c r="N222" s="90" cm="1">
        <f t="array" ref="N222">IF(AND(OR(ISNUMBER(SEARCH("Eviction",E222)),ISNUMBER(SEARCH("Past",E222)),ISNUMBER(SEARCH("Skip",E222)),ISNUMBER(SEARCH("Collections",E222)),COUNTIF(Delinquency_Detail_3!$N$3:$N$24,D222)&gt;0),COUNTIF(Delinquency_Detail_3!$P$3:$P$24,D222)=0,I222&gt;0,SUMPRODUCT((LeaseLock!$D$2:$D$500=B222)*(ISNUMBER(SEARCH(TRIM(LEFT(SUBSTITUTE(D222,",",REPT(" ",100)),100)),LeaseLock!$C$2:$C$500))))=0),1,0)</f>
        <v>0</v>
      </c>
      <c r="O222" s="90"/>
    </row>
    <row r="223" spans="14:15">
      <c r="N223" s="90" cm="1">
        <f t="array" ref="N223">IF(AND(OR(ISNUMBER(SEARCH("Eviction",E223)),ISNUMBER(SEARCH("Past",E223)),ISNUMBER(SEARCH("Skip",E223)),ISNUMBER(SEARCH("Collections",E223)),COUNTIF(Delinquency_Detail_3!$N$3:$N$24,D223)&gt;0),COUNTIF(Delinquency_Detail_3!$P$3:$P$24,D223)=0,I223&gt;0,SUMPRODUCT((LeaseLock!$D$2:$D$500=B223)*(ISNUMBER(SEARCH(TRIM(LEFT(SUBSTITUTE(D223,",",REPT(" ",100)),100)),LeaseLock!$C$2:$C$500))))=0),1,0)</f>
        <v>0</v>
      </c>
      <c r="O223" s="90"/>
    </row>
    <row r="224" spans="14:15">
      <c r="N224" s="90" cm="1">
        <f t="array" ref="N224">IF(AND(OR(ISNUMBER(SEARCH("Eviction",E224)),ISNUMBER(SEARCH("Past",E224)),ISNUMBER(SEARCH("Skip",E224)),ISNUMBER(SEARCH("Collections",E224)),COUNTIF(Delinquency_Detail_3!$N$3:$N$24,D224)&gt;0),COUNTIF(Delinquency_Detail_3!$P$3:$P$24,D224)=0,I224&gt;0,SUMPRODUCT((LeaseLock!$D$2:$D$500=B224)*(ISNUMBER(SEARCH(TRIM(LEFT(SUBSTITUTE(D224,",",REPT(" ",100)),100)),LeaseLock!$C$2:$C$500))))=0),1,0)</f>
        <v>0</v>
      </c>
      <c r="O224" s="90"/>
    </row>
    <row r="225" spans="14:15">
      <c r="N225" s="90" cm="1">
        <f t="array" ref="N225">IF(AND(OR(ISNUMBER(SEARCH("Eviction",E225)),ISNUMBER(SEARCH("Past",E225)),ISNUMBER(SEARCH("Skip",E225)),ISNUMBER(SEARCH("Collections",E225)),COUNTIF(Delinquency_Detail_3!$N$3:$N$24,D225)&gt;0),COUNTIF(Delinquency_Detail_3!$P$3:$P$24,D225)=0,I225&gt;0,SUMPRODUCT((LeaseLock!$D$2:$D$500=B225)*(ISNUMBER(SEARCH(TRIM(LEFT(SUBSTITUTE(D225,",",REPT(" ",100)),100)),LeaseLock!$C$2:$C$500))))=0),1,0)</f>
        <v>0</v>
      </c>
      <c r="O225" s="90"/>
    </row>
    <row r="226" spans="14:15">
      <c r="N226" s="90" cm="1">
        <f t="array" ref="N226">IF(AND(OR(ISNUMBER(SEARCH("Eviction",E226)),ISNUMBER(SEARCH("Past",E226)),ISNUMBER(SEARCH("Skip",E226)),ISNUMBER(SEARCH("Collections",E226)),COUNTIF(Delinquency_Detail_3!$N$3:$N$24,D226)&gt;0),COUNTIF(Delinquency_Detail_3!$P$3:$P$24,D226)=0,I226&gt;0,SUMPRODUCT((LeaseLock!$D$2:$D$500=B226)*(ISNUMBER(SEARCH(TRIM(LEFT(SUBSTITUTE(D226,",",REPT(" ",100)),100)),LeaseLock!$C$2:$C$500))))=0),1,0)</f>
        <v>0</v>
      </c>
      <c r="O226" s="90"/>
    </row>
    <row r="227" spans="14:15">
      <c r="N227" s="90" cm="1">
        <f t="array" ref="N227">IF(AND(OR(ISNUMBER(SEARCH("Eviction",E227)),ISNUMBER(SEARCH("Past",E227)),ISNUMBER(SEARCH("Skip",E227)),ISNUMBER(SEARCH("Collections",E227)),COUNTIF(Delinquency_Detail_3!$N$3:$N$24,D227)&gt;0),COUNTIF(Delinquency_Detail_3!$P$3:$P$24,D227)=0,I227&gt;0,SUMPRODUCT((LeaseLock!$D$2:$D$500=B227)*(ISNUMBER(SEARCH(TRIM(LEFT(SUBSTITUTE(D227,",",REPT(" ",100)),100)),LeaseLock!$C$2:$C$500))))=0),1,0)</f>
        <v>0</v>
      </c>
      <c r="O227" s="90"/>
    </row>
    <row r="228" spans="14:15">
      <c r="N228" s="90" cm="1">
        <f t="array" ref="N228">IF(AND(OR(ISNUMBER(SEARCH("Eviction",E228)),ISNUMBER(SEARCH("Past",E228)),ISNUMBER(SEARCH("Skip",E228)),ISNUMBER(SEARCH("Collections",E228)),COUNTIF(Delinquency_Detail_3!$N$3:$N$24,D228)&gt;0),COUNTIF(Delinquency_Detail_3!$P$3:$P$24,D228)=0,I228&gt;0,SUMPRODUCT((LeaseLock!$D$2:$D$500=B228)*(ISNUMBER(SEARCH(TRIM(LEFT(SUBSTITUTE(D228,",",REPT(" ",100)),100)),LeaseLock!$C$2:$C$500))))=0),1,0)</f>
        <v>0</v>
      </c>
      <c r="O228" s="90"/>
    </row>
    <row r="229" spans="14:15">
      <c r="N229" s="90" cm="1">
        <f t="array" ref="N229">IF(AND(OR(ISNUMBER(SEARCH("Eviction",E229)),ISNUMBER(SEARCH("Past",E229)),ISNUMBER(SEARCH("Skip",E229)),ISNUMBER(SEARCH("Collections",E229)),COUNTIF(Delinquency_Detail_3!$N$3:$N$24,D229)&gt;0),COUNTIF(Delinquency_Detail_3!$P$3:$P$24,D229)=0,I229&gt;0,SUMPRODUCT((LeaseLock!$D$2:$D$500=B229)*(ISNUMBER(SEARCH(TRIM(LEFT(SUBSTITUTE(D229,",",REPT(" ",100)),100)),LeaseLock!$C$2:$C$500))))=0),1,0)</f>
        <v>0</v>
      </c>
      <c r="O229" s="90"/>
    </row>
    <row r="230" spans="14:15">
      <c r="N230" s="90" cm="1">
        <f t="array" ref="N230">IF(AND(OR(ISNUMBER(SEARCH("Eviction",E230)),ISNUMBER(SEARCH("Past",E230)),ISNUMBER(SEARCH("Skip",E230)),ISNUMBER(SEARCH("Collections",E230)),COUNTIF(Delinquency_Detail_3!$N$3:$N$24,D230)&gt;0),COUNTIF(Delinquency_Detail_3!$P$3:$P$24,D230)=0,I230&gt;0,SUMPRODUCT((LeaseLock!$D$2:$D$500=B230)*(ISNUMBER(SEARCH(TRIM(LEFT(SUBSTITUTE(D230,",",REPT(" ",100)),100)),LeaseLock!$C$2:$C$500))))=0),1,0)</f>
        <v>0</v>
      </c>
      <c r="O230" s="90"/>
    </row>
    <row r="231" spans="14:15">
      <c r="N231" s="90" cm="1">
        <f t="array" ref="N231">IF(AND(OR(ISNUMBER(SEARCH("Eviction",E231)),ISNUMBER(SEARCH("Past",E231)),ISNUMBER(SEARCH("Skip",E231)),ISNUMBER(SEARCH("Collections",E231)),COUNTIF(Delinquency_Detail_3!$N$3:$N$24,D231)&gt;0),COUNTIF(Delinquency_Detail_3!$P$3:$P$24,D231)=0,I231&gt;0,SUMPRODUCT((LeaseLock!$D$2:$D$500=B231)*(ISNUMBER(SEARCH(TRIM(LEFT(SUBSTITUTE(D231,",",REPT(" ",100)),100)),LeaseLock!$C$2:$C$500))))=0),1,0)</f>
        <v>0</v>
      </c>
      <c r="O231" s="90"/>
    </row>
    <row r="232" spans="14:15">
      <c r="N232" s="90" cm="1">
        <f t="array" ref="N232">IF(AND(OR(ISNUMBER(SEARCH("Eviction",E232)),ISNUMBER(SEARCH("Past",E232)),ISNUMBER(SEARCH("Skip",E232)),ISNUMBER(SEARCH("Collections",E232)),COUNTIF(Delinquency_Detail_3!$N$3:$N$24,D232)&gt;0),COUNTIF(Delinquency_Detail_3!$P$3:$P$24,D232)=0,I232&gt;0,SUMPRODUCT((LeaseLock!$D$2:$D$500=B232)*(ISNUMBER(SEARCH(TRIM(LEFT(SUBSTITUTE(D232,",",REPT(" ",100)),100)),LeaseLock!$C$2:$C$500))))=0),1,0)</f>
        <v>0</v>
      </c>
      <c r="O232" s="90"/>
    </row>
    <row r="233" spans="14:15">
      <c r="N233" s="90" cm="1">
        <f t="array" ref="N233">IF(AND(OR(ISNUMBER(SEARCH("Eviction",E233)),ISNUMBER(SEARCH("Past",E233)),ISNUMBER(SEARCH("Skip",E233)),ISNUMBER(SEARCH("Collections",E233)),COUNTIF(Delinquency_Detail_3!$N$3:$N$24,D233)&gt;0),COUNTIF(Delinquency_Detail_3!$P$3:$P$24,D233)=0,I233&gt;0,SUMPRODUCT((LeaseLock!$D$2:$D$500=B233)*(ISNUMBER(SEARCH(TRIM(LEFT(SUBSTITUTE(D233,",",REPT(" ",100)),100)),LeaseLock!$C$2:$C$500))))=0),1,0)</f>
        <v>0</v>
      </c>
      <c r="O233" s="90"/>
    </row>
    <row r="234" spans="14:15">
      <c r="N234" s="90" cm="1">
        <f t="array" ref="N234">IF(AND(OR(ISNUMBER(SEARCH("Eviction",E234)),ISNUMBER(SEARCH("Past",E234)),ISNUMBER(SEARCH("Skip",E234)),ISNUMBER(SEARCH("Collections",E234)),COUNTIF(Delinquency_Detail_3!$N$3:$N$24,D234)&gt;0),COUNTIF(Delinquency_Detail_3!$P$3:$P$24,D234)=0,I234&gt;0,SUMPRODUCT((LeaseLock!$D$2:$D$500=B234)*(ISNUMBER(SEARCH(TRIM(LEFT(SUBSTITUTE(D234,",",REPT(" ",100)),100)),LeaseLock!$C$2:$C$500))))=0),1,0)</f>
        <v>0</v>
      </c>
      <c r="O234" s="90"/>
    </row>
    <row r="235" spans="14:15">
      <c r="N235" s="90" cm="1">
        <f t="array" ref="N235">IF(AND(OR(ISNUMBER(SEARCH("Eviction",E235)),ISNUMBER(SEARCH("Past",E235)),ISNUMBER(SEARCH("Skip",E235)),ISNUMBER(SEARCH("Collections",E235)),COUNTIF(Delinquency_Detail_3!$N$3:$N$24,D235)&gt;0),COUNTIF(Delinquency_Detail_3!$P$3:$P$24,D235)=0,I235&gt;0,SUMPRODUCT((LeaseLock!$D$2:$D$500=B235)*(ISNUMBER(SEARCH(TRIM(LEFT(SUBSTITUTE(D235,",",REPT(" ",100)),100)),LeaseLock!$C$2:$C$500))))=0),1,0)</f>
        <v>0</v>
      </c>
      <c r="O235" s="90"/>
    </row>
    <row r="236" spans="14:15">
      <c r="N236" s="90" cm="1">
        <f t="array" ref="N236">IF(AND(OR(ISNUMBER(SEARCH("Eviction",E236)),ISNUMBER(SEARCH("Past",E236)),ISNUMBER(SEARCH("Skip",E236)),ISNUMBER(SEARCH("Collections",E236)),COUNTIF(Delinquency_Detail_3!$N$3:$N$24,D236)&gt;0),COUNTIF(Delinquency_Detail_3!$P$3:$P$24,D236)=0,I236&gt;0,SUMPRODUCT((LeaseLock!$D$2:$D$500=B236)*(ISNUMBER(SEARCH(TRIM(LEFT(SUBSTITUTE(D236,",",REPT(" ",100)),100)),LeaseLock!$C$2:$C$500))))=0),1,0)</f>
        <v>0</v>
      </c>
      <c r="O236" s="90"/>
    </row>
    <row r="237" spans="14:15">
      <c r="N237" s="90" cm="1">
        <f t="array" ref="N237">IF(AND(OR(ISNUMBER(SEARCH("Eviction",E237)),ISNUMBER(SEARCH("Past",E237)),ISNUMBER(SEARCH("Skip",E237)),ISNUMBER(SEARCH("Collections",E237)),COUNTIF(Delinquency_Detail_3!$N$3:$N$24,D237)&gt;0),COUNTIF(Delinquency_Detail_3!$P$3:$P$24,D237)=0,I237&gt;0,SUMPRODUCT((LeaseLock!$D$2:$D$500=B237)*(ISNUMBER(SEARCH(TRIM(LEFT(SUBSTITUTE(D237,",",REPT(" ",100)),100)),LeaseLock!$C$2:$C$500))))=0),1,0)</f>
        <v>0</v>
      </c>
      <c r="O237" s="90"/>
    </row>
    <row r="238" spans="14:15">
      <c r="N238" s="90" cm="1">
        <f t="array" ref="N238">IF(AND(OR(ISNUMBER(SEARCH("Eviction",E238)),ISNUMBER(SEARCH("Past",E238)),ISNUMBER(SEARCH("Skip",E238)),ISNUMBER(SEARCH("Collections",E238)),COUNTIF(Delinquency_Detail_3!$N$3:$N$24,D238)&gt;0),COUNTIF(Delinquency_Detail_3!$P$3:$P$24,D238)=0,I238&gt;0,SUMPRODUCT((LeaseLock!$D$2:$D$500=B238)*(ISNUMBER(SEARCH(TRIM(LEFT(SUBSTITUTE(D238,",",REPT(" ",100)),100)),LeaseLock!$C$2:$C$500))))=0),1,0)</f>
        <v>0</v>
      </c>
      <c r="O238" s="90"/>
    </row>
    <row r="239" spans="14:15">
      <c r="N239" s="90" cm="1">
        <f t="array" ref="N239">IF(AND(OR(ISNUMBER(SEARCH("Eviction",E239)),ISNUMBER(SEARCH("Past",E239)),ISNUMBER(SEARCH("Skip",E239)),ISNUMBER(SEARCH("Collections",E239)),COUNTIF(Delinquency_Detail_3!$N$3:$N$24,D239)&gt;0),COUNTIF(Delinquency_Detail_3!$P$3:$P$24,D239)=0,I239&gt;0,SUMPRODUCT((LeaseLock!$D$2:$D$500=B239)*(ISNUMBER(SEARCH(TRIM(LEFT(SUBSTITUTE(D239,",",REPT(" ",100)),100)),LeaseLock!$C$2:$C$500))))=0),1,0)</f>
        <v>0</v>
      </c>
      <c r="O239" s="90"/>
    </row>
    <row r="240" spans="14:15">
      <c r="N240" s="90" cm="1">
        <f t="array" ref="N240">IF(AND(OR(ISNUMBER(SEARCH("Eviction",E240)),ISNUMBER(SEARCH("Past",E240)),ISNUMBER(SEARCH("Skip",E240)),ISNUMBER(SEARCH("Collections",E240)),COUNTIF(Delinquency_Detail_3!$N$3:$N$24,D240)&gt;0),COUNTIF(Delinquency_Detail_3!$P$3:$P$24,D240)=0,I240&gt;0,SUMPRODUCT((LeaseLock!$D$2:$D$500=B240)*(ISNUMBER(SEARCH(TRIM(LEFT(SUBSTITUTE(D240,",",REPT(" ",100)),100)),LeaseLock!$C$2:$C$500))))=0),1,0)</f>
        <v>0</v>
      </c>
      <c r="O240" s="90"/>
    </row>
    <row r="241" spans="14:15">
      <c r="N241" s="90" cm="1">
        <f t="array" ref="N241">IF(AND(OR(ISNUMBER(SEARCH("Eviction",E241)),ISNUMBER(SEARCH("Past",E241)),ISNUMBER(SEARCH("Skip",E241)),ISNUMBER(SEARCH("Collections",E241)),COUNTIF(Delinquency_Detail_3!$N$3:$N$24,D241)&gt;0),COUNTIF(Delinquency_Detail_3!$P$3:$P$24,D241)=0,I241&gt;0,SUMPRODUCT((LeaseLock!$D$2:$D$500=B241)*(ISNUMBER(SEARCH(TRIM(LEFT(SUBSTITUTE(D241,",",REPT(" ",100)),100)),LeaseLock!$C$2:$C$500))))=0),1,0)</f>
        <v>0</v>
      </c>
      <c r="O241" s="90"/>
    </row>
    <row r="242" spans="14:15">
      <c r="N242" s="90" cm="1">
        <f t="array" ref="N242">IF(AND(OR(ISNUMBER(SEARCH("Eviction",E242)),ISNUMBER(SEARCH("Past",E242)),ISNUMBER(SEARCH("Skip",E242)),ISNUMBER(SEARCH("Collections",E242)),COUNTIF(Delinquency_Detail_3!$N$3:$N$24,D242)&gt;0),COUNTIF(Delinquency_Detail_3!$P$3:$P$24,D242)=0,I242&gt;0,SUMPRODUCT((LeaseLock!$D$2:$D$500=B242)*(ISNUMBER(SEARCH(TRIM(LEFT(SUBSTITUTE(D242,",",REPT(" ",100)),100)),LeaseLock!$C$2:$C$500))))=0),1,0)</f>
        <v>0</v>
      </c>
      <c r="O242" s="90"/>
    </row>
    <row r="243" spans="14:15">
      <c r="N243" s="90" cm="1">
        <f t="array" ref="N243">IF(AND(OR(ISNUMBER(SEARCH("Eviction",E243)),ISNUMBER(SEARCH("Past",E243)),ISNUMBER(SEARCH("Skip",E243)),ISNUMBER(SEARCH("Collections",E243)),COUNTIF(Delinquency_Detail_3!$N$3:$N$24,D243)&gt;0),COUNTIF(Delinquency_Detail_3!$P$3:$P$24,D243)=0,I243&gt;0,SUMPRODUCT((LeaseLock!$D$2:$D$500=B243)*(ISNUMBER(SEARCH(TRIM(LEFT(SUBSTITUTE(D243,",",REPT(" ",100)),100)),LeaseLock!$C$2:$C$500))))=0),1,0)</f>
        <v>0</v>
      </c>
      <c r="O243" s="90"/>
    </row>
    <row r="244" spans="14:15">
      <c r="N244" s="90" cm="1">
        <f t="array" ref="N244">IF(AND(OR(ISNUMBER(SEARCH("Eviction",E244)),ISNUMBER(SEARCH("Past",E244)),ISNUMBER(SEARCH("Skip",E244)),ISNUMBER(SEARCH("Collections",E244)),COUNTIF(Delinquency_Detail_3!$N$3:$N$24,D244)&gt;0),COUNTIF(Delinquency_Detail_3!$P$3:$P$24,D244)=0,I244&gt;0,SUMPRODUCT((LeaseLock!$D$2:$D$500=B244)*(ISNUMBER(SEARCH(TRIM(LEFT(SUBSTITUTE(D244,",",REPT(" ",100)),100)),LeaseLock!$C$2:$C$500))))=0),1,0)</f>
        <v>0</v>
      </c>
      <c r="O244" s="90"/>
    </row>
    <row r="245" spans="14:15">
      <c r="N245" s="90" cm="1">
        <f t="array" ref="N245">IF(AND(OR(ISNUMBER(SEARCH("Eviction",E245)),ISNUMBER(SEARCH("Past",E245)),ISNUMBER(SEARCH("Skip",E245)),ISNUMBER(SEARCH("Collections",E245)),COUNTIF(Delinquency_Detail_3!$N$3:$N$24,D245)&gt;0),COUNTIF(Delinquency_Detail_3!$P$3:$P$24,D245)=0,I245&gt;0,SUMPRODUCT((LeaseLock!$D$2:$D$500=B245)*(ISNUMBER(SEARCH(TRIM(LEFT(SUBSTITUTE(D245,",",REPT(" ",100)),100)),LeaseLock!$C$2:$C$500))))=0),1,0)</f>
        <v>0</v>
      </c>
      <c r="O245" s="90"/>
    </row>
    <row r="246" spans="14:15">
      <c r="N246" s="90" cm="1">
        <f t="array" ref="N246">IF(AND(OR(ISNUMBER(SEARCH("Eviction",E246)),ISNUMBER(SEARCH("Past",E246)),ISNUMBER(SEARCH("Skip",E246)),ISNUMBER(SEARCH("Collections",E246)),COUNTIF(Delinquency_Detail_3!$N$3:$N$24,D246)&gt;0),COUNTIF(Delinquency_Detail_3!$P$3:$P$24,D246)=0,I246&gt;0,SUMPRODUCT((LeaseLock!$D$2:$D$500=B246)*(ISNUMBER(SEARCH(TRIM(LEFT(SUBSTITUTE(D246,",",REPT(" ",100)),100)),LeaseLock!$C$2:$C$500))))=0),1,0)</f>
        <v>0</v>
      </c>
      <c r="O246" s="90"/>
    </row>
    <row r="247" spans="14:15">
      <c r="N247" s="90" cm="1">
        <f t="array" ref="N247">IF(AND(OR(ISNUMBER(SEARCH("Eviction",E247)),ISNUMBER(SEARCH("Past",E247)),ISNUMBER(SEARCH("Skip",E247)),ISNUMBER(SEARCH("Collections",E247)),COUNTIF(Delinquency_Detail_3!$N$3:$N$24,D247)&gt;0),COUNTIF(Delinquency_Detail_3!$P$3:$P$24,D247)=0,I247&gt;0,SUMPRODUCT((LeaseLock!$D$2:$D$500=B247)*(ISNUMBER(SEARCH(TRIM(LEFT(SUBSTITUTE(D247,",",REPT(" ",100)),100)),LeaseLock!$C$2:$C$500))))=0),1,0)</f>
        <v>0</v>
      </c>
      <c r="O247" s="90"/>
    </row>
    <row r="248" spans="14:15">
      <c r="N248" s="90" cm="1">
        <f t="array" ref="N248">IF(AND(OR(ISNUMBER(SEARCH("Eviction",E248)),ISNUMBER(SEARCH("Past",E248)),ISNUMBER(SEARCH("Skip",E248)),ISNUMBER(SEARCH("Collections",E248)),COUNTIF(Delinquency_Detail_3!$N$3:$N$24,D248)&gt;0),COUNTIF(Delinquency_Detail_3!$P$3:$P$24,D248)=0,I248&gt;0,SUMPRODUCT((LeaseLock!$D$2:$D$500=B248)*(ISNUMBER(SEARCH(TRIM(LEFT(SUBSTITUTE(D248,",",REPT(" ",100)),100)),LeaseLock!$C$2:$C$500))))=0),1,0)</f>
        <v>0</v>
      </c>
      <c r="O248" s="90"/>
    </row>
    <row r="249" spans="14:15">
      <c r="N249" s="90" cm="1">
        <f t="array" ref="N249">IF(AND(OR(ISNUMBER(SEARCH("Eviction",E249)),ISNUMBER(SEARCH("Past",E249)),ISNUMBER(SEARCH("Skip",E249)),ISNUMBER(SEARCH("Collections",E249)),COUNTIF(Delinquency_Detail_3!$N$3:$N$24,D249)&gt;0),COUNTIF(Delinquency_Detail_3!$P$3:$P$24,D249)=0,I249&gt;0,SUMPRODUCT((LeaseLock!$D$2:$D$500=B249)*(ISNUMBER(SEARCH(TRIM(LEFT(SUBSTITUTE(D249,",",REPT(" ",100)),100)),LeaseLock!$C$2:$C$500))))=0),1,0)</f>
        <v>0</v>
      </c>
      <c r="O249" s="90"/>
    </row>
    <row r="250" spans="14:15">
      <c r="N250" s="90" cm="1">
        <f t="array" ref="N250">IF(AND(OR(ISNUMBER(SEARCH("Eviction",E250)),ISNUMBER(SEARCH("Past",E250)),ISNUMBER(SEARCH("Skip",E250)),ISNUMBER(SEARCH("Collections",E250)),COUNTIF(Delinquency_Detail_3!$N$3:$N$24,D250)&gt;0),COUNTIF(Delinquency_Detail_3!$P$3:$P$24,D250)=0,I250&gt;0,SUMPRODUCT((LeaseLock!$D$2:$D$500=B250)*(ISNUMBER(SEARCH(TRIM(LEFT(SUBSTITUTE(D250,",",REPT(" ",100)),100)),LeaseLock!$C$2:$C$500))))=0),1,0)</f>
        <v>0</v>
      </c>
      <c r="O250" s="90"/>
    </row>
    <row r="251" spans="14:15">
      <c r="N251" s="90" cm="1">
        <f t="array" ref="N251">IF(AND(OR(ISNUMBER(SEARCH("Eviction",E251)),ISNUMBER(SEARCH("Past",E251)),ISNUMBER(SEARCH("Skip",E251)),ISNUMBER(SEARCH("Collections",E251)),COUNTIF(Delinquency_Detail_3!$N$3:$N$24,D251)&gt;0),COUNTIF(Delinquency_Detail_3!$P$3:$P$24,D251)=0,I251&gt;0,SUMPRODUCT((LeaseLock!$D$2:$D$500=B251)*(ISNUMBER(SEARCH(TRIM(LEFT(SUBSTITUTE(D251,",",REPT(" ",100)),100)),LeaseLock!$C$2:$C$500))))=0),1,0)</f>
        <v>0</v>
      </c>
      <c r="O251" s="90"/>
    </row>
    <row r="252" spans="14:15">
      <c r="N252" s="90" cm="1">
        <f t="array" ref="N252">IF(AND(OR(ISNUMBER(SEARCH("Eviction",E252)),ISNUMBER(SEARCH("Past",E252)),ISNUMBER(SEARCH("Skip",E252)),ISNUMBER(SEARCH("Collections",E252)),COUNTIF(Delinquency_Detail_3!$N$3:$N$24,D252)&gt;0),COUNTIF(Delinquency_Detail_3!$P$3:$P$24,D252)=0,I252&gt;0,SUMPRODUCT((LeaseLock!$D$2:$D$500=B252)*(ISNUMBER(SEARCH(TRIM(LEFT(SUBSTITUTE(D252,",",REPT(" ",100)),100)),LeaseLock!$C$2:$C$500))))=0),1,0)</f>
        <v>0</v>
      </c>
      <c r="O252" s="90"/>
    </row>
    <row r="253" spans="14:15">
      <c r="N253" s="90" cm="1">
        <f t="array" ref="N253">IF(AND(OR(ISNUMBER(SEARCH("Eviction",E253)),ISNUMBER(SEARCH("Past",E253)),ISNUMBER(SEARCH("Skip",E253)),ISNUMBER(SEARCH("Collections",E253)),COUNTIF(Delinquency_Detail_3!$N$3:$N$24,D253)&gt;0),COUNTIF(Delinquency_Detail_3!$P$3:$P$24,D253)=0,I253&gt;0,SUMPRODUCT((LeaseLock!$D$2:$D$500=B253)*(ISNUMBER(SEARCH(TRIM(LEFT(SUBSTITUTE(D253,",",REPT(" ",100)),100)),LeaseLock!$C$2:$C$500))))=0),1,0)</f>
        <v>0</v>
      </c>
      <c r="O253" s="90"/>
    </row>
    <row r="254" spans="14:15">
      <c r="N254" s="90" cm="1">
        <f t="array" ref="N254">IF(AND(OR(ISNUMBER(SEARCH("Eviction",E254)),ISNUMBER(SEARCH("Past",E254)),ISNUMBER(SEARCH("Skip",E254)),ISNUMBER(SEARCH("Collections",E254)),COUNTIF(Delinquency_Detail_3!$N$3:$N$24,D254)&gt;0),COUNTIF(Delinquency_Detail_3!$P$3:$P$24,D254)=0,I254&gt;0,SUMPRODUCT((LeaseLock!$D$2:$D$500=B254)*(ISNUMBER(SEARCH(TRIM(LEFT(SUBSTITUTE(D254,",",REPT(" ",100)),100)),LeaseLock!$C$2:$C$500))))=0),1,0)</f>
        <v>0</v>
      </c>
      <c r="O254" s="90"/>
    </row>
    <row r="255" spans="14:15">
      <c r="N255" s="90" cm="1">
        <f t="array" ref="N255">IF(AND(OR(ISNUMBER(SEARCH("Eviction",E255)),ISNUMBER(SEARCH("Past",E255)),ISNUMBER(SEARCH("Skip",E255)),ISNUMBER(SEARCH("Collections",E255)),COUNTIF(Delinquency_Detail_3!$N$3:$N$24,D255)&gt;0),COUNTIF(Delinquency_Detail_3!$P$3:$P$24,D255)=0,I255&gt;0,SUMPRODUCT((LeaseLock!$D$2:$D$500=B255)*(ISNUMBER(SEARCH(TRIM(LEFT(SUBSTITUTE(D255,",",REPT(" ",100)),100)),LeaseLock!$C$2:$C$500))))=0),1,0)</f>
        <v>0</v>
      </c>
      <c r="O255" s="90"/>
    </row>
    <row r="256" spans="14:15">
      <c r="N256" s="90" cm="1">
        <f t="array" ref="N256">IF(AND(OR(ISNUMBER(SEARCH("Eviction",E256)),ISNUMBER(SEARCH("Past",E256)),ISNUMBER(SEARCH("Skip",E256)),ISNUMBER(SEARCH("Collections",E256)),COUNTIF(Delinquency_Detail_3!$N$3:$N$24,D256)&gt;0),COUNTIF(Delinquency_Detail_3!$P$3:$P$24,D256)=0,I256&gt;0,SUMPRODUCT((LeaseLock!$D$2:$D$500=B256)*(ISNUMBER(SEARCH(TRIM(LEFT(SUBSTITUTE(D256,",",REPT(" ",100)),100)),LeaseLock!$C$2:$C$500))))=0),1,0)</f>
        <v>0</v>
      </c>
      <c r="O256" s="90"/>
    </row>
    <row r="257" spans="14:15">
      <c r="N257" s="90" cm="1">
        <f t="array" ref="N257">IF(AND(OR(ISNUMBER(SEARCH("Eviction",E257)),ISNUMBER(SEARCH("Past",E257)),ISNUMBER(SEARCH("Skip",E257)),ISNUMBER(SEARCH("Collections",E257)),COUNTIF(Delinquency_Detail_3!$N$3:$N$24,D257)&gt;0),COUNTIF(Delinquency_Detail_3!$P$3:$P$24,D257)=0,I257&gt;0,SUMPRODUCT((LeaseLock!$D$2:$D$500=B257)*(ISNUMBER(SEARCH(TRIM(LEFT(SUBSTITUTE(D257,",",REPT(" ",100)),100)),LeaseLock!$C$2:$C$500))))=0),1,0)</f>
        <v>0</v>
      </c>
      <c r="O257" s="90"/>
    </row>
    <row r="258" spans="14:15">
      <c r="N258" s="90" cm="1">
        <f t="array" ref="N258">IF(AND(OR(ISNUMBER(SEARCH("Eviction",E258)),ISNUMBER(SEARCH("Past",E258)),ISNUMBER(SEARCH("Skip",E258)),ISNUMBER(SEARCH("Collections",E258)),COUNTIF(Delinquency_Detail_3!$N$3:$N$24,D258)&gt;0),COUNTIF(Delinquency_Detail_3!$P$3:$P$24,D258)=0,I258&gt;0,SUMPRODUCT((LeaseLock!$D$2:$D$500=B258)*(ISNUMBER(SEARCH(TRIM(LEFT(SUBSTITUTE(D258,",",REPT(" ",100)),100)),LeaseLock!$C$2:$C$500))))=0),1,0)</f>
        <v>0</v>
      </c>
      <c r="O258" s="90"/>
    </row>
    <row r="259" spans="14:15">
      <c r="N259" s="90" cm="1">
        <f t="array" ref="N259">IF(AND(OR(ISNUMBER(SEARCH("Eviction",E259)),ISNUMBER(SEARCH("Past",E259)),ISNUMBER(SEARCH("Skip",E259)),ISNUMBER(SEARCH("Collections",E259)),COUNTIF(Delinquency_Detail_3!$N$3:$N$24,D259)&gt;0),COUNTIF(Delinquency_Detail_3!$P$3:$P$24,D259)=0,I259&gt;0,SUMPRODUCT((LeaseLock!$D$2:$D$500=B259)*(ISNUMBER(SEARCH(TRIM(LEFT(SUBSTITUTE(D259,",",REPT(" ",100)),100)),LeaseLock!$C$2:$C$500))))=0),1,0)</f>
        <v>0</v>
      </c>
      <c r="O259" s="90"/>
    </row>
    <row r="260" spans="14:15">
      <c r="N260" s="90" cm="1">
        <f t="array" ref="N260">IF(AND(OR(ISNUMBER(SEARCH("Eviction",E260)),ISNUMBER(SEARCH("Past",E260)),ISNUMBER(SEARCH("Skip",E260)),ISNUMBER(SEARCH("Collections",E260)),COUNTIF(Delinquency_Detail_3!$N$3:$N$24,D260)&gt;0),COUNTIF(Delinquency_Detail_3!$P$3:$P$24,D260)=0,I260&gt;0,SUMPRODUCT((LeaseLock!$D$2:$D$500=B260)*(ISNUMBER(SEARCH(TRIM(LEFT(SUBSTITUTE(D260,",",REPT(" ",100)),100)),LeaseLock!$C$2:$C$500))))=0),1,0)</f>
        <v>0</v>
      </c>
      <c r="O260" s="90"/>
    </row>
    <row r="261" spans="14:15">
      <c r="N261" s="90" cm="1">
        <f t="array" ref="N261">IF(AND(OR(ISNUMBER(SEARCH("Eviction",E261)),ISNUMBER(SEARCH("Past",E261)),ISNUMBER(SEARCH("Skip",E261)),ISNUMBER(SEARCH("Collections",E261)),COUNTIF(Delinquency_Detail_3!$N$3:$N$24,D261)&gt;0),COUNTIF(Delinquency_Detail_3!$P$3:$P$24,D261)=0,I261&gt;0,SUMPRODUCT((LeaseLock!$D$2:$D$500=B261)*(ISNUMBER(SEARCH(TRIM(LEFT(SUBSTITUTE(D261,",",REPT(" ",100)),100)),LeaseLock!$C$2:$C$500))))=0),1,0)</f>
        <v>0</v>
      </c>
      <c r="O261" s="90"/>
    </row>
    <row r="262" spans="14:15">
      <c r="N262" s="90" cm="1">
        <f t="array" ref="N262">IF(AND(OR(ISNUMBER(SEARCH("Eviction",E262)),ISNUMBER(SEARCH("Past",E262)),ISNUMBER(SEARCH("Skip",E262)),ISNUMBER(SEARCH("Collections",E262)),COUNTIF(Delinquency_Detail_3!$N$3:$N$24,D262)&gt;0),COUNTIF(Delinquency_Detail_3!$P$3:$P$24,D262)=0,I262&gt;0,SUMPRODUCT((LeaseLock!$D$2:$D$500=B262)*(ISNUMBER(SEARCH(TRIM(LEFT(SUBSTITUTE(D262,",",REPT(" ",100)),100)),LeaseLock!$C$2:$C$500))))=0),1,0)</f>
        <v>0</v>
      </c>
      <c r="O262" s="90"/>
    </row>
    <row r="263" spans="14:15">
      <c r="N263" s="90" cm="1">
        <f t="array" ref="N263">IF(AND(OR(ISNUMBER(SEARCH("Eviction",E263)),ISNUMBER(SEARCH("Past",E263)),ISNUMBER(SEARCH("Skip",E263)),ISNUMBER(SEARCH("Collections",E263)),COUNTIF(Delinquency_Detail_3!$N$3:$N$24,D263)&gt;0),COUNTIF(Delinquency_Detail_3!$P$3:$P$24,D263)=0,I263&gt;0,SUMPRODUCT((LeaseLock!$D$2:$D$500=B263)*(ISNUMBER(SEARCH(TRIM(LEFT(SUBSTITUTE(D263,",",REPT(" ",100)),100)),LeaseLock!$C$2:$C$500))))=0),1,0)</f>
        <v>0</v>
      </c>
      <c r="O263" s="90"/>
    </row>
    <row r="264" spans="14:15">
      <c r="N264" s="90" cm="1">
        <f t="array" ref="N264">IF(AND(OR(ISNUMBER(SEARCH("Eviction",E264)),ISNUMBER(SEARCH("Past",E264)),ISNUMBER(SEARCH("Skip",E264)),ISNUMBER(SEARCH("Collections",E264)),COUNTIF(Delinquency_Detail_3!$N$3:$N$24,D264)&gt;0),COUNTIF(Delinquency_Detail_3!$P$3:$P$24,D264)=0,I264&gt;0,SUMPRODUCT((LeaseLock!$D$2:$D$500=B264)*(ISNUMBER(SEARCH(TRIM(LEFT(SUBSTITUTE(D264,",",REPT(" ",100)),100)),LeaseLock!$C$2:$C$500))))=0),1,0)</f>
        <v>0</v>
      </c>
      <c r="O264" s="90"/>
    </row>
    <row r="265" spans="14:15">
      <c r="N265" s="90" cm="1">
        <f t="array" ref="N265">IF(AND(OR(ISNUMBER(SEARCH("Eviction",E265)),ISNUMBER(SEARCH("Past",E265)),ISNUMBER(SEARCH("Skip",E265)),ISNUMBER(SEARCH("Collections",E265)),COUNTIF(Delinquency_Detail_3!$N$3:$N$24,D265)&gt;0),COUNTIF(Delinquency_Detail_3!$P$3:$P$24,D265)=0,I265&gt;0,SUMPRODUCT((LeaseLock!$D$2:$D$500=B265)*(ISNUMBER(SEARCH(TRIM(LEFT(SUBSTITUTE(D265,",",REPT(" ",100)),100)),LeaseLock!$C$2:$C$500))))=0),1,0)</f>
        <v>0</v>
      </c>
      <c r="O265" s="90"/>
    </row>
    <row r="266" spans="14:15">
      <c r="N266" s="90" cm="1">
        <f t="array" ref="N266">IF(AND(OR(ISNUMBER(SEARCH("Eviction",E266)),ISNUMBER(SEARCH("Past",E266)),ISNUMBER(SEARCH("Skip",E266)),ISNUMBER(SEARCH("Collections",E266)),COUNTIF(Delinquency_Detail_3!$N$3:$N$24,D266)&gt;0),COUNTIF(Delinquency_Detail_3!$P$3:$P$24,D266)=0,I266&gt;0,SUMPRODUCT((LeaseLock!$D$2:$D$500=B266)*(ISNUMBER(SEARCH(TRIM(LEFT(SUBSTITUTE(D266,",",REPT(" ",100)),100)),LeaseLock!$C$2:$C$500))))=0),1,0)</f>
        <v>0</v>
      </c>
      <c r="O266" s="90"/>
    </row>
    <row r="267" spans="14:15">
      <c r="N267" s="90" cm="1">
        <f t="array" ref="N267">IF(AND(OR(ISNUMBER(SEARCH("Eviction",E267)),ISNUMBER(SEARCH("Past",E267)),ISNUMBER(SEARCH("Skip",E267)),ISNUMBER(SEARCH("Collections",E267)),COUNTIF(Delinquency_Detail_3!$N$3:$N$24,D267)&gt;0),COUNTIF(Delinquency_Detail_3!$P$3:$P$24,D267)=0,I267&gt;0,SUMPRODUCT((LeaseLock!$D$2:$D$500=B267)*(ISNUMBER(SEARCH(TRIM(LEFT(SUBSTITUTE(D267,",",REPT(" ",100)),100)),LeaseLock!$C$2:$C$500))))=0),1,0)</f>
        <v>0</v>
      </c>
      <c r="O267" s="90"/>
    </row>
    <row r="268" spans="14:15">
      <c r="N268" s="90" cm="1">
        <f t="array" ref="N268">IF(AND(OR(ISNUMBER(SEARCH("Eviction",E268)),ISNUMBER(SEARCH("Past",E268)),ISNUMBER(SEARCH("Skip",E268)),ISNUMBER(SEARCH("Collections",E268)),COUNTIF(Delinquency_Detail_3!$N$3:$N$24,D268)&gt;0),COUNTIF(Delinquency_Detail_3!$P$3:$P$24,D268)=0,I268&gt;0,SUMPRODUCT((LeaseLock!$D$2:$D$500=B268)*(ISNUMBER(SEARCH(TRIM(LEFT(SUBSTITUTE(D268,",",REPT(" ",100)),100)),LeaseLock!$C$2:$C$500))))=0),1,0)</f>
        <v>0</v>
      </c>
      <c r="O268" s="90"/>
    </row>
    <row r="269" spans="14:15">
      <c r="N269" s="90" cm="1">
        <f t="array" ref="N269">IF(AND(OR(ISNUMBER(SEARCH("Eviction",E269)),ISNUMBER(SEARCH("Past",E269)),ISNUMBER(SEARCH("Skip",E269)),ISNUMBER(SEARCH("Collections",E269)),COUNTIF(Delinquency_Detail_3!$N$3:$N$24,D269)&gt;0),COUNTIF(Delinquency_Detail_3!$P$3:$P$24,D269)=0,I269&gt;0,SUMPRODUCT((LeaseLock!$D$2:$D$500=B269)*(ISNUMBER(SEARCH(TRIM(LEFT(SUBSTITUTE(D269,",",REPT(" ",100)),100)),LeaseLock!$C$2:$C$500))))=0),1,0)</f>
        <v>0</v>
      </c>
      <c r="O269" s="90"/>
    </row>
    <row r="270" spans="14:15">
      <c r="N270" s="90" cm="1">
        <f t="array" ref="N270">IF(AND(OR(ISNUMBER(SEARCH("Eviction",E270)),ISNUMBER(SEARCH("Past",E270)),ISNUMBER(SEARCH("Skip",E270)),ISNUMBER(SEARCH("Collections",E270)),COUNTIF(Delinquency_Detail_3!$N$3:$N$24,D270)&gt;0),COUNTIF(Delinquency_Detail_3!$P$3:$P$24,D270)=0,I270&gt;0,SUMPRODUCT((LeaseLock!$D$2:$D$500=B270)*(ISNUMBER(SEARCH(TRIM(LEFT(SUBSTITUTE(D270,",",REPT(" ",100)),100)),LeaseLock!$C$2:$C$500))))=0),1,0)</f>
        <v>0</v>
      </c>
      <c r="O270" s="90"/>
    </row>
    <row r="271" spans="14:15">
      <c r="N271" s="90" cm="1">
        <f t="array" ref="N271">IF(AND(OR(ISNUMBER(SEARCH("Eviction",E271)),ISNUMBER(SEARCH("Past",E271)),ISNUMBER(SEARCH("Skip",E271)),ISNUMBER(SEARCH("Collections",E271)),COUNTIF(Delinquency_Detail_3!$N$3:$N$24,D271)&gt;0),COUNTIF(Delinquency_Detail_3!$P$3:$P$24,D271)=0,I271&gt;0,SUMPRODUCT((LeaseLock!$D$2:$D$500=B271)*(ISNUMBER(SEARCH(TRIM(LEFT(SUBSTITUTE(D271,",",REPT(" ",100)),100)),LeaseLock!$C$2:$C$500))))=0),1,0)</f>
        <v>0</v>
      </c>
      <c r="O271" s="90"/>
    </row>
    <row r="272" spans="14:15">
      <c r="N272" s="90" cm="1">
        <f t="array" ref="N272">IF(AND(OR(ISNUMBER(SEARCH("Eviction",E272)),ISNUMBER(SEARCH("Past",E272)),ISNUMBER(SEARCH("Skip",E272)),ISNUMBER(SEARCH("Collections",E272)),COUNTIF(Delinquency_Detail_3!$N$3:$N$24,D272)&gt;0),COUNTIF(Delinquency_Detail_3!$P$3:$P$24,D272)=0,I272&gt;0,SUMPRODUCT((LeaseLock!$D$2:$D$500=B272)*(ISNUMBER(SEARCH(TRIM(LEFT(SUBSTITUTE(D272,",",REPT(" ",100)),100)),LeaseLock!$C$2:$C$500))))=0),1,0)</f>
        <v>0</v>
      </c>
      <c r="O272" s="90"/>
    </row>
    <row r="273" spans="14:15">
      <c r="N273" s="90" cm="1">
        <f t="array" ref="N273">IF(AND(OR(ISNUMBER(SEARCH("Eviction",E273)),ISNUMBER(SEARCH("Past",E273)),ISNUMBER(SEARCH("Skip",E273)),ISNUMBER(SEARCH("Collections",E273)),COUNTIF(Delinquency_Detail_3!$N$3:$N$24,D273)&gt;0),COUNTIF(Delinquency_Detail_3!$P$3:$P$24,D273)=0,I273&gt;0,SUMPRODUCT((LeaseLock!$D$2:$D$500=B273)*(ISNUMBER(SEARCH(TRIM(LEFT(SUBSTITUTE(D273,",",REPT(" ",100)),100)),LeaseLock!$C$2:$C$500))))=0),1,0)</f>
        <v>0</v>
      </c>
      <c r="O273" s="90"/>
    </row>
    <row r="274" spans="14:15">
      <c r="N274" s="90" cm="1">
        <f t="array" ref="N274">IF(AND(OR(ISNUMBER(SEARCH("Eviction",E274)),ISNUMBER(SEARCH("Past",E274)),ISNUMBER(SEARCH("Skip",E274)),ISNUMBER(SEARCH("Collections",E274)),COUNTIF(Delinquency_Detail_3!$N$3:$N$24,D274)&gt;0),COUNTIF(Delinquency_Detail_3!$P$3:$P$24,D274)=0,I274&gt;0,SUMPRODUCT((LeaseLock!$D$2:$D$500=B274)*(ISNUMBER(SEARCH(TRIM(LEFT(SUBSTITUTE(D274,",",REPT(" ",100)),100)),LeaseLock!$C$2:$C$500))))=0),1,0)</f>
        <v>0</v>
      </c>
      <c r="O274" s="90"/>
    </row>
    <row r="275" spans="14:15">
      <c r="N275" s="90" cm="1">
        <f t="array" ref="N275">IF(AND(OR(ISNUMBER(SEARCH("Eviction",E275)),ISNUMBER(SEARCH("Past",E275)),ISNUMBER(SEARCH("Skip",E275)),ISNUMBER(SEARCH("Collections",E275)),COUNTIF(Delinquency_Detail_3!$N$3:$N$24,D275)&gt;0),COUNTIF(Delinquency_Detail_3!$P$3:$P$24,D275)=0,I275&gt;0,SUMPRODUCT((LeaseLock!$D$2:$D$500=B275)*(ISNUMBER(SEARCH(TRIM(LEFT(SUBSTITUTE(D275,",",REPT(" ",100)),100)),LeaseLock!$C$2:$C$500))))=0),1,0)</f>
        <v>0</v>
      </c>
      <c r="O275" s="91"/>
    </row>
    <row r="276" spans="14:15">
      <c r="N276" s="90" cm="1">
        <f t="array" ref="N276">IF(AND(OR(ISNUMBER(SEARCH("Eviction",E276)),ISNUMBER(SEARCH("Past",E276)),ISNUMBER(SEARCH("Skip",E276)),ISNUMBER(SEARCH("Collections",E276)),COUNTIF(Delinquency_Detail_3!$N$3:$N$24,D276)&gt;0),COUNTIF(Delinquency_Detail_3!$P$3:$P$24,D276)=0,I276&gt;0,SUMPRODUCT((LeaseLock!$D$2:$D$500=B276)*(ISNUMBER(SEARCH(TRIM(LEFT(SUBSTITUTE(D276,",",REPT(" ",100)),100)),LeaseLock!$C$2:$C$500))))=0),1,0)</f>
        <v>0</v>
      </c>
      <c r="O276" s="91"/>
    </row>
    <row r="277" spans="14:15">
      <c r="N277" s="90" cm="1">
        <f t="array" ref="N277">IF(AND(OR(ISNUMBER(SEARCH("Eviction",E277)),ISNUMBER(SEARCH("Past",E277)),ISNUMBER(SEARCH("Skip",E277)),ISNUMBER(SEARCH("Collections",E277)),COUNTIF(Delinquency_Detail_3!$N$3:$N$24,D277)&gt;0),COUNTIF(Delinquency_Detail_3!$P$3:$P$24,D277)=0,I277&gt;0,SUMPRODUCT((LeaseLock!$D$2:$D$500=B277)*(ISNUMBER(SEARCH(TRIM(LEFT(SUBSTITUTE(D277,",",REPT(" ",100)),100)),LeaseLock!$C$2:$C$500))))=0),1,0)</f>
        <v>0</v>
      </c>
      <c r="O277" s="91"/>
    </row>
    <row r="278" spans="14:15">
      <c r="N278" s="90" cm="1">
        <f t="array" ref="N278">IF(AND(OR(ISNUMBER(SEARCH("Eviction",E278)),ISNUMBER(SEARCH("Past",E278)),ISNUMBER(SEARCH("Skip",E278)),ISNUMBER(SEARCH("Collections",E278)),COUNTIF(Delinquency_Detail_3!$N$3:$N$24,D278)&gt;0),COUNTIF(Delinquency_Detail_3!$P$3:$P$24,D278)=0,I278&gt;0,SUMPRODUCT((LeaseLock!$D$2:$D$500=B278)*(ISNUMBER(SEARCH(TRIM(LEFT(SUBSTITUTE(D278,",",REPT(" ",100)),100)),LeaseLock!$C$2:$C$500))))=0),1,0)</f>
        <v>0</v>
      </c>
      <c r="O278" s="91"/>
    </row>
    <row r="279" spans="14:15">
      <c r="N279" s="90" cm="1">
        <f t="array" ref="N279">IF(AND(OR(ISNUMBER(SEARCH("Eviction",E279)),ISNUMBER(SEARCH("Past",E279)),ISNUMBER(SEARCH("Skip",E279)),ISNUMBER(SEARCH("Collections",E279)),COUNTIF(Delinquency_Detail_3!$N$3:$N$24,D279)&gt;0),COUNTIF(Delinquency_Detail_3!$P$3:$P$24,D279)=0,I279&gt;0,SUMPRODUCT((LeaseLock!$D$2:$D$500=B279)*(ISNUMBER(SEARCH(TRIM(LEFT(SUBSTITUTE(D279,",",REPT(" ",100)),100)),LeaseLock!$C$2:$C$500))))=0),1,0)</f>
        <v>0</v>
      </c>
      <c r="O279" s="91"/>
    </row>
    <row r="280" spans="14:15">
      <c r="N280" s="90" cm="1">
        <f t="array" ref="N280">IF(AND(OR(ISNUMBER(SEARCH("Eviction",E280)),ISNUMBER(SEARCH("Past",E280)),ISNUMBER(SEARCH("Skip",E280)),ISNUMBER(SEARCH("Collections",E280)),COUNTIF(Delinquency_Detail_3!$N$3:$N$24,D280)&gt;0),COUNTIF(Delinquency_Detail_3!$P$3:$P$24,D280)=0,I280&gt;0,SUMPRODUCT((LeaseLock!$D$2:$D$500=B280)*(ISNUMBER(SEARCH(TRIM(LEFT(SUBSTITUTE(D280,",",REPT(" ",100)),100)),LeaseLock!$C$2:$C$500))))=0),1,0)</f>
        <v>0</v>
      </c>
      <c r="O280" s="91"/>
    </row>
    <row r="281" spans="14:15">
      <c r="N281" s="90" cm="1">
        <f t="array" ref="N281">IF(AND(OR(ISNUMBER(SEARCH("Eviction",E281)),ISNUMBER(SEARCH("Past",E281)),ISNUMBER(SEARCH("Skip",E281)),ISNUMBER(SEARCH("Collections",E281)),COUNTIF(Delinquency_Detail_3!$N$3:$N$24,D281)&gt;0),COUNTIF(Delinquency_Detail_3!$P$3:$P$24,D281)=0,I281&gt;0,SUMPRODUCT((LeaseLock!$D$2:$D$500=B281)*(ISNUMBER(SEARCH(TRIM(LEFT(SUBSTITUTE(D281,",",REPT(" ",100)),100)),LeaseLock!$C$2:$C$500))))=0),1,0)</f>
        <v>0</v>
      </c>
      <c r="O281" s="91"/>
    </row>
    <row r="282" spans="14:15">
      <c r="N282" s="90" cm="1">
        <f t="array" ref="N282">IF(AND(OR(ISNUMBER(SEARCH("Eviction",E282)),ISNUMBER(SEARCH("Past",E282)),ISNUMBER(SEARCH("Skip",E282)),ISNUMBER(SEARCH("Collections",E282)),COUNTIF(Delinquency_Detail_3!$N$3:$N$24,D282)&gt;0),COUNTIF(Delinquency_Detail_3!$P$3:$P$24,D282)=0,I282&gt;0,SUMPRODUCT((LeaseLock!$D$2:$D$500=B282)*(ISNUMBER(SEARCH(TRIM(LEFT(SUBSTITUTE(D282,",",REPT(" ",100)),100)),LeaseLock!$C$2:$C$500))))=0),1,0)</f>
        <v>0</v>
      </c>
      <c r="O282" s="91"/>
    </row>
    <row r="283" spans="14:15">
      <c r="N283" s="90" cm="1">
        <f t="array" ref="N283">IF(AND(OR(ISNUMBER(SEARCH("Eviction",E283)),ISNUMBER(SEARCH("Past",E283)),ISNUMBER(SEARCH("Skip",E283)),ISNUMBER(SEARCH("Collections",E283)),COUNTIF(Delinquency_Detail_3!$N$3:$N$24,D283)&gt;0),COUNTIF(Delinquency_Detail_3!$P$3:$P$24,D283)=0,I283&gt;0,SUMPRODUCT((LeaseLock!$D$2:$D$500=B283)*(ISNUMBER(SEARCH(TRIM(LEFT(SUBSTITUTE(D283,",",REPT(" ",100)),100)),LeaseLock!$C$2:$C$500))))=0),1,0)</f>
        <v>0</v>
      </c>
      <c r="O283" s="91"/>
    </row>
    <row r="284" spans="14:15">
      <c r="N284" s="90" cm="1">
        <f t="array" ref="N284">IF(AND(OR(ISNUMBER(SEARCH("Eviction",E284)),ISNUMBER(SEARCH("Past",E284)),ISNUMBER(SEARCH("Skip",E284)),ISNUMBER(SEARCH("Collections",E284)),COUNTIF(Delinquency_Detail_3!$N$3:$N$24,D284)&gt;0),COUNTIF(Delinquency_Detail_3!$P$3:$P$24,D284)=0,I284&gt;0,SUMPRODUCT((LeaseLock!$D$2:$D$500=B284)*(ISNUMBER(SEARCH(TRIM(LEFT(SUBSTITUTE(D284,",",REPT(" ",100)),100)),LeaseLock!$C$2:$C$500))))=0),1,0)</f>
        <v>0</v>
      </c>
      <c r="O284" s="91"/>
    </row>
    <row r="285" spans="14:15">
      <c r="N285" s="90"/>
      <c r="O285" s="91"/>
    </row>
    <row r="286" spans="14:15">
      <c r="N286" s="90"/>
      <c r="O286" s="91"/>
    </row>
    <row r="287" spans="14:15">
      <c r="N287" s="90"/>
      <c r="O287" s="91"/>
    </row>
    <row r="288" spans="14:15">
      <c r="N288" s="90"/>
      <c r="O288" s="91"/>
    </row>
    <row r="289" spans="14:15">
      <c r="N289" s="90"/>
      <c r="O289" s="91"/>
    </row>
    <row r="290" spans="14:15">
      <c r="N290" s="90"/>
      <c r="O290" s="91"/>
    </row>
    <row r="291" spans="14:15">
      <c r="N291" s="90"/>
      <c r="O291" s="91"/>
    </row>
    <row r="292" spans="14:15">
      <c r="N292" s="90"/>
      <c r="O292" s="91"/>
    </row>
    <row r="293" spans="14:15">
      <c r="N293" s="90"/>
      <c r="O293" s="91"/>
    </row>
    <row r="294" spans="14:15">
      <c r="N294" s="90"/>
      <c r="O294" s="91"/>
    </row>
    <row r="295" spans="14:15">
      <c r="N295" s="90"/>
      <c r="O295" s="91"/>
    </row>
    <row r="296" spans="14:15">
      <c r="N296" s="90"/>
      <c r="O296" s="91"/>
    </row>
    <row r="297" spans="14:15">
      <c r="N297" s="90"/>
      <c r="O297" s="91"/>
    </row>
    <row r="298" spans="14:15">
      <c r="N298" s="90"/>
      <c r="O298" s="91"/>
    </row>
    <row r="299" spans="14:15">
      <c r="N299" s="90"/>
      <c r="O299" s="91"/>
    </row>
    <row r="300" spans="14:15">
      <c r="N300" s="90"/>
      <c r="O300" s="91"/>
    </row>
    <row r="301" spans="14:15">
      <c r="N301" s="90"/>
      <c r="O301" s="91"/>
    </row>
    <row r="302" spans="14:15">
      <c r="N302" s="90"/>
      <c r="O302" s="91"/>
    </row>
    <row r="303" spans="14:15">
      <c r="N303" s="90"/>
      <c r="O303" s="91"/>
    </row>
    <row r="304" spans="14:15">
      <c r="N304" s="90"/>
      <c r="O304" s="91"/>
    </row>
    <row r="305" spans="14:15">
      <c r="N305" s="90"/>
      <c r="O305" s="91"/>
    </row>
    <row r="306" spans="14:15">
      <c r="N306" s="90"/>
      <c r="O306" s="91"/>
    </row>
    <row r="307" spans="14:15">
      <c r="N307" s="90"/>
      <c r="O307" s="91"/>
    </row>
    <row r="308" spans="14:15">
      <c r="N308" s="90"/>
      <c r="O308" s="91"/>
    </row>
    <row r="309" spans="14:15">
      <c r="N309" s="90"/>
      <c r="O309" s="91"/>
    </row>
    <row r="310" spans="14:15">
      <c r="N310" s="90"/>
      <c r="O310" s="91"/>
    </row>
    <row r="311" spans="14:15">
      <c r="N311" s="90"/>
      <c r="O311" s="91"/>
    </row>
    <row r="312" spans="14:15">
      <c r="N312" s="90"/>
      <c r="O312" s="91"/>
    </row>
    <row r="313" spans="14:15">
      <c r="N313" s="90"/>
      <c r="O313" s="91"/>
    </row>
    <row r="314" spans="14:15">
      <c r="N314" s="90"/>
      <c r="O314" s="91"/>
    </row>
    <row r="315" spans="14:15">
      <c r="N315" s="90"/>
      <c r="O315" s="91"/>
    </row>
    <row r="316" spans="14:15">
      <c r="N316" s="90"/>
      <c r="O316" s="91"/>
    </row>
    <row r="317" spans="14:15">
      <c r="N317" s="90"/>
      <c r="O317" s="91"/>
    </row>
    <row r="318" spans="14:15">
      <c r="N318" s="90"/>
      <c r="O318" s="91"/>
    </row>
    <row r="319" spans="14:15">
      <c r="N319" s="90"/>
      <c r="O319" s="91"/>
    </row>
    <row r="320" spans="14:15">
      <c r="N320" s="90"/>
      <c r="O320" s="91"/>
    </row>
    <row r="321" spans="14:15">
      <c r="N321" s="90"/>
      <c r="O321" s="91"/>
    </row>
    <row r="322" spans="14:15">
      <c r="N322" s="90"/>
      <c r="O322" s="91"/>
    </row>
    <row r="323" spans="14:15">
      <c r="N323" s="90"/>
      <c r="O323" s="91"/>
    </row>
    <row r="324" spans="14:15">
      <c r="N324" s="90"/>
      <c r="O324" s="90"/>
    </row>
    <row r="325" spans="14:15">
      <c r="N325" s="90"/>
      <c r="O325" s="90"/>
    </row>
    <row r="326" spans="14:15">
      <c r="N326" s="90"/>
      <c r="O326" s="90"/>
    </row>
    <row r="327" spans="14:15">
      <c r="N327" s="90"/>
      <c r="O327" s="90"/>
    </row>
    <row r="328" spans="14:15">
      <c r="N328" s="90"/>
      <c r="O328" s="90"/>
    </row>
    <row r="329" spans="14:15">
      <c r="N329" s="90"/>
      <c r="O329" s="90"/>
    </row>
    <row r="330" spans="14:15">
      <c r="N330" s="90"/>
      <c r="O330" s="90"/>
    </row>
    <row r="331" spans="14:15">
      <c r="N331" s="90"/>
      <c r="O331" s="90"/>
    </row>
    <row r="332" spans="14:15">
      <c r="N332" s="90"/>
      <c r="O332" s="90"/>
    </row>
    <row r="333" spans="14:15">
      <c r="N333" s="90"/>
      <c r="O333" s="90"/>
    </row>
    <row r="334" spans="14:15">
      <c r="N334" s="90"/>
      <c r="O334" s="90"/>
    </row>
    <row r="335" spans="14:15">
      <c r="N335" s="90"/>
      <c r="O335" s="90"/>
    </row>
    <row r="336" spans="14:15">
      <c r="N336" s="90"/>
      <c r="O336" s="90"/>
    </row>
    <row r="337" spans="14:15">
      <c r="N337" s="90"/>
      <c r="O337" s="90"/>
    </row>
    <row r="338" spans="14:15">
      <c r="N338" s="90"/>
      <c r="O338" s="90"/>
    </row>
    <row r="339" spans="14:15">
      <c r="N339" s="90"/>
      <c r="O339" s="90"/>
    </row>
    <row r="340" spans="14:15">
      <c r="N340" s="90"/>
    </row>
    <row r="341" spans="14:15">
      <c r="N341" s="90"/>
    </row>
    <row r="342" spans="14:15">
      <c r="N342" s="90"/>
    </row>
    <row r="343" spans="14:15">
      <c r="N343" s="90"/>
    </row>
    <row r="344" spans="14:15">
      <c r="N344" s="90"/>
    </row>
    <row r="345" spans="14:15">
      <c r="N345" s="90"/>
    </row>
    <row r="346" spans="14:15">
      <c r="N346" s="90"/>
    </row>
    <row r="347" spans="14:15">
      <c r="N347" s="90"/>
    </row>
    <row r="348" spans="14:15">
      <c r="N348" s="90"/>
    </row>
    <row r="349" spans="14:15">
      <c r="N349" s="90"/>
    </row>
    <row r="350" spans="14:15">
      <c r="N350" s="90"/>
    </row>
    <row r="351" spans="14:15">
      <c r="N351" s="90"/>
    </row>
    <row r="352" spans="14:15">
      <c r="N352" s="90"/>
    </row>
    <row r="353" spans="14:14">
      <c r="N353" s="90"/>
    </row>
    <row r="354" spans="14:14">
      <c r="N354" s="90"/>
    </row>
    <row r="355" spans="14:14">
      <c r="N355" s="90"/>
    </row>
    <row r="356" spans="14:14">
      <c r="N356" s="90"/>
    </row>
    <row r="357" spans="14:14">
      <c r="N357" s="90"/>
    </row>
    <row r="358" spans="14:14">
      <c r="N358" s="90"/>
    </row>
    <row r="359" spans="14:14">
      <c r="N359" s="90"/>
    </row>
    <row r="360" spans="14:14">
      <c r="N360" s="90"/>
    </row>
    <row r="361" spans="14:14">
      <c r="N361" s="90"/>
    </row>
    <row r="362" spans="14:14">
      <c r="N362" s="90"/>
    </row>
    <row r="363" spans="14:14">
      <c r="N363" s="90"/>
    </row>
    <row r="364" spans="14:14">
      <c r="N364" s="90"/>
    </row>
    <row r="365" spans="14:14">
      <c r="N365" s="90"/>
    </row>
    <row r="366" spans="14:14">
      <c r="N366" s="90"/>
    </row>
    <row r="367" spans="14:14">
      <c r="N367" s="90"/>
    </row>
    <row r="368" spans="14:14">
      <c r="N368" s="90"/>
    </row>
    <row r="369" spans="14:14">
      <c r="N369" s="90"/>
    </row>
    <row r="370" spans="14:14">
      <c r="N370" s="90"/>
    </row>
    <row r="371" spans="14:14">
      <c r="N371" s="90"/>
    </row>
    <row r="372" spans="14:14">
      <c r="N372" s="90"/>
    </row>
    <row r="373" spans="14:14">
      <c r="N373" s="90"/>
    </row>
    <row r="374" spans="14:14">
      <c r="N374" s="90"/>
    </row>
    <row r="375" spans="14:14">
      <c r="N375" s="90"/>
    </row>
    <row r="376" spans="14:14">
      <c r="N376" s="90"/>
    </row>
    <row r="377" spans="14:14">
      <c r="N377" s="90"/>
    </row>
    <row r="378" spans="14:14">
      <c r="N378" s="90"/>
    </row>
    <row r="379" spans="14:14">
      <c r="N379" s="90"/>
    </row>
    <row r="380" spans="14:14">
      <c r="N380" s="90"/>
    </row>
    <row r="381" spans="14:14">
      <c r="N381" s="90"/>
    </row>
    <row r="382" spans="14:14">
      <c r="N382" s="90"/>
    </row>
    <row r="383" spans="14:14">
      <c r="N383" s="90"/>
    </row>
    <row r="384" spans="14:14">
      <c r="N384" s="90"/>
    </row>
    <row r="385" spans="14:14">
      <c r="N385" s="90"/>
    </row>
    <row r="386" spans="14:14">
      <c r="N386" s="90"/>
    </row>
    <row r="387" spans="14:14">
      <c r="N387" s="90"/>
    </row>
    <row r="388" spans="14:14">
      <c r="N388" s="90"/>
    </row>
    <row r="389" spans="14:14">
      <c r="N389" s="90"/>
    </row>
    <row r="390" spans="14:14">
      <c r="N390" s="90"/>
    </row>
    <row r="391" spans="14:14">
      <c r="N391" s="90"/>
    </row>
    <row r="392" spans="14:14">
      <c r="N392" s="90"/>
    </row>
    <row r="393" spans="14:14">
      <c r="N393" s="90"/>
    </row>
    <row r="394" spans="14:14">
      <c r="N394" s="90"/>
    </row>
    <row r="395" spans="14:14">
      <c r="N395" s="90"/>
    </row>
    <row r="396" spans="14:14">
      <c r="N396" s="90"/>
    </row>
    <row r="397" spans="14:14">
      <c r="N397" s="90"/>
    </row>
    <row r="398" spans="14:14">
      <c r="N398" s="90"/>
    </row>
    <row r="399" spans="14:14">
      <c r="N399" s="90"/>
    </row>
    <row r="400" spans="14:14">
      <c r="N400" s="90"/>
    </row>
    <row r="401" spans="14:14">
      <c r="N401" s="90"/>
    </row>
    <row r="402" spans="14:14">
      <c r="N402" s="90"/>
    </row>
    <row r="403" spans="14:14">
      <c r="N403" s="90"/>
    </row>
    <row r="404" spans="14:14">
      <c r="N404" s="90"/>
    </row>
    <row r="405" spans="14:14">
      <c r="N405" s="90"/>
    </row>
    <row r="406" spans="14:14">
      <c r="N406" s="90"/>
    </row>
    <row r="407" spans="14:14">
      <c r="N407" s="90"/>
    </row>
    <row r="408" spans="14:14">
      <c r="N408" s="90"/>
    </row>
    <row r="409" spans="14:14">
      <c r="N409" s="90"/>
    </row>
    <row r="410" spans="14:14">
      <c r="N410" s="90"/>
    </row>
    <row r="411" spans="14:14">
      <c r="N411" s="90"/>
    </row>
    <row r="412" spans="14:14">
      <c r="N412" s="90"/>
    </row>
    <row r="413" spans="14:14">
      <c r="N413" s="90"/>
    </row>
    <row r="414" spans="14:14">
      <c r="N414" s="90"/>
    </row>
    <row r="415" spans="14:14">
      <c r="N415" s="90"/>
    </row>
    <row r="416" spans="14:14">
      <c r="N416" s="90"/>
    </row>
    <row r="417" spans="14:14">
      <c r="N417" s="90"/>
    </row>
    <row r="418" spans="14:14">
      <c r="N418" s="90"/>
    </row>
    <row r="419" spans="14:14">
      <c r="N419" s="90"/>
    </row>
    <row r="420" spans="14:14">
      <c r="N420" s="90"/>
    </row>
    <row r="421" spans="14:14">
      <c r="N421" s="90"/>
    </row>
    <row r="422" spans="14:14">
      <c r="N422" s="90"/>
    </row>
    <row r="423" spans="14:14">
      <c r="N423" s="90"/>
    </row>
    <row r="424" spans="14:14">
      <c r="N424" s="90"/>
    </row>
    <row r="425" spans="14:14">
      <c r="N425" s="90"/>
    </row>
    <row r="426" spans="14:14">
      <c r="N426" s="90"/>
    </row>
    <row r="427" spans="14:14">
      <c r="N427" s="90"/>
    </row>
    <row r="428" spans="14:14">
      <c r="N428" s="90"/>
    </row>
    <row r="429" spans="14:14">
      <c r="N429" s="90"/>
    </row>
    <row r="430" spans="14:14">
      <c r="N430" s="90"/>
    </row>
    <row r="431" spans="14:14">
      <c r="N431" s="90"/>
    </row>
    <row r="432" spans="14:14">
      <c r="N432" s="90"/>
    </row>
    <row r="433" spans="14:14">
      <c r="N433" s="90"/>
    </row>
    <row r="434" spans="14:14">
      <c r="N434" s="90"/>
    </row>
    <row r="435" spans="14:14">
      <c r="N435" s="90"/>
    </row>
    <row r="436" spans="14:14">
      <c r="N436" s="90"/>
    </row>
    <row r="437" spans="14:14">
      <c r="N437" s="90"/>
    </row>
    <row r="438" spans="14:14">
      <c r="N438" s="90"/>
    </row>
    <row r="439" spans="14:14">
      <c r="N439" s="90"/>
    </row>
    <row r="440" spans="14:14">
      <c r="N440" s="90"/>
    </row>
    <row r="441" spans="14:14">
      <c r="N441" s="90"/>
    </row>
    <row r="442" spans="14:14">
      <c r="N442" s="90"/>
    </row>
    <row r="443" spans="14:14">
      <c r="N443" s="90"/>
    </row>
    <row r="444" spans="14:14">
      <c r="N444" s="90"/>
    </row>
    <row r="445" spans="14:14">
      <c r="N445" s="90"/>
    </row>
    <row r="446" spans="14:14">
      <c r="N446" s="90"/>
    </row>
    <row r="447" spans="14:14">
      <c r="N447" s="90"/>
    </row>
    <row r="448" spans="14:14">
      <c r="N448" s="90"/>
    </row>
    <row r="449" spans="14:14">
      <c r="N449" s="90"/>
    </row>
    <row r="450" spans="14:14">
      <c r="N450" s="90"/>
    </row>
    <row r="451" spans="14:14">
      <c r="N451" s="90"/>
    </row>
    <row r="452" spans="14:14">
      <c r="N452" s="90"/>
    </row>
    <row r="453" spans="14:14">
      <c r="N453" s="90"/>
    </row>
    <row r="454" spans="14:14">
      <c r="N454" s="90"/>
    </row>
    <row r="455" spans="14:14">
      <c r="N455" s="90"/>
    </row>
    <row r="456" spans="14:14">
      <c r="N456" s="90"/>
    </row>
    <row r="457" spans="14:14">
      <c r="N457" s="90"/>
    </row>
    <row r="458" spans="14:14">
      <c r="N458" s="90"/>
    </row>
    <row r="459" spans="14:14">
      <c r="N459" s="90"/>
    </row>
    <row r="460" spans="14:14">
      <c r="N460" s="90"/>
    </row>
    <row r="461" spans="14:14">
      <c r="N461" s="90"/>
    </row>
    <row r="462" spans="14:14">
      <c r="N462" s="90"/>
    </row>
    <row r="463" spans="14:14">
      <c r="N463" s="90"/>
    </row>
    <row r="464" spans="14:14">
      <c r="N464" s="90"/>
    </row>
    <row r="465" spans="14:14">
      <c r="N465" s="90"/>
    </row>
    <row r="466" spans="14:14">
      <c r="N466" s="90"/>
    </row>
    <row r="467" spans="14:14">
      <c r="N467" s="90"/>
    </row>
    <row r="468" spans="14:14">
      <c r="N468" s="90"/>
    </row>
    <row r="469" spans="14:14">
      <c r="N469" s="90"/>
    </row>
    <row r="470" spans="14:14">
      <c r="N470" s="90"/>
    </row>
    <row r="471" spans="14:14">
      <c r="N471" s="90"/>
    </row>
    <row r="472" spans="14:14">
      <c r="N472" s="90"/>
    </row>
    <row r="473" spans="14:14">
      <c r="N473" s="90"/>
    </row>
    <row r="474" spans="14:14">
      <c r="N474" s="90"/>
    </row>
    <row r="475" spans="14:14">
      <c r="N475" s="90"/>
    </row>
    <row r="476" spans="14:14">
      <c r="N476" s="90"/>
    </row>
    <row r="477" spans="14:14">
      <c r="N477" s="90"/>
    </row>
    <row r="478" spans="14:14">
      <c r="N478" s="90"/>
    </row>
    <row r="479" spans="14:14">
      <c r="N479" s="90"/>
    </row>
    <row r="480" spans="14:14">
      <c r="N480" s="90"/>
    </row>
    <row r="481" spans="14:14">
      <c r="N481" s="90"/>
    </row>
    <row r="482" spans="14:14">
      <c r="N482" s="90"/>
    </row>
    <row r="483" spans="14:14">
      <c r="N483" s="90"/>
    </row>
    <row r="484" spans="14:14">
      <c r="N484" s="90"/>
    </row>
    <row r="485" spans="14:14">
      <c r="N485" s="90"/>
    </row>
    <row r="486" spans="14:14">
      <c r="N486" s="90"/>
    </row>
    <row r="487" spans="14:14">
      <c r="N487" s="90"/>
    </row>
    <row r="488" spans="14:14">
      <c r="N488" s="90"/>
    </row>
    <row r="489" spans="14:14">
      <c r="N489" s="90"/>
    </row>
    <row r="490" spans="14:14">
      <c r="N490" s="90"/>
    </row>
    <row r="491" spans="14:14">
      <c r="N491" s="90"/>
    </row>
    <row r="492" spans="14:14">
      <c r="N492" s="90"/>
    </row>
    <row r="493" spans="14:14">
      <c r="N493" s="90"/>
    </row>
    <row r="494" spans="14:14">
      <c r="N494" s="90"/>
    </row>
    <row r="495" spans="14:14">
      <c r="N495" s="90"/>
    </row>
    <row r="496" spans="14:14">
      <c r="N496" s="90"/>
    </row>
    <row r="497" spans="14:14">
      <c r="N497" s="90"/>
    </row>
    <row r="498" spans="14:14">
      <c r="N498" s="90"/>
    </row>
    <row r="499" spans="14:14">
      <c r="N499" s="90"/>
    </row>
    <row r="500" spans="14:14">
      <c r="N500" s="90"/>
    </row>
    <row r="501" spans="14:14">
      <c r="N501" s="90"/>
    </row>
    <row r="502" spans="14:14">
      <c r="N502" s="90"/>
    </row>
    <row r="503" spans="14:14">
      <c r="N503" s="90"/>
    </row>
    <row r="504" spans="14:14">
      <c r="N504" s="90"/>
    </row>
    <row r="505" spans="14:14">
      <c r="N505" s="90"/>
    </row>
    <row r="506" spans="14:14">
      <c r="N506" s="90"/>
    </row>
    <row r="507" spans="14:14">
      <c r="N507" s="90"/>
    </row>
    <row r="508" spans="14:14">
      <c r="N508" s="90"/>
    </row>
    <row r="509" spans="14:14">
      <c r="N509" s="90"/>
    </row>
    <row r="510" spans="14:14">
      <c r="N510" s="90"/>
    </row>
    <row r="511" spans="14:14">
      <c r="N511" s="90"/>
    </row>
    <row r="512" spans="14:14">
      <c r="N512" s="90"/>
    </row>
    <row r="513" spans="14:14">
      <c r="N513" s="90"/>
    </row>
    <row r="514" spans="14:14">
      <c r="N514" s="90"/>
    </row>
    <row r="515" spans="14:14">
      <c r="N515" s="90"/>
    </row>
    <row r="516" spans="14:14">
      <c r="N516" s="90"/>
    </row>
    <row r="517" spans="14:14">
      <c r="N517" s="90"/>
    </row>
    <row r="518" spans="14:14">
      <c r="N518" s="90"/>
    </row>
    <row r="519" spans="14:14">
      <c r="N519" s="90"/>
    </row>
    <row r="520" spans="14:14">
      <c r="N520" s="90"/>
    </row>
    <row r="521" spans="14:14">
      <c r="N521" s="90"/>
    </row>
    <row r="522" spans="14:14">
      <c r="N522" s="90"/>
    </row>
    <row r="523" spans="14:14">
      <c r="N523" s="90"/>
    </row>
    <row r="524" spans="14:14">
      <c r="N524" s="90"/>
    </row>
    <row r="525" spans="14:14">
      <c r="N525" s="90"/>
    </row>
    <row r="526" spans="14:14">
      <c r="N526" s="90"/>
    </row>
    <row r="527" spans="14:14">
      <c r="N527" s="90"/>
    </row>
    <row r="528" spans="14:14">
      <c r="N528" s="90"/>
    </row>
    <row r="529" spans="14:14">
      <c r="N529" s="90"/>
    </row>
    <row r="530" spans="14:14">
      <c r="N530" s="90"/>
    </row>
    <row r="531" spans="14:14">
      <c r="N531" s="90"/>
    </row>
    <row r="532" spans="14:14">
      <c r="N532" s="90"/>
    </row>
    <row r="533" spans="14:14">
      <c r="N533" s="90"/>
    </row>
    <row r="534" spans="14:14">
      <c r="N534" s="90"/>
    </row>
    <row r="535" spans="14:14">
      <c r="N535" s="90"/>
    </row>
    <row r="536" spans="14:14">
      <c r="N536" s="90"/>
    </row>
    <row r="537" spans="14:14">
      <c r="N537" s="90"/>
    </row>
    <row r="538" spans="14:14">
      <c r="N538" s="90"/>
    </row>
    <row r="539" spans="14:14">
      <c r="N539" s="90"/>
    </row>
    <row r="540" spans="14:14">
      <c r="N540" s="90"/>
    </row>
    <row r="541" spans="14:14">
      <c r="N541" s="90"/>
    </row>
    <row r="542" spans="14:14">
      <c r="N542" s="90"/>
    </row>
    <row r="543" spans="14:14">
      <c r="N543" s="90"/>
    </row>
    <row r="544" spans="14:14">
      <c r="N544" s="90"/>
    </row>
    <row r="545" spans="14:14">
      <c r="N545" s="90"/>
    </row>
    <row r="546" spans="14:14">
      <c r="N546" s="90"/>
    </row>
    <row r="547" spans="14:14">
      <c r="N547" s="90"/>
    </row>
    <row r="548" spans="14:14">
      <c r="N548" s="90"/>
    </row>
    <row r="549" spans="14:14">
      <c r="N549" s="90"/>
    </row>
    <row r="550" spans="14:14">
      <c r="N550" s="90"/>
    </row>
    <row r="551" spans="14:14">
      <c r="N551" s="90"/>
    </row>
    <row r="552" spans="14:14">
      <c r="N552" s="90"/>
    </row>
    <row r="553" spans="14:14">
      <c r="N553" s="90"/>
    </row>
    <row r="554" spans="14:14">
      <c r="N554" s="90"/>
    </row>
    <row r="555" spans="14:14">
      <c r="N555" s="90"/>
    </row>
    <row r="556" spans="14:14">
      <c r="N556" s="90"/>
    </row>
    <row r="557" spans="14:14">
      <c r="N557" s="90"/>
    </row>
    <row r="558" spans="14:14">
      <c r="N558" s="90"/>
    </row>
    <row r="559" spans="14:14">
      <c r="N559" s="90"/>
    </row>
    <row r="560" spans="14:14">
      <c r="N560" s="90"/>
    </row>
    <row r="561" spans="14:14">
      <c r="N561" s="90"/>
    </row>
    <row r="562" spans="14:14">
      <c r="N562" s="90"/>
    </row>
    <row r="563" spans="14:14">
      <c r="N563" s="90"/>
    </row>
    <row r="564" spans="14:14">
      <c r="N564" s="90"/>
    </row>
    <row r="565" spans="14:14">
      <c r="N565" s="90"/>
    </row>
    <row r="566" spans="14:14">
      <c r="N566" s="90"/>
    </row>
    <row r="567" spans="14:14">
      <c r="N567" s="90"/>
    </row>
    <row r="568" spans="14:14">
      <c r="N568" s="90"/>
    </row>
    <row r="569" spans="14:14">
      <c r="N569" s="90"/>
    </row>
    <row r="570" spans="14:14">
      <c r="N570" s="90"/>
    </row>
    <row r="571" spans="14:14">
      <c r="N571" s="90"/>
    </row>
    <row r="572" spans="14:14">
      <c r="N572" s="90"/>
    </row>
    <row r="573" spans="14:14">
      <c r="N573" s="90"/>
    </row>
    <row r="574" spans="14:14">
      <c r="N574" s="90"/>
    </row>
    <row r="575" spans="14:14">
      <c r="N575" s="90"/>
    </row>
    <row r="576" spans="14:14">
      <c r="N576" s="90"/>
    </row>
    <row r="577" spans="14:14">
      <c r="N577" s="90"/>
    </row>
    <row r="578" spans="14:14">
      <c r="N578" s="90"/>
    </row>
    <row r="579" spans="14:14">
      <c r="N579" s="90"/>
    </row>
    <row r="580" spans="14:14">
      <c r="N580" s="90"/>
    </row>
    <row r="581" spans="14:14">
      <c r="N581" s="90"/>
    </row>
    <row r="582" spans="14:14">
      <c r="N582" s="90"/>
    </row>
    <row r="583" spans="14:14">
      <c r="N583" s="90"/>
    </row>
    <row r="584" spans="14:14">
      <c r="N584" s="90"/>
    </row>
    <row r="585" spans="14:14">
      <c r="N585" s="90"/>
    </row>
    <row r="586" spans="14:14">
      <c r="N586" s="90"/>
    </row>
    <row r="587" spans="14:14">
      <c r="N587" s="90"/>
    </row>
    <row r="588" spans="14:14">
      <c r="N588" s="90"/>
    </row>
    <row r="589" spans="14:14">
      <c r="N589" s="90"/>
    </row>
    <row r="590" spans="14:14">
      <c r="N590" s="90"/>
    </row>
    <row r="591" spans="14:14">
      <c r="N591" s="90"/>
    </row>
    <row r="592" spans="14:14">
      <c r="N592" s="90"/>
    </row>
    <row r="593" spans="14:14">
      <c r="N593" s="90"/>
    </row>
    <row r="594" spans="14:14">
      <c r="N594" s="90"/>
    </row>
    <row r="595" spans="14:14">
      <c r="N595" s="90"/>
    </row>
    <row r="596" spans="14:14">
      <c r="N596" s="90"/>
    </row>
    <row r="597" spans="14:14">
      <c r="N597" s="90"/>
    </row>
    <row r="598" spans="14:14">
      <c r="N598" s="90"/>
    </row>
    <row r="599" spans="14:14">
      <c r="N599" s="90"/>
    </row>
    <row r="600" spans="14:14">
      <c r="N600" s="90"/>
    </row>
    <row r="601" spans="14:14">
      <c r="N601" s="90"/>
    </row>
    <row r="602" spans="14:14">
      <c r="N602" s="90"/>
    </row>
    <row r="603" spans="14:14">
      <c r="N603" s="90"/>
    </row>
    <row r="604" spans="14:14">
      <c r="N604" s="90"/>
    </row>
    <row r="605" spans="14:14">
      <c r="N605" s="90"/>
    </row>
    <row r="606" spans="14:14">
      <c r="N606" s="90"/>
    </row>
    <row r="607" spans="14:14">
      <c r="N607" s="90"/>
    </row>
    <row r="608" spans="14:14">
      <c r="N608" s="90"/>
    </row>
    <row r="609" spans="14:14">
      <c r="N609" s="90"/>
    </row>
    <row r="610" spans="14:14">
      <c r="N610" s="90"/>
    </row>
    <row r="611" spans="14:14">
      <c r="N611" s="90"/>
    </row>
    <row r="612" spans="14:14">
      <c r="N612" s="90"/>
    </row>
    <row r="613" spans="14:14">
      <c r="N613" s="90"/>
    </row>
    <row r="614" spans="14:14">
      <c r="N614" s="90"/>
    </row>
    <row r="615" spans="14:14">
      <c r="N615" s="90"/>
    </row>
    <row r="616" spans="14:14">
      <c r="N616" s="90"/>
    </row>
    <row r="617" spans="14:14">
      <c r="N617" s="90"/>
    </row>
    <row r="618" spans="14:14">
      <c r="N618" s="90"/>
    </row>
    <row r="619" spans="14:14">
      <c r="N619" s="90"/>
    </row>
    <row r="620" spans="14:14">
      <c r="N620" s="90"/>
    </row>
    <row r="621" spans="14:14">
      <c r="N621" s="90"/>
    </row>
    <row r="622" spans="14:14">
      <c r="N622" s="90"/>
    </row>
    <row r="623" spans="14:14">
      <c r="N623" s="90"/>
    </row>
    <row r="624" spans="14:14">
      <c r="N624" s="90"/>
    </row>
    <row r="625" spans="14:14">
      <c r="N625" s="90"/>
    </row>
    <row r="626" spans="14:14">
      <c r="N626" s="90"/>
    </row>
    <row r="627" spans="14:14">
      <c r="N627" s="90"/>
    </row>
    <row r="628" spans="14:14">
      <c r="N628" s="90"/>
    </row>
    <row r="629" spans="14:14">
      <c r="N629" s="90"/>
    </row>
    <row r="630" spans="14:14">
      <c r="N630" s="90"/>
    </row>
    <row r="631" spans="14:14">
      <c r="N631" s="90"/>
    </row>
    <row r="632" spans="14:14">
      <c r="N632" s="90"/>
    </row>
    <row r="633" spans="14:14">
      <c r="N633" s="90"/>
    </row>
    <row r="634" spans="14:14">
      <c r="N634" s="90"/>
    </row>
    <row r="635" spans="14:14">
      <c r="N635" s="90"/>
    </row>
    <row r="636" spans="14:14">
      <c r="N636" s="90"/>
    </row>
    <row r="637" spans="14:14">
      <c r="N637" s="90"/>
    </row>
    <row r="638" spans="14:14">
      <c r="N638" s="90"/>
    </row>
    <row r="639" spans="14:14">
      <c r="N639" s="90"/>
    </row>
    <row r="640" spans="14:14">
      <c r="N640" s="90"/>
    </row>
    <row r="641" spans="14:14">
      <c r="N641" s="90"/>
    </row>
    <row r="642" spans="14:14">
      <c r="N642" s="90"/>
    </row>
    <row r="643" spans="14:14">
      <c r="N643" s="90"/>
    </row>
    <row r="644" spans="14:14">
      <c r="N644" s="90"/>
    </row>
    <row r="645" spans="14:14">
      <c r="N645" s="90"/>
    </row>
    <row r="646" spans="14:14">
      <c r="N646" s="90"/>
    </row>
    <row r="647" spans="14:14">
      <c r="N647" s="90"/>
    </row>
    <row r="648" spans="14:14">
      <c r="N648" s="90"/>
    </row>
    <row r="649" spans="14:14">
      <c r="N649" s="90"/>
    </row>
    <row r="650" spans="14:14">
      <c r="N650" s="90"/>
    </row>
    <row r="651" spans="14:14">
      <c r="N651" s="90"/>
    </row>
    <row r="652" spans="14:14">
      <c r="N652" s="90"/>
    </row>
    <row r="653" spans="14:14">
      <c r="N653" s="90"/>
    </row>
    <row r="654" spans="14:14">
      <c r="N654" s="90"/>
    </row>
    <row r="655" spans="14:14">
      <c r="N655" s="90"/>
    </row>
    <row r="656" spans="14:14">
      <c r="N656" s="90"/>
    </row>
    <row r="657" spans="14:14">
      <c r="N657" s="90"/>
    </row>
    <row r="658" spans="14:14">
      <c r="N658" s="90"/>
    </row>
    <row r="659" spans="14:14">
      <c r="N659" s="90"/>
    </row>
    <row r="660" spans="14:14">
      <c r="N660" s="90"/>
    </row>
    <row r="661" spans="14:14">
      <c r="N661" s="90"/>
    </row>
    <row r="662" spans="14:14">
      <c r="N662" s="90"/>
    </row>
    <row r="663" spans="14:14">
      <c r="N663" s="90"/>
    </row>
    <row r="664" spans="14:14">
      <c r="N664" s="90"/>
    </row>
    <row r="665" spans="14:14">
      <c r="N665" s="90"/>
    </row>
    <row r="666" spans="14:14">
      <c r="N666" s="90"/>
    </row>
    <row r="667" spans="14:14">
      <c r="N667" s="90"/>
    </row>
    <row r="668" spans="14:14">
      <c r="N668" s="90"/>
    </row>
    <row r="669" spans="14:14">
      <c r="N669" s="90"/>
    </row>
    <row r="670" spans="14:14">
      <c r="N670" s="90"/>
    </row>
    <row r="671" spans="14:14">
      <c r="N671" s="90"/>
    </row>
    <row r="672" spans="14:14">
      <c r="N672" s="90"/>
    </row>
    <row r="673" spans="14:14">
      <c r="N673" s="90"/>
    </row>
    <row r="674" spans="14:14">
      <c r="N674" s="90"/>
    </row>
    <row r="675" spans="14:14">
      <c r="N675" s="90"/>
    </row>
    <row r="676" spans="14:14">
      <c r="N676" s="90" cm="1">
        <f t="array" ref="N676">IF(AND(OR(ISNUMBER(SEARCH("Eviction",E676)),ISNUMBER(SEARCH("Past",E676)),ISNUMBER(SEARCH("Skip",E676)),ISNUMBER(SEARCH("Collections",E676)),COUNTIF(Delinquency_Detail_3!$N$3:$N$24,D676)&gt;0),COUNTIF(Delinquency_Detail_3!$P$3:$P$24,D676)=0,I676&gt;0,SUMPRODUCT((LeaseLock!$D$2:$D$500=B676)*(ISNUMBER(SEARCH(TRIM(LEFT(SUBSTITUTE(D676,",",REPT(" ",100)),100)),LeaseLock!$C$2:$C$500))))=0),1,0)</f>
        <v>0</v>
      </c>
    </row>
    <row r="677" spans="14:14">
      <c r="N677" s="90" cm="1">
        <f t="array" ref="N677">IF(AND(OR(ISNUMBER(SEARCH("Eviction",E677)),ISNUMBER(SEARCH("Past",E677)),ISNUMBER(SEARCH("Skip",E677)),ISNUMBER(SEARCH("Collections",E677)),COUNTIF(Delinquency_Detail_3!$N$3:$N$24,D677)&gt;0),COUNTIF(Delinquency_Detail_3!$P$3:$P$24,D677)=0,I677&gt;0,SUMPRODUCT((LeaseLock!$D$2:$D$500=B677)*(ISNUMBER(SEARCH(TRIM(LEFT(SUBSTITUTE(D677,",",REPT(" ",100)),100)),LeaseLock!$C$2:$C$500))))=0),1,0)</f>
        <v>0</v>
      </c>
    </row>
    <row r="678" spans="14:14">
      <c r="N678" s="90" cm="1">
        <f t="array" ref="N678">IF(AND(OR(ISNUMBER(SEARCH("Eviction",E678)),ISNUMBER(SEARCH("Past",E678)),ISNUMBER(SEARCH("Skip",E678)),ISNUMBER(SEARCH("Collections",E678)),COUNTIF(Delinquency_Detail_3!$N$3:$N$24,D678)&gt;0),COUNTIF(Delinquency_Detail_3!$P$3:$P$24,D678)=0,I678&gt;0,SUMPRODUCT((LeaseLock!$D$2:$D$500=B678)*(ISNUMBER(SEARCH(TRIM(LEFT(SUBSTITUTE(D678,",",REPT(" ",100)),100)),LeaseLock!$C$2:$C$500))))=0),1,0)</f>
        <v>0</v>
      </c>
    </row>
    <row r="679" spans="14:14">
      <c r="N679" s="90" cm="1">
        <f t="array" ref="N679">IF(AND(OR(ISNUMBER(SEARCH("Eviction",E679)),ISNUMBER(SEARCH("Past",E679)),ISNUMBER(SEARCH("Skip",E679)),ISNUMBER(SEARCH("Collections",E679)),COUNTIF(Delinquency_Detail_3!$N$3:$N$24,D679)&gt;0),COUNTIF(Delinquency_Detail_3!$P$3:$P$24,D679)=0,I679&gt;0,SUMPRODUCT((LeaseLock!$D$2:$D$500=B679)*(ISNUMBER(SEARCH(TRIM(LEFT(SUBSTITUTE(D679,",",REPT(" ",100)),100)),LeaseLock!$C$2:$C$500))))=0),1,0)</f>
        <v>0</v>
      </c>
    </row>
    <row r="680" spans="14:14">
      <c r="N680" s="90" cm="1">
        <f t="array" ref="N680">IF(AND(OR(ISNUMBER(SEARCH("Eviction",E680)),ISNUMBER(SEARCH("Past",E680)),ISNUMBER(SEARCH("Skip",E680)),ISNUMBER(SEARCH("Collections",E680)),COUNTIF(Delinquency_Detail_3!$N$3:$N$24,D680)&gt;0),COUNTIF(Delinquency_Detail_3!$P$3:$P$24,D680)=0,I680&gt;0,SUMPRODUCT((LeaseLock!$D$2:$D$500=B680)*(ISNUMBER(SEARCH(TRIM(LEFT(SUBSTITUTE(D680,",",REPT(" ",100)),100)),LeaseLock!$C$2:$C$500))))=0),1,0)</f>
        <v>0</v>
      </c>
    </row>
    <row r="681" spans="14:14">
      <c r="N681" s="90" cm="1">
        <f t="array" ref="N681">IF(AND(OR(ISNUMBER(SEARCH("Eviction",E681)),ISNUMBER(SEARCH("Past",E681)),ISNUMBER(SEARCH("Skip",E681)),ISNUMBER(SEARCH("Collections",E681)),COUNTIF(Delinquency_Detail_3!$N$3:$N$24,D681)&gt;0),COUNTIF(Delinquency_Detail_3!$P$3:$P$24,D681)=0,I681&gt;0,SUMPRODUCT((LeaseLock!$D$2:$D$500=B681)*(ISNUMBER(SEARCH(TRIM(LEFT(SUBSTITUTE(D681,",",REPT(" ",100)),100)),LeaseLock!$C$2:$C$500))))=0),1,0)</f>
        <v>0</v>
      </c>
    </row>
    <row r="682" spans="14:14">
      <c r="N682" s="90" cm="1">
        <f t="array" ref="N682">IF(AND(OR(ISNUMBER(SEARCH("Eviction",E682)),ISNUMBER(SEARCH("Past",E682)),ISNUMBER(SEARCH("Skip",E682)),ISNUMBER(SEARCH("Collections",E682)),COUNTIF(Delinquency_Detail_3!$N$3:$N$24,D682)&gt;0),COUNTIF(Delinquency_Detail_3!$P$3:$P$24,D682)=0,I682&gt;0,SUMPRODUCT((LeaseLock!$D$2:$D$500=B682)*(ISNUMBER(SEARCH(TRIM(LEFT(SUBSTITUTE(D682,",",REPT(" ",100)),100)),LeaseLock!$C$2:$C$500))))=0),1,0)</f>
        <v>0</v>
      </c>
    </row>
    <row r="683" spans="14:14">
      <c r="N683" s="90" cm="1">
        <f t="array" ref="N683">IF(AND(OR(ISNUMBER(SEARCH("Eviction",E683)),ISNUMBER(SEARCH("Past",E683)),ISNUMBER(SEARCH("Skip",E683)),ISNUMBER(SEARCH("Collections",E683)),COUNTIF(Delinquency_Detail_3!$N$3:$N$24,D683)&gt;0),COUNTIF(Delinquency_Detail_3!$P$3:$P$24,D683)=0,I683&gt;0,SUMPRODUCT((LeaseLock!$D$2:$D$500=B683)*(ISNUMBER(SEARCH(TRIM(LEFT(SUBSTITUTE(D683,",",REPT(" ",100)),100)),LeaseLock!$C$2:$C$500))))=0),1,0)</f>
        <v>0</v>
      </c>
    </row>
    <row r="684" spans="14:14">
      <c r="N684" s="90" cm="1">
        <f t="array" ref="N684">IF(AND(OR(ISNUMBER(SEARCH("Eviction",E684)),ISNUMBER(SEARCH("Past",E684)),ISNUMBER(SEARCH("Skip",E684)),ISNUMBER(SEARCH("Collections",E684)),COUNTIF(Delinquency_Detail_3!$N$3:$N$24,D684)&gt;0),COUNTIF(Delinquency_Detail_3!$P$3:$P$24,D684)=0,I684&gt;0,SUMPRODUCT((LeaseLock!$D$2:$D$500=B684)*(ISNUMBER(SEARCH(TRIM(LEFT(SUBSTITUTE(D684,",",REPT(" ",100)),100)),LeaseLock!$C$2:$C$500))))=0),1,0)</f>
        <v>0</v>
      </c>
    </row>
    <row r="685" spans="14:14">
      <c r="N685" s="90" cm="1">
        <f t="array" ref="N685">IF(AND(OR(ISNUMBER(SEARCH("Eviction",E685)),ISNUMBER(SEARCH("Past",E685)),ISNUMBER(SEARCH("Skip",E685)),ISNUMBER(SEARCH("Collections",E685)),COUNTIF(Delinquency_Detail_3!$N$3:$N$24,D685)&gt;0),COUNTIF(Delinquency_Detail_3!$P$3:$P$24,D685)=0,I685&gt;0,SUMPRODUCT((LeaseLock!$D$2:$D$500=B685)*(ISNUMBER(SEARCH(TRIM(LEFT(SUBSTITUTE(D685,",",REPT(" ",100)),100)),LeaseLock!$C$2:$C$500))))=0),1,0)</f>
        <v>0</v>
      </c>
    </row>
    <row r="686" spans="14:14">
      <c r="N686" s="90" cm="1">
        <f t="array" ref="N686">IF(AND(OR(ISNUMBER(SEARCH("Eviction",E686)),ISNUMBER(SEARCH("Past",E686)),ISNUMBER(SEARCH("Skip",E686)),ISNUMBER(SEARCH("Collections",E686)),COUNTIF(Delinquency_Detail_3!$N$3:$N$24,D686)&gt;0),COUNTIF(Delinquency_Detail_3!$P$3:$P$24,D686)=0,I686&gt;0,SUMPRODUCT((LeaseLock!$D$2:$D$500=B686)*(ISNUMBER(SEARCH(TRIM(LEFT(SUBSTITUTE(D686,",",REPT(" ",100)),100)),LeaseLock!$C$2:$C$500))))=0),1,0)</f>
        <v>0</v>
      </c>
    </row>
    <row r="687" spans="14:14">
      <c r="N687" s="90" cm="1">
        <f t="array" ref="N687">IF(AND(OR(ISNUMBER(SEARCH("Eviction",E687)),ISNUMBER(SEARCH("Past",E687)),ISNUMBER(SEARCH("Skip",E687)),ISNUMBER(SEARCH("Collections",E687)),COUNTIF(Delinquency_Detail_3!$N$3:$N$24,D687)&gt;0),COUNTIF(Delinquency_Detail_3!$P$3:$P$24,D687)=0,I687&gt;0,SUMPRODUCT((LeaseLock!$D$2:$D$500=B687)*(ISNUMBER(SEARCH(TRIM(LEFT(SUBSTITUTE(D687,",",REPT(" ",100)),100)),LeaseLock!$C$2:$C$500))))=0),1,0)</f>
        <v>0</v>
      </c>
    </row>
    <row r="688" spans="14:14">
      <c r="N688" s="90" cm="1">
        <f t="array" ref="N688">IF(AND(OR(ISNUMBER(SEARCH("Eviction",E688)),ISNUMBER(SEARCH("Past",E688)),ISNUMBER(SEARCH("Skip",E688)),ISNUMBER(SEARCH("Collections",E688)),COUNTIF(Delinquency_Detail_3!$N$3:$N$24,D688)&gt;0),COUNTIF(Delinquency_Detail_3!$P$3:$P$24,D688)=0,I688&gt;0,SUMPRODUCT((LeaseLock!$D$2:$D$500=B688)*(ISNUMBER(SEARCH(TRIM(LEFT(SUBSTITUTE(D688,",",REPT(" ",100)),100)),LeaseLock!$C$2:$C$500))))=0),1,0)</f>
        <v>0</v>
      </c>
    </row>
    <row r="689" spans="14:14">
      <c r="N689" s="90" cm="1">
        <f t="array" ref="N689">IF(AND(OR(ISNUMBER(SEARCH("Eviction",E689)),ISNUMBER(SEARCH("Past",E689)),ISNUMBER(SEARCH("Skip",E689)),ISNUMBER(SEARCH("Collections",E689)),COUNTIF(Delinquency_Detail_3!$N$3:$N$24,D689)&gt;0),COUNTIF(Delinquency_Detail_3!$P$3:$P$24,D689)=0,I689&gt;0,SUMPRODUCT((LeaseLock!$D$2:$D$500=B689)*(ISNUMBER(SEARCH(TRIM(LEFT(SUBSTITUTE(D689,",",REPT(" ",100)),100)),LeaseLock!$C$2:$C$500))))=0),1,0)</f>
        <v>0</v>
      </c>
    </row>
    <row r="690" spans="14:14">
      <c r="N690" s="90" cm="1">
        <f t="array" ref="N690">IF(AND(OR(ISNUMBER(SEARCH("Eviction",E690)),ISNUMBER(SEARCH("Past",E690)),ISNUMBER(SEARCH("Skip",E690)),ISNUMBER(SEARCH("Collections",E690)),COUNTIF(Delinquency_Detail_3!$N$3:$N$24,D690)&gt;0),COUNTIF(Delinquency_Detail_3!$P$3:$P$24,D690)=0,I690&gt;0,SUMPRODUCT((LeaseLock!$D$2:$D$500=B690)*(ISNUMBER(SEARCH(TRIM(LEFT(SUBSTITUTE(D690,",",REPT(" ",100)),100)),LeaseLock!$C$2:$C$500))))=0),1,0)</f>
        <v>0</v>
      </c>
    </row>
    <row r="691" spans="14:14">
      <c r="N691" s="90" cm="1">
        <f t="array" ref="N691">IF(AND(OR(ISNUMBER(SEARCH("Eviction",E691)),ISNUMBER(SEARCH("Past",E691)),ISNUMBER(SEARCH("Skip",E691)),ISNUMBER(SEARCH("Collections",E691)),COUNTIF(Delinquency_Detail_3!$N$3:$N$24,D691)&gt;0),COUNTIF(Delinquency_Detail_3!$P$3:$P$24,D691)=0,I691&gt;0,SUMPRODUCT((LeaseLock!$D$2:$D$500=B691)*(ISNUMBER(SEARCH(TRIM(LEFT(SUBSTITUTE(D691,",",REPT(" ",100)),100)),LeaseLock!$C$2:$C$500))))=0),1,0)</f>
        <v>0</v>
      </c>
    </row>
    <row r="692" spans="14:14">
      <c r="N692" s="90" cm="1">
        <f t="array" ref="N692">IF(AND(OR(ISNUMBER(SEARCH("Eviction",E692)),ISNUMBER(SEARCH("Past",E692)),ISNUMBER(SEARCH("Skip",E692)),ISNUMBER(SEARCH("Collections",E692)),COUNTIF(Delinquency_Detail_3!$N$3:$N$24,D692)&gt;0),COUNTIF(Delinquency_Detail_3!$P$3:$P$24,D692)=0,I692&gt;0,SUMPRODUCT((LeaseLock!$D$2:$D$500=B692)*(ISNUMBER(SEARCH(TRIM(LEFT(SUBSTITUTE(D692,",",REPT(" ",100)),100)),LeaseLock!$C$2:$C$500))))=0),1,0)</f>
        <v>0</v>
      </c>
    </row>
    <row r="693" spans="14:14">
      <c r="N693" s="90" cm="1">
        <f t="array" ref="N693">IF(AND(OR(ISNUMBER(SEARCH("Eviction",E693)),ISNUMBER(SEARCH("Past",E693)),ISNUMBER(SEARCH("Skip",E693)),ISNUMBER(SEARCH("Collections",E693)),COUNTIF(Delinquency_Detail_3!$N$3:$N$24,D693)&gt;0),COUNTIF(Delinquency_Detail_3!$P$3:$P$24,D693)=0,I693&gt;0,SUMPRODUCT((LeaseLock!$D$2:$D$500=B693)*(ISNUMBER(SEARCH(TRIM(LEFT(SUBSTITUTE(D693,",",REPT(" ",100)),100)),LeaseLock!$C$2:$C$500))))=0),1,0)</f>
        <v>0</v>
      </c>
    </row>
    <row r="694" spans="14:14">
      <c r="N694" s="90" cm="1">
        <f t="array" ref="N694">IF(AND(OR(ISNUMBER(SEARCH("Eviction",E694)),ISNUMBER(SEARCH("Past",E694)),ISNUMBER(SEARCH("Skip",E694)),ISNUMBER(SEARCH("Collections",E694)),COUNTIF(Delinquency_Detail_3!$N$3:$N$24,D694)&gt;0),COUNTIF(Delinquency_Detail_3!$P$3:$P$24,D694)=0,I694&gt;0,SUMPRODUCT((LeaseLock!$D$2:$D$500=B694)*(ISNUMBER(SEARCH(TRIM(LEFT(SUBSTITUTE(D694,",",REPT(" ",100)),100)),LeaseLock!$C$2:$C$500))))=0),1,0)</f>
        <v>0</v>
      </c>
    </row>
    <row r="695" spans="14:14">
      <c r="N695" s="90" cm="1">
        <f t="array" ref="N695">IF(AND(OR(ISNUMBER(SEARCH("Eviction",E695)),ISNUMBER(SEARCH("Past",E695)),ISNUMBER(SEARCH("Skip",E695)),ISNUMBER(SEARCH("Collections",E695)),COUNTIF(Delinquency_Detail_3!$N$3:$N$24,D695)&gt;0),COUNTIF(Delinquency_Detail_3!$P$3:$P$24,D695)=0,I695&gt;0,SUMPRODUCT((LeaseLock!$D$2:$D$500=B695)*(ISNUMBER(SEARCH(TRIM(LEFT(SUBSTITUTE(D695,",",REPT(" ",100)),100)),LeaseLock!$C$2:$C$500))))=0),1,0)</f>
        <v>0</v>
      </c>
    </row>
    <row r="696" spans="14:14">
      <c r="N696" s="90" cm="1">
        <f t="array" ref="N696">IF(AND(OR(ISNUMBER(SEARCH("Eviction",E696)),ISNUMBER(SEARCH("Past",E696)),ISNUMBER(SEARCH("Skip",E696)),ISNUMBER(SEARCH("Collections",E696)),COUNTIF(Delinquency_Detail_3!$N$3:$N$24,D696)&gt;0),COUNTIF(Delinquency_Detail_3!$P$3:$P$24,D696)=0,I696&gt;0,SUMPRODUCT((LeaseLock!$D$2:$D$500=B696)*(ISNUMBER(SEARCH(TRIM(LEFT(SUBSTITUTE(D696,",",REPT(" ",100)),100)),LeaseLock!$C$2:$C$500))))=0),1,0)</f>
        <v>0</v>
      </c>
    </row>
    <row r="697" spans="14:14">
      <c r="N697" s="90" cm="1">
        <f t="array" ref="N697">IF(AND(OR(ISNUMBER(SEARCH("Eviction",E697)),ISNUMBER(SEARCH("Past",E697)),ISNUMBER(SEARCH("Skip",E697)),ISNUMBER(SEARCH("Collections",E697)),COUNTIF(Delinquency_Detail_3!$N$3:$N$24,D697)&gt;0),COUNTIF(Delinquency_Detail_3!$P$3:$P$24,D697)=0,I697&gt;0,SUMPRODUCT((LeaseLock!$D$2:$D$500=B697)*(ISNUMBER(SEARCH(TRIM(LEFT(SUBSTITUTE(D697,",",REPT(" ",100)),100)),LeaseLock!$C$2:$C$500))))=0),1,0)</f>
        <v>0</v>
      </c>
    </row>
    <row r="698" spans="14:14">
      <c r="N698" s="90" cm="1">
        <f t="array" ref="N698">IF(AND(OR(ISNUMBER(SEARCH("Eviction",E698)),ISNUMBER(SEARCH("Past",E698)),ISNUMBER(SEARCH("Skip",E698)),ISNUMBER(SEARCH("Collections",E698)),COUNTIF(Delinquency_Detail_3!$N$3:$N$24,D698)&gt;0),COUNTIF(Delinquency_Detail_3!$P$3:$P$24,D698)=0,I698&gt;0,SUMPRODUCT((LeaseLock!$D$2:$D$500=B698)*(ISNUMBER(SEARCH(TRIM(LEFT(SUBSTITUTE(D698,",",REPT(" ",100)),100)),LeaseLock!$C$2:$C$500))))=0),1,0)</f>
        <v>0</v>
      </c>
    </row>
    <row r="699" spans="14:14">
      <c r="N699" s="90" cm="1">
        <f t="array" ref="N699">IF(AND(OR(ISNUMBER(SEARCH("Eviction",E699)),ISNUMBER(SEARCH("Past",E699)),ISNUMBER(SEARCH("Skip",E699)),ISNUMBER(SEARCH("Collections",E699)),COUNTIF(Delinquency_Detail_3!$N$3:$N$24,D699)&gt;0),COUNTIF(Delinquency_Detail_3!$P$3:$P$24,D699)=0,I699&gt;0,SUMPRODUCT((LeaseLock!$D$2:$D$500=B699)*(ISNUMBER(SEARCH(TRIM(LEFT(SUBSTITUTE(D699,",",REPT(" ",100)),100)),LeaseLock!$C$2:$C$500))))=0),1,0)</f>
        <v>0</v>
      </c>
    </row>
    <row r="700" spans="14:14">
      <c r="N700" s="90" cm="1">
        <f t="array" ref="N700">IF(AND(OR(ISNUMBER(SEARCH("Eviction",E700)),ISNUMBER(SEARCH("Past",E700)),ISNUMBER(SEARCH("Skip",E700)),ISNUMBER(SEARCH("Collections",E700)),COUNTIF(Delinquency_Detail_3!$N$3:$N$24,D700)&gt;0),COUNTIF(Delinquency_Detail_3!$P$3:$P$24,D700)=0,I700&gt;0,SUMPRODUCT((LeaseLock!$D$2:$D$500=B700)*(ISNUMBER(SEARCH(TRIM(LEFT(SUBSTITUTE(D700,",",REPT(" ",100)),100)),LeaseLock!$C$2:$C$500))))=0),1,0)</f>
        <v>0</v>
      </c>
    </row>
    <row r="701" spans="14:14">
      <c r="N701" s="90" cm="1">
        <f t="array" ref="N701">IF(AND(OR(ISNUMBER(SEARCH("Eviction",E701)),ISNUMBER(SEARCH("Past",E701)),ISNUMBER(SEARCH("Skip",E701)),ISNUMBER(SEARCH("Collections",E701)),COUNTIF(Delinquency_Detail_3!$N$3:$N$24,D701)&gt;0),COUNTIF(Delinquency_Detail_3!$P$3:$P$24,D701)=0,I701&gt;0,SUMPRODUCT((LeaseLock!$D$2:$D$500=B701)*(ISNUMBER(SEARCH(TRIM(LEFT(SUBSTITUTE(D701,",",REPT(" ",100)),100)),LeaseLock!$C$2:$C$500))))=0),1,0)</f>
        <v>0</v>
      </c>
    </row>
    <row r="702" spans="14:14">
      <c r="N702" s="90" cm="1">
        <f t="array" ref="N702">IF(AND(OR(ISNUMBER(SEARCH("Eviction",E702)),ISNUMBER(SEARCH("Past",E702)),ISNUMBER(SEARCH("Skip",E702)),ISNUMBER(SEARCH("Collections",E702)),COUNTIF(Delinquency_Detail_3!$N$3:$N$24,D702)&gt;0),COUNTIF(Delinquency_Detail_3!$P$3:$P$24,D702)=0,I702&gt;0,SUMPRODUCT((LeaseLock!$D$2:$D$500=B702)*(ISNUMBER(SEARCH(TRIM(LEFT(SUBSTITUTE(D702,",",REPT(" ",100)),100)),LeaseLock!$C$2:$C$500))))=0),1,0)</f>
        <v>0</v>
      </c>
    </row>
    <row r="703" spans="14:14">
      <c r="N703" s="90" cm="1">
        <f t="array" ref="N703">IF(AND(OR(ISNUMBER(SEARCH("Eviction",E703)),ISNUMBER(SEARCH("Past",E703)),ISNUMBER(SEARCH("Skip",E703)),ISNUMBER(SEARCH("Collections",E703)),COUNTIF(Delinquency_Detail_3!$N$3:$N$24,D703)&gt;0),COUNTIF(Delinquency_Detail_3!$P$3:$P$24,D703)=0,I703&gt;0,SUMPRODUCT((LeaseLock!$D$2:$D$500=B703)*(ISNUMBER(SEARCH(TRIM(LEFT(SUBSTITUTE(D703,",",REPT(" ",100)),100)),LeaseLock!$C$2:$C$500))))=0),1,0)</f>
        <v>0</v>
      </c>
    </row>
    <row r="704" spans="14:14">
      <c r="N704" s="90" cm="1">
        <f t="array" ref="N704">IF(AND(OR(ISNUMBER(SEARCH("Eviction",E704)),ISNUMBER(SEARCH("Past",E704)),ISNUMBER(SEARCH("Skip",E704)),ISNUMBER(SEARCH("Collections",E704)),COUNTIF(Delinquency_Detail_3!$N$3:$N$24,D704)&gt;0),COUNTIF(Delinquency_Detail_3!$P$3:$P$24,D704)=0,I704&gt;0,SUMPRODUCT((LeaseLock!$D$2:$D$500=B704)*(ISNUMBER(SEARCH(TRIM(LEFT(SUBSTITUTE(D704,",",REPT(" ",100)),100)),LeaseLock!$C$2:$C$500))))=0),1,0)</f>
        <v>0</v>
      </c>
    </row>
    <row r="705" spans="14:14">
      <c r="N705" s="90" cm="1">
        <f t="array" ref="N705">IF(AND(OR(ISNUMBER(SEARCH("Eviction",E705)),ISNUMBER(SEARCH("Past",E705)),ISNUMBER(SEARCH("Skip",E705)),ISNUMBER(SEARCH("Collections",E705)),COUNTIF(Delinquency_Detail_3!$N$3:$N$24,D705)&gt;0),COUNTIF(Delinquency_Detail_3!$P$3:$P$24,D705)=0,I705&gt;0,SUMPRODUCT((LeaseLock!$D$2:$D$500=B705)*(ISNUMBER(SEARCH(TRIM(LEFT(SUBSTITUTE(D705,",",REPT(" ",100)),100)),LeaseLock!$C$2:$C$500))))=0),1,0)</f>
        <v>0</v>
      </c>
    </row>
    <row r="706" spans="14:14">
      <c r="N706" s="90" cm="1">
        <f t="array" ref="N706">IF(AND(OR(ISNUMBER(SEARCH("Eviction",E706)),ISNUMBER(SEARCH("Past",E706)),ISNUMBER(SEARCH("Skip",E706)),ISNUMBER(SEARCH("Collections",E706)),COUNTIF(Delinquency_Detail_3!$N$3:$N$24,D706)&gt;0),COUNTIF(Delinquency_Detail_3!$P$3:$P$24,D706)=0,I706&gt;0,SUMPRODUCT((LeaseLock!$D$2:$D$500=B706)*(ISNUMBER(SEARCH(TRIM(LEFT(SUBSTITUTE(D706,",",REPT(" ",100)),100)),LeaseLock!$C$2:$C$500))))=0),1,0)</f>
        <v>0</v>
      </c>
    </row>
    <row r="707" spans="14:14">
      <c r="N707" s="90" cm="1">
        <f t="array" ref="N707">IF(AND(OR(ISNUMBER(SEARCH("Eviction",E707)),ISNUMBER(SEARCH("Past",E707)),ISNUMBER(SEARCH("Skip",E707)),ISNUMBER(SEARCH("Collections",E707)),COUNTIF(Delinquency_Detail_3!$N$3:$N$24,D707)&gt;0),COUNTIF(Delinquency_Detail_3!$P$3:$P$24,D707)=0,I707&gt;0,SUMPRODUCT((LeaseLock!$D$2:$D$500=B707)*(ISNUMBER(SEARCH(TRIM(LEFT(SUBSTITUTE(D707,",",REPT(" ",100)),100)),LeaseLock!$C$2:$C$500))))=0),1,0)</f>
        <v>0</v>
      </c>
    </row>
    <row r="708" spans="14:14">
      <c r="N708" s="90" cm="1">
        <f t="array" ref="N708">IF(AND(OR(ISNUMBER(SEARCH("Eviction",E708)),ISNUMBER(SEARCH("Past",E708)),ISNUMBER(SEARCH("Skip",E708)),ISNUMBER(SEARCH("Collections",E708)),COUNTIF(Delinquency_Detail_3!$N$3:$N$24,D708)&gt;0),COUNTIF(Delinquency_Detail_3!$P$3:$P$24,D708)=0,I708&gt;0,SUMPRODUCT((LeaseLock!$D$2:$D$500=B708)*(ISNUMBER(SEARCH(TRIM(LEFT(SUBSTITUTE(D708,",",REPT(" ",100)),100)),LeaseLock!$C$2:$C$500))))=0),1,0)</f>
        <v>0</v>
      </c>
    </row>
    <row r="709" spans="14:14">
      <c r="N709" s="90" cm="1">
        <f t="array" ref="N709">IF(AND(OR(ISNUMBER(SEARCH("Eviction",E709)),ISNUMBER(SEARCH("Past",E709)),ISNUMBER(SEARCH("Skip",E709)),ISNUMBER(SEARCH("Collections",E709)),COUNTIF(Delinquency_Detail_3!$N$3:$N$24,D709)&gt;0),COUNTIF(Delinquency_Detail_3!$P$3:$P$24,D709)=0,I709&gt;0,SUMPRODUCT((LeaseLock!$D$2:$D$500=B709)*(ISNUMBER(SEARCH(TRIM(LEFT(SUBSTITUTE(D709,",",REPT(" ",100)),100)),LeaseLock!$C$2:$C$500))))=0),1,0)</f>
        <v>0</v>
      </c>
    </row>
    <row r="710" spans="14:14">
      <c r="N710" s="90" cm="1">
        <f t="array" ref="N710">IF(AND(OR(ISNUMBER(SEARCH("Eviction",E710)),ISNUMBER(SEARCH("Past",E710)),ISNUMBER(SEARCH("Skip",E710)),ISNUMBER(SEARCH("Collections",E710)),COUNTIF(Delinquency_Detail_3!$N$3:$N$24,D710)&gt;0),COUNTIF(Delinquency_Detail_3!$P$3:$P$24,D710)=0,I710&gt;0,SUMPRODUCT((LeaseLock!$D$2:$D$500=B710)*(ISNUMBER(SEARCH(TRIM(LEFT(SUBSTITUTE(D710,",",REPT(" ",100)),100)),LeaseLock!$C$2:$C$500))))=0),1,0)</f>
        <v>0</v>
      </c>
    </row>
    <row r="711" spans="14:14">
      <c r="N711" s="90" cm="1">
        <f t="array" ref="N711">IF(AND(OR(ISNUMBER(SEARCH("Eviction",E711)),ISNUMBER(SEARCH("Past",E711)),ISNUMBER(SEARCH("Skip",E711)),ISNUMBER(SEARCH("Collections",E711)),COUNTIF(Delinquency_Detail_3!$N$3:$N$24,D711)&gt;0),COUNTIF(Delinquency_Detail_3!$P$3:$P$24,D711)=0,I711&gt;0,SUMPRODUCT((LeaseLock!$D$2:$D$500=B711)*(ISNUMBER(SEARCH(TRIM(LEFT(SUBSTITUTE(D711,",",REPT(" ",100)),100)),LeaseLock!$C$2:$C$500))))=0),1,0)</f>
        <v>0</v>
      </c>
    </row>
    <row r="712" spans="14:14">
      <c r="N712" s="90" cm="1">
        <f t="array" ref="N712">IF(AND(OR(ISNUMBER(SEARCH("Eviction",E712)),ISNUMBER(SEARCH("Past",E712)),ISNUMBER(SEARCH("Skip",E712)),ISNUMBER(SEARCH("Collections",E712)),COUNTIF(Delinquency_Detail_3!$N$3:$N$24,D712)&gt;0),COUNTIF(Delinquency_Detail_3!$P$3:$P$24,D712)=0,I712&gt;0,SUMPRODUCT((LeaseLock!$D$2:$D$500=B712)*(ISNUMBER(SEARCH(TRIM(LEFT(SUBSTITUTE(D712,",",REPT(" ",100)),100)),LeaseLock!$C$2:$C$500))))=0),1,0)</f>
        <v>0</v>
      </c>
    </row>
    <row r="713" spans="14:14">
      <c r="N713" s="90" cm="1">
        <f t="array" ref="N713">IF(AND(OR(ISNUMBER(SEARCH("Eviction",E713)),ISNUMBER(SEARCH("Past",E713)),ISNUMBER(SEARCH("Skip",E713)),ISNUMBER(SEARCH("Collections",E713)),COUNTIF(Delinquency_Detail_3!$N$3:$N$24,D713)&gt;0),COUNTIF(Delinquency_Detail_3!$P$3:$P$24,D713)=0,I713&gt;0,SUMPRODUCT((LeaseLock!$D$2:$D$500=B713)*(ISNUMBER(SEARCH(TRIM(LEFT(SUBSTITUTE(D713,",",REPT(" ",100)),100)),LeaseLock!$C$2:$C$500))))=0),1,0)</f>
        <v>0</v>
      </c>
    </row>
    <row r="714" spans="14:14">
      <c r="N714" s="90" cm="1">
        <f t="array" ref="N714">IF(AND(OR(ISNUMBER(SEARCH("Eviction",E714)),ISNUMBER(SEARCH("Past",E714)),ISNUMBER(SEARCH("Skip",E714)),ISNUMBER(SEARCH("Collections",E714)),COUNTIF(Delinquency_Detail_3!$N$3:$N$24,D714)&gt;0),COUNTIF(Delinquency_Detail_3!$P$3:$P$24,D714)=0,I714&gt;0,SUMPRODUCT((LeaseLock!$D$2:$D$500=B714)*(ISNUMBER(SEARCH(TRIM(LEFT(SUBSTITUTE(D714,",",REPT(" ",100)),100)),LeaseLock!$C$2:$C$500))))=0),1,0)</f>
        <v>0</v>
      </c>
    </row>
    <row r="715" spans="14:14">
      <c r="N715" s="90" cm="1">
        <f t="array" ref="N715">IF(AND(OR(ISNUMBER(SEARCH("Eviction",E715)),ISNUMBER(SEARCH("Past",E715)),ISNUMBER(SEARCH("Skip",E715)),ISNUMBER(SEARCH("Collections",E715)),COUNTIF(Delinquency_Detail_3!$N$3:$N$24,D715)&gt;0),COUNTIF(Delinquency_Detail_3!$P$3:$P$24,D715)=0,I715&gt;0,SUMPRODUCT((LeaseLock!$D$2:$D$500=B715)*(ISNUMBER(SEARCH(TRIM(LEFT(SUBSTITUTE(D715,",",REPT(" ",100)),100)),LeaseLock!$C$2:$C$500))))=0),1,0)</f>
        <v>0</v>
      </c>
    </row>
    <row r="716" spans="14:14">
      <c r="N716" s="90" cm="1">
        <f t="array" ref="N716">IF(AND(OR(ISNUMBER(SEARCH("Eviction",E716)),ISNUMBER(SEARCH("Past",E716)),ISNUMBER(SEARCH("Skip",E716)),ISNUMBER(SEARCH("Collections",E716)),COUNTIF(Delinquency_Detail_3!$N$3:$N$24,D716)&gt;0),COUNTIF(Delinquency_Detail_3!$P$3:$P$24,D716)=0,I716&gt;0,SUMPRODUCT((LeaseLock!$D$2:$D$500=B716)*(ISNUMBER(SEARCH(TRIM(LEFT(SUBSTITUTE(D716,",",REPT(" ",100)),100)),LeaseLock!$C$2:$C$500))))=0),1,0)</f>
        <v>0</v>
      </c>
    </row>
    <row r="717" spans="14:14">
      <c r="N717" s="90" cm="1">
        <f t="array" ref="N717">IF(AND(OR(ISNUMBER(SEARCH("Eviction",E717)),ISNUMBER(SEARCH("Past",E717)),ISNUMBER(SEARCH("Skip",E717)),ISNUMBER(SEARCH("Collections",E717)),COUNTIF(Delinquency_Detail_3!$N$3:$N$24,D717)&gt;0),COUNTIF(Delinquency_Detail_3!$P$3:$P$24,D717)=0,I717&gt;0,SUMPRODUCT((LeaseLock!$D$2:$D$500=B717)*(ISNUMBER(SEARCH(TRIM(LEFT(SUBSTITUTE(D717,",",REPT(" ",100)),100)),LeaseLock!$C$2:$C$500))))=0),1,0)</f>
        <v>0</v>
      </c>
    </row>
    <row r="718" spans="14:14">
      <c r="N718" s="90" cm="1">
        <f t="array" ref="N718">IF(AND(OR(ISNUMBER(SEARCH("Eviction",E718)),ISNUMBER(SEARCH("Past",E718)),ISNUMBER(SEARCH("Skip",E718)),ISNUMBER(SEARCH("Collections",E718)),COUNTIF(Delinquency_Detail_3!$N$3:$N$24,D718)&gt;0),COUNTIF(Delinquency_Detail_3!$P$3:$P$24,D718)=0,I718&gt;0,SUMPRODUCT((LeaseLock!$D$2:$D$500=B718)*(ISNUMBER(SEARCH(TRIM(LEFT(SUBSTITUTE(D718,",",REPT(" ",100)),100)),LeaseLock!$C$2:$C$500))))=0),1,0)</f>
        <v>0</v>
      </c>
    </row>
    <row r="719" spans="14:14">
      <c r="N719" s="90" cm="1">
        <f t="array" ref="N719">IF(AND(OR(ISNUMBER(SEARCH("Eviction",E719)),ISNUMBER(SEARCH("Past",E719)),ISNUMBER(SEARCH("Skip",E719)),ISNUMBER(SEARCH("Collections",E719)),COUNTIF(Delinquency_Detail_3!$N$3:$N$24,D719)&gt;0),COUNTIF(Delinquency_Detail_3!$P$3:$P$24,D719)=0,I719&gt;0,SUMPRODUCT((LeaseLock!$D$2:$D$500=B719)*(ISNUMBER(SEARCH(TRIM(LEFT(SUBSTITUTE(D719,",",REPT(" ",100)),100)),LeaseLock!$C$2:$C$500))))=0),1,0)</f>
        <v>0</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2936C4-6556-4C0A-9020-4F9DE0198F55}">
  <sheetPr codeName="Sheet15">
    <tabColor theme="4" tint="0.59999389629810485"/>
  </sheetPr>
  <dimension ref="A1:U6"/>
  <sheetViews>
    <sheetView workbookViewId="0">
      <selection activeCell="Q5" sqref="Q5"/>
    </sheetView>
  </sheetViews>
  <sheetFormatPr defaultRowHeight="14.4"/>
  <cols>
    <col min="3" max="3" width="15" customWidth="1"/>
    <col min="4" max="4" width="17.109375" customWidth="1"/>
    <col min="5" max="5" width="13.109375" customWidth="1"/>
    <col min="14" max="14" width="28.6640625" bestFit="1" customWidth="1"/>
    <col min="15" max="15" width="13.33203125" bestFit="1" customWidth="1"/>
    <col min="16" max="20" width="12.5546875" customWidth="1"/>
  </cols>
  <sheetData>
    <row r="1" spans="1:21">
      <c r="A1" t="s">
        <v>2301</v>
      </c>
      <c r="B1" t="s">
        <v>2226</v>
      </c>
      <c r="C1" t="s">
        <v>2717</v>
      </c>
      <c r="D1" t="s">
        <v>2718</v>
      </c>
      <c r="E1" t="s">
        <v>1278</v>
      </c>
      <c r="F1" s="453"/>
      <c r="M1" t="s">
        <v>2301</v>
      </c>
      <c r="N1" t="s">
        <v>2719</v>
      </c>
      <c r="O1" t="s">
        <v>929</v>
      </c>
      <c r="P1" t="s">
        <v>1022</v>
      </c>
      <c r="Q1" t="s">
        <v>1377</v>
      </c>
      <c r="R1" t="s">
        <v>2720</v>
      </c>
      <c r="S1" t="s">
        <v>2721</v>
      </c>
      <c r="T1" s="453"/>
      <c r="U1" s="90"/>
    </row>
    <row r="2" spans="1:21">
      <c r="A2" t="s">
        <v>1751</v>
      </c>
      <c r="B2">
        <v>133</v>
      </c>
      <c r="C2">
        <v>15</v>
      </c>
      <c r="D2">
        <v>142</v>
      </c>
      <c r="E2">
        <v>260</v>
      </c>
      <c r="F2" s="453"/>
      <c r="M2" t="s">
        <v>1751</v>
      </c>
      <c r="N2" t="s">
        <v>2722</v>
      </c>
      <c r="O2" t="s">
        <v>2723</v>
      </c>
      <c r="P2">
        <v>880</v>
      </c>
      <c r="Q2">
        <v>2</v>
      </c>
      <c r="R2">
        <v>5.3</v>
      </c>
      <c r="S2">
        <v>127.23</v>
      </c>
      <c r="T2" s="90"/>
      <c r="U2" s="90"/>
    </row>
    <row r="3" spans="1:21">
      <c r="A3" s="90"/>
      <c r="B3" s="90"/>
      <c r="C3" s="90"/>
      <c r="D3" s="90"/>
      <c r="E3" s="90"/>
      <c r="F3" s="453"/>
      <c r="M3" t="s">
        <v>1751</v>
      </c>
      <c r="N3" t="s">
        <v>2722</v>
      </c>
      <c r="O3" t="s">
        <v>1188</v>
      </c>
      <c r="P3">
        <v>880</v>
      </c>
      <c r="Q3">
        <v>6</v>
      </c>
      <c r="R3">
        <v>3.35</v>
      </c>
      <c r="S3">
        <v>80.31</v>
      </c>
      <c r="T3" s="90"/>
      <c r="U3" s="90"/>
    </row>
    <row r="4" spans="1:21">
      <c r="M4" t="s">
        <v>1751</v>
      </c>
      <c r="N4" t="s">
        <v>2722</v>
      </c>
      <c r="O4" t="s">
        <v>2227</v>
      </c>
      <c r="P4">
        <v>880</v>
      </c>
      <c r="Q4">
        <v>47</v>
      </c>
      <c r="R4">
        <v>1.5</v>
      </c>
      <c r="S4">
        <v>36.020000000000003</v>
      </c>
      <c r="T4" s="90"/>
      <c r="U4" s="90"/>
    </row>
    <row r="5" spans="1:21">
      <c r="M5" t="s">
        <v>1751</v>
      </c>
      <c r="N5" t="s">
        <v>2722</v>
      </c>
      <c r="O5" t="s">
        <v>2724</v>
      </c>
      <c r="P5">
        <v>880</v>
      </c>
      <c r="Q5">
        <v>78</v>
      </c>
      <c r="R5">
        <v>3.19</v>
      </c>
      <c r="S5">
        <v>76.510000000000005</v>
      </c>
      <c r="T5" s="90"/>
    </row>
    <row r="6" spans="1:21">
      <c r="M6" s="90"/>
      <c r="N6" s="90"/>
      <c r="O6" s="90"/>
      <c r="P6" s="90"/>
      <c r="Q6" s="90"/>
      <c r="R6" s="90"/>
      <c r="S6" s="90"/>
      <c r="T6" s="90"/>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23029B-1899-4BB3-9487-E897E2951308}">
  <sheetPr codeName="Sheet16">
    <tabColor theme="4" tint="0.59999389629810485"/>
  </sheetPr>
  <dimension ref="A1:CL246"/>
  <sheetViews>
    <sheetView topLeftCell="A5" workbookViewId="0">
      <selection activeCell="M17" sqref="M17"/>
    </sheetView>
  </sheetViews>
  <sheetFormatPr defaultRowHeight="15" customHeight="1"/>
  <cols>
    <col min="1" max="1" width="33.44140625" bestFit="1" customWidth="1"/>
    <col min="2" max="2" width="43.44140625" bestFit="1" customWidth="1"/>
    <col min="3" max="3" width="23" customWidth="1"/>
    <col min="4" max="4" width="20.44140625" customWidth="1"/>
    <col min="5" max="5" width="19.33203125" customWidth="1"/>
    <col min="6" max="6" width="18.109375" customWidth="1"/>
    <col min="7" max="7" width="15.44140625" customWidth="1"/>
    <col min="8" max="8" width="14.33203125" customWidth="1"/>
    <col min="9" max="9" width="16" customWidth="1"/>
    <col min="10" max="10" width="17.44140625" customWidth="1"/>
    <col min="11" max="11" width="19.6640625" customWidth="1"/>
  </cols>
  <sheetData>
    <row r="1" spans="1:11" ht="15.6">
      <c r="A1" s="1100" t="s">
        <v>2725</v>
      </c>
      <c r="B1" s="107"/>
      <c r="C1" s="107"/>
      <c r="D1" s="107"/>
      <c r="E1" s="107"/>
      <c r="F1" s="107"/>
      <c r="G1" s="107"/>
      <c r="H1" s="107"/>
    </row>
    <row r="2" spans="1:11" ht="14.4">
      <c r="A2" s="1090" t="s">
        <v>1751</v>
      </c>
      <c r="B2" s="107"/>
      <c r="C2" s="107"/>
      <c r="D2" s="107"/>
      <c r="E2" s="107"/>
      <c r="F2" s="107"/>
      <c r="G2" s="107"/>
      <c r="H2" s="107"/>
    </row>
    <row r="3" spans="1:11" ht="14.4">
      <c r="A3" s="1090" t="s">
        <v>2726</v>
      </c>
      <c r="B3" s="107"/>
      <c r="C3" s="107"/>
      <c r="D3" s="107"/>
      <c r="E3" s="107"/>
      <c r="F3" s="107"/>
      <c r="G3" s="107"/>
      <c r="H3" s="107"/>
    </row>
    <row r="4" spans="1:11" ht="14.4">
      <c r="A4" s="1090" t="s">
        <v>2727</v>
      </c>
      <c r="B4" s="107"/>
      <c r="C4" s="107"/>
      <c r="D4" s="107"/>
      <c r="E4" s="107"/>
      <c r="F4" s="107"/>
      <c r="G4" s="107"/>
      <c r="H4" s="107"/>
    </row>
    <row r="5" spans="1:11" ht="14.4">
      <c r="A5" s="107"/>
      <c r="B5" s="107"/>
      <c r="C5" s="107"/>
      <c r="D5" s="107"/>
      <c r="E5" s="107"/>
      <c r="F5" s="107"/>
      <c r="G5" s="107"/>
      <c r="H5" s="107"/>
    </row>
    <row r="6" spans="1:11" ht="14.4">
      <c r="A6" s="107"/>
      <c r="B6" s="107"/>
      <c r="C6" s="107"/>
      <c r="D6" s="107"/>
      <c r="E6" s="107"/>
      <c r="F6" s="107"/>
      <c r="G6" s="107"/>
      <c r="H6" s="107"/>
    </row>
    <row r="7" spans="1:11" ht="14.4">
      <c r="A7" s="107"/>
      <c r="B7" s="107"/>
      <c r="C7" s="107"/>
      <c r="D7" s="107" t="s">
        <v>2728</v>
      </c>
      <c r="E7" s="107"/>
      <c r="F7" s="107"/>
      <c r="G7" s="107"/>
      <c r="H7" s="107"/>
    </row>
    <row r="8" spans="1:11" ht="14.4">
      <c r="A8" s="1094" t="s">
        <v>2729</v>
      </c>
      <c r="B8" s="107"/>
      <c r="C8" s="1069">
        <v>45992</v>
      </c>
      <c r="D8" s="1069">
        <v>46023</v>
      </c>
      <c r="E8" s="1101">
        <v>46079</v>
      </c>
      <c r="F8" s="1101">
        <v>46107</v>
      </c>
      <c r="G8" s="1101">
        <v>46138</v>
      </c>
      <c r="H8" s="1101">
        <v>46168</v>
      </c>
      <c r="I8" s="1101">
        <v>46199</v>
      </c>
      <c r="J8" s="1101">
        <v>46229</v>
      </c>
      <c r="K8" s="1101">
        <v>46260</v>
      </c>
    </row>
    <row r="9" spans="1:11" ht="14.4">
      <c r="A9" s="1102" t="s">
        <v>2729</v>
      </c>
      <c r="B9" s="107"/>
      <c r="C9" s="1103" t="s">
        <v>925</v>
      </c>
      <c r="D9" s="1103" t="s">
        <v>925</v>
      </c>
      <c r="E9" s="1103" t="s">
        <v>925</v>
      </c>
      <c r="F9" s="1103" t="s">
        <v>925</v>
      </c>
      <c r="G9" s="1103" t="s">
        <v>925</v>
      </c>
      <c r="H9" s="1103" t="s">
        <v>925</v>
      </c>
      <c r="I9" s="1103" t="s">
        <v>925</v>
      </c>
      <c r="J9" s="1103" t="s">
        <v>925</v>
      </c>
      <c r="K9" s="1103" t="s">
        <v>925</v>
      </c>
    </row>
    <row r="10" spans="1:11" ht="14.4">
      <c r="A10" s="1102" t="s">
        <v>1032</v>
      </c>
      <c r="B10" s="107"/>
      <c r="C10" s="107"/>
      <c r="D10" s="1104" t="s">
        <v>1032</v>
      </c>
      <c r="E10" s="1104" t="s">
        <v>1032</v>
      </c>
      <c r="F10" s="1104" t="s">
        <v>1032</v>
      </c>
      <c r="G10" s="1104" t="s">
        <v>1032</v>
      </c>
      <c r="H10" s="1104" t="s">
        <v>1032</v>
      </c>
      <c r="I10" s="1104" t="s">
        <v>1032</v>
      </c>
      <c r="J10" s="1104" t="s">
        <v>1032</v>
      </c>
      <c r="K10" s="1104" t="s">
        <v>1032</v>
      </c>
    </row>
    <row r="11" spans="1:11" ht="14.4">
      <c r="A11" s="1092" t="s">
        <v>1032</v>
      </c>
      <c r="B11" s="1092" t="s">
        <v>931</v>
      </c>
      <c r="C11" s="1093">
        <v>0.7853</v>
      </c>
      <c r="D11" s="1093">
        <v>0.7732</v>
      </c>
      <c r="E11" s="1093">
        <v>0.74529999999999996</v>
      </c>
      <c r="F11" s="1093">
        <v>0.7268</v>
      </c>
      <c r="G11" s="1093">
        <v>0.72040000000000004</v>
      </c>
      <c r="H11" s="1093">
        <f>1+(H33+H32+H31)/H24</f>
        <v>0.72632119040110099</v>
      </c>
      <c r="I11" s="1093">
        <f>1+(I33+I32+I31)/I24</f>
        <v>0.72346727788793386</v>
      </c>
      <c r="J11" s="1093">
        <f>1+(J33+J32+J31)/J24</f>
        <v>0.71380109521488566</v>
      </c>
      <c r="K11" s="1093">
        <f>1+(K33+K32+K31)/K24</f>
        <v>0.71981005030542167</v>
      </c>
    </row>
    <row r="12" spans="1:11" ht="14.4">
      <c r="A12" s="1094" t="s">
        <v>1032</v>
      </c>
      <c r="B12" s="1094" t="s">
        <v>2730</v>
      </c>
      <c r="C12" s="1094">
        <v>691</v>
      </c>
      <c r="D12" s="1094">
        <v>680</v>
      </c>
      <c r="E12" s="1094">
        <v>656</v>
      </c>
      <c r="F12" s="1094">
        <v>640</v>
      </c>
      <c r="G12" s="1094">
        <v>634</v>
      </c>
      <c r="H12" s="1105">
        <f>H11*880</f>
        <v>639.16264755296891</v>
      </c>
      <c r="I12" s="1105">
        <f>I11*880</f>
        <v>636.65120454138184</v>
      </c>
      <c r="J12" s="1105">
        <f>J11*880</f>
        <v>628.14496378909939</v>
      </c>
      <c r="K12" s="1105">
        <f>K11*880</f>
        <v>633.43284426877108</v>
      </c>
    </row>
    <row r="13" spans="1:11" ht="14.4">
      <c r="A13" s="1094" t="s">
        <v>1032</v>
      </c>
      <c r="B13" s="1094" t="s">
        <v>2731</v>
      </c>
      <c r="C13" s="1095">
        <v>1091</v>
      </c>
      <c r="D13" s="1095">
        <v>1133</v>
      </c>
      <c r="E13" s="1095">
        <v>1019</v>
      </c>
      <c r="F13" s="1095">
        <v>1018</v>
      </c>
      <c r="G13" s="1095">
        <v>983</v>
      </c>
      <c r="H13" s="1095">
        <f>SUM(H24)/880</f>
        <v>990.88068181818187</v>
      </c>
      <c r="I13" s="1095">
        <f>SUM(I24)/880</f>
        <v>982.88068181818187</v>
      </c>
      <c r="J13" s="1095">
        <f>SUM(J24:J25)/880</f>
        <v>990.88068181818187</v>
      </c>
      <c r="K13" s="1095">
        <f>SUM(K24:K25)/880</f>
        <v>991.17386363636365</v>
      </c>
    </row>
    <row r="14" spans="1:11" ht="14.4">
      <c r="A14" s="1094" t="s">
        <v>1032</v>
      </c>
      <c r="B14" s="1094" t="s">
        <v>2732</v>
      </c>
      <c r="C14" s="1096">
        <v>31</v>
      </c>
      <c r="D14" s="1096">
        <v>17</v>
      </c>
      <c r="E14" s="1096">
        <v>105</v>
      </c>
      <c r="F14" s="1096">
        <v>100</v>
      </c>
      <c r="G14" s="1096">
        <v>131</v>
      </c>
      <c r="H14" s="1106">
        <f>SUM(H26+H35+H34+H36)/H12</f>
        <v>60.552787538781494</v>
      </c>
      <c r="I14" s="1106">
        <f>SUM(I26+I35+I34+I36)/I12</f>
        <v>78.640909877907404</v>
      </c>
      <c r="J14" s="1106">
        <f>SUM(J26+J35+J34+J36)/J12</f>
        <v>1.2551879668730634</v>
      </c>
      <c r="K14" s="1106">
        <f>SUM(K26+K35+K34+K36)/K12</f>
        <v>16.194439699194692</v>
      </c>
    </row>
    <row r="15" spans="1:11" ht="14.4">
      <c r="A15" s="1097" t="s">
        <v>1032</v>
      </c>
      <c r="B15" s="1097" t="s">
        <v>2733</v>
      </c>
      <c r="C15" s="1098">
        <v>1123</v>
      </c>
      <c r="D15" s="1098">
        <v>1151</v>
      </c>
      <c r="E15" s="1098">
        <v>1125</v>
      </c>
      <c r="F15" s="1098">
        <v>1118</v>
      </c>
      <c r="G15" s="1098">
        <v>1114</v>
      </c>
      <c r="H15" s="1098">
        <f>SUM(H13:H14)</f>
        <v>1051.4334693569633</v>
      </c>
      <c r="I15" s="1098">
        <f>SUM(I13:I14)</f>
        <v>1061.5215916960892</v>
      </c>
      <c r="J15" s="1098">
        <f>SUM(J13:J14)</f>
        <v>992.13586978505498</v>
      </c>
      <c r="K15" s="1098">
        <f>SUM(K13:K14)</f>
        <v>1007.3683033355584</v>
      </c>
    </row>
    <row r="16" spans="1:11" ht="14.4">
      <c r="A16" s="1094" t="s">
        <v>1032</v>
      </c>
      <c r="B16" s="1094" t="s">
        <v>2734</v>
      </c>
      <c r="C16" s="1099">
        <v>-2.87E-2</v>
      </c>
      <c r="D16" s="1099">
        <v>-1.54E-2</v>
      </c>
      <c r="E16" s="1099">
        <v>-0.1031</v>
      </c>
      <c r="F16" s="1099">
        <v>-9.8299999999999998E-2</v>
      </c>
      <c r="G16" s="1099">
        <v>-0.1336</v>
      </c>
      <c r="H16" s="1099">
        <f>-H14/H13</f>
        <v>-6.1110069708567E-2</v>
      </c>
      <c r="I16" s="1099">
        <f>-I14/I13</f>
        <v>-8.0010637438141033E-2</v>
      </c>
      <c r="J16" s="1099">
        <f>-J14/J13</f>
        <v>-1.2667397698882374E-3</v>
      </c>
      <c r="K16" s="1099">
        <f>-K14/K13</f>
        <v>-1.6338646824061151E-2</v>
      </c>
    </row>
    <row r="17" spans="1:11" ht="14.4">
      <c r="A17" s="1094" t="s">
        <v>1032</v>
      </c>
      <c r="B17" s="1094" t="s">
        <v>2735</v>
      </c>
      <c r="C17" s="1099">
        <v>6.5199999999999994E-2</v>
      </c>
      <c r="D17" s="1099">
        <v>6.6400000000000001E-2</v>
      </c>
      <c r="E17" s="1099">
        <v>5.0099999999999999E-2</v>
      </c>
      <c r="F17" s="1099">
        <v>9.1399999999999995E-2</v>
      </c>
      <c r="G17" s="1099">
        <v>0.245</v>
      </c>
      <c r="H17" s="1099">
        <f>-H30/(SUM(H24+H26)+SUM(H31+H35+H34+H33+H32))</f>
        <v>0.24236372969668915</v>
      </c>
      <c r="I17" s="1099">
        <f>-I30/(SUM(I24+I26)+SUM(I31+I35+I34+I33+I32))</f>
        <v>0.10015722611582442</v>
      </c>
      <c r="J17" s="1099">
        <f>-J30/(SUM(J24+J25+J26)+SUM(J31+J35+J34+J33+J32))</f>
        <v>6.2460641371463642E-2</v>
      </c>
      <c r="K17" s="1099">
        <f>-K30/(SUM(K24+K25+K26)+SUM(K31+K35+K34+K33+K32))</f>
        <v>0</v>
      </c>
    </row>
    <row r="18" spans="1:11" ht="14.4">
      <c r="A18" s="1092" t="s">
        <v>1032</v>
      </c>
      <c r="B18" s="1092" t="s">
        <v>2736</v>
      </c>
      <c r="C18" s="1093">
        <v>0.72099999999999997</v>
      </c>
      <c r="D18" s="1093">
        <v>0.71899999999999997</v>
      </c>
      <c r="E18" s="1093">
        <v>0.72099999999999997</v>
      </c>
      <c r="F18" s="1093">
        <v>0.66600000000000004</v>
      </c>
      <c r="G18" s="1093">
        <v>0.54900000000000004</v>
      </c>
      <c r="H18" s="1093">
        <f>H39/H27</f>
        <v>0.53160070298611084</v>
      </c>
      <c r="I18" s="1093">
        <f>I39/I27</f>
        <v>0.64058766141454015</v>
      </c>
      <c r="J18" s="1093">
        <f>J39/J27</f>
        <v>0.61762356147566022</v>
      </c>
      <c r="K18" s="1093">
        <f>K39/K27</f>
        <v>0.67619511442632341</v>
      </c>
    </row>
    <row r="19" spans="1:11" ht="14.4">
      <c r="A19" s="107"/>
      <c r="B19" s="107"/>
      <c r="C19" s="107"/>
      <c r="D19" s="107"/>
      <c r="E19" s="107"/>
      <c r="F19" s="107"/>
      <c r="G19" s="107"/>
      <c r="H19" s="107"/>
      <c r="I19" s="107"/>
      <c r="J19" s="107"/>
      <c r="K19" s="107"/>
    </row>
    <row r="20" spans="1:11" ht="14.4">
      <c r="A20" s="107"/>
      <c r="B20" s="107"/>
      <c r="C20" s="107"/>
      <c r="D20" s="107"/>
      <c r="E20" s="107"/>
      <c r="F20" s="107"/>
      <c r="G20" s="107"/>
      <c r="H20" s="107"/>
      <c r="I20" s="107"/>
      <c r="J20" s="107"/>
      <c r="K20" s="107"/>
    </row>
    <row r="21" spans="1:11" ht="14.4">
      <c r="A21" s="1089" t="s">
        <v>2197</v>
      </c>
      <c r="B21" s="1089" t="s">
        <v>2737</v>
      </c>
      <c r="C21" s="1101">
        <v>46381</v>
      </c>
      <c r="D21" s="1101">
        <v>46048</v>
      </c>
      <c r="E21" s="1101">
        <v>46079</v>
      </c>
      <c r="F21" s="1101">
        <v>46107</v>
      </c>
      <c r="G21" s="1101">
        <v>46138</v>
      </c>
      <c r="H21" s="1101">
        <v>46168</v>
      </c>
      <c r="I21" s="1101">
        <v>46199</v>
      </c>
      <c r="J21" s="1101">
        <v>46229</v>
      </c>
      <c r="K21" s="1101">
        <v>46260</v>
      </c>
    </row>
    <row r="22" spans="1:11" ht="14.4">
      <c r="A22" s="1064" t="s">
        <v>2738</v>
      </c>
      <c r="B22" s="107"/>
      <c r="C22" s="107"/>
      <c r="D22" s="107"/>
      <c r="E22" s="107"/>
      <c r="F22" s="107"/>
      <c r="G22" s="107"/>
      <c r="H22" s="107"/>
    </row>
    <row r="23" spans="1:11" ht="14.4">
      <c r="A23" s="1064" t="s">
        <v>2739</v>
      </c>
      <c r="B23" s="107"/>
      <c r="C23" s="107"/>
      <c r="D23" s="107"/>
      <c r="E23" s="107"/>
      <c r="F23" s="107"/>
      <c r="G23" s="107"/>
      <c r="H23" s="107"/>
    </row>
    <row r="24" spans="1:11" ht="14.4">
      <c r="A24" s="1090">
        <v>5001</v>
      </c>
      <c r="B24" s="1090" t="s">
        <v>2740</v>
      </c>
      <c r="C24" s="965">
        <v>960519.3</v>
      </c>
      <c r="D24" s="965">
        <v>997255</v>
      </c>
      <c r="E24" s="965">
        <v>897057</v>
      </c>
      <c r="F24" s="965">
        <v>896169</v>
      </c>
      <c r="G24" s="965">
        <v>864935</v>
      </c>
      <c r="H24" s="965">
        <v>871975</v>
      </c>
      <c r="I24" s="965">
        <v>864935</v>
      </c>
      <c r="J24" s="1233">
        <v>871975</v>
      </c>
      <c r="K24" s="1233">
        <v>872073</v>
      </c>
    </row>
    <row r="25" spans="1:11" ht="14.4">
      <c r="A25" s="1090"/>
      <c r="B25" s="1090"/>
      <c r="C25" s="965"/>
      <c r="D25" s="965"/>
      <c r="E25" s="965"/>
      <c r="F25" s="965"/>
      <c r="G25" s="965"/>
      <c r="H25" s="965"/>
      <c r="I25" s="965"/>
      <c r="J25" s="1233">
        <v>0</v>
      </c>
      <c r="K25" s="1233">
        <v>160</v>
      </c>
    </row>
    <row r="26" spans="1:11" ht="14.4">
      <c r="A26" s="1090">
        <v>5002</v>
      </c>
      <c r="B26" s="1090" t="s">
        <v>2741</v>
      </c>
      <c r="C26" s="965">
        <v>45835</v>
      </c>
      <c r="D26" s="965">
        <v>18568.18</v>
      </c>
      <c r="E26" s="965">
        <v>74436.210000000006</v>
      </c>
      <c r="F26" s="965">
        <v>80076.05</v>
      </c>
      <c r="G26" s="965">
        <v>105038.06</v>
      </c>
      <c r="H26" s="965">
        <v>84903.08</v>
      </c>
      <c r="I26" s="965">
        <v>84095.83</v>
      </c>
      <c r="J26" s="1233">
        <v>73776.289999999994</v>
      </c>
      <c r="K26" s="1233">
        <v>71496.09</v>
      </c>
    </row>
    <row r="27" spans="1:11" ht="14.4">
      <c r="A27" s="107"/>
      <c r="B27" s="1064" t="s">
        <v>2739</v>
      </c>
      <c r="C27" s="1134">
        <v>1006354.3</v>
      </c>
      <c r="D27" s="1134">
        <v>1015823.18</v>
      </c>
      <c r="E27" s="1134">
        <v>971493.21</v>
      </c>
      <c r="F27" s="1134">
        <v>976245.05</v>
      </c>
      <c r="G27" s="1134">
        <v>969973.06</v>
      </c>
      <c r="H27" s="1134">
        <v>956878.08</v>
      </c>
      <c r="I27" s="1134">
        <v>949030.83</v>
      </c>
      <c r="J27" s="1234">
        <v>945751.29</v>
      </c>
      <c r="K27" s="1234">
        <v>943729.09</v>
      </c>
    </row>
    <row r="28" spans="1:11" ht="14.4">
      <c r="A28" s="107"/>
      <c r="B28" s="1090"/>
      <c r="C28" s="1090"/>
      <c r="D28" s="1090"/>
      <c r="E28" s="1090"/>
      <c r="F28" s="1090"/>
      <c r="G28" s="1090"/>
      <c r="H28" s="963"/>
      <c r="I28" s="963"/>
    </row>
    <row r="29" spans="1:11" ht="14.4">
      <c r="A29" s="1064" t="s">
        <v>2742</v>
      </c>
      <c r="B29" s="1064"/>
      <c r="C29" s="1090"/>
      <c r="D29" s="1090"/>
      <c r="E29" s="1090"/>
      <c r="F29" s="1090"/>
      <c r="G29" s="1090"/>
      <c r="H29" s="963"/>
      <c r="I29" s="963"/>
      <c r="J29" s="1235"/>
      <c r="K29" s="1235"/>
    </row>
    <row r="30" spans="1:11" ht="14.4">
      <c r="A30" s="1090">
        <v>5102</v>
      </c>
      <c r="B30" s="1090" t="s">
        <v>2743</v>
      </c>
      <c r="C30" s="965">
        <v>-50776.97</v>
      </c>
      <c r="D30" s="965">
        <v>-52177.8</v>
      </c>
      <c r="E30" s="965">
        <v>-62292.92</v>
      </c>
      <c r="F30" s="965">
        <v>-65556.61</v>
      </c>
      <c r="G30" s="965">
        <v>-173510.96</v>
      </c>
      <c r="H30" s="965">
        <v>-163359.94</v>
      </c>
      <c r="I30" s="965">
        <v>-67881.56</v>
      </c>
      <c r="J30" s="1233">
        <v>-39086.870000000003</v>
      </c>
      <c r="K30" s="1233">
        <v>0</v>
      </c>
    </row>
    <row r="31" spans="1:11" ht="14.4">
      <c r="A31" s="1090">
        <v>5104</v>
      </c>
      <c r="B31" s="1090" t="s">
        <v>2744</v>
      </c>
      <c r="C31" s="965">
        <v>-201128</v>
      </c>
      <c r="D31" s="965">
        <v>-216971.64</v>
      </c>
      <c r="E31" s="965">
        <v>-221774.97</v>
      </c>
      <c r="F31" s="965">
        <v>-236116.05</v>
      </c>
      <c r="G31" s="965">
        <v>-233078.06</v>
      </c>
      <c r="H31" s="965">
        <v>-229902.07999999999</v>
      </c>
      <c r="I31" s="965">
        <v>-230443.83</v>
      </c>
      <c r="J31" s="1233">
        <v>-240819.29</v>
      </c>
      <c r="K31" s="1233">
        <v>-242274.09</v>
      </c>
    </row>
    <row r="32" spans="1:11" ht="14.4">
      <c r="A32" s="1090">
        <v>5109</v>
      </c>
      <c r="B32" s="1090" t="s">
        <v>2745</v>
      </c>
      <c r="C32" s="965">
        <v>-2479</v>
      </c>
      <c r="D32" s="965">
        <v>-2534</v>
      </c>
      <c r="E32" s="965">
        <v>-2072</v>
      </c>
      <c r="F32" s="965">
        <v>-2072</v>
      </c>
      <c r="G32" s="965">
        <v>-2072</v>
      </c>
      <c r="H32" s="965">
        <v>-2072</v>
      </c>
      <c r="I32" s="965">
        <v>-2072</v>
      </c>
      <c r="J32" s="1233">
        <v>-2072</v>
      </c>
      <c r="K32" s="1233">
        <v>-2072</v>
      </c>
    </row>
    <row r="33" spans="1:11" ht="14.4">
      <c r="A33" s="1090">
        <v>5112</v>
      </c>
      <c r="B33" s="1090" t="s">
        <v>2746</v>
      </c>
      <c r="C33" s="965">
        <v>-2617</v>
      </c>
      <c r="D33" s="965">
        <v>-6659</v>
      </c>
      <c r="E33" s="965">
        <v>-4595</v>
      </c>
      <c r="F33" s="965">
        <v>-6667</v>
      </c>
      <c r="G33" s="965">
        <v>-6667</v>
      </c>
      <c r="H33" s="965">
        <v>-6667</v>
      </c>
      <c r="I33" s="965">
        <v>-6667</v>
      </c>
      <c r="J33" s="1233">
        <v>-6667</v>
      </c>
      <c r="K33" s="1233">
        <v>0</v>
      </c>
    </row>
    <row r="34" spans="1:11" ht="14.4">
      <c r="A34" s="1090">
        <v>5103</v>
      </c>
      <c r="B34" s="1090" t="s">
        <v>2747</v>
      </c>
      <c r="C34" s="965">
        <v>-20393.5</v>
      </c>
      <c r="D34" s="965">
        <v>-3530</v>
      </c>
      <c r="E34" s="965">
        <v>-4193</v>
      </c>
      <c r="F34" s="965">
        <v>-14384</v>
      </c>
      <c r="G34" s="965">
        <v>-20024</v>
      </c>
      <c r="H34" s="965">
        <v>-44209</v>
      </c>
      <c r="I34" s="965">
        <v>-32098</v>
      </c>
      <c r="J34" s="1233">
        <v>-70409</v>
      </c>
      <c r="K34" s="1233">
        <v>-59088</v>
      </c>
    </row>
    <row r="35" spans="1:11" ht="14.4">
      <c r="A35" s="1090">
        <v>5105</v>
      </c>
      <c r="B35" s="1090" t="s">
        <v>2748</v>
      </c>
      <c r="C35" s="965">
        <v>-1000</v>
      </c>
      <c r="D35" s="963">
        <v>0</v>
      </c>
      <c r="E35" s="963">
        <v>0</v>
      </c>
      <c r="F35" s="963">
        <v>0</v>
      </c>
      <c r="G35" s="963">
        <v>0</v>
      </c>
      <c r="H35" s="963">
        <v>0</v>
      </c>
      <c r="I35" s="963">
        <v>0</v>
      </c>
      <c r="J35" s="1233">
        <v>0</v>
      </c>
      <c r="K35" s="1233">
        <v>0</v>
      </c>
    </row>
    <row r="36" spans="1:11" ht="14.4">
      <c r="A36" s="1090">
        <v>5107</v>
      </c>
      <c r="B36" s="1090" t="s">
        <v>2749</v>
      </c>
      <c r="C36" s="965">
        <v>-2810</v>
      </c>
      <c r="D36" s="965">
        <v>-3142</v>
      </c>
      <c r="E36" s="965">
        <v>-1289</v>
      </c>
      <c r="F36" s="965">
        <v>-1685</v>
      </c>
      <c r="G36" s="965">
        <v>-1793</v>
      </c>
      <c r="H36" s="965">
        <v>-1991</v>
      </c>
      <c r="I36" s="965">
        <v>-1931</v>
      </c>
      <c r="J36" s="1233">
        <v>-2578.85</v>
      </c>
      <c r="K36" s="1233">
        <v>-2150</v>
      </c>
    </row>
    <row r="37" spans="1:11" ht="14.4">
      <c r="A37" s="107"/>
      <c r="B37" s="1064" t="s">
        <v>2742</v>
      </c>
      <c r="C37" s="1134">
        <v>-281204.46999999997</v>
      </c>
      <c r="D37" s="1134">
        <v>-285014.44</v>
      </c>
      <c r="E37" s="1134">
        <v>-296216.89</v>
      </c>
      <c r="F37" s="1134">
        <v>-326480.65999999997</v>
      </c>
      <c r="G37" s="1134">
        <v>-437145.02</v>
      </c>
      <c r="H37" s="1134">
        <v>-448201.02</v>
      </c>
      <c r="I37" s="1134">
        <v>-341093.39</v>
      </c>
      <c r="J37" s="1234">
        <v>-361633.01</v>
      </c>
      <c r="K37" s="1234">
        <v>-305584.08999999997</v>
      </c>
    </row>
    <row r="38" spans="1:11" ht="14.4">
      <c r="A38" s="107"/>
      <c r="B38" s="1090"/>
      <c r="C38" s="1090"/>
      <c r="D38" s="1090"/>
      <c r="E38" s="1090"/>
      <c r="F38" s="1090"/>
      <c r="G38" s="1090"/>
      <c r="H38" s="963"/>
      <c r="I38" s="963"/>
    </row>
    <row r="39" spans="1:11" ht="14.4">
      <c r="A39" s="107"/>
      <c r="B39" s="1064" t="s">
        <v>2750</v>
      </c>
      <c r="C39" s="1134">
        <v>725149.83</v>
      </c>
      <c r="D39" s="1134">
        <v>730808.74</v>
      </c>
      <c r="E39" s="1134">
        <v>675276.32</v>
      </c>
      <c r="F39" s="1134">
        <v>649764.39</v>
      </c>
      <c r="G39" s="1134">
        <v>532828.04</v>
      </c>
      <c r="H39" s="1134">
        <v>508677.06</v>
      </c>
      <c r="I39" s="1134">
        <v>607937.43999999994</v>
      </c>
      <c r="J39" s="1234">
        <v>584118.28</v>
      </c>
      <c r="K39" s="1234">
        <v>638145</v>
      </c>
    </row>
    <row r="40" spans="1:11" ht="14.4">
      <c r="A40" s="107"/>
      <c r="B40" s="1090"/>
      <c r="C40" s="1090"/>
      <c r="D40" s="1090"/>
      <c r="E40" s="1090"/>
      <c r="F40" s="1090"/>
      <c r="G40" s="1090"/>
      <c r="H40" s="963"/>
    </row>
    <row r="41" spans="1:11" ht="14.4">
      <c r="A41" s="1064" t="s">
        <v>2751</v>
      </c>
      <c r="B41" s="1090"/>
      <c r="C41" s="1090"/>
      <c r="D41" s="1090"/>
      <c r="E41" s="1090"/>
      <c r="F41" s="1090"/>
      <c r="G41" s="1090"/>
      <c r="H41" s="963"/>
      <c r="J41" s="1236"/>
      <c r="K41" s="1236"/>
    </row>
    <row r="42" spans="1:11" ht="14.4">
      <c r="A42" s="1090">
        <v>5211</v>
      </c>
      <c r="B42" s="1090" t="s">
        <v>2752</v>
      </c>
      <c r="C42" s="965">
        <v>64112.28</v>
      </c>
      <c r="D42" s="965">
        <v>32930.160000000003</v>
      </c>
      <c r="E42" s="965">
        <v>39000</v>
      </c>
      <c r="F42" s="965">
        <v>27158.13</v>
      </c>
      <c r="G42" s="965">
        <v>37004.51</v>
      </c>
      <c r="H42" s="965">
        <v>39999.89</v>
      </c>
      <c r="I42" s="965">
        <v>27859.439999999999</v>
      </c>
      <c r="J42" s="1233">
        <v>44916.73</v>
      </c>
      <c r="K42" s="1233">
        <v>38824.71</v>
      </c>
    </row>
    <row r="43" spans="1:11" ht="14.4">
      <c r="A43" s="1090">
        <v>5210</v>
      </c>
      <c r="B43" s="1090" t="s">
        <v>2753</v>
      </c>
      <c r="C43" s="963">
        <v>0</v>
      </c>
      <c r="D43" s="965">
        <v>23253.08</v>
      </c>
      <c r="E43" s="965">
        <v>23253.08</v>
      </c>
      <c r="F43" s="965">
        <v>23183.759999999998</v>
      </c>
      <c r="G43" s="965">
        <v>20212.310000000001</v>
      </c>
      <c r="H43" s="965">
        <v>21029.45</v>
      </c>
      <c r="I43" s="965">
        <v>20004.07</v>
      </c>
      <c r="J43" s="1233">
        <v>17537.75</v>
      </c>
      <c r="K43" s="1233">
        <v>-80000</v>
      </c>
    </row>
    <row r="44" spans="1:11" ht="14.4">
      <c r="A44" s="1090">
        <v>5212</v>
      </c>
      <c r="B44" s="1090" t="s">
        <v>2754</v>
      </c>
      <c r="C44" s="963">
        <v>1</v>
      </c>
      <c r="D44" s="965">
        <v>8279.61</v>
      </c>
      <c r="E44" s="965">
        <v>8279.61</v>
      </c>
      <c r="F44" s="965">
        <v>8243.61</v>
      </c>
      <c r="G44" s="965">
        <v>7038</v>
      </c>
      <c r="H44" s="965">
        <v>7060</v>
      </c>
      <c r="I44" s="965">
        <v>7255.12</v>
      </c>
      <c r="J44" s="1233">
        <v>7000</v>
      </c>
      <c r="K44" s="1233">
        <v>-1948.04</v>
      </c>
    </row>
    <row r="45" spans="1:11" ht="14.4">
      <c r="A45" s="1090">
        <v>5213</v>
      </c>
      <c r="B45" s="1090" t="s">
        <v>2755</v>
      </c>
      <c r="C45" s="963">
        <v>0</v>
      </c>
      <c r="D45" s="965">
        <v>8491.44</v>
      </c>
      <c r="E45" s="965">
        <v>8491.44</v>
      </c>
      <c r="F45" s="965">
        <v>8616.09</v>
      </c>
      <c r="G45" s="965">
        <v>14696.88</v>
      </c>
      <c r="H45" s="965">
        <v>17992.830000000002</v>
      </c>
      <c r="I45" s="965">
        <v>18306.55</v>
      </c>
      <c r="J45" s="1233">
        <v>12465.51</v>
      </c>
      <c r="K45" s="1233">
        <v>9438.74</v>
      </c>
    </row>
    <row r="46" spans="1:11" ht="14.4">
      <c r="A46" s="963">
        <v>5202</v>
      </c>
      <c r="B46" s="963" t="s">
        <v>2756</v>
      </c>
      <c r="C46" s="963">
        <v>0</v>
      </c>
      <c r="D46" s="963">
        <v>0</v>
      </c>
      <c r="E46" s="963">
        <v>0</v>
      </c>
      <c r="F46" s="963">
        <v>0</v>
      </c>
      <c r="G46" s="963">
        <v>0</v>
      </c>
      <c r="H46" s="963">
        <v>0</v>
      </c>
      <c r="I46" s="963">
        <v>658.96</v>
      </c>
      <c r="J46" s="1233">
        <v>377</v>
      </c>
      <c r="K46" s="1233">
        <v>0</v>
      </c>
    </row>
    <row r="47" spans="1:11" ht="14.4">
      <c r="A47" s="1090">
        <v>5220</v>
      </c>
      <c r="B47" s="1090" t="s">
        <v>2757</v>
      </c>
      <c r="C47" s="963">
        <v>1</v>
      </c>
      <c r="D47" s="965">
        <v>2837.26</v>
      </c>
      <c r="E47" s="965">
        <v>2946.26</v>
      </c>
      <c r="F47" s="965">
        <v>3564.26</v>
      </c>
      <c r="G47" s="965">
        <v>1721</v>
      </c>
      <c r="H47" s="965">
        <v>2198</v>
      </c>
      <c r="I47" s="965">
        <v>2911</v>
      </c>
      <c r="J47" s="1233">
        <v>3402</v>
      </c>
      <c r="K47" s="1233">
        <v>3911</v>
      </c>
    </row>
    <row r="48" spans="1:11" ht="14.4">
      <c r="A48" s="1090">
        <v>5225</v>
      </c>
      <c r="B48" s="1090" t="s">
        <v>2758</v>
      </c>
      <c r="C48" s="965">
        <v>1134.1199999999999</v>
      </c>
      <c r="D48" s="965">
        <v>1226.97</v>
      </c>
      <c r="E48" s="965">
        <v>1202</v>
      </c>
      <c r="F48" s="965">
        <v>1502</v>
      </c>
      <c r="G48" s="965">
        <v>1815</v>
      </c>
      <c r="H48" s="965">
        <v>2115.65</v>
      </c>
      <c r="I48" s="965">
        <v>3106.6</v>
      </c>
      <c r="J48" s="1233">
        <v>4104.25</v>
      </c>
      <c r="K48" s="1233">
        <v>5303.2</v>
      </c>
    </row>
    <row r="49" spans="1:42" ht="14.4">
      <c r="A49" s="963">
        <v>5810</v>
      </c>
      <c r="B49" s="963" t="s">
        <v>2759</v>
      </c>
      <c r="C49" s="963">
        <v>0</v>
      </c>
      <c r="D49" s="963">
        <v>0</v>
      </c>
      <c r="E49" s="963">
        <v>0</v>
      </c>
      <c r="F49" s="963">
        <v>0</v>
      </c>
      <c r="G49" s="963">
        <v>0</v>
      </c>
      <c r="H49" s="963">
        <v>0</v>
      </c>
      <c r="I49" s="963">
        <v>152.79</v>
      </c>
      <c r="J49" s="1233">
        <v>0</v>
      </c>
      <c r="K49" s="1233">
        <v>0</v>
      </c>
      <c r="L49" s="1115"/>
      <c r="M49" s="1115"/>
      <c r="N49" s="1115"/>
      <c r="O49" s="1115"/>
      <c r="P49" s="1115"/>
      <c r="Q49" s="1115"/>
      <c r="R49" s="1115"/>
      <c r="S49" s="1115"/>
      <c r="T49" s="1115"/>
      <c r="U49" s="1115"/>
      <c r="V49" s="1115"/>
      <c r="W49" s="1115"/>
      <c r="X49" s="1115"/>
      <c r="Y49" s="1115"/>
      <c r="Z49" s="1115"/>
      <c r="AA49" s="1115"/>
      <c r="AB49" s="1115"/>
      <c r="AC49" s="1115"/>
      <c r="AD49" s="1115"/>
      <c r="AE49" s="1115"/>
      <c r="AF49" s="1115"/>
      <c r="AG49" s="1115"/>
      <c r="AH49" s="1115"/>
      <c r="AI49" s="1115"/>
      <c r="AJ49" s="1115"/>
      <c r="AK49" s="1115"/>
      <c r="AL49" s="1115"/>
      <c r="AM49" s="1115"/>
      <c r="AN49" s="1115"/>
      <c r="AO49" s="1115"/>
      <c r="AP49" s="1115"/>
    </row>
    <row r="50" spans="1:42" ht="14.4">
      <c r="A50" s="1090">
        <v>5007</v>
      </c>
      <c r="B50" s="1090" t="s">
        <v>2760</v>
      </c>
      <c r="C50" s="963">
        <v>807</v>
      </c>
      <c r="D50" s="963">
        <v>750</v>
      </c>
      <c r="E50" s="963">
        <v>727</v>
      </c>
      <c r="F50" s="963">
        <v>590</v>
      </c>
      <c r="G50" s="963">
        <v>667</v>
      </c>
      <c r="H50" s="963">
        <v>726</v>
      </c>
      <c r="I50" s="963">
        <v>588</v>
      </c>
      <c r="J50" s="1233">
        <v>741</v>
      </c>
      <c r="K50" s="1233">
        <v>826</v>
      </c>
    </row>
    <row r="51" spans="1:42" ht="14.4">
      <c r="A51" s="1090">
        <v>5008</v>
      </c>
      <c r="B51" s="1090" t="s">
        <v>2761</v>
      </c>
      <c r="C51" s="963">
        <v>0</v>
      </c>
      <c r="D51" s="963">
        <v>900</v>
      </c>
      <c r="E51" s="963">
        <v>0</v>
      </c>
      <c r="F51" s="963">
        <v>704</v>
      </c>
      <c r="G51" s="963">
        <v>700</v>
      </c>
      <c r="H51" s="963">
        <v>876.5</v>
      </c>
      <c r="I51" s="963">
        <v>684</v>
      </c>
      <c r="J51" s="1233">
        <v>446</v>
      </c>
      <c r="K51" s="1233">
        <v>500</v>
      </c>
    </row>
    <row r="52" spans="1:42" ht="14.4">
      <c r="A52" s="1090">
        <v>5009</v>
      </c>
      <c r="B52" s="1090" t="s">
        <v>2762</v>
      </c>
      <c r="C52" s="963">
        <v>900</v>
      </c>
      <c r="D52" s="963">
        <v>0</v>
      </c>
      <c r="E52" s="963">
        <v>800</v>
      </c>
      <c r="F52" s="963">
        <v>0</v>
      </c>
      <c r="G52" s="963">
        <v>0</v>
      </c>
      <c r="H52" s="963">
        <v>0</v>
      </c>
      <c r="I52" s="963">
        <v>0</v>
      </c>
      <c r="J52" s="1233">
        <v>0</v>
      </c>
      <c r="K52" s="1233">
        <v>0</v>
      </c>
    </row>
    <row r="53" spans="1:42" ht="14.4">
      <c r="A53" s="1090">
        <v>5013</v>
      </c>
      <c r="B53" s="1090" t="s">
        <v>2763</v>
      </c>
      <c r="C53" s="963">
        <v>2</v>
      </c>
      <c r="D53" s="963">
        <v>179</v>
      </c>
      <c r="E53" s="963">
        <v>498</v>
      </c>
      <c r="F53" s="965">
        <v>2228</v>
      </c>
      <c r="G53" s="965">
        <v>4045</v>
      </c>
      <c r="H53" s="965">
        <v>5778</v>
      </c>
      <c r="I53" s="965">
        <v>6857</v>
      </c>
      <c r="J53" s="1233">
        <v>8009</v>
      </c>
      <c r="K53" s="1233">
        <v>9118</v>
      </c>
    </row>
    <row r="54" spans="1:42" ht="14.4">
      <c r="A54" s="1090">
        <v>5205</v>
      </c>
      <c r="B54" s="1090" t="s">
        <v>2764</v>
      </c>
      <c r="C54" s="963">
        <v>0</v>
      </c>
      <c r="D54" s="965">
        <v>2500</v>
      </c>
      <c r="E54" s="965">
        <v>4000</v>
      </c>
      <c r="F54" s="965">
        <v>9000</v>
      </c>
      <c r="G54" s="965">
        <v>11500</v>
      </c>
      <c r="H54" s="965">
        <v>14500</v>
      </c>
      <c r="I54" s="965">
        <v>14000</v>
      </c>
      <c r="J54" s="1233">
        <v>10100</v>
      </c>
      <c r="K54" s="1233">
        <v>1000</v>
      </c>
    </row>
    <row r="55" spans="1:42" ht="14.4">
      <c r="A55" s="1090">
        <v>5896</v>
      </c>
      <c r="B55" s="1090" t="s">
        <v>2765</v>
      </c>
      <c r="C55" s="965">
        <v>4450</v>
      </c>
      <c r="D55" s="965">
        <v>1775</v>
      </c>
      <c r="E55" s="963">
        <v>0</v>
      </c>
      <c r="F55" s="965">
        <v>3549</v>
      </c>
      <c r="G55" s="965">
        <v>8172</v>
      </c>
      <c r="H55" s="965">
        <v>7948</v>
      </c>
      <c r="I55" s="965">
        <v>6525</v>
      </c>
      <c r="J55" s="1233">
        <v>9900</v>
      </c>
      <c r="K55" s="1233">
        <v>1875</v>
      </c>
    </row>
    <row r="56" spans="1:42" ht="14.4">
      <c r="A56" s="1090">
        <v>5899</v>
      </c>
      <c r="B56" s="1090" t="s">
        <v>2766</v>
      </c>
      <c r="C56" s="965">
        <v>3450</v>
      </c>
      <c r="D56" s="965">
        <v>2574</v>
      </c>
      <c r="E56" s="963">
        <v>0</v>
      </c>
      <c r="F56" s="963">
        <v>962</v>
      </c>
      <c r="G56" s="965">
        <v>2602</v>
      </c>
      <c r="H56" s="965">
        <v>2232</v>
      </c>
      <c r="I56" s="965">
        <v>1704</v>
      </c>
      <c r="J56" s="1233">
        <v>2544</v>
      </c>
      <c r="K56" s="1233">
        <v>456</v>
      </c>
    </row>
    <row r="57" spans="1:42" ht="14.4">
      <c r="A57" s="1090">
        <v>5204</v>
      </c>
      <c r="B57" s="1090" t="s">
        <v>2767</v>
      </c>
      <c r="C57" s="965">
        <v>9040.5</v>
      </c>
      <c r="D57" s="965">
        <v>9656</v>
      </c>
      <c r="E57" s="965">
        <v>9114</v>
      </c>
      <c r="F57" s="965">
        <v>9057</v>
      </c>
      <c r="G57" s="965">
        <v>9073</v>
      </c>
      <c r="H57" s="965">
        <v>9031</v>
      </c>
      <c r="I57" s="965">
        <v>9058</v>
      </c>
      <c r="J57" s="1233">
        <v>8980</v>
      </c>
      <c r="K57" s="1233">
        <v>9408</v>
      </c>
    </row>
    <row r="58" spans="1:42" ht="14.4">
      <c r="A58" s="1090">
        <v>5861</v>
      </c>
      <c r="B58" s="1090" t="s">
        <v>2768</v>
      </c>
      <c r="C58" s="965">
        <v>13080.75</v>
      </c>
      <c r="D58" s="965">
        <v>13362</v>
      </c>
      <c r="E58" s="965">
        <v>12563</v>
      </c>
      <c r="F58" s="965">
        <v>12529</v>
      </c>
      <c r="G58" s="965">
        <v>12161</v>
      </c>
      <c r="H58" s="965">
        <v>12758</v>
      </c>
      <c r="I58" s="965">
        <v>12745</v>
      </c>
      <c r="J58" s="1233">
        <v>10307</v>
      </c>
      <c r="K58" s="1233">
        <v>13283</v>
      </c>
    </row>
    <row r="59" spans="1:42" ht="14.4">
      <c r="A59" s="1090">
        <v>5860</v>
      </c>
      <c r="B59" s="1090" t="s">
        <v>2769</v>
      </c>
      <c r="C59" s="963">
        <v>0</v>
      </c>
      <c r="D59" s="963">
        <v>52</v>
      </c>
      <c r="E59" s="963">
        <v>188</v>
      </c>
      <c r="F59" s="963">
        <v>887</v>
      </c>
      <c r="G59" s="965">
        <v>1844</v>
      </c>
      <c r="H59" s="965">
        <v>2383</v>
      </c>
      <c r="I59" s="965">
        <v>3163</v>
      </c>
      <c r="J59" s="1233">
        <v>3701</v>
      </c>
      <c r="K59" s="1233">
        <v>4289</v>
      </c>
    </row>
    <row r="60" spans="1:42" ht="14.4">
      <c r="A60" s="963">
        <v>5827</v>
      </c>
      <c r="B60" s="963" t="s">
        <v>2770</v>
      </c>
      <c r="C60" s="963"/>
      <c r="D60" s="963"/>
      <c r="E60" s="963"/>
      <c r="F60" s="963"/>
      <c r="G60" s="965"/>
      <c r="H60" s="965"/>
      <c r="I60" s="965"/>
      <c r="J60" s="1233">
        <v>1575</v>
      </c>
      <c r="K60" s="1233">
        <v>0</v>
      </c>
    </row>
    <row r="61" spans="1:42" ht="14.4">
      <c r="A61" s="1090">
        <v>5890</v>
      </c>
      <c r="B61" s="1090" t="s">
        <v>2771</v>
      </c>
      <c r="C61" s="965">
        <v>1279.5</v>
      </c>
      <c r="D61" s="963">
        <v>0</v>
      </c>
      <c r="E61" s="963">
        <v>0</v>
      </c>
      <c r="F61" s="963">
        <v>662.61</v>
      </c>
      <c r="G61" s="965">
        <v>1207.6500000000001</v>
      </c>
      <c r="H61" s="963">
        <v>527.41999999999996</v>
      </c>
      <c r="I61" s="965">
        <v>1972.57</v>
      </c>
      <c r="J61" s="1233">
        <v>0</v>
      </c>
      <c r="K61" s="1233">
        <v>0</v>
      </c>
    </row>
    <row r="62" spans="1:42" ht="14.4">
      <c r="A62" s="1090">
        <v>5892</v>
      </c>
      <c r="B62" s="1090" t="s">
        <v>2772</v>
      </c>
      <c r="C62" s="963">
        <v>200</v>
      </c>
      <c r="D62" s="963">
        <v>250</v>
      </c>
      <c r="E62" s="965">
        <v>1051</v>
      </c>
      <c r="F62" s="963">
        <v>650</v>
      </c>
      <c r="G62" s="965">
        <v>1050</v>
      </c>
      <c r="H62" s="963">
        <v>50</v>
      </c>
      <c r="I62" s="963">
        <v>450</v>
      </c>
      <c r="J62" s="1233">
        <v>846</v>
      </c>
      <c r="K62" s="1233">
        <v>1200</v>
      </c>
    </row>
    <row r="63" spans="1:42" ht="14.4">
      <c r="A63" s="1090">
        <v>5805</v>
      </c>
      <c r="B63" s="1090" t="s">
        <v>2773</v>
      </c>
      <c r="C63" s="965">
        <v>12599.25</v>
      </c>
      <c r="D63" s="965">
        <v>16486.95</v>
      </c>
      <c r="E63" s="965">
        <v>9760.2900000000009</v>
      </c>
      <c r="F63" s="965">
        <v>9371.7800000000007</v>
      </c>
      <c r="G63" s="965">
        <v>9998.8700000000008</v>
      </c>
      <c r="H63" s="965">
        <v>6534.91</v>
      </c>
      <c r="I63" s="965">
        <v>7589.2</v>
      </c>
      <c r="J63" s="1233">
        <v>6158.66</v>
      </c>
      <c r="K63" s="1233">
        <v>10463</v>
      </c>
    </row>
    <row r="64" spans="1:42" ht="14.4">
      <c r="A64" s="1090">
        <v>5893</v>
      </c>
      <c r="B64" s="1090" t="s">
        <v>2774</v>
      </c>
      <c r="C64" s="965">
        <v>5956.78</v>
      </c>
      <c r="D64" s="963">
        <v>556.11</v>
      </c>
      <c r="E64" s="965">
        <v>1594</v>
      </c>
      <c r="F64" s="965">
        <v>1220.8900000000001</v>
      </c>
      <c r="G64" s="965">
        <v>3364.02</v>
      </c>
      <c r="H64" s="965">
        <v>1006.51</v>
      </c>
      <c r="I64" s="965">
        <v>4606.34</v>
      </c>
      <c r="J64" s="1233">
        <v>3964.23</v>
      </c>
      <c r="K64" s="1233">
        <v>-285</v>
      </c>
    </row>
    <row r="65" spans="1:90" ht="14.4">
      <c r="A65" s="1090">
        <v>5898</v>
      </c>
      <c r="B65" s="1090" t="s">
        <v>2775</v>
      </c>
      <c r="C65" s="963">
        <v>0</v>
      </c>
      <c r="D65" s="963">
        <v>0</v>
      </c>
      <c r="E65" s="965">
        <v>3304.91</v>
      </c>
      <c r="F65" s="963">
        <v>389.43</v>
      </c>
      <c r="G65" s="965">
        <v>2767.72</v>
      </c>
      <c r="H65" s="965">
        <v>-1032.69</v>
      </c>
      <c r="I65" s="963">
        <v>52.99</v>
      </c>
      <c r="J65" s="1233">
        <v>0</v>
      </c>
      <c r="K65" s="1233">
        <v>0</v>
      </c>
    </row>
    <row r="66" spans="1:90" ht="14.4">
      <c r="A66" s="1090">
        <v>5891</v>
      </c>
      <c r="B66" s="1090" t="s">
        <v>2776</v>
      </c>
      <c r="C66" s="963">
        <v>300</v>
      </c>
      <c r="D66" s="963">
        <v>725</v>
      </c>
      <c r="E66" s="963">
        <v>650</v>
      </c>
      <c r="F66" s="963">
        <v>800</v>
      </c>
      <c r="G66" s="963">
        <v>400</v>
      </c>
      <c r="H66" s="963">
        <v>350</v>
      </c>
      <c r="I66" s="963">
        <v>350</v>
      </c>
      <c r="J66" s="1233">
        <v>650</v>
      </c>
      <c r="K66" s="1233">
        <v>200</v>
      </c>
    </row>
    <row r="67" spans="1:90" ht="14.4">
      <c r="A67" s="1090">
        <v>5889</v>
      </c>
      <c r="B67" s="1090" t="s">
        <v>2777</v>
      </c>
      <c r="C67" s="965">
        <v>-2307.36</v>
      </c>
      <c r="D67" s="963">
        <v>0</v>
      </c>
      <c r="E67" s="963">
        <v>0</v>
      </c>
      <c r="F67" s="963">
        <v>0</v>
      </c>
      <c r="G67" s="963">
        <v>0</v>
      </c>
      <c r="H67" s="963">
        <v>0</v>
      </c>
      <c r="I67" s="963">
        <v>0</v>
      </c>
      <c r="J67" s="1233">
        <v>0</v>
      </c>
      <c r="K67" s="1233">
        <v>0</v>
      </c>
    </row>
    <row r="68" spans="1:90" ht="14.4">
      <c r="A68" s="1090">
        <v>5951</v>
      </c>
      <c r="B68" s="1090" t="s">
        <v>2778</v>
      </c>
      <c r="C68" s="963">
        <v>0</v>
      </c>
      <c r="D68" s="963">
        <v>635.33000000000004</v>
      </c>
      <c r="E68" s="965">
        <v>1663.55</v>
      </c>
      <c r="F68" s="965">
        <v>1869.36</v>
      </c>
      <c r="G68" s="965">
        <v>1649.47</v>
      </c>
      <c r="H68" s="963">
        <v>553.9</v>
      </c>
      <c r="I68" s="965">
        <v>2459.17</v>
      </c>
      <c r="J68" s="1233">
        <v>2160.89</v>
      </c>
      <c r="K68" s="1233">
        <v>0</v>
      </c>
    </row>
    <row r="69" spans="1:90" ht="14.4">
      <c r="A69" s="107"/>
      <c r="B69" s="1064" t="s">
        <v>2751</v>
      </c>
      <c r="C69" s="1134">
        <v>115006.82</v>
      </c>
      <c r="D69" s="1134">
        <v>127419.91</v>
      </c>
      <c r="E69" s="1134">
        <v>129086.14</v>
      </c>
      <c r="F69" s="1134">
        <v>126737.92</v>
      </c>
      <c r="G69" s="1134">
        <v>153689.43</v>
      </c>
      <c r="H69" s="1134">
        <v>154618.37</v>
      </c>
      <c r="I69" s="1134">
        <v>153058.79999999999</v>
      </c>
      <c r="J69" s="1234">
        <v>159886.02000000002</v>
      </c>
      <c r="K69" s="1234">
        <v>27862.609999999997</v>
      </c>
    </row>
    <row r="70" spans="1:90" ht="14.4">
      <c r="A70" s="107"/>
      <c r="B70" s="1090"/>
      <c r="C70" s="1090"/>
      <c r="D70" s="1090"/>
      <c r="E70" s="1090"/>
      <c r="F70" s="1090"/>
      <c r="G70" s="1090"/>
      <c r="H70" s="963"/>
      <c r="I70" s="963"/>
    </row>
    <row r="71" spans="1:90" ht="14.4">
      <c r="A71" s="107"/>
      <c r="B71" s="1064" t="s">
        <v>2738</v>
      </c>
      <c r="C71" s="1134">
        <v>840156.65</v>
      </c>
      <c r="D71" s="1134">
        <v>858228.65</v>
      </c>
      <c r="E71" s="1134">
        <v>804362.46</v>
      </c>
      <c r="F71" s="1134">
        <v>776502.31</v>
      </c>
      <c r="G71" s="1134">
        <v>686517.47</v>
      </c>
      <c r="H71" s="1134">
        <v>663295.43000000005</v>
      </c>
      <c r="I71" s="1134">
        <v>760996.24</v>
      </c>
      <c r="J71" s="1234">
        <v>744004.3</v>
      </c>
      <c r="K71" s="1234">
        <v>666007.60999999987</v>
      </c>
    </row>
    <row r="72" spans="1:90" ht="14.4">
      <c r="A72" s="107"/>
      <c r="B72" s="1090"/>
      <c r="C72" s="1090"/>
      <c r="D72" s="1090"/>
      <c r="E72" s="1090"/>
      <c r="F72" s="1090"/>
      <c r="G72" s="1090"/>
      <c r="H72" s="1090"/>
    </row>
    <row r="73" spans="1:90" ht="14.4">
      <c r="A73" s="1116" t="s">
        <v>2779</v>
      </c>
      <c r="B73" s="963"/>
      <c r="C73" s="963"/>
      <c r="D73" s="963"/>
      <c r="E73" s="963"/>
      <c r="F73" s="963"/>
      <c r="G73" s="963"/>
      <c r="H73" s="963"/>
      <c r="I73" s="963"/>
      <c r="J73" s="1236"/>
      <c r="K73" s="1236"/>
      <c r="L73" s="1115"/>
      <c r="M73" s="1115"/>
      <c r="N73" s="1115"/>
      <c r="O73" s="1115"/>
      <c r="P73" s="1115"/>
      <c r="Q73" s="1115"/>
      <c r="R73" s="1115"/>
      <c r="S73" s="1115"/>
      <c r="T73" s="1115"/>
      <c r="U73" s="1115"/>
      <c r="V73" s="1115"/>
      <c r="W73" s="1115"/>
      <c r="X73" s="1115"/>
      <c r="Y73" s="1115"/>
      <c r="Z73" s="1115"/>
      <c r="AA73" s="1115"/>
      <c r="AB73" s="1115"/>
      <c r="AC73" s="1115"/>
      <c r="AD73" s="1115"/>
      <c r="AE73" s="1115"/>
      <c r="AF73" s="1115"/>
      <c r="AG73" s="1115"/>
      <c r="AH73" s="1115"/>
      <c r="AI73" s="1115"/>
      <c r="AJ73" s="1115"/>
      <c r="AK73" s="1115"/>
      <c r="AL73" s="1115"/>
      <c r="AM73" s="1115"/>
      <c r="AN73" s="1115"/>
      <c r="AO73" s="1115"/>
      <c r="AP73" s="1115"/>
      <c r="AQ73" s="1115"/>
      <c r="AR73" s="1115"/>
      <c r="AS73" s="1115"/>
      <c r="AT73" s="1115"/>
      <c r="AU73" s="1115"/>
      <c r="AV73" s="1115"/>
      <c r="AW73" s="1115"/>
      <c r="AX73" s="1115"/>
      <c r="AY73" s="1115"/>
      <c r="AZ73" s="1115"/>
      <c r="BA73" s="1115"/>
      <c r="BB73" s="1115"/>
      <c r="BC73" s="1115"/>
      <c r="BD73" s="1115"/>
      <c r="BE73" s="1115"/>
      <c r="BF73" s="1115"/>
      <c r="BG73" s="1115"/>
      <c r="BH73" s="1115"/>
      <c r="BI73" s="1115"/>
      <c r="BJ73" s="1115"/>
      <c r="BK73" s="1115"/>
      <c r="BL73" s="1115"/>
      <c r="BM73" s="1115"/>
      <c r="BN73" s="1115"/>
      <c r="BO73" s="1115"/>
      <c r="BP73" s="1115"/>
      <c r="BQ73" s="1115"/>
      <c r="BR73" s="1115"/>
      <c r="BS73" s="1115"/>
      <c r="BT73" s="1115"/>
      <c r="BU73" s="1115"/>
      <c r="BV73" s="1115"/>
      <c r="BW73" s="1115"/>
      <c r="BX73" s="1115"/>
      <c r="BY73" s="1115"/>
      <c r="BZ73" s="1115"/>
      <c r="CA73" s="1115"/>
      <c r="CB73" s="1115"/>
      <c r="CC73" s="1115"/>
      <c r="CD73" s="1115"/>
      <c r="CE73" s="1115"/>
      <c r="CF73" s="1115"/>
      <c r="CG73" s="1115"/>
      <c r="CH73" s="1115"/>
      <c r="CI73" s="1115"/>
      <c r="CJ73" s="1115"/>
      <c r="CK73" s="1115"/>
      <c r="CL73" s="1115"/>
    </row>
    <row r="74" spans="1:90" ht="14.4">
      <c r="A74" s="1116" t="s">
        <v>2780</v>
      </c>
      <c r="B74" s="963"/>
      <c r="C74" s="963"/>
      <c r="D74" s="963"/>
      <c r="E74" s="963"/>
      <c r="F74" s="963"/>
      <c r="G74" s="963"/>
      <c r="H74" s="963"/>
      <c r="I74" s="963"/>
      <c r="J74" s="1235"/>
      <c r="K74" s="1235"/>
      <c r="L74" s="1115"/>
      <c r="M74" s="1115"/>
      <c r="N74" s="1115"/>
      <c r="O74" s="1115"/>
      <c r="P74" s="1115"/>
      <c r="Q74" s="1115"/>
      <c r="R74" s="1115"/>
      <c r="S74" s="1115"/>
      <c r="T74" s="1115"/>
      <c r="U74" s="1115"/>
      <c r="V74" s="1115"/>
      <c r="W74" s="1115"/>
      <c r="X74" s="1115"/>
      <c r="Y74" s="1115"/>
      <c r="Z74" s="1115"/>
      <c r="AA74" s="1115"/>
      <c r="AB74" s="1115"/>
      <c r="AC74" s="1115"/>
      <c r="AD74" s="1115"/>
      <c r="AE74" s="1115"/>
      <c r="AF74" s="1115"/>
      <c r="AG74" s="1115"/>
      <c r="AH74" s="1115"/>
      <c r="AI74" s="1115"/>
      <c r="AJ74" s="1115"/>
      <c r="AK74" s="1115"/>
      <c r="AL74" s="1115"/>
      <c r="AM74" s="1115"/>
      <c r="AN74" s="1115"/>
      <c r="AO74" s="1115"/>
      <c r="AP74" s="1115"/>
      <c r="AQ74" s="1115"/>
      <c r="AR74" s="1115"/>
      <c r="AS74" s="1115"/>
      <c r="AT74" s="1115"/>
      <c r="AU74" s="1115"/>
      <c r="AV74" s="1115"/>
      <c r="AW74" s="1115"/>
      <c r="AX74" s="1115"/>
      <c r="AY74" s="1115"/>
      <c r="AZ74" s="1115"/>
      <c r="BA74" s="1115"/>
      <c r="BB74" s="1115"/>
      <c r="BC74" s="1115"/>
      <c r="BD74" s="1115"/>
      <c r="BE74" s="1115"/>
      <c r="BF74" s="1115"/>
      <c r="BG74" s="1115"/>
      <c r="BH74" s="1115"/>
      <c r="BI74" s="1115"/>
      <c r="BJ74" s="1115"/>
      <c r="BK74" s="1115"/>
      <c r="BL74" s="1115"/>
      <c r="BM74" s="1115"/>
      <c r="BN74" s="1115"/>
      <c r="BO74" s="1115"/>
      <c r="BP74" s="1115"/>
      <c r="BQ74" s="1115"/>
      <c r="BR74" s="1115"/>
      <c r="BS74" s="1115"/>
      <c r="BT74" s="1115"/>
      <c r="BU74" s="1115"/>
      <c r="BV74" s="1115"/>
      <c r="BW74" s="1115"/>
      <c r="BX74" s="1115"/>
      <c r="BY74" s="1115"/>
      <c r="BZ74" s="1115"/>
      <c r="CA74" s="1115"/>
      <c r="CB74" s="1115"/>
      <c r="CC74" s="1115"/>
      <c r="CD74" s="1115"/>
      <c r="CE74" s="1115"/>
      <c r="CF74" s="1115"/>
      <c r="CG74" s="1115"/>
      <c r="CH74" s="1115"/>
      <c r="CI74" s="1115"/>
      <c r="CJ74" s="1115"/>
      <c r="CK74" s="1115"/>
      <c r="CL74" s="1115"/>
    </row>
    <row r="75" spans="1:90" ht="14.4">
      <c r="A75" s="1116" t="s">
        <v>2781</v>
      </c>
      <c r="B75" s="963"/>
      <c r="C75" s="963"/>
      <c r="D75" s="963"/>
      <c r="E75" s="963"/>
      <c r="F75" s="963"/>
      <c r="G75" s="963"/>
      <c r="H75" s="963"/>
      <c r="I75" s="963"/>
      <c r="J75" s="1237"/>
      <c r="K75" s="1237"/>
      <c r="L75" s="1115"/>
      <c r="M75" s="1115"/>
      <c r="N75" s="1115"/>
      <c r="O75" s="1115"/>
      <c r="P75" s="1115"/>
      <c r="Q75" s="1115"/>
      <c r="R75" s="1115"/>
      <c r="S75" s="1115"/>
      <c r="T75" s="1115"/>
      <c r="U75" s="1115"/>
      <c r="V75" s="1115"/>
      <c r="W75" s="1115"/>
      <c r="X75" s="1115"/>
      <c r="Y75" s="1115"/>
      <c r="Z75" s="1115"/>
      <c r="AA75" s="1115"/>
      <c r="AB75" s="1115"/>
      <c r="AC75" s="1115"/>
      <c r="AD75" s="1115"/>
      <c r="AE75" s="1115"/>
      <c r="AF75" s="1115"/>
      <c r="AG75" s="1115"/>
      <c r="AH75" s="1115"/>
      <c r="AI75" s="1115"/>
      <c r="AJ75" s="1115"/>
      <c r="AK75" s="1115"/>
      <c r="AL75" s="1115"/>
      <c r="AM75" s="1115"/>
      <c r="AN75" s="1115"/>
      <c r="AO75" s="1115"/>
      <c r="AP75" s="1115"/>
      <c r="AQ75" s="1115"/>
      <c r="AR75" s="1115"/>
      <c r="AS75" s="1115"/>
      <c r="AT75" s="1115"/>
      <c r="AU75" s="1115"/>
      <c r="AV75" s="1115"/>
      <c r="AW75" s="1115"/>
      <c r="AX75" s="1115"/>
      <c r="AY75" s="1115"/>
      <c r="AZ75" s="1115"/>
      <c r="BA75" s="1115"/>
      <c r="BB75" s="1115"/>
      <c r="BC75" s="1115"/>
      <c r="BD75" s="1115"/>
      <c r="BE75" s="1115"/>
      <c r="BF75" s="1115"/>
      <c r="BG75" s="1115"/>
      <c r="BH75" s="1115"/>
      <c r="BI75" s="1115"/>
      <c r="BJ75" s="1115"/>
      <c r="BK75" s="1115"/>
      <c r="BL75" s="1115"/>
      <c r="BM75" s="1115"/>
      <c r="BN75" s="1115"/>
      <c r="BO75" s="1115"/>
      <c r="BP75" s="1115"/>
      <c r="BQ75" s="1115"/>
      <c r="BR75" s="1115"/>
      <c r="BS75" s="1115"/>
      <c r="BT75" s="1115"/>
      <c r="BU75" s="1115"/>
      <c r="BV75" s="1115"/>
      <c r="BW75" s="1115"/>
      <c r="BX75" s="1115"/>
      <c r="BY75" s="1115"/>
      <c r="BZ75" s="1115"/>
      <c r="CA75" s="1115"/>
      <c r="CB75" s="1115"/>
      <c r="CC75" s="1115"/>
      <c r="CD75" s="1115"/>
      <c r="CE75" s="1115"/>
      <c r="CF75" s="1115"/>
      <c r="CG75" s="1115"/>
      <c r="CH75" s="1115"/>
      <c r="CI75" s="1115"/>
      <c r="CJ75" s="1115"/>
      <c r="CK75" s="1115"/>
      <c r="CL75" s="1115"/>
    </row>
    <row r="76" spans="1:90" ht="14.4">
      <c r="A76" s="963">
        <v>7008</v>
      </c>
      <c r="B76" s="963" t="s">
        <v>2782</v>
      </c>
      <c r="C76" s="965">
        <v>8942.14</v>
      </c>
      <c r="D76" s="965">
        <v>10649.96</v>
      </c>
      <c r="E76" s="965">
        <v>6657.74</v>
      </c>
      <c r="F76" s="965">
        <v>6923.08</v>
      </c>
      <c r="G76" s="965">
        <v>6923.08</v>
      </c>
      <c r="H76" s="965">
        <v>6923.08</v>
      </c>
      <c r="I76" s="965">
        <v>6923.08</v>
      </c>
      <c r="J76" s="1233">
        <v>10384.620000000001</v>
      </c>
      <c r="K76" s="1233">
        <v>0</v>
      </c>
      <c r="L76" s="1115"/>
      <c r="M76" s="1115"/>
      <c r="N76" s="1115"/>
      <c r="O76" s="1115"/>
      <c r="P76" s="1115"/>
      <c r="Q76" s="1115"/>
      <c r="R76" s="1115"/>
      <c r="S76" s="1115"/>
      <c r="T76" s="1115"/>
      <c r="U76" s="1115"/>
      <c r="V76" s="1115"/>
      <c r="W76" s="1115"/>
      <c r="X76" s="1115"/>
      <c r="Y76" s="1115"/>
      <c r="Z76" s="1115"/>
      <c r="AA76" s="1115"/>
      <c r="AB76" s="1115"/>
      <c r="AC76" s="1115"/>
      <c r="AD76" s="1115"/>
      <c r="AE76" s="1115"/>
      <c r="AF76" s="1115"/>
      <c r="AG76" s="1115"/>
      <c r="AH76" s="1115"/>
      <c r="AI76" s="1115"/>
      <c r="AJ76" s="1115"/>
      <c r="AK76" s="1115"/>
      <c r="AL76" s="1115"/>
      <c r="AM76" s="1115"/>
      <c r="AN76" s="1115"/>
      <c r="AO76" s="1115"/>
      <c r="AP76" s="1115"/>
      <c r="AQ76" s="1115"/>
      <c r="AR76" s="1115"/>
      <c r="AS76" s="1115"/>
      <c r="AT76" s="1115"/>
      <c r="AU76" s="1115"/>
      <c r="AV76" s="1115"/>
      <c r="AW76" s="1115"/>
      <c r="AX76" s="1115"/>
      <c r="AY76" s="1115"/>
      <c r="AZ76" s="1115"/>
      <c r="BA76" s="1115"/>
      <c r="BB76" s="1115"/>
      <c r="BC76" s="1115"/>
      <c r="BD76" s="1115"/>
      <c r="BE76" s="1115"/>
      <c r="BF76" s="1115"/>
      <c r="BG76" s="1115"/>
      <c r="BH76" s="1115"/>
      <c r="BI76" s="1115"/>
      <c r="BJ76" s="1115"/>
      <c r="BK76" s="1115"/>
      <c r="BL76" s="1115"/>
      <c r="BM76" s="1115"/>
      <c r="BN76" s="1115"/>
      <c r="BO76" s="1115"/>
      <c r="BP76" s="1115"/>
      <c r="BQ76" s="1115"/>
      <c r="BR76" s="1115"/>
      <c r="BS76" s="1115"/>
      <c r="BT76" s="1115"/>
      <c r="BU76" s="1115"/>
      <c r="BV76" s="1115"/>
      <c r="BW76" s="1115"/>
      <c r="BX76" s="1115"/>
      <c r="BY76" s="1115"/>
      <c r="BZ76" s="1115"/>
      <c r="CA76" s="1115"/>
      <c r="CB76" s="1115"/>
      <c r="CC76" s="1115"/>
      <c r="CD76" s="1115"/>
      <c r="CE76" s="1115"/>
      <c r="CF76" s="1115"/>
      <c r="CG76" s="1115"/>
      <c r="CH76" s="1115"/>
      <c r="CI76" s="1115"/>
      <c r="CJ76" s="1115"/>
      <c r="CK76" s="1115"/>
      <c r="CL76" s="1115"/>
    </row>
    <row r="77" spans="1:90" ht="14.4">
      <c r="A77" s="963">
        <v>7012</v>
      </c>
      <c r="B77" s="963" t="s">
        <v>2783</v>
      </c>
      <c r="C77" s="965">
        <v>6831.52</v>
      </c>
      <c r="D77" s="965">
        <v>5822</v>
      </c>
      <c r="E77" s="965">
        <v>9194.64</v>
      </c>
      <c r="F77" s="965">
        <v>6725.98</v>
      </c>
      <c r="G77" s="965">
        <v>7171.44</v>
      </c>
      <c r="H77" s="965">
        <v>9372.57</v>
      </c>
      <c r="I77" s="965">
        <v>11124.57</v>
      </c>
      <c r="J77" s="1233">
        <v>14923.87</v>
      </c>
      <c r="K77" s="1233">
        <v>0</v>
      </c>
      <c r="L77" s="1115"/>
      <c r="M77" s="1115"/>
      <c r="N77" s="1115"/>
      <c r="O77" s="1115"/>
      <c r="P77" s="1115"/>
      <c r="Q77" s="1115"/>
      <c r="R77" s="1115"/>
      <c r="S77" s="1115"/>
      <c r="T77" s="1115"/>
      <c r="U77" s="1115"/>
      <c r="V77" s="1115"/>
      <c r="W77" s="1115"/>
      <c r="X77" s="1115"/>
      <c r="Y77" s="1115"/>
      <c r="Z77" s="1115"/>
      <c r="AA77" s="1115"/>
      <c r="AB77" s="1115"/>
      <c r="AC77" s="1115"/>
      <c r="AD77" s="1115"/>
      <c r="AE77" s="1115"/>
      <c r="AF77" s="1115"/>
      <c r="AG77" s="1115"/>
      <c r="AH77" s="1115"/>
      <c r="AI77" s="1115"/>
      <c r="AJ77" s="1115"/>
      <c r="AK77" s="1115"/>
      <c r="AL77" s="1115"/>
      <c r="AM77" s="1115"/>
      <c r="AN77" s="1115"/>
      <c r="AO77" s="1115"/>
      <c r="AP77" s="1115"/>
      <c r="AQ77" s="1115"/>
      <c r="AR77" s="1115"/>
      <c r="AS77" s="1115"/>
      <c r="AT77" s="1115"/>
      <c r="AU77" s="1115"/>
      <c r="AV77" s="1115"/>
      <c r="AW77" s="1115"/>
      <c r="AX77" s="1115"/>
      <c r="AY77" s="1115"/>
      <c r="AZ77" s="1115"/>
      <c r="BA77" s="1115"/>
      <c r="BB77" s="1115"/>
      <c r="BC77" s="1115"/>
      <c r="BD77" s="1115"/>
      <c r="BE77" s="1115"/>
      <c r="BF77" s="1115"/>
      <c r="BG77" s="1115"/>
      <c r="BH77" s="1115"/>
      <c r="BI77" s="1115"/>
      <c r="BJ77" s="1115"/>
      <c r="BK77" s="1115"/>
      <c r="BL77" s="1115"/>
      <c r="BM77" s="1115"/>
      <c r="BN77" s="1115"/>
      <c r="BO77" s="1115"/>
      <c r="BP77" s="1115"/>
      <c r="BQ77" s="1115"/>
      <c r="BR77" s="1115"/>
      <c r="BS77" s="1115"/>
      <c r="BT77" s="1115"/>
      <c r="BU77" s="1115"/>
      <c r="BV77" s="1115"/>
      <c r="BW77" s="1115"/>
      <c r="BX77" s="1115"/>
      <c r="BY77" s="1115"/>
      <c r="BZ77" s="1115"/>
      <c r="CA77" s="1115"/>
      <c r="CB77" s="1115"/>
      <c r="CC77" s="1115"/>
      <c r="CD77" s="1115"/>
      <c r="CE77" s="1115"/>
      <c r="CF77" s="1115"/>
      <c r="CG77" s="1115"/>
      <c r="CH77" s="1115"/>
      <c r="CI77" s="1115"/>
      <c r="CJ77" s="1115"/>
      <c r="CK77" s="1115"/>
      <c r="CL77" s="1115"/>
    </row>
    <row r="78" spans="1:90" ht="14.4">
      <c r="A78" s="963">
        <v>7013</v>
      </c>
      <c r="B78" s="963" t="s">
        <v>2784</v>
      </c>
      <c r="C78" s="965">
        <v>21777.79</v>
      </c>
      <c r="D78" s="965">
        <v>24910.25</v>
      </c>
      <c r="E78" s="965">
        <v>10715.76</v>
      </c>
      <c r="F78" s="965">
        <v>23336.83</v>
      </c>
      <c r="G78" s="965">
        <v>23634.73</v>
      </c>
      <c r="H78" s="965">
        <v>21051.66</v>
      </c>
      <c r="I78" s="965">
        <v>21509.24</v>
      </c>
      <c r="J78" s="1233">
        <v>31280.51</v>
      </c>
      <c r="K78" s="1233">
        <v>0</v>
      </c>
      <c r="L78" s="1115"/>
      <c r="M78" s="1115"/>
      <c r="N78" s="1115"/>
      <c r="O78" s="1115"/>
      <c r="P78" s="1115"/>
      <c r="Q78" s="1115"/>
      <c r="R78" s="1115"/>
      <c r="S78" s="1115"/>
      <c r="T78" s="1115"/>
      <c r="U78" s="1115"/>
      <c r="V78" s="1115"/>
      <c r="W78" s="1115"/>
      <c r="X78" s="1115"/>
      <c r="Y78" s="1115"/>
      <c r="Z78" s="1115"/>
      <c r="AA78" s="1115"/>
      <c r="AB78" s="1115"/>
      <c r="AC78" s="1115"/>
      <c r="AD78" s="1115"/>
      <c r="AE78" s="1115"/>
      <c r="AF78" s="1115"/>
      <c r="AG78" s="1115"/>
      <c r="AH78" s="1115"/>
      <c r="AI78" s="1115"/>
      <c r="AJ78" s="1115"/>
      <c r="AK78" s="1115"/>
      <c r="AL78" s="1115"/>
      <c r="AM78" s="1115"/>
      <c r="AN78" s="1115"/>
      <c r="AO78" s="1115"/>
      <c r="AP78" s="1115"/>
      <c r="AQ78" s="1115"/>
      <c r="AR78" s="1115"/>
      <c r="AS78" s="1115"/>
      <c r="AT78" s="1115"/>
      <c r="AU78" s="1115"/>
      <c r="AV78" s="1115"/>
      <c r="AW78" s="1115"/>
      <c r="AX78" s="1115"/>
      <c r="AY78" s="1115"/>
      <c r="AZ78" s="1115"/>
      <c r="BA78" s="1115"/>
      <c r="BB78" s="1115"/>
      <c r="BC78" s="1115"/>
      <c r="BD78" s="1115"/>
      <c r="BE78" s="1115"/>
      <c r="BF78" s="1115"/>
      <c r="BG78" s="1115"/>
      <c r="BH78" s="1115"/>
      <c r="BI78" s="1115"/>
      <c r="BJ78" s="1115"/>
      <c r="BK78" s="1115"/>
      <c r="BL78" s="1115"/>
      <c r="BM78" s="1115"/>
      <c r="BN78" s="1115"/>
      <c r="BO78" s="1115"/>
      <c r="BP78" s="1115"/>
      <c r="BQ78" s="1115"/>
      <c r="BR78" s="1115"/>
      <c r="BS78" s="1115"/>
      <c r="BT78" s="1115"/>
      <c r="BU78" s="1115"/>
      <c r="BV78" s="1115"/>
      <c r="BW78" s="1115"/>
      <c r="BX78" s="1115"/>
      <c r="BY78" s="1115"/>
      <c r="BZ78" s="1115"/>
      <c r="CA78" s="1115"/>
      <c r="CB78" s="1115"/>
      <c r="CC78" s="1115"/>
      <c r="CD78" s="1115"/>
      <c r="CE78" s="1115"/>
      <c r="CF78" s="1115"/>
      <c r="CG78" s="1115"/>
      <c r="CH78" s="1115"/>
      <c r="CI78" s="1115"/>
      <c r="CJ78" s="1115"/>
      <c r="CK78" s="1115"/>
      <c r="CL78" s="1115"/>
    </row>
    <row r="79" spans="1:90" ht="14.4">
      <c r="A79" s="963">
        <v>7016</v>
      </c>
      <c r="B79" s="963" t="s">
        <v>2785</v>
      </c>
      <c r="C79" s="965">
        <v>3444.83</v>
      </c>
      <c r="D79" s="965">
        <v>17200.3</v>
      </c>
      <c r="E79" s="965">
        <v>11603.69</v>
      </c>
      <c r="F79" s="965">
        <v>12796.53</v>
      </c>
      <c r="G79" s="965">
        <v>4923.12</v>
      </c>
      <c r="H79" s="965">
        <v>1271.47</v>
      </c>
      <c r="I79" s="965">
        <v>3803.14</v>
      </c>
      <c r="J79" s="1233">
        <v>2746.7</v>
      </c>
      <c r="K79" s="1233">
        <v>0</v>
      </c>
      <c r="L79" s="1115"/>
      <c r="M79" s="1115"/>
      <c r="N79" s="1115"/>
      <c r="O79" s="1115"/>
      <c r="P79" s="1115"/>
      <c r="Q79" s="1115"/>
      <c r="R79" s="1115"/>
      <c r="S79" s="1115"/>
      <c r="T79" s="1115"/>
      <c r="U79" s="1115"/>
      <c r="V79" s="1115"/>
      <c r="W79" s="1115"/>
      <c r="X79" s="1115"/>
      <c r="Y79" s="1115"/>
      <c r="Z79" s="1115"/>
      <c r="AA79" s="1115"/>
      <c r="AB79" s="1115"/>
      <c r="AC79" s="1115"/>
      <c r="AD79" s="1115"/>
      <c r="AE79" s="1115"/>
      <c r="AF79" s="1115"/>
      <c r="AG79" s="1115"/>
      <c r="AH79" s="1115"/>
      <c r="AI79" s="1115"/>
      <c r="AJ79" s="1115"/>
      <c r="AK79" s="1115"/>
      <c r="AL79" s="1115"/>
      <c r="AM79" s="1115"/>
      <c r="AN79" s="1115"/>
      <c r="AO79" s="1115"/>
      <c r="AP79" s="1115"/>
      <c r="AQ79" s="1115"/>
      <c r="AR79" s="1115"/>
      <c r="AS79" s="1115"/>
      <c r="AT79" s="1115"/>
      <c r="AU79" s="1115"/>
      <c r="AV79" s="1115"/>
      <c r="AW79" s="1115"/>
      <c r="AX79" s="1115"/>
      <c r="AY79" s="1115"/>
      <c r="AZ79" s="1115"/>
      <c r="BA79" s="1115"/>
      <c r="BB79" s="1115"/>
      <c r="BC79" s="1115"/>
      <c r="BD79" s="1115"/>
      <c r="BE79" s="1115"/>
      <c r="BF79" s="1115"/>
      <c r="BG79" s="1115"/>
      <c r="BH79" s="1115"/>
      <c r="BI79" s="1115"/>
      <c r="BJ79" s="1115"/>
      <c r="BK79" s="1115"/>
      <c r="BL79" s="1115"/>
      <c r="BM79" s="1115"/>
      <c r="BN79" s="1115"/>
      <c r="BO79" s="1115"/>
      <c r="BP79" s="1115"/>
      <c r="BQ79" s="1115"/>
      <c r="BR79" s="1115"/>
      <c r="BS79" s="1115"/>
      <c r="BT79" s="1115"/>
      <c r="BU79" s="1115"/>
      <c r="BV79" s="1115"/>
      <c r="BW79" s="1115"/>
      <c r="BX79" s="1115"/>
      <c r="BY79" s="1115"/>
      <c r="BZ79" s="1115"/>
      <c r="CA79" s="1115"/>
      <c r="CB79" s="1115"/>
      <c r="CC79" s="1115"/>
      <c r="CD79" s="1115"/>
      <c r="CE79" s="1115"/>
      <c r="CF79" s="1115"/>
      <c r="CG79" s="1115"/>
      <c r="CH79" s="1115"/>
      <c r="CI79" s="1115"/>
      <c r="CJ79" s="1115"/>
      <c r="CK79" s="1115"/>
      <c r="CL79" s="1115"/>
    </row>
    <row r="80" spans="1:90" ht="14.4">
      <c r="A80" s="963">
        <v>7020</v>
      </c>
      <c r="B80" s="963" t="s">
        <v>2786</v>
      </c>
      <c r="C80" s="965">
        <v>31401.33</v>
      </c>
      <c r="D80" s="965">
        <v>23045.54</v>
      </c>
      <c r="E80" s="965">
        <v>34433.61</v>
      </c>
      <c r="F80" s="965">
        <v>29487.59</v>
      </c>
      <c r="G80" s="965">
        <v>33429.699999999997</v>
      </c>
      <c r="H80" s="965">
        <v>33717.089999999997</v>
      </c>
      <c r="I80" s="965">
        <v>33946.97</v>
      </c>
      <c r="J80" s="1233">
        <v>56716.77</v>
      </c>
      <c r="K80" s="1233">
        <v>0</v>
      </c>
      <c r="L80" s="1115"/>
      <c r="M80" s="1115"/>
      <c r="N80" s="1115"/>
      <c r="O80" s="1115"/>
      <c r="P80" s="1115"/>
      <c r="Q80" s="1115"/>
      <c r="R80" s="1115"/>
      <c r="S80" s="1115"/>
      <c r="T80" s="1115"/>
      <c r="U80" s="1115"/>
      <c r="V80" s="1115"/>
      <c r="W80" s="1115"/>
      <c r="X80" s="1115"/>
      <c r="Y80" s="1115"/>
      <c r="Z80" s="1115"/>
      <c r="AA80" s="1115"/>
      <c r="AB80" s="1115"/>
      <c r="AC80" s="1115"/>
      <c r="AD80" s="1115"/>
      <c r="AE80" s="1115"/>
      <c r="AF80" s="1115"/>
      <c r="AG80" s="1115"/>
      <c r="AH80" s="1115"/>
      <c r="AI80" s="1115"/>
      <c r="AJ80" s="1115"/>
      <c r="AK80" s="1115"/>
      <c r="AL80" s="1115"/>
      <c r="AM80" s="1115"/>
      <c r="AN80" s="1115"/>
      <c r="AO80" s="1115"/>
      <c r="AP80" s="1115"/>
      <c r="AQ80" s="1115"/>
      <c r="AR80" s="1115"/>
      <c r="AS80" s="1115"/>
      <c r="AT80" s="1115"/>
      <c r="AU80" s="1115"/>
      <c r="AV80" s="1115"/>
      <c r="AW80" s="1115"/>
      <c r="AX80" s="1115"/>
      <c r="AY80" s="1115"/>
      <c r="AZ80" s="1115"/>
      <c r="BA80" s="1115"/>
      <c r="BB80" s="1115"/>
      <c r="BC80" s="1115"/>
      <c r="BD80" s="1115"/>
      <c r="BE80" s="1115"/>
      <c r="BF80" s="1115"/>
      <c r="BG80" s="1115"/>
      <c r="BH80" s="1115"/>
      <c r="BI80" s="1115"/>
      <c r="BJ80" s="1115"/>
      <c r="BK80" s="1115"/>
      <c r="BL80" s="1115"/>
      <c r="BM80" s="1115"/>
      <c r="BN80" s="1115"/>
      <c r="BO80" s="1115"/>
      <c r="BP80" s="1115"/>
      <c r="BQ80" s="1115"/>
      <c r="BR80" s="1115"/>
      <c r="BS80" s="1115"/>
      <c r="BT80" s="1115"/>
      <c r="BU80" s="1115"/>
      <c r="BV80" s="1115"/>
      <c r="BW80" s="1115"/>
      <c r="BX80" s="1115"/>
      <c r="BY80" s="1115"/>
      <c r="BZ80" s="1115"/>
      <c r="CA80" s="1115"/>
      <c r="CB80" s="1115"/>
      <c r="CC80" s="1115"/>
      <c r="CD80" s="1115"/>
      <c r="CE80" s="1115"/>
      <c r="CF80" s="1115"/>
      <c r="CG80" s="1115"/>
      <c r="CH80" s="1115"/>
      <c r="CI80" s="1115"/>
      <c r="CJ80" s="1115"/>
      <c r="CK80" s="1115"/>
      <c r="CL80" s="1115"/>
    </row>
    <row r="81" spans="1:90" ht="14.4">
      <c r="A81" s="963">
        <v>7024</v>
      </c>
      <c r="B81" s="963" t="s">
        <v>2787</v>
      </c>
      <c r="C81" s="963">
        <v>0</v>
      </c>
      <c r="D81" s="965">
        <v>10942.22</v>
      </c>
      <c r="E81" s="965">
        <v>3007.77</v>
      </c>
      <c r="F81" s="963">
        <v>0</v>
      </c>
      <c r="G81" s="963">
        <v>0</v>
      </c>
      <c r="H81" s="963">
        <v>0</v>
      </c>
      <c r="I81" s="963">
        <v>0</v>
      </c>
      <c r="J81" s="1233">
        <v>0</v>
      </c>
      <c r="K81" s="1233">
        <v>0</v>
      </c>
      <c r="L81" s="1115"/>
      <c r="M81" s="1115"/>
      <c r="N81" s="1115"/>
      <c r="O81" s="1115"/>
      <c r="P81" s="1115"/>
      <c r="Q81" s="1115"/>
      <c r="R81" s="1115"/>
      <c r="S81" s="1115"/>
      <c r="T81" s="1115"/>
      <c r="U81" s="1115"/>
      <c r="V81" s="1115"/>
      <c r="W81" s="1115"/>
      <c r="X81" s="1115"/>
      <c r="Y81" s="1115"/>
      <c r="Z81" s="1115"/>
      <c r="AA81" s="1115"/>
      <c r="AB81" s="1115"/>
      <c r="AC81" s="1115"/>
      <c r="AD81" s="1115"/>
      <c r="AE81" s="1115"/>
      <c r="AF81" s="1115"/>
      <c r="AG81" s="1115"/>
      <c r="AH81" s="1115"/>
      <c r="AI81" s="1115"/>
      <c r="AJ81" s="1115"/>
      <c r="AK81" s="1115"/>
      <c r="AL81" s="1115"/>
      <c r="AM81" s="1115"/>
      <c r="AN81" s="1115"/>
      <c r="AO81" s="1115"/>
      <c r="AP81" s="1115"/>
      <c r="AQ81" s="1115"/>
      <c r="AR81" s="1115"/>
      <c r="AS81" s="1115"/>
      <c r="AT81" s="1115"/>
      <c r="AU81" s="1115"/>
      <c r="AV81" s="1115"/>
      <c r="AW81" s="1115"/>
      <c r="AX81" s="1115"/>
      <c r="AY81" s="1115"/>
      <c r="AZ81" s="1115"/>
      <c r="BA81" s="1115"/>
      <c r="BB81" s="1115"/>
      <c r="BC81" s="1115"/>
      <c r="BD81" s="1115"/>
      <c r="BE81" s="1115"/>
      <c r="BF81" s="1115"/>
      <c r="BG81" s="1115"/>
      <c r="BH81" s="1115"/>
      <c r="BI81" s="1115"/>
      <c r="BJ81" s="1115"/>
      <c r="BK81" s="1115"/>
      <c r="BL81" s="1115"/>
      <c r="BM81" s="1115"/>
      <c r="BN81" s="1115"/>
      <c r="BO81" s="1115"/>
      <c r="BP81" s="1115"/>
      <c r="BQ81" s="1115"/>
      <c r="BR81" s="1115"/>
      <c r="BS81" s="1115"/>
      <c r="BT81" s="1115"/>
      <c r="BU81" s="1115"/>
      <c r="BV81" s="1115"/>
      <c r="BW81" s="1115"/>
      <c r="BX81" s="1115"/>
      <c r="BY81" s="1115"/>
      <c r="BZ81" s="1115"/>
      <c r="CA81" s="1115"/>
      <c r="CB81" s="1115"/>
      <c r="CC81" s="1115"/>
      <c r="CD81" s="1115"/>
      <c r="CE81" s="1115"/>
      <c r="CF81" s="1115"/>
      <c r="CG81" s="1115"/>
      <c r="CH81" s="1115"/>
      <c r="CI81" s="1115"/>
      <c r="CJ81" s="1115"/>
      <c r="CK81" s="1115"/>
      <c r="CL81" s="1115"/>
    </row>
    <row r="82" spans="1:90" ht="14.4">
      <c r="A82" s="963">
        <v>7028</v>
      </c>
      <c r="B82" s="963" t="s">
        <v>2788</v>
      </c>
      <c r="C82" s="965">
        <v>4393.1400000000003</v>
      </c>
      <c r="D82" s="965">
        <v>8585.73</v>
      </c>
      <c r="E82" s="965">
        <v>5215.42</v>
      </c>
      <c r="F82" s="965">
        <v>5721.62</v>
      </c>
      <c r="G82" s="965">
        <v>5665.3</v>
      </c>
      <c r="H82" s="965">
        <v>5669.57</v>
      </c>
      <c r="I82" s="965">
        <v>5781.11</v>
      </c>
      <c r="J82" s="1233">
        <v>8539.1200000000008</v>
      </c>
      <c r="K82" s="1233">
        <v>0</v>
      </c>
      <c r="L82" s="1115"/>
      <c r="M82" s="1115"/>
      <c r="N82" s="1115"/>
      <c r="O82" s="1115"/>
      <c r="P82" s="1115"/>
      <c r="Q82" s="1115"/>
      <c r="R82" s="1115"/>
      <c r="S82" s="1115"/>
      <c r="T82" s="1115"/>
      <c r="U82" s="1115"/>
      <c r="V82" s="1115"/>
      <c r="W82" s="1115"/>
      <c r="X82" s="1115"/>
      <c r="Y82" s="1115"/>
      <c r="Z82" s="1115"/>
      <c r="AA82" s="1115"/>
      <c r="AB82" s="1115"/>
      <c r="AC82" s="1115"/>
      <c r="AD82" s="1115"/>
      <c r="AE82" s="1115"/>
      <c r="AF82" s="1115"/>
      <c r="AG82" s="1115"/>
      <c r="AH82" s="1115"/>
      <c r="AI82" s="1115"/>
      <c r="AJ82" s="1115"/>
      <c r="AK82" s="1115"/>
      <c r="AL82" s="1115"/>
      <c r="AM82" s="1115"/>
      <c r="AN82" s="1115"/>
      <c r="AO82" s="1115"/>
      <c r="AP82" s="1115"/>
      <c r="AQ82" s="1115"/>
      <c r="AR82" s="1115"/>
      <c r="AS82" s="1115"/>
      <c r="AT82" s="1115"/>
      <c r="AU82" s="1115"/>
      <c r="AV82" s="1115"/>
      <c r="AW82" s="1115"/>
      <c r="AX82" s="1115"/>
      <c r="AY82" s="1115"/>
      <c r="AZ82" s="1115"/>
      <c r="BA82" s="1115"/>
      <c r="BB82" s="1115"/>
      <c r="BC82" s="1115"/>
      <c r="BD82" s="1115"/>
      <c r="BE82" s="1115"/>
      <c r="BF82" s="1115"/>
      <c r="BG82" s="1115"/>
      <c r="BH82" s="1115"/>
      <c r="BI82" s="1115"/>
      <c r="BJ82" s="1115"/>
      <c r="BK82" s="1115"/>
      <c r="BL82" s="1115"/>
      <c r="BM82" s="1115"/>
      <c r="BN82" s="1115"/>
      <c r="BO82" s="1115"/>
      <c r="BP82" s="1115"/>
      <c r="BQ82" s="1115"/>
      <c r="BR82" s="1115"/>
      <c r="BS82" s="1115"/>
      <c r="BT82" s="1115"/>
      <c r="BU82" s="1115"/>
      <c r="BV82" s="1115"/>
      <c r="BW82" s="1115"/>
      <c r="BX82" s="1115"/>
      <c r="BY82" s="1115"/>
      <c r="BZ82" s="1115"/>
      <c r="CA82" s="1115"/>
      <c r="CB82" s="1115"/>
      <c r="CC82" s="1115"/>
      <c r="CD82" s="1115"/>
      <c r="CE82" s="1115"/>
      <c r="CF82" s="1115"/>
      <c r="CG82" s="1115"/>
      <c r="CH82" s="1115"/>
      <c r="CI82" s="1115"/>
      <c r="CJ82" s="1115"/>
      <c r="CK82" s="1115"/>
      <c r="CL82" s="1115"/>
    </row>
    <row r="83" spans="1:90" ht="14.4">
      <c r="A83" s="963">
        <v>7036</v>
      </c>
      <c r="B83" s="963" t="s">
        <v>2789</v>
      </c>
      <c r="C83" s="963">
        <v>0</v>
      </c>
      <c r="D83" s="965">
        <v>6455.76</v>
      </c>
      <c r="E83" s="965">
        <v>3062.98</v>
      </c>
      <c r="F83" s="965">
        <v>6810.23</v>
      </c>
      <c r="G83" s="965">
        <v>6583.09</v>
      </c>
      <c r="H83" s="965">
        <v>7118.73</v>
      </c>
      <c r="I83" s="965">
        <v>6837.41</v>
      </c>
      <c r="J83" s="1233">
        <v>10442.26</v>
      </c>
      <c r="K83" s="1233">
        <v>0</v>
      </c>
      <c r="L83" s="1115"/>
      <c r="M83" s="1115"/>
      <c r="N83" s="1115"/>
      <c r="O83" s="1115"/>
      <c r="P83" s="1115"/>
      <c r="Q83" s="1115"/>
      <c r="R83" s="1115"/>
      <c r="S83" s="1115"/>
      <c r="T83" s="1115"/>
      <c r="U83" s="1115"/>
      <c r="V83" s="1115"/>
      <c r="W83" s="1115"/>
      <c r="X83" s="1115"/>
      <c r="Y83" s="1115"/>
      <c r="Z83" s="1115"/>
      <c r="AA83" s="1115"/>
      <c r="AB83" s="1115"/>
      <c r="AC83" s="1115"/>
      <c r="AD83" s="1115"/>
      <c r="AE83" s="1115"/>
      <c r="AF83" s="1115"/>
      <c r="AG83" s="1115"/>
      <c r="AH83" s="1115"/>
      <c r="AI83" s="1115"/>
      <c r="AJ83" s="1115"/>
      <c r="AK83" s="1115"/>
      <c r="AL83" s="1115"/>
      <c r="AM83" s="1115"/>
      <c r="AN83" s="1115"/>
      <c r="AO83" s="1115"/>
      <c r="AP83" s="1115"/>
      <c r="AQ83" s="1115"/>
      <c r="AR83" s="1115"/>
      <c r="AS83" s="1115"/>
      <c r="AT83" s="1115"/>
      <c r="AU83" s="1115"/>
      <c r="AV83" s="1115"/>
      <c r="AW83" s="1115"/>
      <c r="AX83" s="1115"/>
      <c r="AY83" s="1115"/>
      <c r="AZ83" s="1115"/>
      <c r="BA83" s="1115"/>
      <c r="BB83" s="1115"/>
      <c r="BC83" s="1115"/>
      <c r="BD83" s="1115"/>
      <c r="BE83" s="1115"/>
      <c r="BF83" s="1115"/>
      <c r="BG83" s="1115"/>
      <c r="BH83" s="1115"/>
      <c r="BI83" s="1115"/>
      <c r="BJ83" s="1115"/>
      <c r="BK83" s="1115"/>
      <c r="BL83" s="1115"/>
      <c r="BM83" s="1115"/>
      <c r="BN83" s="1115"/>
      <c r="BO83" s="1115"/>
      <c r="BP83" s="1115"/>
      <c r="BQ83" s="1115"/>
      <c r="BR83" s="1115"/>
      <c r="BS83" s="1115"/>
      <c r="BT83" s="1115"/>
      <c r="BU83" s="1115"/>
      <c r="BV83" s="1115"/>
      <c r="BW83" s="1115"/>
      <c r="BX83" s="1115"/>
      <c r="BY83" s="1115"/>
      <c r="BZ83" s="1115"/>
      <c r="CA83" s="1115"/>
      <c r="CB83" s="1115"/>
      <c r="CC83" s="1115"/>
      <c r="CD83" s="1115"/>
      <c r="CE83" s="1115"/>
      <c r="CF83" s="1115"/>
      <c r="CG83" s="1115"/>
      <c r="CH83" s="1115"/>
      <c r="CI83" s="1115"/>
      <c r="CJ83" s="1115"/>
      <c r="CK83" s="1115"/>
      <c r="CL83" s="1115"/>
    </row>
    <row r="84" spans="1:90" ht="14.4">
      <c r="A84" s="1115"/>
      <c r="B84" s="1116" t="s">
        <v>2781</v>
      </c>
      <c r="C84" s="1134">
        <v>76790.75</v>
      </c>
      <c r="D84" s="1134">
        <v>107611.76</v>
      </c>
      <c r="E84" s="1134">
        <v>83891.61</v>
      </c>
      <c r="F84" s="1134">
        <v>91801.86</v>
      </c>
      <c r="G84" s="1134">
        <v>88330.46</v>
      </c>
      <c r="H84" s="1134">
        <v>85124.17</v>
      </c>
      <c r="I84" s="1134">
        <v>89925.52</v>
      </c>
      <c r="J84" s="1234">
        <v>135033.85</v>
      </c>
      <c r="K84" s="1234">
        <v>0</v>
      </c>
      <c r="L84" s="1115"/>
      <c r="M84" s="1115"/>
      <c r="N84" s="1115"/>
      <c r="O84" s="1115"/>
      <c r="P84" s="1115"/>
      <c r="Q84" s="1115"/>
      <c r="R84" s="1115"/>
      <c r="S84" s="1115"/>
      <c r="T84" s="1115"/>
      <c r="U84" s="1115"/>
      <c r="V84" s="1115"/>
      <c r="W84" s="1115"/>
      <c r="X84" s="1115"/>
      <c r="Y84" s="1115"/>
      <c r="Z84" s="1115"/>
      <c r="AA84" s="1115"/>
      <c r="AB84" s="1115"/>
      <c r="AC84" s="1115"/>
      <c r="AD84" s="1115"/>
      <c r="AE84" s="1115"/>
      <c r="AF84" s="1115"/>
      <c r="AG84" s="1115"/>
      <c r="AH84" s="1115"/>
      <c r="AI84" s="1115"/>
      <c r="AJ84" s="1115"/>
      <c r="AK84" s="1115"/>
      <c r="AL84" s="1115"/>
      <c r="AM84" s="1115"/>
      <c r="AN84" s="1115"/>
      <c r="AO84" s="1115"/>
      <c r="AP84" s="1115"/>
      <c r="AQ84" s="1115"/>
      <c r="AR84" s="1115"/>
      <c r="AS84" s="1115"/>
      <c r="AT84" s="1115"/>
      <c r="AU84" s="1115"/>
      <c r="AV84" s="1115"/>
      <c r="AW84" s="1115"/>
      <c r="AX84" s="1115"/>
      <c r="AY84" s="1115"/>
      <c r="AZ84" s="1115"/>
      <c r="BA84" s="1115"/>
      <c r="BB84" s="1115"/>
      <c r="BC84" s="1115"/>
      <c r="BD84" s="1115"/>
      <c r="BE84" s="1115"/>
      <c r="BF84" s="1115"/>
      <c r="BG84" s="1115"/>
      <c r="BH84" s="1115"/>
      <c r="BI84" s="1115"/>
      <c r="BJ84" s="1115"/>
      <c r="BK84" s="1115"/>
      <c r="BL84" s="1115"/>
      <c r="BM84" s="1115"/>
      <c r="BN84" s="1115"/>
      <c r="BO84" s="1115"/>
      <c r="BP84" s="1115"/>
      <c r="BQ84" s="1115"/>
      <c r="BR84" s="1115"/>
      <c r="BS84" s="1115"/>
      <c r="BT84" s="1115"/>
      <c r="BU84" s="1115"/>
      <c r="BV84" s="1115"/>
      <c r="BW84" s="1115"/>
      <c r="BX84" s="1115"/>
      <c r="BY84" s="1115"/>
      <c r="BZ84" s="1115"/>
      <c r="CA84" s="1115"/>
      <c r="CB84" s="1115"/>
      <c r="CC84" s="1115"/>
      <c r="CD84" s="1115"/>
      <c r="CE84" s="1115"/>
      <c r="CF84" s="1115"/>
      <c r="CG84" s="1115"/>
      <c r="CH84" s="1115"/>
      <c r="CI84" s="1115"/>
      <c r="CJ84" s="1115"/>
      <c r="CK84" s="1115"/>
      <c r="CL84" s="1115"/>
    </row>
    <row r="85" spans="1:90" ht="14.4">
      <c r="A85" s="1115"/>
      <c r="B85" s="963"/>
      <c r="C85" s="963"/>
      <c r="D85" s="963"/>
      <c r="E85" s="963"/>
      <c r="F85" s="963"/>
      <c r="G85" s="963"/>
      <c r="H85" s="963"/>
      <c r="I85" s="963"/>
      <c r="L85" s="1115"/>
      <c r="M85" s="1115"/>
      <c r="N85" s="1115"/>
      <c r="O85" s="1115"/>
      <c r="P85" s="1115"/>
      <c r="Q85" s="1115"/>
      <c r="R85" s="1115"/>
      <c r="S85" s="1115"/>
      <c r="T85" s="1115"/>
      <c r="U85" s="1115"/>
      <c r="V85" s="1115"/>
      <c r="W85" s="1115"/>
      <c r="X85" s="1115"/>
      <c r="Y85" s="1115"/>
      <c r="Z85" s="1115"/>
      <c r="AA85" s="1115"/>
      <c r="AB85" s="1115"/>
      <c r="AC85" s="1115"/>
      <c r="AD85" s="1115"/>
      <c r="AE85" s="1115"/>
      <c r="AF85" s="1115"/>
      <c r="AG85" s="1115"/>
      <c r="AH85" s="1115"/>
      <c r="AI85" s="1115"/>
      <c r="AJ85" s="1115"/>
      <c r="AK85" s="1115"/>
      <c r="AL85" s="1115"/>
      <c r="AM85" s="1115"/>
      <c r="AN85" s="1115"/>
      <c r="AO85" s="1115"/>
      <c r="AP85" s="1115"/>
      <c r="AQ85" s="1115"/>
      <c r="AR85" s="1115"/>
      <c r="AS85" s="1115"/>
      <c r="AT85" s="1115"/>
      <c r="AU85" s="1115"/>
      <c r="AV85" s="1115"/>
      <c r="AW85" s="1115"/>
      <c r="AX85" s="1115"/>
      <c r="AY85" s="1115"/>
      <c r="AZ85" s="1115"/>
      <c r="BA85" s="1115"/>
      <c r="BB85" s="1115"/>
      <c r="BC85" s="1115"/>
      <c r="BD85" s="1115"/>
      <c r="BE85" s="1115"/>
      <c r="BF85" s="1115"/>
      <c r="BG85" s="1115"/>
      <c r="BH85" s="1115"/>
      <c r="BI85" s="1115"/>
      <c r="BJ85" s="1115"/>
      <c r="BK85" s="1115"/>
      <c r="BL85" s="1115"/>
      <c r="BM85" s="1115"/>
      <c r="BN85" s="1115"/>
      <c r="BO85" s="1115"/>
      <c r="BP85" s="1115"/>
      <c r="BQ85" s="1115"/>
      <c r="BR85" s="1115"/>
      <c r="BS85" s="1115"/>
      <c r="BT85" s="1115"/>
      <c r="BU85" s="1115"/>
      <c r="BV85" s="1115"/>
      <c r="BW85" s="1115"/>
      <c r="BX85" s="1115"/>
      <c r="BY85" s="1115"/>
      <c r="BZ85" s="1115"/>
      <c r="CA85" s="1115"/>
      <c r="CB85" s="1115"/>
      <c r="CC85" s="1115"/>
      <c r="CD85" s="1115"/>
      <c r="CE85" s="1115"/>
      <c r="CF85" s="1115"/>
      <c r="CG85" s="1115"/>
      <c r="CH85" s="1115"/>
      <c r="CI85" s="1115"/>
      <c r="CJ85" s="1115"/>
      <c r="CK85" s="1115"/>
      <c r="CL85" s="1115"/>
    </row>
    <row r="86" spans="1:90" ht="14.4">
      <c r="A86" s="1116" t="s">
        <v>2790</v>
      </c>
      <c r="B86" s="963"/>
      <c r="C86" s="963"/>
      <c r="D86" s="963"/>
      <c r="E86" s="963"/>
      <c r="F86" s="963"/>
      <c r="G86" s="963"/>
      <c r="H86" s="963"/>
      <c r="I86" s="963"/>
      <c r="J86" s="1237"/>
      <c r="K86" s="1237"/>
      <c r="L86" s="1115"/>
      <c r="M86" s="1115"/>
      <c r="N86" s="1115"/>
      <c r="O86" s="1115"/>
      <c r="P86" s="1115"/>
      <c r="Q86" s="1115"/>
      <c r="R86" s="1115"/>
      <c r="S86" s="1115"/>
      <c r="T86" s="1115"/>
      <c r="U86" s="1115"/>
      <c r="V86" s="1115"/>
      <c r="W86" s="1115"/>
      <c r="X86" s="1115"/>
      <c r="Y86" s="1115"/>
      <c r="Z86" s="1115"/>
      <c r="AA86" s="1115"/>
      <c r="AB86" s="1115"/>
      <c r="AC86" s="1115"/>
      <c r="AD86" s="1115"/>
      <c r="AE86" s="1115"/>
      <c r="AF86" s="1115"/>
      <c r="AG86" s="1115"/>
      <c r="AH86" s="1115"/>
      <c r="AI86" s="1115"/>
      <c r="AJ86" s="1115"/>
      <c r="AK86" s="1115"/>
      <c r="AL86" s="1115"/>
      <c r="AM86" s="1115"/>
      <c r="AN86" s="1115"/>
      <c r="AO86" s="1115"/>
      <c r="AP86" s="1115"/>
      <c r="AQ86" s="1115"/>
      <c r="AR86" s="1115"/>
      <c r="AS86" s="1115"/>
      <c r="AT86" s="1115"/>
      <c r="AU86" s="1115"/>
      <c r="AV86" s="1115"/>
      <c r="AW86" s="1115"/>
      <c r="AX86" s="1115"/>
      <c r="AY86" s="1115"/>
      <c r="AZ86" s="1115"/>
      <c r="BA86" s="1115"/>
      <c r="BB86" s="1115"/>
      <c r="BC86" s="1115"/>
      <c r="BD86" s="1115"/>
      <c r="BE86" s="1115"/>
      <c r="BF86" s="1115"/>
      <c r="BG86" s="1115"/>
      <c r="BH86" s="1115"/>
      <c r="BI86" s="1115"/>
      <c r="BJ86" s="1115"/>
      <c r="BK86" s="1115"/>
      <c r="BL86" s="1115"/>
      <c r="BM86" s="1115"/>
      <c r="BN86" s="1115"/>
      <c r="BO86" s="1115"/>
      <c r="BP86" s="1115"/>
      <c r="BQ86" s="1115"/>
      <c r="BR86" s="1115"/>
      <c r="BS86" s="1115"/>
      <c r="BT86" s="1115"/>
      <c r="BU86" s="1115"/>
      <c r="BV86" s="1115"/>
      <c r="BW86" s="1115"/>
      <c r="BX86" s="1115"/>
      <c r="BY86" s="1115"/>
      <c r="BZ86" s="1115"/>
      <c r="CA86" s="1115"/>
      <c r="CB86" s="1115"/>
      <c r="CC86" s="1115"/>
      <c r="CD86" s="1115"/>
      <c r="CE86" s="1115"/>
      <c r="CF86" s="1115"/>
      <c r="CG86" s="1115"/>
      <c r="CH86" s="1115"/>
      <c r="CI86" s="1115"/>
      <c r="CJ86" s="1115"/>
      <c r="CK86" s="1115"/>
      <c r="CL86" s="1115"/>
    </row>
    <row r="87" spans="1:90" ht="14.4">
      <c r="A87" s="963">
        <v>7101</v>
      </c>
      <c r="B87" s="963" t="s">
        <v>2791</v>
      </c>
      <c r="C87" s="965">
        <v>11954.49</v>
      </c>
      <c r="D87" s="965">
        <v>9608.48</v>
      </c>
      <c r="E87" s="965">
        <v>9515.14</v>
      </c>
      <c r="F87" s="965">
        <v>7703.62</v>
      </c>
      <c r="G87" s="965">
        <v>6843.26</v>
      </c>
      <c r="H87" s="965">
        <v>7724.98</v>
      </c>
      <c r="I87" s="965">
        <v>7901.74</v>
      </c>
      <c r="J87" s="1233">
        <v>12630.09</v>
      </c>
      <c r="K87" s="1233">
        <v>0</v>
      </c>
      <c r="L87" s="1115"/>
      <c r="M87" s="1115"/>
      <c r="N87" s="1115"/>
      <c r="O87" s="1115"/>
      <c r="P87" s="1115"/>
      <c r="Q87" s="1115"/>
      <c r="R87" s="1115"/>
      <c r="S87" s="1115"/>
      <c r="T87" s="1115"/>
      <c r="U87" s="1115"/>
      <c r="V87" s="1115"/>
      <c r="W87" s="1115"/>
      <c r="X87" s="1115"/>
      <c r="Y87" s="1115"/>
      <c r="Z87" s="1115"/>
      <c r="AA87" s="1115"/>
      <c r="AB87" s="1115"/>
      <c r="AC87" s="1115"/>
      <c r="AD87" s="1115"/>
      <c r="AE87" s="1115"/>
      <c r="AF87" s="1115"/>
      <c r="AG87" s="1115"/>
      <c r="AH87" s="1115"/>
      <c r="AI87" s="1115"/>
      <c r="AJ87" s="1115"/>
      <c r="AK87" s="1115"/>
      <c r="AL87" s="1115"/>
      <c r="AM87" s="1115"/>
      <c r="AN87" s="1115"/>
      <c r="AO87" s="1115"/>
      <c r="AP87" s="1115"/>
      <c r="AQ87" s="1115"/>
      <c r="AR87" s="1115"/>
      <c r="AS87" s="1115"/>
      <c r="AT87" s="1115"/>
      <c r="AU87" s="1115"/>
      <c r="AV87" s="1115"/>
      <c r="AW87" s="1115"/>
      <c r="AX87" s="1115"/>
      <c r="AY87" s="1115"/>
      <c r="AZ87" s="1115"/>
      <c r="BA87" s="1115"/>
      <c r="BB87" s="1115"/>
      <c r="BC87" s="1115"/>
      <c r="BD87" s="1115"/>
      <c r="BE87" s="1115"/>
      <c r="BF87" s="1115"/>
      <c r="BG87" s="1115"/>
      <c r="BH87" s="1115"/>
      <c r="BI87" s="1115"/>
      <c r="BJ87" s="1115"/>
      <c r="BK87" s="1115"/>
      <c r="BL87" s="1115"/>
      <c r="BM87" s="1115"/>
      <c r="BN87" s="1115"/>
      <c r="BO87" s="1115"/>
      <c r="BP87" s="1115"/>
      <c r="BQ87" s="1115"/>
      <c r="BR87" s="1115"/>
      <c r="BS87" s="1115"/>
      <c r="BT87" s="1115"/>
      <c r="BU87" s="1115"/>
      <c r="BV87" s="1115"/>
      <c r="BW87" s="1115"/>
      <c r="BX87" s="1115"/>
      <c r="BY87" s="1115"/>
      <c r="BZ87" s="1115"/>
      <c r="CA87" s="1115"/>
      <c r="CB87" s="1115"/>
      <c r="CC87" s="1115"/>
      <c r="CD87" s="1115"/>
      <c r="CE87" s="1115"/>
      <c r="CF87" s="1115"/>
      <c r="CG87" s="1115"/>
      <c r="CH87" s="1115"/>
      <c r="CI87" s="1115"/>
      <c r="CJ87" s="1115"/>
      <c r="CK87" s="1115"/>
      <c r="CL87" s="1115"/>
    </row>
    <row r="88" spans="1:90" ht="14.4">
      <c r="A88" s="963">
        <v>7104</v>
      </c>
      <c r="B88" s="963" t="s">
        <v>2792</v>
      </c>
      <c r="C88" s="965">
        <v>3983.66</v>
      </c>
      <c r="D88" s="965">
        <v>2507.36</v>
      </c>
      <c r="E88" s="965">
        <v>5288</v>
      </c>
      <c r="F88" s="965">
        <v>5185.82</v>
      </c>
      <c r="G88" s="965">
        <v>9128.0400000000009</v>
      </c>
      <c r="H88" s="965">
        <v>6832.66</v>
      </c>
      <c r="I88" s="965">
        <v>7212.64</v>
      </c>
      <c r="J88" s="1233">
        <v>9256.92</v>
      </c>
      <c r="K88" s="1233">
        <v>0</v>
      </c>
      <c r="L88" s="1115"/>
      <c r="M88" s="1115"/>
      <c r="N88" s="1115"/>
      <c r="O88" s="1115"/>
      <c r="P88" s="1115"/>
      <c r="Q88" s="1115"/>
      <c r="R88" s="1115"/>
      <c r="S88" s="1115"/>
      <c r="T88" s="1115"/>
      <c r="U88" s="1115"/>
      <c r="V88" s="1115"/>
      <c r="W88" s="1115"/>
      <c r="X88" s="1115"/>
      <c r="Y88" s="1115"/>
      <c r="Z88" s="1115"/>
      <c r="AA88" s="1115"/>
      <c r="AB88" s="1115"/>
      <c r="AC88" s="1115"/>
      <c r="AD88" s="1115"/>
      <c r="AE88" s="1115"/>
      <c r="AF88" s="1115"/>
      <c r="AG88" s="1115"/>
      <c r="AH88" s="1115"/>
      <c r="AI88" s="1115"/>
      <c r="AJ88" s="1115"/>
      <c r="AK88" s="1115"/>
      <c r="AL88" s="1115"/>
      <c r="AM88" s="1115"/>
      <c r="AN88" s="1115"/>
      <c r="AO88" s="1115"/>
      <c r="AP88" s="1115"/>
      <c r="AQ88" s="1115"/>
      <c r="AR88" s="1115"/>
      <c r="AS88" s="1115"/>
      <c r="AT88" s="1115"/>
      <c r="AU88" s="1115"/>
      <c r="AV88" s="1115"/>
      <c r="AW88" s="1115"/>
      <c r="AX88" s="1115"/>
      <c r="AY88" s="1115"/>
      <c r="AZ88" s="1115"/>
      <c r="BA88" s="1115"/>
      <c r="BB88" s="1115"/>
      <c r="BC88" s="1115"/>
      <c r="BD88" s="1115"/>
      <c r="BE88" s="1115"/>
      <c r="BF88" s="1115"/>
      <c r="BG88" s="1115"/>
      <c r="BH88" s="1115"/>
      <c r="BI88" s="1115"/>
      <c r="BJ88" s="1115"/>
      <c r="BK88" s="1115"/>
      <c r="BL88" s="1115"/>
      <c r="BM88" s="1115"/>
      <c r="BN88" s="1115"/>
      <c r="BO88" s="1115"/>
      <c r="BP88" s="1115"/>
      <c r="BQ88" s="1115"/>
      <c r="BR88" s="1115"/>
      <c r="BS88" s="1115"/>
      <c r="BT88" s="1115"/>
      <c r="BU88" s="1115"/>
      <c r="BV88" s="1115"/>
      <c r="BW88" s="1115"/>
      <c r="BX88" s="1115"/>
      <c r="BY88" s="1115"/>
      <c r="BZ88" s="1115"/>
      <c r="CA88" s="1115"/>
      <c r="CB88" s="1115"/>
      <c r="CC88" s="1115"/>
      <c r="CD88" s="1115"/>
      <c r="CE88" s="1115"/>
      <c r="CF88" s="1115"/>
      <c r="CG88" s="1115"/>
      <c r="CH88" s="1115"/>
      <c r="CI88" s="1115"/>
      <c r="CJ88" s="1115"/>
      <c r="CK88" s="1115"/>
      <c r="CL88" s="1115"/>
    </row>
    <row r="89" spans="1:90" ht="14.4">
      <c r="A89" s="963">
        <v>7108</v>
      </c>
      <c r="B89" s="963" t="s">
        <v>2793</v>
      </c>
      <c r="C89" s="963">
        <v>0</v>
      </c>
      <c r="D89" s="965">
        <v>1055.31</v>
      </c>
      <c r="E89" s="965">
        <v>9208.32</v>
      </c>
      <c r="F89" s="965">
        <v>9063.41</v>
      </c>
      <c r="G89" s="965">
        <v>11753.1</v>
      </c>
      <c r="H89" s="965">
        <v>20461.29</v>
      </c>
      <c r="I89" s="965">
        <v>18031.96</v>
      </c>
      <c r="J89" s="1233">
        <v>43849.82</v>
      </c>
      <c r="K89" s="1233">
        <v>97.2</v>
      </c>
      <c r="L89" s="1115"/>
      <c r="M89" s="1115"/>
      <c r="N89" s="1115"/>
      <c r="O89" s="1115"/>
      <c r="P89" s="1115"/>
      <c r="Q89" s="1115"/>
      <c r="R89" s="1115"/>
      <c r="S89" s="1115"/>
      <c r="T89" s="1115"/>
      <c r="U89" s="1115"/>
      <c r="V89" s="1115"/>
      <c r="W89" s="1115"/>
      <c r="X89" s="1115"/>
      <c r="Y89" s="1115"/>
      <c r="Z89" s="1115"/>
      <c r="AA89" s="1115"/>
      <c r="AB89" s="1115"/>
      <c r="AC89" s="1115"/>
      <c r="AD89" s="1115"/>
      <c r="AE89" s="1115"/>
      <c r="AF89" s="1115"/>
      <c r="AG89" s="1115"/>
      <c r="AH89" s="1115"/>
      <c r="AI89" s="1115"/>
      <c r="AJ89" s="1115"/>
      <c r="AK89" s="1115"/>
      <c r="AL89" s="1115"/>
      <c r="AM89" s="1115"/>
      <c r="AN89" s="1115"/>
      <c r="AO89" s="1115"/>
      <c r="AP89" s="1115"/>
      <c r="AQ89" s="1115"/>
      <c r="AR89" s="1115"/>
      <c r="AS89" s="1115"/>
      <c r="AT89" s="1115"/>
      <c r="AU89" s="1115"/>
      <c r="AV89" s="1115"/>
      <c r="AW89" s="1115"/>
      <c r="AX89" s="1115"/>
      <c r="AY89" s="1115"/>
      <c r="AZ89" s="1115"/>
      <c r="BA89" s="1115"/>
      <c r="BB89" s="1115"/>
      <c r="BC89" s="1115"/>
      <c r="BD89" s="1115"/>
      <c r="BE89" s="1115"/>
      <c r="BF89" s="1115"/>
      <c r="BG89" s="1115"/>
      <c r="BH89" s="1115"/>
      <c r="BI89" s="1115"/>
      <c r="BJ89" s="1115"/>
      <c r="BK89" s="1115"/>
      <c r="BL89" s="1115"/>
      <c r="BM89" s="1115"/>
      <c r="BN89" s="1115"/>
      <c r="BO89" s="1115"/>
      <c r="BP89" s="1115"/>
      <c r="BQ89" s="1115"/>
      <c r="BR89" s="1115"/>
      <c r="BS89" s="1115"/>
      <c r="BT89" s="1115"/>
      <c r="BU89" s="1115"/>
      <c r="BV89" s="1115"/>
      <c r="BW89" s="1115"/>
      <c r="BX89" s="1115"/>
      <c r="BY89" s="1115"/>
      <c r="BZ89" s="1115"/>
      <c r="CA89" s="1115"/>
      <c r="CB89" s="1115"/>
      <c r="CC89" s="1115"/>
      <c r="CD89" s="1115"/>
      <c r="CE89" s="1115"/>
      <c r="CF89" s="1115"/>
      <c r="CG89" s="1115"/>
      <c r="CH89" s="1115"/>
      <c r="CI89" s="1115"/>
      <c r="CJ89" s="1115"/>
      <c r="CK89" s="1115"/>
      <c r="CL89" s="1115"/>
    </row>
    <row r="90" spans="1:90" ht="14.4">
      <c r="A90" s="963">
        <v>7112</v>
      </c>
      <c r="B90" s="963" t="s">
        <v>2794</v>
      </c>
      <c r="C90" s="963">
        <v>0</v>
      </c>
      <c r="D90" s="963">
        <v>820.34</v>
      </c>
      <c r="E90" s="965">
        <v>1455.92</v>
      </c>
      <c r="F90" s="965">
        <v>1455.92</v>
      </c>
      <c r="G90" s="965">
        <v>1920.09</v>
      </c>
      <c r="H90" s="965">
        <v>1920.09</v>
      </c>
      <c r="I90" s="965">
        <v>1767.38</v>
      </c>
      <c r="J90" s="1233">
        <v>1730.76</v>
      </c>
      <c r="K90" s="1233">
        <v>0</v>
      </c>
      <c r="L90" s="1115"/>
      <c r="M90" s="1115"/>
      <c r="N90" s="1115"/>
      <c r="O90" s="1115"/>
      <c r="P90" s="1115"/>
      <c r="Q90" s="1115"/>
      <c r="R90" s="1115"/>
      <c r="S90" s="1115"/>
      <c r="T90" s="1115"/>
      <c r="U90" s="1115"/>
      <c r="V90" s="1115"/>
      <c r="W90" s="1115"/>
      <c r="X90" s="1115"/>
      <c r="Y90" s="1115"/>
      <c r="Z90" s="1115"/>
      <c r="AA90" s="1115"/>
      <c r="AB90" s="1115"/>
      <c r="AC90" s="1115"/>
      <c r="AD90" s="1115"/>
      <c r="AE90" s="1115"/>
      <c r="AF90" s="1115"/>
      <c r="AG90" s="1115"/>
      <c r="AH90" s="1115"/>
      <c r="AI90" s="1115"/>
      <c r="AJ90" s="1115"/>
      <c r="AK90" s="1115"/>
      <c r="AL90" s="1115"/>
      <c r="AM90" s="1115"/>
      <c r="AN90" s="1115"/>
      <c r="AO90" s="1115"/>
      <c r="AP90" s="1115"/>
      <c r="AQ90" s="1115"/>
      <c r="AR90" s="1115"/>
      <c r="AS90" s="1115"/>
      <c r="AT90" s="1115"/>
      <c r="AU90" s="1115"/>
      <c r="AV90" s="1115"/>
      <c r="AW90" s="1115"/>
      <c r="AX90" s="1115"/>
      <c r="AY90" s="1115"/>
      <c r="AZ90" s="1115"/>
      <c r="BA90" s="1115"/>
      <c r="BB90" s="1115"/>
      <c r="BC90" s="1115"/>
      <c r="BD90" s="1115"/>
      <c r="BE90" s="1115"/>
      <c r="BF90" s="1115"/>
      <c r="BG90" s="1115"/>
      <c r="BH90" s="1115"/>
      <c r="BI90" s="1115"/>
      <c r="BJ90" s="1115"/>
      <c r="BK90" s="1115"/>
      <c r="BL90" s="1115"/>
      <c r="BM90" s="1115"/>
      <c r="BN90" s="1115"/>
      <c r="BO90" s="1115"/>
      <c r="BP90" s="1115"/>
      <c r="BQ90" s="1115"/>
      <c r="BR90" s="1115"/>
      <c r="BS90" s="1115"/>
      <c r="BT90" s="1115"/>
      <c r="BU90" s="1115"/>
      <c r="BV90" s="1115"/>
      <c r="BW90" s="1115"/>
      <c r="BX90" s="1115"/>
      <c r="BY90" s="1115"/>
      <c r="BZ90" s="1115"/>
      <c r="CA90" s="1115"/>
      <c r="CB90" s="1115"/>
      <c r="CC90" s="1115"/>
      <c r="CD90" s="1115"/>
      <c r="CE90" s="1115"/>
      <c r="CF90" s="1115"/>
      <c r="CG90" s="1115"/>
      <c r="CH90" s="1115"/>
      <c r="CI90" s="1115"/>
      <c r="CJ90" s="1115"/>
      <c r="CK90" s="1115"/>
      <c r="CL90" s="1115"/>
    </row>
    <row r="91" spans="1:90" ht="14.4">
      <c r="A91" s="963">
        <v>7113</v>
      </c>
      <c r="B91" s="963" t="s">
        <v>2795</v>
      </c>
      <c r="C91" s="963">
        <v>0</v>
      </c>
      <c r="D91" s="963">
        <v>510.4</v>
      </c>
      <c r="E91" s="963">
        <v>510.4</v>
      </c>
      <c r="F91" s="963">
        <v>510.4</v>
      </c>
      <c r="G91" s="963">
        <v>678.99</v>
      </c>
      <c r="H91" s="963">
        <v>594.79999999999995</v>
      </c>
      <c r="I91" s="963">
        <v>549.12</v>
      </c>
      <c r="J91" s="1233">
        <v>560.99</v>
      </c>
      <c r="K91" s="1233">
        <v>0</v>
      </c>
      <c r="L91" s="1115"/>
      <c r="M91" s="1115"/>
      <c r="N91" s="1115"/>
      <c r="O91" s="1115"/>
      <c r="P91" s="1115"/>
      <c r="Q91" s="1115"/>
      <c r="R91" s="1115"/>
      <c r="S91" s="1115"/>
      <c r="T91" s="1115"/>
      <c r="U91" s="1115"/>
      <c r="V91" s="1115"/>
      <c r="W91" s="1115"/>
      <c r="X91" s="1115"/>
      <c r="Y91" s="1115"/>
      <c r="Z91" s="1115"/>
      <c r="AA91" s="1115"/>
      <c r="AB91" s="1115"/>
      <c r="AC91" s="1115"/>
      <c r="AD91" s="1115"/>
      <c r="AE91" s="1115"/>
      <c r="AF91" s="1115"/>
      <c r="AG91" s="1115"/>
      <c r="AH91" s="1115"/>
      <c r="AI91" s="1115"/>
      <c r="AJ91" s="1115"/>
      <c r="AK91" s="1115"/>
      <c r="AL91" s="1115"/>
      <c r="AM91" s="1115"/>
      <c r="AN91" s="1115"/>
      <c r="AO91" s="1115"/>
      <c r="AP91" s="1115"/>
      <c r="AQ91" s="1115"/>
      <c r="AR91" s="1115"/>
      <c r="AS91" s="1115"/>
      <c r="AT91" s="1115"/>
      <c r="AU91" s="1115"/>
      <c r="AV91" s="1115"/>
      <c r="AW91" s="1115"/>
      <c r="AX91" s="1115"/>
      <c r="AY91" s="1115"/>
      <c r="AZ91" s="1115"/>
      <c r="BA91" s="1115"/>
      <c r="BB91" s="1115"/>
      <c r="BC91" s="1115"/>
      <c r="BD91" s="1115"/>
      <c r="BE91" s="1115"/>
      <c r="BF91" s="1115"/>
      <c r="BG91" s="1115"/>
      <c r="BH91" s="1115"/>
      <c r="BI91" s="1115"/>
      <c r="BJ91" s="1115"/>
      <c r="BK91" s="1115"/>
      <c r="BL91" s="1115"/>
      <c r="BM91" s="1115"/>
      <c r="BN91" s="1115"/>
      <c r="BO91" s="1115"/>
      <c r="BP91" s="1115"/>
      <c r="BQ91" s="1115"/>
      <c r="BR91" s="1115"/>
      <c r="BS91" s="1115"/>
      <c r="BT91" s="1115"/>
      <c r="BU91" s="1115"/>
      <c r="BV91" s="1115"/>
      <c r="BW91" s="1115"/>
      <c r="BX91" s="1115"/>
      <c r="BY91" s="1115"/>
      <c r="BZ91" s="1115"/>
      <c r="CA91" s="1115"/>
      <c r="CB91" s="1115"/>
      <c r="CC91" s="1115"/>
      <c r="CD91" s="1115"/>
      <c r="CE91" s="1115"/>
      <c r="CF91" s="1115"/>
      <c r="CG91" s="1115"/>
      <c r="CH91" s="1115"/>
      <c r="CI91" s="1115"/>
      <c r="CJ91" s="1115"/>
      <c r="CK91" s="1115"/>
      <c r="CL91" s="1115"/>
    </row>
    <row r="92" spans="1:90" ht="14.4">
      <c r="A92" s="1115"/>
      <c r="B92" s="1116" t="s">
        <v>2790</v>
      </c>
      <c r="C92" s="1134">
        <v>15938.15</v>
      </c>
      <c r="D92" s="1134">
        <v>14501.89</v>
      </c>
      <c r="E92" s="1134">
        <v>25977.78</v>
      </c>
      <c r="F92" s="1134">
        <v>23919.17</v>
      </c>
      <c r="G92" s="1134">
        <v>30323.48</v>
      </c>
      <c r="H92" s="1134">
        <v>37533.82</v>
      </c>
      <c r="I92" s="1134">
        <v>35462.839999999997</v>
      </c>
      <c r="J92" s="1234">
        <v>68028.58</v>
      </c>
      <c r="K92" s="1234">
        <v>97.2</v>
      </c>
      <c r="L92" s="1115"/>
      <c r="M92" s="1115"/>
      <c r="N92" s="1115"/>
      <c r="O92" s="1115"/>
      <c r="P92" s="1115"/>
      <c r="Q92" s="1115"/>
      <c r="R92" s="1115"/>
      <c r="S92" s="1115"/>
      <c r="T92" s="1115"/>
      <c r="U92" s="1115"/>
      <c r="V92" s="1115"/>
      <c r="W92" s="1115"/>
      <c r="X92" s="1115"/>
      <c r="Y92" s="1115"/>
      <c r="Z92" s="1115"/>
      <c r="AA92" s="1115"/>
      <c r="AB92" s="1115"/>
      <c r="AC92" s="1115"/>
      <c r="AD92" s="1115"/>
      <c r="AE92" s="1115"/>
      <c r="AF92" s="1115"/>
      <c r="AG92" s="1115"/>
      <c r="AH92" s="1115"/>
      <c r="AI92" s="1115"/>
      <c r="AJ92" s="1115"/>
      <c r="AK92" s="1115"/>
      <c r="AL92" s="1115"/>
      <c r="AM92" s="1115"/>
      <c r="AN92" s="1115"/>
      <c r="AO92" s="1115"/>
      <c r="AP92" s="1115"/>
      <c r="AQ92" s="1115"/>
      <c r="AR92" s="1115"/>
      <c r="AS92" s="1115"/>
      <c r="AT92" s="1115"/>
      <c r="AU92" s="1115"/>
      <c r="AV92" s="1115"/>
      <c r="AW92" s="1115"/>
      <c r="AX92" s="1115"/>
      <c r="AY92" s="1115"/>
      <c r="AZ92" s="1115"/>
      <c r="BA92" s="1115"/>
      <c r="BB92" s="1115"/>
      <c r="BC92" s="1115"/>
      <c r="BD92" s="1115"/>
      <c r="BE92" s="1115"/>
      <c r="BF92" s="1115"/>
      <c r="BG92" s="1115"/>
      <c r="BH92" s="1115"/>
      <c r="BI92" s="1115"/>
      <c r="BJ92" s="1115"/>
      <c r="BK92" s="1115"/>
      <c r="BL92" s="1115"/>
      <c r="BM92" s="1115"/>
      <c r="BN92" s="1115"/>
      <c r="BO92" s="1115"/>
      <c r="BP92" s="1115"/>
      <c r="BQ92" s="1115"/>
      <c r="BR92" s="1115"/>
      <c r="BS92" s="1115"/>
      <c r="BT92" s="1115"/>
      <c r="BU92" s="1115"/>
      <c r="BV92" s="1115"/>
      <c r="BW92" s="1115"/>
      <c r="BX92" s="1115"/>
      <c r="BY92" s="1115"/>
      <c r="BZ92" s="1115"/>
      <c r="CA92" s="1115"/>
      <c r="CB92" s="1115"/>
      <c r="CC92" s="1115"/>
      <c r="CD92" s="1115"/>
      <c r="CE92" s="1115"/>
      <c r="CF92" s="1115"/>
      <c r="CG92" s="1115"/>
      <c r="CH92" s="1115"/>
      <c r="CI92" s="1115"/>
      <c r="CJ92" s="1115"/>
      <c r="CK92" s="1115"/>
      <c r="CL92" s="1115"/>
    </row>
    <row r="93" spans="1:90" ht="14.4">
      <c r="A93" s="1115"/>
      <c r="B93" s="963"/>
      <c r="C93" s="963"/>
      <c r="D93" s="963"/>
      <c r="E93" s="963"/>
      <c r="F93" s="963"/>
      <c r="G93" s="963"/>
      <c r="H93" s="963"/>
      <c r="I93" s="963"/>
      <c r="L93" s="1115"/>
      <c r="M93" s="1115"/>
      <c r="N93" s="1115"/>
      <c r="O93" s="1115"/>
      <c r="P93" s="1115"/>
      <c r="Q93" s="1115"/>
      <c r="R93" s="1115"/>
      <c r="S93" s="1115"/>
      <c r="T93" s="1115"/>
      <c r="U93" s="1115"/>
      <c r="V93" s="1115"/>
      <c r="W93" s="1115"/>
      <c r="X93" s="1115"/>
      <c r="Y93" s="1115"/>
      <c r="Z93" s="1115"/>
      <c r="AA93" s="1115"/>
      <c r="AB93" s="1115"/>
      <c r="AC93" s="1115"/>
      <c r="AD93" s="1115"/>
      <c r="AE93" s="1115"/>
      <c r="AF93" s="1115"/>
      <c r="AG93" s="1115"/>
      <c r="AH93" s="1115"/>
      <c r="AI93" s="1115"/>
      <c r="AJ93" s="1115"/>
      <c r="AK93" s="1115"/>
      <c r="AL93" s="1115"/>
      <c r="AM93" s="1115"/>
      <c r="AN93" s="1115"/>
      <c r="AO93" s="1115"/>
      <c r="AP93" s="1115"/>
      <c r="AQ93" s="1115"/>
      <c r="AR93" s="1115"/>
      <c r="AS93" s="1115"/>
      <c r="AT93" s="1115"/>
      <c r="AU93" s="1115"/>
      <c r="AV93" s="1115"/>
      <c r="AW93" s="1115"/>
      <c r="AX93" s="1115"/>
      <c r="AY93" s="1115"/>
      <c r="AZ93" s="1115"/>
      <c r="BA93" s="1115"/>
      <c r="BB93" s="1115"/>
      <c r="BC93" s="1115"/>
      <c r="BD93" s="1115"/>
      <c r="BE93" s="1115"/>
      <c r="BF93" s="1115"/>
      <c r="BG93" s="1115"/>
      <c r="BH93" s="1115"/>
      <c r="BI93" s="1115"/>
      <c r="BJ93" s="1115"/>
      <c r="BK93" s="1115"/>
      <c r="BL93" s="1115"/>
      <c r="BM93" s="1115"/>
      <c r="BN93" s="1115"/>
      <c r="BO93" s="1115"/>
      <c r="BP93" s="1115"/>
      <c r="BQ93" s="1115"/>
      <c r="BR93" s="1115"/>
      <c r="BS93" s="1115"/>
      <c r="BT93" s="1115"/>
      <c r="BU93" s="1115"/>
      <c r="BV93" s="1115"/>
      <c r="BW93" s="1115"/>
      <c r="BX93" s="1115"/>
      <c r="BY93" s="1115"/>
      <c r="BZ93" s="1115"/>
      <c r="CA93" s="1115"/>
      <c r="CB93" s="1115"/>
      <c r="CC93" s="1115"/>
      <c r="CD93" s="1115"/>
      <c r="CE93" s="1115"/>
      <c r="CF93" s="1115"/>
      <c r="CG93" s="1115"/>
      <c r="CH93" s="1115"/>
      <c r="CI93" s="1115"/>
      <c r="CJ93" s="1115"/>
      <c r="CK93" s="1115"/>
      <c r="CL93" s="1115"/>
    </row>
    <row r="94" spans="1:90" ht="14.4">
      <c r="A94" s="1115"/>
      <c r="B94" s="1116" t="s">
        <v>2780</v>
      </c>
      <c r="C94" s="1134">
        <v>92728.9</v>
      </c>
      <c r="D94" s="1134">
        <v>122113.65</v>
      </c>
      <c r="E94" s="1134">
        <v>109869.39</v>
      </c>
      <c r="F94" s="1134">
        <v>115721.03</v>
      </c>
      <c r="G94" s="1134">
        <v>118653.94</v>
      </c>
      <c r="H94" s="1134">
        <v>122657.99</v>
      </c>
      <c r="I94" s="1134">
        <v>125388.36</v>
      </c>
      <c r="J94" s="1234">
        <v>203062.43000000002</v>
      </c>
      <c r="K94" s="1234">
        <v>97.2</v>
      </c>
      <c r="L94" s="1115"/>
      <c r="M94" s="1115"/>
      <c r="N94" s="1115"/>
      <c r="O94" s="1115"/>
      <c r="P94" s="1115"/>
      <c r="Q94" s="1115"/>
      <c r="R94" s="1115"/>
      <c r="S94" s="1115"/>
      <c r="T94" s="1115"/>
      <c r="U94" s="1115"/>
      <c r="V94" s="1115"/>
      <c r="W94" s="1115"/>
      <c r="X94" s="1115"/>
      <c r="Y94" s="1115"/>
      <c r="Z94" s="1115"/>
      <c r="AA94" s="1115"/>
      <c r="AB94" s="1115"/>
      <c r="AC94" s="1115"/>
      <c r="AD94" s="1115"/>
      <c r="AE94" s="1115"/>
      <c r="AF94" s="1115"/>
      <c r="AG94" s="1115"/>
      <c r="AH94" s="1115"/>
      <c r="AI94" s="1115"/>
      <c r="AJ94" s="1115"/>
      <c r="AK94" s="1115"/>
      <c r="AL94" s="1115"/>
      <c r="AM94" s="1115"/>
      <c r="AN94" s="1115"/>
      <c r="AO94" s="1115"/>
      <c r="AP94" s="1115"/>
      <c r="AQ94" s="1115"/>
      <c r="AR94" s="1115"/>
      <c r="AS94" s="1115"/>
      <c r="AT94" s="1115"/>
      <c r="AU94" s="1115"/>
      <c r="AV94" s="1115"/>
      <c r="AW94" s="1115"/>
      <c r="AX94" s="1115"/>
      <c r="AY94" s="1115"/>
      <c r="AZ94" s="1115"/>
      <c r="BA94" s="1115"/>
      <c r="BB94" s="1115"/>
      <c r="BC94" s="1115"/>
      <c r="BD94" s="1115"/>
      <c r="BE94" s="1115"/>
      <c r="BF94" s="1115"/>
      <c r="BG94" s="1115"/>
      <c r="BH94" s="1115"/>
      <c r="BI94" s="1115"/>
      <c r="BJ94" s="1115"/>
      <c r="BK94" s="1115"/>
      <c r="BL94" s="1115"/>
      <c r="BM94" s="1115"/>
      <c r="BN94" s="1115"/>
      <c r="BO94" s="1115"/>
      <c r="BP94" s="1115"/>
      <c r="BQ94" s="1115"/>
      <c r="BR94" s="1115"/>
      <c r="BS94" s="1115"/>
      <c r="BT94" s="1115"/>
      <c r="BU94" s="1115"/>
      <c r="BV94" s="1115"/>
      <c r="BW94" s="1115"/>
      <c r="BX94" s="1115"/>
      <c r="BY94" s="1115"/>
      <c r="BZ94" s="1115"/>
      <c r="CA94" s="1115"/>
      <c r="CB94" s="1115"/>
      <c r="CC94" s="1115"/>
      <c r="CD94" s="1115"/>
      <c r="CE94" s="1115"/>
      <c r="CF94" s="1115"/>
      <c r="CG94" s="1115"/>
      <c r="CH94" s="1115"/>
      <c r="CI94" s="1115"/>
      <c r="CJ94" s="1115"/>
      <c r="CK94" s="1115"/>
      <c r="CL94" s="1115"/>
    </row>
    <row r="95" spans="1:90" ht="14.4">
      <c r="A95" s="1115"/>
      <c r="B95" s="963"/>
      <c r="C95" s="963"/>
      <c r="D95" s="963"/>
      <c r="E95" s="963"/>
      <c r="F95" s="963"/>
      <c r="G95" s="963"/>
      <c r="H95" s="963"/>
      <c r="I95" s="963"/>
      <c r="L95" s="1115"/>
      <c r="M95" s="1115"/>
      <c r="N95" s="1115"/>
      <c r="O95" s="1115"/>
      <c r="P95" s="1115"/>
      <c r="Q95" s="1115"/>
      <c r="R95" s="1115"/>
      <c r="S95" s="1115"/>
      <c r="T95" s="1115"/>
      <c r="U95" s="1115"/>
      <c r="V95" s="1115"/>
      <c r="W95" s="1115"/>
      <c r="X95" s="1115"/>
      <c r="Y95" s="1115"/>
      <c r="Z95" s="1115"/>
      <c r="AA95" s="1115"/>
      <c r="AB95" s="1115"/>
      <c r="AC95" s="1115"/>
      <c r="AD95" s="1115"/>
      <c r="AE95" s="1115"/>
      <c r="AF95" s="1115"/>
      <c r="AG95" s="1115"/>
      <c r="AH95" s="1115"/>
      <c r="AI95" s="1115"/>
      <c r="AJ95" s="1115"/>
      <c r="AK95" s="1115"/>
      <c r="AL95" s="1115"/>
      <c r="AM95" s="1115"/>
      <c r="AN95" s="1115"/>
      <c r="AO95" s="1115"/>
      <c r="AP95" s="1115"/>
      <c r="AQ95" s="1115"/>
      <c r="AR95" s="1115"/>
      <c r="AS95" s="1115"/>
      <c r="AT95" s="1115"/>
      <c r="AU95" s="1115"/>
      <c r="AV95" s="1115"/>
      <c r="AW95" s="1115"/>
      <c r="AX95" s="1115"/>
      <c r="AY95" s="1115"/>
      <c r="AZ95" s="1115"/>
      <c r="BA95" s="1115"/>
      <c r="BB95" s="1115"/>
      <c r="BC95" s="1115"/>
      <c r="BD95" s="1115"/>
      <c r="BE95" s="1115"/>
      <c r="BF95" s="1115"/>
      <c r="BG95" s="1115"/>
      <c r="BH95" s="1115"/>
      <c r="BI95" s="1115"/>
      <c r="BJ95" s="1115"/>
      <c r="BK95" s="1115"/>
      <c r="BL95" s="1115"/>
      <c r="BM95" s="1115"/>
      <c r="BN95" s="1115"/>
      <c r="BO95" s="1115"/>
      <c r="BP95" s="1115"/>
      <c r="BQ95" s="1115"/>
      <c r="BR95" s="1115"/>
      <c r="BS95" s="1115"/>
      <c r="BT95" s="1115"/>
      <c r="BU95" s="1115"/>
      <c r="BV95" s="1115"/>
      <c r="BW95" s="1115"/>
      <c r="BX95" s="1115"/>
      <c r="BY95" s="1115"/>
      <c r="BZ95" s="1115"/>
      <c r="CA95" s="1115"/>
      <c r="CB95" s="1115"/>
      <c r="CC95" s="1115"/>
      <c r="CD95" s="1115"/>
      <c r="CE95" s="1115"/>
      <c r="CF95" s="1115"/>
      <c r="CG95" s="1115"/>
      <c r="CH95" s="1115"/>
      <c r="CI95" s="1115"/>
      <c r="CJ95" s="1115"/>
      <c r="CK95" s="1115"/>
      <c r="CL95" s="1115"/>
    </row>
    <row r="96" spans="1:90" ht="14.4">
      <c r="A96" s="1116" t="s">
        <v>2796</v>
      </c>
      <c r="B96" s="963"/>
      <c r="C96" s="963"/>
      <c r="D96" s="963"/>
      <c r="E96" s="963"/>
      <c r="F96" s="963"/>
      <c r="G96" s="963"/>
      <c r="H96" s="963"/>
      <c r="I96" s="963"/>
      <c r="J96" s="1235"/>
      <c r="K96" s="1235"/>
      <c r="L96" s="1115"/>
      <c r="M96" s="1115"/>
      <c r="N96" s="1115"/>
      <c r="O96" s="1115"/>
      <c r="P96" s="1115"/>
      <c r="Q96" s="1115"/>
      <c r="R96" s="1115"/>
      <c r="S96" s="1115"/>
      <c r="T96" s="1115"/>
      <c r="U96" s="1115"/>
      <c r="V96" s="1115"/>
      <c r="W96" s="1115"/>
      <c r="X96" s="1115"/>
      <c r="Y96" s="1115"/>
      <c r="Z96" s="1115"/>
      <c r="AA96" s="1115"/>
      <c r="AB96" s="1115"/>
      <c r="AC96" s="1115"/>
      <c r="AD96" s="1115"/>
      <c r="AE96" s="1115"/>
      <c r="AF96" s="1115"/>
      <c r="AG96" s="1115"/>
      <c r="AH96" s="1115"/>
      <c r="AI96" s="1115"/>
      <c r="AJ96" s="1115"/>
      <c r="AK96" s="1115"/>
      <c r="AL96" s="1115"/>
      <c r="AM96" s="1115"/>
      <c r="AN96" s="1115"/>
      <c r="AO96" s="1115"/>
      <c r="AP96" s="1115"/>
      <c r="AQ96" s="1115"/>
      <c r="AR96" s="1115"/>
      <c r="AS96" s="1115"/>
      <c r="AT96" s="1115"/>
      <c r="AU96" s="1115"/>
      <c r="AV96" s="1115"/>
      <c r="AW96" s="1115"/>
      <c r="AX96" s="1115"/>
      <c r="AY96" s="1115"/>
      <c r="AZ96" s="1115"/>
      <c r="BA96" s="1115"/>
      <c r="BB96" s="1115"/>
      <c r="BC96" s="1115"/>
      <c r="BD96" s="1115"/>
      <c r="BE96" s="1115"/>
      <c r="BF96" s="1115"/>
      <c r="BG96" s="1115"/>
      <c r="BH96" s="1115"/>
      <c r="BI96" s="1115"/>
      <c r="BJ96" s="1115"/>
      <c r="BK96" s="1115"/>
      <c r="BL96" s="1115"/>
      <c r="BM96" s="1115"/>
      <c r="BN96" s="1115"/>
      <c r="BO96" s="1115"/>
      <c r="BP96" s="1115"/>
      <c r="BQ96" s="1115"/>
      <c r="BR96" s="1115"/>
      <c r="BS96" s="1115"/>
      <c r="BT96" s="1115"/>
      <c r="BU96" s="1115"/>
      <c r="BV96" s="1115"/>
      <c r="BW96" s="1115"/>
      <c r="BX96" s="1115"/>
      <c r="BY96" s="1115"/>
      <c r="BZ96" s="1115"/>
      <c r="CA96" s="1115"/>
      <c r="CB96" s="1115"/>
      <c r="CC96" s="1115"/>
      <c r="CD96" s="1115"/>
      <c r="CE96" s="1115"/>
      <c r="CF96" s="1115"/>
      <c r="CG96" s="1115"/>
      <c r="CH96" s="1115"/>
      <c r="CI96" s="1115"/>
      <c r="CJ96" s="1115"/>
      <c r="CK96" s="1115"/>
      <c r="CL96" s="1115"/>
    </row>
    <row r="97" spans="1:90" ht="14.4">
      <c r="A97" s="963">
        <v>7247</v>
      </c>
      <c r="B97" s="963" t="s">
        <v>2797</v>
      </c>
      <c r="C97" s="963">
        <v>0</v>
      </c>
      <c r="D97" s="963">
        <v>64.95</v>
      </c>
      <c r="E97" s="963">
        <v>64.95</v>
      </c>
      <c r="F97" s="963">
        <v>64.95</v>
      </c>
      <c r="G97" s="963">
        <v>64.95</v>
      </c>
      <c r="H97" s="963">
        <v>64.95</v>
      </c>
      <c r="I97" s="963">
        <v>64.95</v>
      </c>
      <c r="J97" s="1233">
        <v>64.95</v>
      </c>
      <c r="K97" s="1233">
        <v>64.95</v>
      </c>
      <c r="L97" s="1115"/>
      <c r="M97" s="1115"/>
      <c r="N97" s="1115"/>
      <c r="O97" s="1115"/>
      <c r="P97" s="1115"/>
      <c r="Q97" s="1115"/>
      <c r="R97" s="1115"/>
      <c r="S97" s="1115"/>
      <c r="T97" s="1115"/>
      <c r="U97" s="1115"/>
      <c r="V97" s="1115"/>
      <c r="W97" s="1115"/>
      <c r="X97" s="1115"/>
      <c r="Y97" s="1115"/>
      <c r="Z97" s="1115"/>
      <c r="AA97" s="1115"/>
      <c r="AB97" s="1115"/>
      <c r="AC97" s="1115"/>
      <c r="AD97" s="1115"/>
      <c r="AE97" s="1115"/>
      <c r="AF97" s="1115"/>
      <c r="AG97" s="1115"/>
      <c r="AH97" s="1115"/>
      <c r="AI97" s="1115"/>
      <c r="AJ97" s="1115"/>
      <c r="AK97" s="1115"/>
      <c r="AL97" s="1115"/>
      <c r="AM97" s="1115"/>
      <c r="AN97" s="1115"/>
      <c r="AO97" s="1115"/>
      <c r="AP97" s="1115"/>
      <c r="AQ97" s="1115"/>
      <c r="AR97" s="1115"/>
      <c r="AS97" s="1115"/>
      <c r="AT97" s="1115"/>
      <c r="AU97" s="1115"/>
      <c r="AV97" s="1115"/>
      <c r="AW97" s="1115"/>
      <c r="AX97" s="1115"/>
      <c r="AY97" s="1115"/>
      <c r="AZ97" s="1115"/>
      <c r="BA97" s="1115"/>
      <c r="BB97" s="1115"/>
      <c r="BC97" s="1115"/>
      <c r="BD97" s="1115"/>
      <c r="BE97" s="1115"/>
      <c r="BF97" s="1115"/>
      <c r="BG97" s="1115"/>
      <c r="BH97" s="1115"/>
      <c r="BI97" s="1115"/>
      <c r="BJ97" s="1115"/>
      <c r="BK97" s="1115"/>
      <c r="BL97" s="1115"/>
      <c r="BM97" s="1115"/>
      <c r="BN97" s="1115"/>
      <c r="BO97" s="1115"/>
      <c r="BP97" s="1115"/>
      <c r="BQ97" s="1115"/>
      <c r="BR97" s="1115"/>
      <c r="BS97" s="1115"/>
      <c r="BT97" s="1115"/>
      <c r="BU97" s="1115"/>
      <c r="BV97" s="1115"/>
      <c r="BW97" s="1115"/>
      <c r="BX97" s="1115"/>
      <c r="BY97" s="1115"/>
      <c r="BZ97" s="1115"/>
      <c r="CA97" s="1115"/>
      <c r="CB97" s="1115"/>
      <c r="CC97" s="1115"/>
      <c r="CD97" s="1115"/>
      <c r="CE97" s="1115"/>
      <c r="CF97" s="1115"/>
      <c r="CG97" s="1115"/>
      <c r="CH97" s="1115"/>
      <c r="CI97" s="1115"/>
      <c r="CJ97" s="1115"/>
      <c r="CK97" s="1115"/>
      <c r="CL97" s="1115"/>
    </row>
    <row r="98" spans="1:90" ht="14.4">
      <c r="A98" s="963">
        <v>7251</v>
      </c>
      <c r="B98" s="963" t="s">
        <v>2798</v>
      </c>
      <c r="C98" s="965">
        <v>10175.5</v>
      </c>
      <c r="D98" s="965">
        <v>10175.5</v>
      </c>
      <c r="E98" s="965">
        <v>10175.5</v>
      </c>
      <c r="F98" s="965">
        <v>10175.5</v>
      </c>
      <c r="G98" s="965">
        <v>10175.5</v>
      </c>
      <c r="H98" s="965">
        <v>10175.5</v>
      </c>
      <c r="I98" s="965">
        <v>10175.5</v>
      </c>
      <c r="J98" s="1233">
        <v>10175.5</v>
      </c>
      <c r="K98" s="1233">
        <v>10175.5</v>
      </c>
      <c r="L98" s="1115"/>
      <c r="M98" s="1115"/>
      <c r="N98" s="1115"/>
      <c r="O98" s="1115"/>
      <c r="P98" s="1115"/>
      <c r="Q98" s="1115"/>
      <c r="R98" s="1115"/>
      <c r="S98" s="1115"/>
      <c r="T98" s="1115"/>
      <c r="U98" s="1115"/>
      <c r="V98" s="1115"/>
      <c r="W98" s="1115"/>
      <c r="X98" s="1115"/>
      <c r="Y98" s="1115"/>
      <c r="Z98" s="1115"/>
      <c r="AA98" s="1115"/>
      <c r="AB98" s="1115"/>
      <c r="AC98" s="1115"/>
      <c r="AD98" s="1115"/>
      <c r="AE98" s="1115"/>
      <c r="AF98" s="1115"/>
      <c r="AG98" s="1115"/>
      <c r="AH98" s="1115"/>
      <c r="AI98" s="1115"/>
      <c r="AJ98" s="1115"/>
      <c r="AK98" s="1115"/>
      <c r="AL98" s="1115"/>
      <c r="AM98" s="1115"/>
      <c r="AN98" s="1115"/>
      <c r="AO98" s="1115"/>
      <c r="AP98" s="1115"/>
      <c r="AQ98" s="1115"/>
      <c r="AR98" s="1115"/>
      <c r="AS98" s="1115"/>
      <c r="AT98" s="1115"/>
      <c r="AU98" s="1115"/>
      <c r="AV98" s="1115"/>
      <c r="AW98" s="1115"/>
      <c r="AX98" s="1115"/>
      <c r="AY98" s="1115"/>
      <c r="AZ98" s="1115"/>
      <c r="BA98" s="1115"/>
      <c r="BB98" s="1115"/>
      <c r="BC98" s="1115"/>
      <c r="BD98" s="1115"/>
      <c r="BE98" s="1115"/>
      <c r="BF98" s="1115"/>
      <c r="BG98" s="1115"/>
      <c r="BH98" s="1115"/>
      <c r="BI98" s="1115"/>
      <c r="BJ98" s="1115"/>
      <c r="BK98" s="1115"/>
      <c r="BL98" s="1115"/>
      <c r="BM98" s="1115"/>
      <c r="BN98" s="1115"/>
      <c r="BO98" s="1115"/>
      <c r="BP98" s="1115"/>
      <c r="BQ98" s="1115"/>
      <c r="BR98" s="1115"/>
      <c r="BS98" s="1115"/>
      <c r="BT98" s="1115"/>
      <c r="BU98" s="1115"/>
      <c r="BV98" s="1115"/>
      <c r="BW98" s="1115"/>
      <c r="BX98" s="1115"/>
      <c r="BY98" s="1115"/>
      <c r="BZ98" s="1115"/>
      <c r="CA98" s="1115"/>
      <c r="CB98" s="1115"/>
      <c r="CC98" s="1115"/>
      <c r="CD98" s="1115"/>
      <c r="CE98" s="1115"/>
      <c r="CF98" s="1115"/>
      <c r="CG98" s="1115"/>
      <c r="CH98" s="1115"/>
      <c r="CI98" s="1115"/>
      <c r="CJ98" s="1115"/>
      <c r="CK98" s="1115"/>
      <c r="CL98" s="1115"/>
    </row>
    <row r="99" spans="1:90" ht="14.4">
      <c r="A99" s="963">
        <v>7253</v>
      </c>
      <c r="B99" s="963" t="s">
        <v>2799</v>
      </c>
      <c r="C99" s="963">
        <v>0</v>
      </c>
      <c r="D99" s="963">
        <v>0</v>
      </c>
      <c r="E99" s="963">
        <v>0</v>
      </c>
      <c r="F99" s="963">
        <v>0</v>
      </c>
      <c r="G99" s="963">
        <v>0</v>
      </c>
      <c r="H99" s="965">
        <v>2316.19</v>
      </c>
      <c r="I99" s="963">
        <v>0</v>
      </c>
      <c r="J99" s="1233">
        <v>0</v>
      </c>
      <c r="K99" s="1233">
        <v>0</v>
      </c>
      <c r="L99" s="1115"/>
      <c r="M99" s="1115"/>
      <c r="N99" s="1115"/>
      <c r="O99" s="1115"/>
      <c r="P99" s="1115"/>
      <c r="Q99" s="1115"/>
      <c r="R99" s="1115"/>
      <c r="S99" s="1115"/>
      <c r="T99" s="1115"/>
      <c r="U99" s="1115"/>
      <c r="V99" s="1115"/>
      <c r="W99" s="1115"/>
      <c r="X99" s="1115"/>
      <c r="Y99" s="1115"/>
      <c r="Z99" s="1115"/>
      <c r="AA99" s="1115"/>
      <c r="AB99" s="1115"/>
      <c r="AC99" s="1115"/>
      <c r="AD99" s="1115"/>
      <c r="AE99" s="1115"/>
      <c r="AF99" s="1115"/>
      <c r="AG99" s="1115"/>
      <c r="AH99" s="1115"/>
      <c r="AI99" s="1115"/>
      <c r="AJ99" s="1115"/>
      <c r="AK99" s="1115"/>
      <c r="AL99" s="1115"/>
      <c r="AM99" s="1115"/>
      <c r="AN99" s="1115"/>
      <c r="AO99" s="1115"/>
      <c r="AP99" s="1115"/>
      <c r="AQ99" s="1115"/>
      <c r="AR99" s="1115"/>
      <c r="AS99" s="1115"/>
      <c r="AT99" s="1115"/>
      <c r="AU99" s="1115"/>
      <c r="AV99" s="1115"/>
      <c r="AW99" s="1115"/>
      <c r="AX99" s="1115"/>
      <c r="AY99" s="1115"/>
      <c r="AZ99" s="1115"/>
      <c r="BA99" s="1115"/>
      <c r="BB99" s="1115"/>
      <c r="BC99" s="1115"/>
      <c r="BD99" s="1115"/>
      <c r="BE99" s="1115"/>
      <c r="BF99" s="1115"/>
      <c r="BG99" s="1115"/>
      <c r="BH99" s="1115"/>
      <c r="BI99" s="1115"/>
      <c r="BJ99" s="1115"/>
      <c r="BK99" s="1115"/>
      <c r="BL99" s="1115"/>
      <c r="BM99" s="1115"/>
      <c r="BN99" s="1115"/>
      <c r="BO99" s="1115"/>
      <c r="BP99" s="1115"/>
      <c r="BQ99" s="1115"/>
      <c r="BR99" s="1115"/>
      <c r="BS99" s="1115"/>
      <c r="BT99" s="1115"/>
      <c r="BU99" s="1115"/>
      <c r="BV99" s="1115"/>
      <c r="BW99" s="1115"/>
      <c r="BX99" s="1115"/>
      <c r="BY99" s="1115"/>
      <c r="BZ99" s="1115"/>
      <c r="CA99" s="1115"/>
      <c r="CB99" s="1115"/>
      <c r="CC99" s="1115"/>
      <c r="CD99" s="1115"/>
      <c r="CE99" s="1115"/>
      <c r="CF99" s="1115"/>
      <c r="CG99" s="1115"/>
      <c r="CH99" s="1115"/>
      <c r="CI99" s="1115"/>
      <c r="CJ99" s="1115"/>
      <c r="CK99" s="1115"/>
      <c r="CL99" s="1115"/>
    </row>
    <row r="100" spans="1:90" ht="14.4">
      <c r="A100" s="963">
        <v>7255</v>
      </c>
      <c r="B100" s="963" t="s">
        <v>2800</v>
      </c>
      <c r="C100" s="965">
        <v>4330</v>
      </c>
      <c r="D100" s="965">
        <v>4330</v>
      </c>
      <c r="E100" s="965">
        <v>4330</v>
      </c>
      <c r="F100" s="965">
        <v>6425.16</v>
      </c>
      <c r="G100" s="965">
        <v>4330</v>
      </c>
      <c r="H100" s="965">
        <v>4330</v>
      </c>
      <c r="I100" s="965">
        <v>4330</v>
      </c>
      <c r="J100" s="1233">
        <v>4330</v>
      </c>
      <c r="K100" s="1233">
        <v>-4330</v>
      </c>
      <c r="L100" s="1115"/>
      <c r="M100" s="1115"/>
      <c r="N100" s="1115"/>
      <c r="O100" s="1115"/>
      <c r="P100" s="1115"/>
      <c r="Q100" s="1115"/>
      <c r="R100" s="1115"/>
      <c r="S100" s="1115"/>
      <c r="T100" s="1115"/>
      <c r="U100" s="1115"/>
      <c r="V100" s="1115"/>
      <c r="W100" s="1115"/>
      <c r="X100" s="1115"/>
      <c r="Y100" s="1115"/>
      <c r="Z100" s="1115"/>
      <c r="AA100" s="1115"/>
      <c r="AB100" s="1115"/>
      <c r="AC100" s="1115"/>
      <c r="AD100" s="1115"/>
      <c r="AE100" s="1115"/>
      <c r="AF100" s="1115"/>
      <c r="AG100" s="1115"/>
      <c r="AH100" s="1115"/>
      <c r="AI100" s="1115"/>
      <c r="AJ100" s="1115"/>
      <c r="AK100" s="1115"/>
      <c r="AL100" s="1115"/>
      <c r="AM100" s="1115"/>
      <c r="AN100" s="1115"/>
      <c r="AO100" s="1115"/>
      <c r="AP100" s="1115"/>
      <c r="AQ100" s="1115"/>
      <c r="AR100" s="1115"/>
      <c r="AS100" s="1115"/>
      <c r="AT100" s="1115"/>
      <c r="AU100" s="1115"/>
      <c r="AV100" s="1115"/>
      <c r="AW100" s="1115"/>
      <c r="AX100" s="1115"/>
      <c r="AY100" s="1115"/>
      <c r="AZ100" s="1115"/>
      <c r="BA100" s="1115"/>
      <c r="BB100" s="1115"/>
      <c r="BC100" s="1115"/>
      <c r="BD100" s="1115"/>
      <c r="BE100" s="1115"/>
      <c r="BF100" s="1115"/>
      <c r="BG100" s="1115"/>
      <c r="BH100" s="1115"/>
      <c r="BI100" s="1115"/>
      <c r="BJ100" s="1115"/>
      <c r="BK100" s="1115"/>
      <c r="BL100" s="1115"/>
      <c r="BM100" s="1115"/>
      <c r="BN100" s="1115"/>
      <c r="BO100" s="1115"/>
      <c r="BP100" s="1115"/>
      <c r="BQ100" s="1115"/>
      <c r="BR100" s="1115"/>
      <c r="BS100" s="1115"/>
      <c r="BT100" s="1115"/>
      <c r="BU100" s="1115"/>
      <c r="BV100" s="1115"/>
      <c r="BW100" s="1115"/>
      <c r="BX100" s="1115"/>
      <c r="BY100" s="1115"/>
      <c r="BZ100" s="1115"/>
      <c r="CA100" s="1115"/>
      <c r="CB100" s="1115"/>
      <c r="CC100" s="1115"/>
      <c r="CD100" s="1115"/>
      <c r="CE100" s="1115"/>
      <c r="CF100" s="1115"/>
      <c r="CG100" s="1115"/>
      <c r="CH100" s="1115"/>
      <c r="CI100" s="1115"/>
      <c r="CJ100" s="1115"/>
      <c r="CK100" s="1115"/>
      <c r="CL100" s="1115"/>
    </row>
    <row r="101" spans="1:90" ht="14.4">
      <c r="A101" s="963">
        <v>7256</v>
      </c>
      <c r="B101" s="963" t="s">
        <v>2801</v>
      </c>
      <c r="C101" s="965">
        <v>1101.23</v>
      </c>
      <c r="D101" s="965">
        <v>1072.73</v>
      </c>
      <c r="E101" s="965">
        <v>1072.73</v>
      </c>
      <c r="F101" s="965">
        <v>1072.23</v>
      </c>
      <c r="G101" s="965">
        <v>1072.23</v>
      </c>
      <c r="H101" s="965">
        <v>1342.19</v>
      </c>
      <c r="I101" s="965">
        <v>1342.19</v>
      </c>
      <c r="J101" s="1233">
        <v>1342.19</v>
      </c>
      <c r="K101" s="1233">
        <v>-6975.3</v>
      </c>
      <c r="L101" s="1115"/>
      <c r="M101" s="1115"/>
      <c r="N101" s="1115"/>
      <c r="O101" s="1115"/>
      <c r="P101" s="1115"/>
      <c r="Q101" s="1115"/>
      <c r="R101" s="1115"/>
      <c r="S101" s="1115"/>
      <c r="T101" s="1115"/>
      <c r="U101" s="1115"/>
      <c r="V101" s="1115"/>
      <c r="W101" s="1115"/>
      <c r="X101" s="1115"/>
      <c r="Y101" s="1115"/>
      <c r="Z101" s="1115"/>
      <c r="AA101" s="1115"/>
      <c r="AB101" s="1115"/>
      <c r="AC101" s="1115"/>
      <c r="AD101" s="1115"/>
      <c r="AE101" s="1115"/>
      <c r="AF101" s="1115"/>
      <c r="AG101" s="1115"/>
      <c r="AH101" s="1115"/>
      <c r="AI101" s="1115"/>
      <c r="AJ101" s="1115"/>
      <c r="AK101" s="1115"/>
      <c r="AL101" s="1115"/>
      <c r="AM101" s="1115"/>
      <c r="AN101" s="1115"/>
      <c r="AO101" s="1115"/>
      <c r="AP101" s="1115"/>
      <c r="AQ101" s="1115"/>
      <c r="AR101" s="1115"/>
      <c r="AS101" s="1115"/>
      <c r="AT101" s="1115"/>
      <c r="AU101" s="1115"/>
      <c r="AV101" s="1115"/>
      <c r="AW101" s="1115"/>
      <c r="AX101" s="1115"/>
      <c r="AY101" s="1115"/>
      <c r="AZ101" s="1115"/>
      <c r="BA101" s="1115"/>
      <c r="BB101" s="1115"/>
      <c r="BC101" s="1115"/>
      <c r="BD101" s="1115"/>
      <c r="BE101" s="1115"/>
      <c r="BF101" s="1115"/>
      <c r="BG101" s="1115"/>
      <c r="BH101" s="1115"/>
      <c r="BI101" s="1115"/>
      <c r="BJ101" s="1115"/>
      <c r="BK101" s="1115"/>
      <c r="BL101" s="1115"/>
      <c r="BM101" s="1115"/>
      <c r="BN101" s="1115"/>
      <c r="BO101" s="1115"/>
      <c r="BP101" s="1115"/>
      <c r="BQ101" s="1115"/>
      <c r="BR101" s="1115"/>
      <c r="BS101" s="1115"/>
      <c r="BT101" s="1115"/>
      <c r="BU101" s="1115"/>
      <c r="BV101" s="1115"/>
      <c r="BW101" s="1115"/>
      <c r="BX101" s="1115"/>
      <c r="BY101" s="1115"/>
      <c r="BZ101" s="1115"/>
      <c r="CA101" s="1115"/>
      <c r="CB101" s="1115"/>
      <c r="CC101" s="1115"/>
      <c r="CD101" s="1115"/>
      <c r="CE101" s="1115"/>
      <c r="CF101" s="1115"/>
      <c r="CG101" s="1115"/>
      <c r="CH101" s="1115"/>
      <c r="CI101" s="1115"/>
      <c r="CJ101" s="1115"/>
      <c r="CK101" s="1115"/>
      <c r="CL101" s="1115"/>
    </row>
    <row r="102" spans="1:90" ht="14.4">
      <c r="A102" s="963">
        <v>7258</v>
      </c>
      <c r="B102" s="963" t="s">
        <v>2802</v>
      </c>
      <c r="C102" s="965">
        <v>4500</v>
      </c>
      <c r="D102" s="963">
        <v>0</v>
      </c>
      <c r="E102" s="963">
        <v>0</v>
      </c>
      <c r="F102" s="963">
        <v>0</v>
      </c>
      <c r="G102" s="963">
        <v>0</v>
      </c>
      <c r="H102" s="963">
        <v>0</v>
      </c>
      <c r="I102" s="963">
        <v>0</v>
      </c>
      <c r="J102" s="1233">
        <v>0</v>
      </c>
      <c r="K102" s="1233">
        <v>0</v>
      </c>
      <c r="L102" s="1115"/>
      <c r="M102" s="1115"/>
      <c r="N102" s="1115"/>
      <c r="O102" s="1115"/>
      <c r="P102" s="1115"/>
      <c r="Q102" s="1115"/>
      <c r="R102" s="1115"/>
      <c r="S102" s="1115"/>
      <c r="T102" s="1115"/>
      <c r="U102" s="1115"/>
      <c r="V102" s="1115"/>
      <c r="W102" s="1115"/>
      <c r="X102" s="1115"/>
      <c r="Y102" s="1115"/>
      <c r="Z102" s="1115"/>
      <c r="AA102" s="1115"/>
      <c r="AB102" s="1115"/>
      <c r="AC102" s="1115"/>
      <c r="AD102" s="1115"/>
      <c r="AE102" s="1115"/>
      <c r="AF102" s="1115"/>
      <c r="AG102" s="1115"/>
      <c r="AH102" s="1115"/>
      <c r="AI102" s="1115"/>
      <c r="AJ102" s="1115"/>
      <c r="AK102" s="1115"/>
      <c r="AL102" s="1115"/>
      <c r="AM102" s="1115"/>
      <c r="AN102" s="1115"/>
      <c r="AO102" s="1115"/>
      <c r="AP102" s="1115"/>
      <c r="AQ102" s="1115"/>
      <c r="AR102" s="1115"/>
      <c r="AS102" s="1115"/>
      <c r="AT102" s="1115"/>
      <c r="AU102" s="1115"/>
      <c r="AV102" s="1115"/>
      <c r="AW102" s="1115"/>
      <c r="AX102" s="1115"/>
      <c r="AY102" s="1115"/>
      <c r="AZ102" s="1115"/>
      <c r="BA102" s="1115"/>
      <c r="BB102" s="1115"/>
      <c r="BC102" s="1115"/>
      <c r="BD102" s="1115"/>
      <c r="BE102" s="1115"/>
      <c r="BF102" s="1115"/>
      <c r="BG102" s="1115"/>
      <c r="BH102" s="1115"/>
      <c r="BI102" s="1115"/>
      <c r="BJ102" s="1115"/>
      <c r="BK102" s="1115"/>
      <c r="BL102" s="1115"/>
      <c r="BM102" s="1115"/>
      <c r="BN102" s="1115"/>
      <c r="BO102" s="1115"/>
      <c r="BP102" s="1115"/>
      <c r="BQ102" s="1115"/>
      <c r="BR102" s="1115"/>
      <c r="BS102" s="1115"/>
      <c r="BT102" s="1115"/>
      <c r="BU102" s="1115"/>
      <c r="BV102" s="1115"/>
      <c r="BW102" s="1115"/>
      <c r="BX102" s="1115"/>
      <c r="BY102" s="1115"/>
      <c r="BZ102" s="1115"/>
      <c r="CA102" s="1115"/>
      <c r="CB102" s="1115"/>
      <c r="CC102" s="1115"/>
      <c r="CD102" s="1115"/>
      <c r="CE102" s="1115"/>
      <c r="CF102" s="1115"/>
      <c r="CG102" s="1115"/>
      <c r="CH102" s="1115"/>
      <c r="CI102" s="1115"/>
      <c r="CJ102" s="1115"/>
      <c r="CK102" s="1115"/>
      <c r="CL102" s="1115"/>
    </row>
    <row r="103" spans="1:90" ht="14.4">
      <c r="A103" s="963">
        <v>7259</v>
      </c>
      <c r="B103" s="963" t="s">
        <v>2803</v>
      </c>
      <c r="C103" s="965">
        <v>3708.93</v>
      </c>
      <c r="D103" s="965">
        <v>2149</v>
      </c>
      <c r="E103" s="963">
        <v>0</v>
      </c>
      <c r="F103" s="963">
        <v>0</v>
      </c>
      <c r="G103" s="963">
        <v>0</v>
      </c>
      <c r="H103" s="963">
        <v>0</v>
      </c>
      <c r="I103" s="963">
        <v>0</v>
      </c>
      <c r="J103" s="1233">
        <v>0</v>
      </c>
      <c r="K103" s="1233">
        <v>0</v>
      </c>
      <c r="L103" s="1115"/>
      <c r="M103" s="1115"/>
      <c r="N103" s="1115"/>
      <c r="O103" s="1115"/>
      <c r="P103" s="1115"/>
      <c r="Q103" s="1115"/>
      <c r="R103" s="1115"/>
      <c r="S103" s="1115"/>
      <c r="T103" s="1115"/>
      <c r="U103" s="1115"/>
      <c r="V103" s="1115"/>
      <c r="W103" s="1115"/>
      <c r="X103" s="1115"/>
      <c r="Y103" s="1115"/>
      <c r="Z103" s="1115"/>
      <c r="AA103" s="1115"/>
      <c r="AB103" s="1115"/>
      <c r="AC103" s="1115"/>
      <c r="AD103" s="1115"/>
      <c r="AE103" s="1115"/>
      <c r="AF103" s="1115"/>
      <c r="AG103" s="1115"/>
      <c r="AH103" s="1115"/>
      <c r="AI103" s="1115"/>
      <c r="AJ103" s="1115"/>
      <c r="AK103" s="1115"/>
      <c r="AL103" s="1115"/>
      <c r="AM103" s="1115"/>
      <c r="AN103" s="1115"/>
      <c r="AO103" s="1115"/>
      <c r="AP103" s="1115"/>
      <c r="AQ103" s="1115"/>
      <c r="AR103" s="1115"/>
      <c r="AS103" s="1115"/>
      <c r="AT103" s="1115"/>
      <c r="AU103" s="1115"/>
      <c r="AV103" s="1115"/>
      <c r="AW103" s="1115"/>
      <c r="AX103" s="1115"/>
      <c r="AY103" s="1115"/>
      <c r="AZ103" s="1115"/>
      <c r="BA103" s="1115"/>
      <c r="BB103" s="1115"/>
      <c r="BC103" s="1115"/>
      <c r="BD103" s="1115"/>
      <c r="BE103" s="1115"/>
      <c r="BF103" s="1115"/>
      <c r="BG103" s="1115"/>
      <c r="BH103" s="1115"/>
      <c r="BI103" s="1115"/>
      <c r="BJ103" s="1115"/>
      <c r="BK103" s="1115"/>
      <c r="BL103" s="1115"/>
      <c r="BM103" s="1115"/>
      <c r="BN103" s="1115"/>
      <c r="BO103" s="1115"/>
      <c r="BP103" s="1115"/>
      <c r="BQ103" s="1115"/>
      <c r="BR103" s="1115"/>
      <c r="BS103" s="1115"/>
      <c r="BT103" s="1115"/>
      <c r="BU103" s="1115"/>
      <c r="BV103" s="1115"/>
      <c r="BW103" s="1115"/>
      <c r="BX103" s="1115"/>
      <c r="BY103" s="1115"/>
      <c r="BZ103" s="1115"/>
      <c r="CA103" s="1115"/>
      <c r="CB103" s="1115"/>
      <c r="CC103" s="1115"/>
      <c r="CD103" s="1115"/>
      <c r="CE103" s="1115"/>
      <c r="CF103" s="1115"/>
      <c r="CG103" s="1115"/>
      <c r="CH103" s="1115"/>
      <c r="CI103" s="1115"/>
      <c r="CJ103" s="1115"/>
      <c r="CK103" s="1115"/>
      <c r="CL103" s="1115"/>
    </row>
    <row r="104" spans="1:90" ht="14.4">
      <c r="A104" s="1115"/>
      <c r="B104" s="1116" t="s">
        <v>2796</v>
      </c>
      <c r="C104" s="1134">
        <v>23815.66</v>
      </c>
      <c r="D104" s="1134">
        <v>17792.18</v>
      </c>
      <c r="E104" s="1134">
        <v>15643.18</v>
      </c>
      <c r="F104" s="1134">
        <v>17737.84</v>
      </c>
      <c r="G104" s="1134">
        <v>15642.68</v>
      </c>
      <c r="H104" s="1134">
        <v>18228.830000000002</v>
      </c>
      <c r="I104" s="1134">
        <v>15912.64</v>
      </c>
      <c r="J104" s="1234">
        <v>15912.640000000001</v>
      </c>
      <c r="K104" s="1234">
        <v>-1064.8499999999995</v>
      </c>
      <c r="L104" s="1115"/>
      <c r="M104" s="1115"/>
      <c r="N104" s="1115"/>
      <c r="O104" s="1115"/>
      <c r="P104" s="1115"/>
      <c r="Q104" s="1115"/>
      <c r="R104" s="1115"/>
      <c r="S104" s="1115"/>
      <c r="T104" s="1115"/>
      <c r="U104" s="1115"/>
      <c r="V104" s="1115"/>
      <c r="W104" s="1115"/>
      <c r="X104" s="1115"/>
      <c r="Y104" s="1115"/>
      <c r="Z104" s="1115"/>
      <c r="AA104" s="1115"/>
      <c r="AB104" s="1115"/>
      <c r="AC104" s="1115"/>
      <c r="AD104" s="1115"/>
      <c r="AE104" s="1115"/>
      <c r="AF104" s="1115"/>
      <c r="AG104" s="1115"/>
      <c r="AH104" s="1115"/>
      <c r="AI104" s="1115"/>
      <c r="AJ104" s="1115"/>
      <c r="AK104" s="1115"/>
      <c r="AL104" s="1115"/>
      <c r="AM104" s="1115"/>
      <c r="AN104" s="1115"/>
      <c r="AO104" s="1115"/>
      <c r="AP104" s="1115"/>
      <c r="AQ104" s="1115"/>
      <c r="AR104" s="1115"/>
      <c r="AS104" s="1115"/>
      <c r="AT104" s="1115"/>
      <c r="AU104" s="1115"/>
      <c r="AV104" s="1115"/>
      <c r="AW104" s="1115"/>
      <c r="AX104" s="1115"/>
      <c r="AY104" s="1115"/>
      <c r="AZ104" s="1115"/>
      <c r="BA104" s="1115"/>
      <c r="BB104" s="1115"/>
      <c r="BC104" s="1115"/>
      <c r="BD104" s="1115"/>
      <c r="BE104" s="1115"/>
      <c r="BF104" s="1115"/>
      <c r="BG104" s="1115"/>
      <c r="BH104" s="1115"/>
      <c r="BI104" s="1115"/>
      <c r="BJ104" s="1115"/>
      <c r="BK104" s="1115"/>
      <c r="BL104" s="1115"/>
      <c r="BM104" s="1115"/>
      <c r="BN104" s="1115"/>
      <c r="BO104" s="1115"/>
      <c r="BP104" s="1115"/>
      <c r="BQ104" s="1115"/>
      <c r="BR104" s="1115"/>
      <c r="BS104" s="1115"/>
      <c r="BT104" s="1115"/>
      <c r="BU104" s="1115"/>
      <c r="BV104" s="1115"/>
      <c r="BW104" s="1115"/>
      <c r="BX104" s="1115"/>
      <c r="BY104" s="1115"/>
      <c r="BZ104" s="1115"/>
      <c r="CA104" s="1115"/>
      <c r="CB104" s="1115"/>
      <c r="CC104" s="1115"/>
      <c r="CD104" s="1115"/>
      <c r="CE104" s="1115"/>
      <c r="CF104" s="1115"/>
      <c r="CG104" s="1115"/>
      <c r="CH104" s="1115"/>
      <c r="CI104" s="1115"/>
      <c r="CJ104" s="1115"/>
      <c r="CK104" s="1115"/>
      <c r="CL104" s="1115"/>
    </row>
    <row r="105" spans="1:90" ht="14.4">
      <c r="A105" s="1115"/>
      <c r="B105" s="963"/>
      <c r="C105" s="963"/>
      <c r="D105" s="963"/>
      <c r="E105" s="963"/>
      <c r="F105" s="963"/>
      <c r="G105" s="963"/>
      <c r="H105" s="963"/>
      <c r="I105" s="963"/>
      <c r="L105" s="1115"/>
      <c r="M105" s="1115"/>
      <c r="N105" s="1115"/>
      <c r="O105" s="1115"/>
      <c r="P105" s="1115"/>
      <c r="Q105" s="1115"/>
      <c r="R105" s="1115"/>
      <c r="S105" s="1115"/>
      <c r="T105" s="1115"/>
      <c r="U105" s="1115"/>
      <c r="V105" s="1115"/>
      <c r="W105" s="1115"/>
      <c r="X105" s="1115"/>
      <c r="Y105" s="1115"/>
      <c r="Z105" s="1115"/>
      <c r="AA105" s="1115"/>
      <c r="AB105" s="1115"/>
      <c r="AC105" s="1115"/>
      <c r="AD105" s="1115"/>
      <c r="AE105" s="1115"/>
      <c r="AF105" s="1115"/>
      <c r="AG105" s="1115"/>
      <c r="AH105" s="1115"/>
      <c r="AI105" s="1115"/>
      <c r="AJ105" s="1115"/>
      <c r="AK105" s="1115"/>
      <c r="AL105" s="1115"/>
      <c r="AM105" s="1115"/>
      <c r="AN105" s="1115"/>
      <c r="AO105" s="1115"/>
      <c r="AP105" s="1115"/>
      <c r="AQ105" s="1115"/>
      <c r="AR105" s="1115"/>
      <c r="AS105" s="1115"/>
      <c r="AT105" s="1115"/>
      <c r="AU105" s="1115"/>
      <c r="AV105" s="1115"/>
      <c r="AW105" s="1115"/>
      <c r="AX105" s="1115"/>
      <c r="AY105" s="1115"/>
      <c r="AZ105" s="1115"/>
      <c r="BA105" s="1115"/>
      <c r="BB105" s="1115"/>
      <c r="BC105" s="1115"/>
      <c r="BD105" s="1115"/>
      <c r="BE105" s="1115"/>
      <c r="BF105" s="1115"/>
      <c r="BG105" s="1115"/>
      <c r="BH105" s="1115"/>
      <c r="BI105" s="1115"/>
      <c r="BJ105" s="1115"/>
      <c r="BK105" s="1115"/>
      <c r="BL105" s="1115"/>
      <c r="BM105" s="1115"/>
      <c r="BN105" s="1115"/>
      <c r="BO105" s="1115"/>
      <c r="BP105" s="1115"/>
      <c r="BQ105" s="1115"/>
      <c r="BR105" s="1115"/>
      <c r="BS105" s="1115"/>
      <c r="BT105" s="1115"/>
      <c r="BU105" s="1115"/>
      <c r="BV105" s="1115"/>
      <c r="BW105" s="1115"/>
      <c r="BX105" s="1115"/>
      <c r="BY105" s="1115"/>
      <c r="BZ105" s="1115"/>
      <c r="CA105" s="1115"/>
      <c r="CB105" s="1115"/>
      <c r="CC105" s="1115"/>
      <c r="CD105" s="1115"/>
      <c r="CE105" s="1115"/>
      <c r="CF105" s="1115"/>
      <c r="CG105" s="1115"/>
      <c r="CH105" s="1115"/>
      <c r="CI105" s="1115"/>
      <c r="CJ105" s="1115"/>
      <c r="CK105" s="1115"/>
      <c r="CL105" s="1115"/>
    </row>
    <row r="106" spans="1:90" ht="14.4">
      <c r="A106" s="1116" t="s">
        <v>2804</v>
      </c>
      <c r="B106" s="963"/>
      <c r="C106" s="963"/>
      <c r="D106" s="963"/>
      <c r="E106" s="963"/>
      <c r="F106" s="963"/>
      <c r="G106" s="963"/>
      <c r="H106" s="963"/>
      <c r="I106" s="963"/>
      <c r="J106" s="1235"/>
      <c r="K106" s="1235"/>
      <c r="L106" s="1115"/>
      <c r="M106" s="1115"/>
      <c r="N106" s="1115"/>
      <c r="O106" s="1115"/>
      <c r="P106" s="1115"/>
      <c r="Q106" s="1115"/>
      <c r="R106" s="1115"/>
      <c r="S106" s="1115"/>
      <c r="T106" s="1115"/>
      <c r="U106" s="1115"/>
      <c r="V106" s="1115"/>
      <c r="W106" s="1115"/>
      <c r="X106" s="1115"/>
      <c r="Y106" s="1115"/>
      <c r="Z106" s="1115"/>
      <c r="AA106" s="1115"/>
      <c r="AB106" s="1115"/>
      <c r="AC106" s="1115"/>
      <c r="AD106" s="1115"/>
      <c r="AE106" s="1115"/>
      <c r="AF106" s="1115"/>
      <c r="AG106" s="1115"/>
      <c r="AH106" s="1115"/>
      <c r="AI106" s="1115"/>
      <c r="AJ106" s="1115"/>
      <c r="AK106" s="1115"/>
      <c r="AL106" s="1115"/>
      <c r="AM106" s="1115"/>
      <c r="AN106" s="1115"/>
      <c r="AO106" s="1115"/>
      <c r="AP106" s="1115"/>
      <c r="AQ106" s="1115"/>
      <c r="AR106" s="1115"/>
      <c r="AS106" s="1115"/>
      <c r="AT106" s="1115"/>
      <c r="AU106" s="1115"/>
      <c r="AV106" s="1115"/>
      <c r="AW106" s="1115"/>
      <c r="AX106" s="1115"/>
      <c r="AY106" s="1115"/>
      <c r="AZ106" s="1115"/>
      <c r="BA106" s="1115"/>
      <c r="BB106" s="1115"/>
      <c r="BC106" s="1115"/>
      <c r="BD106" s="1115"/>
      <c r="BE106" s="1115"/>
      <c r="BF106" s="1115"/>
      <c r="BG106" s="1115"/>
      <c r="BH106" s="1115"/>
      <c r="BI106" s="1115"/>
      <c r="BJ106" s="1115"/>
      <c r="BK106" s="1115"/>
      <c r="BL106" s="1115"/>
      <c r="BM106" s="1115"/>
      <c r="BN106" s="1115"/>
      <c r="BO106" s="1115"/>
      <c r="BP106" s="1115"/>
      <c r="BQ106" s="1115"/>
      <c r="BR106" s="1115"/>
      <c r="BS106" s="1115"/>
      <c r="BT106" s="1115"/>
      <c r="BU106" s="1115"/>
      <c r="BV106" s="1115"/>
      <c r="BW106" s="1115"/>
      <c r="BX106" s="1115"/>
      <c r="BY106" s="1115"/>
      <c r="BZ106" s="1115"/>
      <c r="CA106" s="1115"/>
      <c r="CB106" s="1115"/>
      <c r="CC106" s="1115"/>
      <c r="CD106" s="1115"/>
      <c r="CE106" s="1115"/>
      <c r="CF106" s="1115"/>
      <c r="CG106" s="1115"/>
      <c r="CH106" s="1115"/>
      <c r="CI106" s="1115"/>
      <c r="CJ106" s="1115"/>
      <c r="CK106" s="1115"/>
      <c r="CL106" s="1115"/>
    </row>
    <row r="107" spans="1:90" ht="14.4">
      <c r="A107" s="963">
        <v>7308</v>
      </c>
      <c r="B107" s="963" t="s">
        <v>2805</v>
      </c>
      <c r="C107" s="965">
        <v>46575.42</v>
      </c>
      <c r="D107" s="965">
        <v>65365.41</v>
      </c>
      <c r="E107" s="965">
        <v>39434.31</v>
      </c>
      <c r="F107" s="965">
        <v>38964.47</v>
      </c>
      <c r="G107" s="965">
        <v>61459.3</v>
      </c>
      <c r="H107" s="965">
        <v>54773.120000000003</v>
      </c>
      <c r="I107" s="965">
        <v>47251.79</v>
      </c>
      <c r="J107" s="1233">
        <v>44523.97</v>
      </c>
      <c r="K107" s="1233">
        <v>851.05</v>
      </c>
      <c r="L107" s="1115"/>
      <c r="M107" s="1115"/>
      <c r="N107" s="1115"/>
      <c r="O107" s="1115"/>
      <c r="P107" s="1115"/>
      <c r="Q107" s="1115"/>
      <c r="R107" s="1115"/>
      <c r="S107" s="1115"/>
      <c r="T107" s="1115"/>
      <c r="U107" s="1115"/>
      <c r="V107" s="1115"/>
      <c r="W107" s="1115"/>
      <c r="X107" s="1115"/>
      <c r="Y107" s="1115"/>
      <c r="Z107" s="1115"/>
      <c r="AA107" s="1115"/>
      <c r="AB107" s="1115"/>
      <c r="AC107" s="1115"/>
      <c r="AD107" s="1115"/>
      <c r="AE107" s="1115"/>
      <c r="AF107" s="1115"/>
      <c r="AG107" s="1115"/>
      <c r="AH107" s="1115"/>
      <c r="AI107" s="1115"/>
      <c r="AJ107" s="1115"/>
      <c r="AK107" s="1115"/>
      <c r="AL107" s="1115"/>
      <c r="AM107" s="1115"/>
      <c r="AN107" s="1115"/>
      <c r="AO107" s="1115"/>
      <c r="AP107" s="1115"/>
      <c r="AQ107" s="1115"/>
      <c r="AR107" s="1115"/>
      <c r="AS107" s="1115"/>
      <c r="AT107" s="1115"/>
      <c r="AU107" s="1115"/>
      <c r="AV107" s="1115"/>
      <c r="AW107" s="1115"/>
      <c r="AX107" s="1115"/>
      <c r="AY107" s="1115"/>
      <c r="AZ107" s="1115"/>
      <c r="BA107" s="1115"/>
      <c r="BB107" s="1115"/>
      <c r="BC107" s="1115"/>
      <c r="BD107" s="1115"/>
      <c r="BE107" s="1115"/>
      <c r="BF107" s="1115"/>
      <c r="BG107" s="1115"/>
      <c r="BH107" s="1115"/>
      <c r="BI107" s="1115"/>
      <c r="BJ107" s="1115"/>
      <c r="BK107" s="1115"/>
      <c r="BL107" s="1115"/>
      <c r="BM107" s="1115"/>
      <c r="BN107" s="1115"/>
      <c r="BO107" s="1115"/>
      <c r="BP107" s="1115"/>
      <c r="BQ107" s="1115"/>
      <c r="BR107" s="1115"/>
      <c r="BS107" s="1115"/>
      <c r="BT107" s="1115"/>
      <c r="BU107" s="1115"/>
      <c r="BV107" s="1115"/>
      <c r="BW107" s="1115"/>
      <c r="BX107" s="1115"/>
      <c r="BY107" s="1115"/>
      <c r="BZ107" s="1115"/>
      <c r="CA107" s="1115"/>
      <c r="CB107" s="1115"/>
      <c r="CC107" s="1115"/>
      <c r="CD107" s="1115"/>
      <c r="CE107" s="1115"/>
      <c r="CF107" s="1115"/>
      <c r="CG107" s="1115"/>
      <c r="CH107" s="1115"/>
      <c r="CI107" s="1115"/>
      <c r="CJ107" s="1115"/>
      <c r="CK107" s="1115"/>
      <c r="CL107" s="1115"/>
    </row>
    <row r="108" spans="1:90" ht="14.4">
      <c r="A108" s="963">
        <v>7309</v>
      </c>
      <c r="B108" s="963" t="s">
        <v>2806</v>
      </c>
      <c r="C108" s="963">
        <v>0</v>
      </c>
      <c r="D108" s="963">
        <v>0</v>
      </c>
      <c r="E108" s="963">
        <v>0</v>
      </c>
      <c r="F108" s="963">
        <v>0</v>
      </c>
      <c r="G108" s="963">
        <v>0</v>
      </c>
      <c r="H108" s="963">
        <v>0</v>
      </c>
      <c r="I108" s="963">
        <v>0</v>
      </c>
      <c r="J108" s="1233">
        <v>0</v>
      </c>
      <c r="K108" s="1233">
        <v>948.42</v>
      </c>
      <c r="L108" s="1115"/>
      <c r="M108" s="1115"/>
      <c r="N108" s="1115"/>
      <c r="O108" s="1115"/>
      <c r="P108" s="1115"/>
      <c r="Q108" s="1115"/>
      <c r="R108" s="1115"/>
      <c r="S108" s="1115"/>
      <c r="T108" s="1115"/>
      <c r="U108" s="1115"/>
      <c r="V108" s="1115"/>
      <c r="W108" s="1115"/>
      <c r="X108" s="1115"/>
      <c r="Y108" s="1115"/>
      <c r="Z108" s="1115"/>
      <c r="AA108" s="1115"/>
      <c r="AB108" s="1115"/>
      <c r="AC108" s="1115"/>
      <c r="AD108" s="1115"/>
      <c r="AE108" s="1115"/>
      <c r="AF108" s="1115"/>
      <c r="AG108" s="1115"/>
      <c r="AH108" s="1115"/>
      <c r="AI108" s="1115"/>
      <c r="AJ108" s="1115"/>
      <c r="AK108" s="1115"/>
      <c r="AL108" s="1115"/>
      <c r="AM108" s="1115"/>
      <c r="AN108" s="1115"/>
      <c r="AO108" s="1115"/>
      <c r="AP108" s="1115"/>
      <c r="AQ108" s="1115"/>
      <c r="AR108" s="1115"/>
      <c r="AS108" s="1115"/>
      <c r="AT108" s="1115"/>
      <c r="AU108" s="1115"/>
      <c r="AV108" s="1115"/>
      <c r="AW108" s="1115"/>
      <c r="AX108" s="1115"/>
      <c r="AY108" s="1115"/>
      <c r="AZ108" s="1115"/>
      <c r="BA108" s="1115"/>
      <c r="BB108" s="1115"/>
      <c r="BC108" s="1115"/>
      <c r="BD108" s="1115"/>
      <c r="BE108" s="1115"/>
      <c r="BF108" s="1115"/>
      <c r="BG108" s="1115"/>
      <c r="BH108" s="1115"/>
      <c r="BI108" s="1115"/>
      <c r="BJ108" s="1115"/>
      <c r="BK108" s="1115"/>
      <c r="BL108" s="1115"/>
      <c r="BM108" s="1115"/>
      <c r="BN108" s="1115"/>
      <c r="BO108" s="1115"/>
      <c r="BP108" s="1115"/>
      <c r="BQ108" s="1115"/>
      <c r="BR108" s="1115"/>
      <c r="BS108" s="1115"/>
      <c r="BT108" s="1115"/>
      <c r="BU108" s="1115"/>
      <c r="BV108" s="1115"/>
      <c r="BW108" s="1115"/>
      <c r="BX108" s="1115"/>
      <c r="BY108" s="1115"/>
      <c r="BZ108" s="1115"/>
      <c r="CA108" s="1115"/>
      <c r="CB108" s="1115"/>
      <c r="CC108" s="1115"/>
      <c r="CD108" s="1115"/>
      <c r="CE108" s="1115"/>
      <c r="CF108" s="1115"/>
      <c r="CG108" s="1115"/>
      <c r="CH108" s="1115"/>
      <c r="CI108" s="1115"/>
      <c r="CJ108" s="1115"/>
      <c r="CK108" s="1115"/>
      <c r="CL108" s="1115"/>
    </row>
    <row r="109" spans="1:90" ht="14.4">
      <c r="A109" s="963">
        <v>7312</v>
      </c>
      <c r="B109" s="963" t="s">
        <v>2807</v>
      </c>
      <c r="C109" s="965">
        <v>6821.63</v>
      </c>
      <c r="D109" s="965">
        <v>7000</v>
      </c>
      <c r="E109" s="965">
        <v>7000</v>
      </c>
      <c r="F109" s="965">
        <v>35773.760000000002</v>
      </c>
      <c r="G109" s="965">
        <v>21482.35</v>
      </c>
      <c r="H109" s="965">
        <v>17865.650000000001</v>
      </c>
      <c r="I109" s="965">
        <v>11850.89</v>
      </c>
      <c r="J109" s="1233">
        <v>11965.66</v>
      </c>
      <c r="K109" s="1233">
        <v>0</v>
      </c>
      <c r="L109" s="1115"/>
      <c r="M109" s="1115"/>
      <c r="N109" s="1115"/>
      <c r="O109" s="1115"/>
      <c r="P109" s="1115"/>
      <c r="Q109" s="1115"/>
      <c r="R109" s="1115"/>
      <c r="S109" s="1115"/>
      <c r="T109" s="1115"/>
      <c r="U109" s="1115"/>
      <c r="V109" s="1115"/>
      <c r="W109" s="1115"/>
      <c r="X109" s="1115"/>
      <c r="Y109" s="1115"/>
      <c r="Z109" s="1115"/>
      <c r="AA109" s="1115"/>
      <c r="AB109" s="1115"/>
      <c r="AC109" s="1115"/>
      <c r="AD109" s="1115"/>
      <c r="AE109" s="1115"/>
      <c r="AF109" s="1115"/>
      <c r="AG109" s="1115"/>
      <c r="AH109" s="1115"/>
      <c r="AI109" s="1115"/>
      <c r="AJ109" s="1115"/>
      <c r="AK109" s="1115"/>
      <c r="AL109" s="1115"/>
      <c r="AM109" s="1115"/>
      <c r="AN109" s="1115"/>
      <c r="AO109" s="1115"/>
      <c r="AP109" s="1115"/>
      <c r="AQ109" s="1115"/>
      <c r="AR109" s="1115"/>
      <c r="AS109" s="1115"/>
      <c r="AT109" s="1115"/>
      <c r="AU109" s="1115"/>
      <c r="AV109" s="1115"/>
      <c r="AW109" s="1115"/>
      <c r="AX109" s="1115"/>
      <c r="AY109" s="1115"/>
      <c r="AZ109" s="1115"/>
      <c r="BA109" s="1115"/>
      <c r="BB109" s="1115"/>
      <c r="BC109" s="1115"/>
      <c r="BD109" s="1115"/>
      <c r="BE109" s="1115"/>
      <c r="BF109" s="1115"/>
      <c r="BG109" s="1115"/>
      <c r="BH109" s="1115"/>
      <c r="BI109" s="1115"/>
      <c r="BJ109" s="1115"/>
      <c r="BK109" s="1115"/>
      <c r="BL109" s="1115"/>
      <c r="BM109" s="1115"/>
      <c r="BN109" s="1115"/>
      <c r="BO109" s="1115"/>
      <c r="BP109" s="1115"/>
      <c r="BQ109" s="1115"/>
      <c r="BR109" s="1115"/>
      <c r="BS109" s="1115"/>
      <c r="BT109" s="1115"/>
      <c r="BU109" s="1115"/>
      <c r="BV109" s="1115"/>
      <c r="BW109" s="1115"/>
      <c r="BX109" s="1115"/>
      <c r="BY109" s="1115"/>
      <c r="BZ109" s="1115"/>
      <c r="CA109" s="1115"/>
      <c r="CB109" s="1115"/>
      <c r="CC109" s="1115"/>
      <c r="CD109" s="1115"/>
      <c r="CE109" s="1115"/>
      <c r="CF109" s="1115"/>
      <c r="CG109" s="1115"/>
      <c r="CH109" s="1115"/>
      <c r="CI109" s="1115"/>
      <c r="CJ109" s="1115"/>
      <c r="CK109" s="1115"/>
      <c r="CL109" s="1115"/>
    </row>
    <row r="110" spans="1:90" ht="14.4">
      <c r="A110" s="963">
        <v>7315</v>
      </c>
      <c r="B110" s="963" t="s">
        <v>2808</v>
      </c>
      <c r="C110" s="965">
        <v>40101.26</v>
      </c>
      <c r="D110" s="965">
        <v>6111.91</v>
      </c>
      <c r="E110" s="965">
        <v>106511.19</v>
      </c>
      <c r="F110" s="965">
        <v>42209.62</v>
      </c>
      <c r="G110" s="965">
        <v>41863.69</v>
      </c>
      <c r="H110" s="965">
        <v>29159.93</v>
      </c>
      <c r="I110" s="965">
        <v>40011.24</v>
      </c>
      <c r="J110" s="1233">
        <v>51118.79</v>
      </c>
      <c r="K110" s="1233">
        <v>0</v>
      </c>
      <c r="L110" s="1115"/>
      <c r="M110" s="1115"/>
      <c r="N110" s="1115"/>
      <c r="O110" s="1115"/>
      <c r="P110" s="1115"/>
      <c r="Q110" s="1115"/>
      <c r="R110" s="1115"/>
      <c r="S110" s="1115"/>
      <c r="T110" s="1115"/>
      <c r="U110" s="1115"/>
      <c r="V110" s="1115"/>
      <c r="W110" s="1115"/>
      <c r="X110" s="1115"/>
      <c r="Y110" s="1115"/>
      <c r="Z110" s="1115"/>
      <c r="AA110" s="1115"/>
      <c r="AB110" s="1115"/>
      <c r="AC110" s="1115"/>
      <c r="AD110" s="1115"/>
      <c r="AE110" s="1115"/>
      <c r="AF110" s="1115"/>
      <c r="AG110" s="1115"/>
      <c r="AH110" s="1115"/>
      <c r="AI110" s="1115"/>
      <c r="AJ110" s="1115"/>
      <c r="AK110" s="1115"/>
      <c r="AL110" s="1115"/>
      <c r="AM110" s="1115"/>
      <c r="AN110" s="1115"/>
      <c r="AO110" s="1115"/>
      <c r="AP110" s="1115"/>
      <c r="AQ110" s="1115"/>
      <c r="AR110" s="1115"/>
      <c r="AS110" s="1115"/>
      <c r="AT110" s="1115"/>
      <c r="AU110" s="1115"/>
      <c r="AV110" s="1115"/>
      <c r="AW110" s="1115"/>
      <c r="AX110" s="1115"/>
      <c r="AY110" s="1115"/>
      <c r="AZ110" s="1115"/>
      <c r="BA110" s="1115"/>
      <c r="BB110" s="1115"/>
      <c r="BC110" s="1115"/>
      <c r="BD110" s="1115"/>
      <c r="BE110" s="1115"/>
      <c r="BF110" s="1115"/>
      <c r="BG110" s="1115"/>
      <c r="BH110" s="1115"/>
      <c r="BI110" s="1115"/>
      <c r="BJ110" s="1115"/>
      <c r="BK110" s="1115"/>
      <c r="BL110" s="1115"/>
      <c r="BM110" s="1115"/>
      <c r="BN110" s="1115"/>
      <c r="BO110" s="1115"/>
      <c r="BP110" s="1115"/>
      <c r="BQ110" s="1115"/>
      <c r="BR110" s="1115"/>
      <c r="BS110" s="1115"/>
      <c r="BT110" s="1115"/>
      <c r="BU110" s="1115"/>
      <c r="BV110" s="1115"/>
      <c r="BW110" s="1115"/>
      <c r="BX110" s="1115"/>
      <c r="BY110" s="1115"/>
      <c r="BZ110" s="1115"/>
      <c r="CA110" s="1115"/>
      <c r="CB110" s="1115"/>
      <c r="CC110" s="1115"/>
      <c r="CD110" s="1115"/>
      <c r="CE110" s="1115"/>
      <c r="CF110" s="1115"/>
      <c r="CG110" s="1115"/>
      <c r="CH110" s="1115"/>
      <c r="CI110" s="1115"/>
      <c r="CJ110" s="1115"/>
      <c r="CK110" s="1115"/>
      <c r="CL110" s="1115"/>
    </row>
    <row r="111" spans="1:90" ht="14.4">
      <c r="A111" s="963">
        <v>7319</v>
      </c>
      <c r="B111" s="963" t="s">
        <v>2809</v>
      </c>
      <c r="C111" s="963">
        <v>0</v>
      </c>
      <c r="D111" s="963">
        <v>0</v>
      </c>
      <c r="E111" s="963">
        <v>0</v>
      </c>
      <c r="F111" s="963">
        <v>0</v>
      </c>
      <c r="G111" s="963">
        <v>0</v>
      </c>
      <c r="H111" s="963">
        <v>375</v>
      </c>
      <c r="I111" s="963">
        <v>519.6</v>
      </c>
      <c r="J111" s="1233">
        <v>1249.5</v>
      </c>
      <c r="K111" s="1233">
        <v>0</v>
      </c>
      <c r="L111" s="1115"/>
      <c r="M111" s="1115"/>
      <c r="N111" s="1115"/>
      <c r="O111" s="1115"/>
      <c r="P111" s="1115"/>
      <c r="Q111" s="1115"/>
      <c r="R111" s="1115"/>
      <c r="S111" s="1115"/>
      <c r="T111" s="1115"/>
      <c r="U111" s="1115"/>
      <c r="V111" s="1115"/>
      <c r="W111" s="1115"/>
      <c r="X111" s="1115"/>
      <c r="Y111" s="1115"/>
      <c r="Z111" s="1115"/>
      <c r="AA111" s="1115"/>
      <c r="AB111" s="1115"/>
      <c r="AC111" s="1115"/>
      <c r="AD111" s="1115"/>
      <c r="AE111" s="1115"/>
      <c r="AF111" s="1115"/>
      <c r="AG111" s="1115"/>
      <c r="AH111" s="1115"/>
      <c r="AI111" s="1115"/>
      <c r="AJ111" s="1115"/>
      <c r="AK111" s="1115"/>
      <c r="AL111" s="1115"/>
      <c r="AM111" s="1115"/>
      <c r="AN111" s="1115"/>
      <c r="AO111" s="1115"/>
      <c r="AP111" s="1115"/>
      <c r="AQ111" s="1115"/>
      <c r="AR111" s="1115"/>
      <c r="AS111" s="1115"/>
      <c r="AT111" s="1115"/>
      <c r="AU111" s="1115"/>
      <c r="AV111" s="1115"/>
      <c r="AW111" s="1115"/>
      <c r="AX111" s="1115"/>
      <c r="AY111" s="1115"/>
      <c r="AZ111" s="1115"/>
      <c r="BA111" s="1115"/>
      <c r="BB111" s="1115"/>
      <c r="BC111" s="1115"/>
      <c r="BD111" s="1115"/>
      <c r="BE111" s="1115"/>
      <c r="BF111" s="1115"/>
      <c r="BG111" s="1115"/>
      <c r="BH111" s="1115"/>
      <c r="BI111" s="1115"/>
      <c r="BJ111" s="1115"/>
      <c r="BK111" s="1115"/>
      <c r="BL111" s="1115"/>
      <c r="BM111" s="1115"/>
      <c r="BN111" s="1115"/>
      <c r="BO111" s="1115"/>
      <c r="BP111" s="1115"/>
      <c r="BQ111" s="1115"/>
      <c r="BR111" s="1115"/>
      <c r="BS111" s="1115"/>
      <c r="BT111" s="1115"/>
      <c r="BU111" s="1115"/>
      <c r="BV111" s="1115"/>
      <c r="BW111" s="1115"/>
      <c r="BX111" s="1115"/>
      <c r="BY111" s="1115"/>
      <c r="BZ111" s="1115"/>
      <c r="CA111" s="1115"/>
      <c r="CB111" s="1115"/>
      <c r="CC111" s="1115"/>
      <c r="CD111" s="1115"/>
      <c r="CE111" s="1115"/>
      <c r="CF111" s="1115"/>
      <c r="CG111" s="1115"/>
      <c r="CH111" s="1115"/>
      <c r="CI111" s="1115"/>
      <c r="CJ111" s="1115"/>
      <c r="CK111" s="1115"/>
      <c r="CL111" s="1115"/>
    </row>
    <row r="112" spans="1:90" ht="14.4">
      <c r="A112" s="963">
        <v>7320</v>
      </c>
      <c r="B112" s="963" t="s">
        <v>2810</v>
      </c>
      <c r="C112" s="965">
        <v>16473.490000000002</v>
      </c>
      <c r="D112" s="965">
        <v>20000</v>
      </c>
      <c r="E112" s="965">
        <v>37907.620000000003</v>
      </c>
      <c r="F112" s="965">
        <v>17425.04</v>
      </c>
      <c r="G112" s="965">
        <v>26434.06</v>
      </c>
      <c r="H112" s="965">
        <v>21752.83</v>
      </c>
      <c r="I112" s="965">
        <v>23660.1</v>
      </c>
      <c r="J112" s="1233">
        <v>20490.599999999999</v>
      </c>
      <c r="K112" s="1233">
        <v>545.44000000000005</v>
      </c>
      <c r="L112" s="1115"/>
      <c r="M112" s="1115"/>
      <c r="N112" s="1115"/>
      <c r="O112" s="1115"/>
      <c r="P112" s="1115"/>
      <c r="Q112" s="1115"/>
      <c r="R112" s="1115"/>
      <c r="S112" s="1115"/>
      <c r="T112" s="1115"/>
      <c r="U112" s="1115"/>
      <c r="V112" s="1115"/>
      <c r="W112" s="1115"/>
      <c r="X112" s="1115"/>
      <c r="Y112" s="1115"/>
      <c r="Z112" s="1115"/>
      <c r="AA112" s="1115"/>
      <c r="AB112" s="1115"/>
      <c r="AC112" s="1115"/>
      <c r="AD112" s="1115"/>
      <c r="AE112" s="1115"/>
      <c r="AF112" s="1115"/>
      <c r="AG112" s="1115"/>
      <c r="AH112" s="1115"/>
      <c r="AI112" s="1115"/>
      <c r="AJ112" s="1115"/>
      <c r="AK112" s="1115"/>
      <c r="AL112" s="1115"/>
      <c r="AM112" s="1115"/>
      <c r="AN112" s="1115"/>
      <c r="AO112" s="1115"/>
      <c r="AP112" s="1115"/>
      <c r="AQ112" s="1115"/>
      <c r="AR112" s="1115"/>
      <c r="AS112" s="1115"/>
      <c r="AT112" s="1115"/>
      <c r="AU112" s="1115"/>
      <c r="AV112" s="1115"/>
      <c r="AW112" s="1115"/>
      <c r="AX112" s="1115"/>
      <c r="AY112" s="1115"/>
      <c r="AZ112" s="1115"/>
      <c r="BA112" s="1115"/>
      <c r="BB112" s="1115"/>
      <c r="BC112" s="1115"/>
      <c r="BD112" s="1115"/>
      <c r="BE112" s="1115"/>
      <c r="BF112" s="1115"/>
      <c r="BG112" s="1115"/>
      <c r="BH112" s="1115"/>
      <c r="BI112" s="1115"/>
      <c r="BJ112" s="1115"/>
      <c r="BK112" s="1115"/>
      <c r="BL112" s="1115"/>
      <c r="BM112" s="1115"/>
      <c r="BN112" s="1115"/>
      <c r="BO112" s="1115"/>
      <c r="BP112" s="1115"/>
      <c r="BQ112" s="1115"/>
      <c r="BR112" s="1115"/>
      <c r="BS112" s="1115"/>
      <c r="BT112" s="1115"/>
      <c r="BU112" s="1115"/>
      <c r="BV112" s="1115"/>
      <c r="BW112" s="1115"/>
      <c r="BX112" s="1115"/>
      <c r="BY112" s="1115"/>
      <c r="BZ112" s="1115"/>
      <c r="CA112" s="1115"/>
      <c r="CB112" s="1115"/>
      <c r="CC112" s="1115"/>
      <c r="CD112" s="1115"/>
      <c r="CE112" s="1115"/>
      <c r="CF112" s="1115"/>
      <c r="CG112" s="1115"/>
      <c r="CH112" s="1115"/>
      <c r="CI112" s="1115"/>
      <c r="CJ112" s="1115"/>
      <c r="CK112" s="1115"/>
      <c r="CL112" s="1115"/>
    </row>
    <row r="113" spans="1:90" ht="14.4">
      <c r="A113" s="963">
        <v>7335</v>
      </c>
      <c r="B113" s="963" t="s">
        <v>2811</v>
      </c>
      <c r="C113" s="963">
        <v>0</v>
      </c>
      <c r="D113" s="963">
        <v>0</v>
      </c>
      <c r="E113" s="963">
        <v>0</v>
      </c>
      <c r="F113" s="963">
        <v>0</v>
      </c>
      <c r="G113" s="965">
        <v>2574.39</v>
      </c>
      <c r="H113" s="965">
        <v>3549.78</v>
      </c>
      <c r="I113" s="965">
        <v>3391.48</v>
      </c>
      <c r="J113" s="1233">
        <v>3422.93</v>
      </c>
      <c r="K113" s="1233">
        <v>3393.08</v>
      </c>
      <c r="L113" s="1115"/>
      <c r="M113" s="1115"/>
      <c r="N113" s="1115"/>
      <c r="O113" s="1115"/>
      <c r="P113" s="1115"/>
      <c r="Q113" s="1115"/>
      <c r="R113" s="1115"/>
      <c r="S113" s="1115"/>
      <c r="T113" s="1115"/>
      <c r="U113" s="1115"/>
      <c r="V113" s="1115"/>
      <c r="W113" s="1115"/>
      <c r="X113" s="1115"/>
      <c r="Y113" s="1115"/>
      <c r="Z113" s="1115"/>
      <c r="AA113" s="1115"/>
      <c r="AB113" s="1115"/>
      <c r="AC113" s="1115"/>
      <c r="AD113" s="1115"/>
      <c r="AE113" s="1115"/>
      <c r="AF113" s="1115"/>
      <c r="AG113" s="1115"/>
      <c r="AH113" s="1115"/>
      <c r="AI113" s="1115"/>
      <c r="AJ113" s="1115"/>
      <c r="AK113" s="1115"/>
      <c r="AL113" s="1115"/>
      <c r="AM113" s="1115"/>
      <c r="AN113" s="1115"/>
      <c r="AO113" s="1115"/>
      <c r="AP113" s="1115"/>
      <c r="AQ113" s="1115"/>
      <c r="AR113" s="1115"/>
      <c r="AS113" s="1115"/>
      <c r="AT113" s="1115"/>
      <c r="AU113" s="1115"/>
      <c r="AV113" s="1115"/>
      <c r="AW113" s="1115"/>
      <c r="AX113" s="1115"/>
      <c r="AY113" s="1115"/>
      <c r="AZ113" s="1115"/>
      <c r="BA113" s="1115"/>
      <c r="BB113" s="1115"/>
      <c r="BC113" s="1115"/>
      <c r="BD113" s="1115"/>
      <c r="BE113" s="1115"/>
      <c r="BF113" s="1115"/>
      <c r="BG113" s="1115"/>
      <c r="BH113" s="1115"/>
      <c r="BI113" s="1115"/>
      <c r="BJ113" s="1115"/>
      <c r="BK113" s="1115"/>
      <c r="BL113" s="1115"/>
      <c r="BM113" s="1115"/>
      <c r="BN113" s="1115"/>
      <c r="BO113" s="1115"/>
      <c r="BP113" s="1115"/>
      <c r="BQ113" s="1115"/>
      <c r="BR113" s="1115"/>
      <c r="BS113" s="1115"/>
      <c r="BT113" s="1115"/>
      <c r="BU113" s="1115"/>
      <c r="BV113" s="1115"/>
      <c r="BW113" s="1115"/>
      <c r="BX113" s="1115"/>
      <c r="BY113" s="1115"/>
      <c r="BZ113" s="1115"/>
      <c r="CA113" s="1115"/>
      <c r="CB113" s="1115"/>
      <c r="CC113" s="1115"/>
      <c r="CD113" s="1115"/>
      <c r="CE113" s="1115"/>
      <c r="CF113" s="1115"/>
      <c r="CG113" s="1115"/>
      <c r="CH113" s="1115"/>
      <c r="CI113" s="1115"/>
      <c r="CJ113" s="1115"/>
      <c r="CK113" s="1115"/>
      <c r="CL113" s="1115"/>
    </row>
    <row r="114" spans="1:90" ht="14.4">
      <c r="A114" s="1115"/>
      <c r="B114" s="1116" t="s">
        <v>2804</v>
      </c>
      <c r="C114" s="1134">
        <v>109971.8</v>
      </c>
      <c r="D114" s="1134">
        <v>98477.32</v>
      </c>
      <c r="E114" s="1134">
        <v>190853.12</v>
      </c>
      <c r="F114" s="1134">
        <v>134372.89000000001</v>
      </c>
      <c r="G114" s="1134">
        <v>153813.79</v>
      </c>
      <c r="H114" s="1134">
        <v>127476.31</v>
      </c>
      <c r="I114" s="1134">
        <v>126685.1</v>
      </c>
      <c r="J114" s="1234">
        <v>132771.45000000001</v>
      </c>
      <c r="K114" s="1234">
        <v>5737.99</v>
      </c>
      <c r="L114" s="1115"/>
      <c r="M114" s="1115"/>
      <c r="N114" s="1115"/>
      <c r="O114" s="1115"/>
      <c r="P114" s="1115"/>
      <c r="Q114" s="1115"/>
      <c r="R114" s="1115"/>
      <c r="S114" s="1115"/>
      <c r="T114" s="1115"/>
      <c r="U114" s="1115"/>
      <c r="V114" s="1115"/>
      <c r="W114" s="1115"/>
      <c r="X114" s="1115"/>
      <c r="Y114" s="1115"/>
      <c r="Z114" s="1115"/>
      <c r="AA114" s="1115"/>
      <c r="AB114" s="1115"/>
      <c r="AC114" s="1115"/>
      <c r="AD114" s="1115"/>
      <c r="AE114" s="1115"/>
      <c r="AF114" s="1115"/>
      <c r="AG114" s="1115"/>
      <c r="AH114" s="1115"/>
      <c r="AI114" s="1115"/>
      <c r="AJ114" s="1115"/>
      <c r="AK114" s="1115"/>
      <c r="AL114" s="1115"/>
      <c r="AM114" s="1115"/>
      <c r="AN114" s="1115"/>
      <c r="AO114" s="1115"/>
      <c r="AP114" s="1115"/>
      <c r="AQ114" s="1115"/>
      <c r="AR114" s="1115"/>
      <c r="AS114" s="1115"/>
      <c r="AT114" s="1115"/>
      <c r="AU114" s="1115"/>
      <c r="AV114" s="1115"/>
      <c r="AW114" s="1115"/>
      <c r="AX114" s="1115"/>
      <c r="AY114" s="1115"/>
      <c r="AZ114" s="1115"/>
      <c r="BA114" s="1115"/>
      <c r="BB114" s="1115"/>
      <c r="BC114" s="1115"/>
      <c r="BD114" s="1115"/>
      <c r="BE114" s="1115"/>
      <c r="BF114" s="1115"/>
      <c r="BG114" s="1115"/>
      <c r="BH114" s="1115"/>
      <c r="BI114" s="1115"/>
      <c r="BJ114" s="1115"/>
      <c r="BK114" s="1115"/>
      <c r="BL114" s="1115"/>
      <c r="BM114" s="1115"/>
      <c r="BN114" s="1115"/>
      <c r="BO114" s="1115"/>
      <c r="BP114" s="1115"/>
      <c r="BQ114" s="1115"/>
      <c r="BR114" s="1115"/>
      <c r="BS114" s="1115"/>
      <c r="BT114" s="1115"/>
      <c r="BU114" s="1115"/>
      <c r="BV114" s="1115"/>
      <c r="BW114" s="1115"/>
      <c r="BX114" s="1115"/>
      <c r="BY114" s="1115"/>
      <c r="BZ114" s="1115"/>
      <c r="CA114" s="1115"/>
      <c r="CB114" s="1115"/>
      <c r="CC114" s="1115"/>
      <c r="CD114" s="1115"/>
      <c r="CE114" s="1115"/>
      <c r="CF114" s="1115"/>
      <c r="CG114" s="1115"/>
      <c r="CH114" s="1115"/>
      <c r="CI114" s="1115"/>
      <c r="CJ114" s="1115"/>
      <c r="CK114" s="1115"/>
      <c r="CL114" s="1115"/>
    </row>
    <row r="115" spans="1:90" ht="14.4">
      <c r="A115" s="1115"/>
      <c r="B115" s="963"/>
      <c r="C115" s="963"/>
      <c r="D115" s="963"/>
      <c r="E115" s="963"/>
      <c r="F115" s="963"/>
      <c r="G115" s="963"/>
      <c r="H115" s="963"/>
      <c r="I115" s="963"/>
      <c r="L115" s="1115"/>
      <c r="M115" s="1115"/>
      <c r="N115" s="1115"/>
      <c r="O115" s="1115"/>
      <c r="P115" s="1115"/>
      <c r="Q115" s="1115"/>
      <c r="R115" s="1115"/>
      <c r="S115" s="1115"/>
      <c r="T115" s="1115"/>
      <c r="U115" s="1115"/>
      <c r="V115" s="1115"/>
      <c r="W115" s="1115"/>
      <c r="X115" s="1115"/>
      <c r="Y115" s="1115"/>
      <c r="Z115" s="1115"/>
      <c r="AA115" s="1115"/>
      <c r="AB115" s="1115"/>
      <c r="AC115" s="1115"/>
      <c r="AD115" s="1115"/>
      <c r="AE115" s="1115"/>
      <c r="AF115" s="1115"/>
      <c r="AG115" s="1115"/>
      <c r="AH115" s="1115"/>
      <c r="AI115" s="1115"/>
      <c r="AJ115" s="1115"/>
      <c r="AK115" s="1115"/>
      <c r="AL115" s="1115"/>
      <c r="AM115" s="1115"/>
      <c r="AN115" s="1115"/>
      <c r="AO115" s="1115"/>
      <c r="AP115" s="1115"/>
      <c r="AQ115" s="1115"/>
      <c r="AR115" s="1115"/>
      <c r="AS115" s="1115"/>
      <c r="AT115" s="1115"/>
      <c r="AU115" s="1115"/>
      <c r="AV115" s="1115"/>
      <c r="AW115" s="1115"/>
      <c r="AX115" s="1115"/>
      <c r="AY115" s="1115"/>
      <c r="AZ115" s="1115"/>
      <c r="BA115" s="1115"/>
      <c r="BB115" s="1115"/>
      <c r="BC115" s="1115"/>
      <c r="BD115" s="1115"/>
      <c r="BE115" s="1115"/>
      <c r="BF115" s="1115"/>
      <c r="BG115" s="1115"/>
      <c r="BH115" s="1115"/>
      <c r="BI115" s="1115"/>
      <c r="BJ115" s="1115"/>
      <c r="BK115" s="1115"/>
      <c r="BL115" s="1115"/>
      <c r="BM115" s="1115"/>
      <c r="BN115" s="1115"/>
      <c r="BO115" s="1115"/>
      <c r="BP115" s="1115"/>
      <c r="BQ115" s="1115"/>
      <c r="BR115" s="1115"/>
      <c r="BS115" s="1115"/>
      <c r="BT115" s="1115"/>
      <c r="BU115" s="1115"/>
      <c r="BV115" s="1115"/>
      <c r="BW115" s="1115"/>
      <c r="BX115" s="1115"/>
      <c r="BY115" s="1115"/>
      <c r="BZ115" s="1115"/>
      <c r="CA115" s="1115"/>
      <c r="CB115" s="1115"/>
      <c r="CC115" s="1115"/>
      <c r="CD115" s="1115"/>
      <c r="CE115" s="1115"/>
      <c r="CF115" s="1115"/>
      <c r="CG115" s="1115"/>
      <c r="CH115" s="1115"/>
      <c r="CI115" s="1115"/>
      <c r="CJ115" s="1115"/>
      <c r="CK115" s="1115"/>
      <c r="CL115" s="1115"/>
    </row>
    <row r="116" spans="1:90" ht="14.4">
      <c r="A116" s="1116" t="s">
        <v>2812</v>
      </c>
      <c r="B116" s="963"/>
      <c r="C116" s="963"/>
      <c r="D116" s="963"/>
      <c r="E116" s="963"/>
      <c r="F116" s="963"/>
      <c r="G116" s="963"/>
      <c r="H116" s="963"/>
      <c r="I116" s="963"/>
      <c r="J116" s="1235"/>
      <c r="K116" s="1235"/>
      <c r="L116" s="1115"/>
      <c r="M116" s="1115"/>
      <c r="N116" s="1115"/>
      <c r="O116" s="1115"/>
      <c r="P116" s="1115"/>
      <c r="Q116" s="1115"/>
      <c r="R116" s="1115"/>
      <c r="S116" s="1115"/>
      <c r="T116" s="1115"/>
      <c r="U116" s="1115"/>
      <c r="V116" s="1115"/>
      <c r="W116" s="1115"/>
      <c r="X116" s="1115"/>
      <c r="Y116" s="1115"/>
      <c r="Z116" s="1115"/>
      <c r="AA116" s="1115"/>
      <c r="AB116" s="1115"/>
      <c r="AC116" s="1115"/>
      <c r="AD116" s="1115"/>
      <c r="AE116" s="1115"/>
      <c r="AF116" s="1115"/>
      <c r="AG116" s="1115"/>
      <c r="AH116" s="1115"/>
      <c r="AI116" s="1115"/>
      <c r="AJ116" s="1115"/>
      <c r="AK116" s="1115"/>
      <c r="AL116" s="1115"/>
      <c r="AM116" s="1115"/>
      <c r="AN116" s="1115"/>
      <c r="AO116" s="1115"/>
      <c r="AP116" s="1115"/>
      <c r="AQ116" s="1115"/>
      <c r="AR116" s="1115"/>
      <c r="AS116" s="1115"/>
      <c r="AT116" s="1115"/>
      <c r="AU116" s="1115"/>
      <c r="AV116" s="1115"/>
      <c r="AW116" s="1115"/>
      <c r="AX116" s="1115"/>
      <c r="AY116" s="1115"/>
      <c r="AZ116" s="1115"/>
      <c r="BA116" s="1115"/>
      <c r="BB116" s="1115"/>
      <c r="BC116" s="1115"/>
      <c r="BD116" s="1115"/>
      <c r="BE116" s="1115"/>
      <c r="BF116" s="1115"/>
      <c r="BG116" s="1115"/>
      <c r="BH116" s="1115"/>
      <c r="BI116" s="1115"/>
      <c r="BJ116" s="1115"/>
      <c r="BK116" s="1115"/>
      <c r="BL116" s="1115"/>
      <c r="BM116" s="1115"/>
      <c r="BN116" s="1115"/>
      <c r="BO116" s="1115"/>
      <c r="BP116" s="1115"/>
      <c r="BQ116" s="1115"/>
      <c r="BR116" s="1115"/>
      <c r="BS116" s="1115"/>
      <c r="BT116" s="1115"/>
      <c r="BU116" s="1115"/>
      <c r="BV116" s="1115"/>
      <c r="BW116" s="1115"/>
      <c r="BX116" s="1115"/>
      <c r="BY116" s="1115"/>
      <c r="BZ116" s="1115"/>
      <c r="CA116" s="1115"/>
      <c r="CB116" s="1115"/>
      <c r="CC116" s="1115"/>
      <c r="CD116" s="1115"/>
      <c r="CE116" s="1115"/>
      <c r="CF116" s="1115"/>
      <c r="CG116" s="1115"/>
      <c r="CH116" s="1115"/>
      <c r="CI116" s="1115"/>
      <c r="CJ116" s="1115"/>
      <c r="CK116" s="1115"/>
      <c r="CL116" s="1115"/>
    </row>
    <row r="117" spans="1:90" ht="14.4">
      <c r="A117" s="963">
        <v>7441</v>
      </c>
      <c r="B117" s="963" t="s">
        <v>2813</v>
      </c>
      <c r="C117" s="963">
        <v>774.54</v>
      </c>
      <c r="D117" s="963">
        <v>0</v>
      </c>
      <c r="E117" s="963">
        <v>0</v>
      </c>
      <c r="F117" s="963">
        <v>0</v>
      </c>
      <c r="G117" s="963">
        <v>0</v>
      </c>
      <c r="H117" s="963">
        <v>0</v>
      </c>
      <c r="I117" s="963">
        <v>0</v>
      </c>
      <c r="J117" s="1233">
        <v>0</v>
      </c>
      <c r="K117" s="1233">
        <v>0</v>
      </c>
      <c r="L117" s="1115"/>
      <c r="M117" s="1115"/>
      <c r="N117" s="1115"/>
      <c r="O117" s="1115"/>
      <c r="P117" s="1115"/>
      <c r="Q117" s="1115"/>
      <c r="R117" s="1115"/>
      <c r="S117" s="1115"/>
      <c r="T117" s="1115"/>
      <c r="U117" s="1115"/>
      <c r="V117" s="1115"/>
      <c r="W117" s="1115"/>
      <c r="X117" s="1115"/>
      <c r="Y117" s="1115"/>
      <c r="Z117" s="1115"/>
      <c r="AA117" s="1115"/>
      <c r="AB117" s="1115"/>
      <c r="AC117" s="1115"/>
      <c r="AD117" s="1115"/>
      <c r="AE117" s="1115"/>
      <c r="AF117" s="1115"/>
      <c r="AG117" s="1115"/>
      <c r="AH117" s="1115"/>
      <c r="AI117" s="1115"/>
      <c r="AJ117" s="1115"/>
      <c r="AK117" s="1115"/>
      <c r="AL117" s="1115"/>
      <c r="AM117" s="1115"/>
      <c r="AN117" s="1115"/>
      <c r="AO117" s="1115"/>
      <c r="AP117" s="1115"/>
      <c r="AQ117" s="1115"/>
      <c r="AR117" s="1115"/>
      <c r="AS117" s="1115"/>
      <c r="AT117" s="1115"/>
      <c r="AU117" s="1115"/>
      <c r="AV117" s="1115"/>
      <c r="AW117" s="1115"/>
      <c r="AX117" s="1115"/>
      <c r="AY117" s="1115"/>
      <c r="AZ117" s="1115"/>
      <c r="BA117" s="1115"/>
      <c r="BB117" s="1115"/>
      <c r="BC117" s="1115"/>
      <c r="BD117" s="1115"/>
      <c r="BE117" s="1115"/>
      <c r="BF117" s="1115"/>
      <c r="BG117" s="1115"/>
      <c r="BH117" s="1115"/>
      <c r="BI117" s="1115"/>
      <c r="BJ117" s="1115"/>
      <c r="BK117" s="1115"/>
      <c r="BL117" s="1115"/>
      <c r="BM117" s="1115"/>
      <c r="BN117" s="1115"/>
      <c r="BO117" s="1115"/>
      <c r="BP117" s="1115"/>
      <c r="BQ117" s="1115"/>
      <c r="BR117" s="1115"/>
      <c r="BS117" s="1115"/>
      <c r="BT117" s="1115"/>
      <c r="BU117" s="1115"/>
      <c r="BV117" s="1115"/>
      <c r="BW117" s="1115"/>
      <c r="BX117" s="1115"/>
      <c r="BY117" s="1115"/>
      <c r="BZ117" s="1115"/>
      <c r="CA117" s="1115"/>
      <c r="CB117" s="1115"/>
      <c r="CC117" s="1115"/>
      <c r="CD117" s="1115"/>
      <c r="CE117" s="1115"/>
      <c r="CF117" s="1115"/>
      <c r="CG117" s="1115"/>
      <c r="CH117" s="1115"/>
      <c r="CI117" s="1115"/>
      <c r="CJ117" s="1115"/>
      <c r="CK117" s="1115"/>
      <c r="CL117" s="1115"/>
    </row>
    <row r="118" spans="1:90" ht="14.4">
      <c r="A118" s="963">
        <v>7443</v>
      </c>
      <c r="B118" s="963" t="s">
        <v>2814</v>
      </c>
      <c r="C118" s="965">
        <v>3152.57</v>
      </c>
      <c r="D118" s="963">
        <v>873.15</v>
      </c>
      <c r="E118" s="965">
        <v>1328.91</v>
      </c>
      <c r="F118" s="965">
        <v>1162.3699999999999</v>
      </c>
      <c r="G118" s="965">
        <v>1777.55</v>
      </c>
      <c r="H118" s="963">
        <v>384.86</v>
      </c>
      <c r="I118" s="965">
        <v>1501.53</v>
      </c>
      <c r="J118" s="1233">
        <v>132.66999999999999</v>
      </c>
      <c r="K118" s="1233">
        <v>0</v>
      </c>
      <c r="L118" s="1115"/>
      <c r="M118" s="1115"/>
      <c r="N118" s="1115"/>
      <c r="O118" s="1115"/>
      <c r="P118" s="1115"/>
      <c r="Q118" s="1115"/>
      <c r="R118" s="1115"/>
      <c r="S118" s="1115"/>
      <c r="T118" s="1115"/>
      <c r="U118" s="1115"/>
      <c r="V118" s="1115"/>
      <c r="W118" s="1115"/>
      <c r="X118" s="1115"/>
      <c r="Y118" s="1115"/>
      <c r="Z118" s="1115"/>
      <c r="AA118" s="1115"/>
      <c r="AB118" s="1115"/>
      <c r="AC118" s="1115"/>
      <c r="AD118" s="1115"/>
      <c r="AE118" s="1115"/>
      <c r="AF118" s="1115"/>
      <c r="AG118" s="1115"/>
      <c r="AH118" s="1115"/>
      <c r="AI118" s="1115"/>
      <c r="AJ118" s="1115"/>
      <c r="AK118" s="1115"/>
      <c r="AL118" s="1115"/>
      <c r="AM118" s="1115"/>
      <c r="AN118" s="1115"/>
      <c r="AO118" s="1115"/>
      <c r="AP118" s="1115"/>
      <c r="AQ118" s="1115"/>
      <c r="AR118" s="1115"/>
      <c r="AS118" s="1115"/>
      <c r="AT118" s="1115"/>
      <c r="AU118" s="1115"/>
      <c r="AV118" s="1115"/>
      <c r="AW118" s="1115"/>
      <c r="AX118" s="1115"/>
      <c r="AY118" s="1115"/>
      <c r="AZ118" s="1115"/>
      <c r="BA118" s="1115"/>
      <c r="BB118" s="1115"/>
      <c r="BC118" s="1115"/>
      <c r="BD118" s="1115"/>
      <c r="BE118" s="1115"/>
      <c r="BF118" s="1115"/>
      <c r="BG118" s="1115"/>
      <c r="BH118" s="1115"/>
      <c r="BI118" s="1115"/>
      <c r="BJ118" s="1115"/>
      <c r="BK118" s="1115"/>
      <c r="BL118" s="1115"/>
      <c r="BM118" s="1115"/>
      <c r="BN118" s="1115"/>
      <c r="BO118" s="1115"/>
      <c r="BP118" s="1115"/>
      <c r="BQ118" s="1115"/>
      <c r="BR118" s="1115"/>
      <c r="BS118" s="1115"/>
      <c r="BT118" s="1115"/>
      <c r="BU118" s="1115"/>
      <c r="BV118" s="1115"/>
      <c r="BW118" s="1115"/>
      <c r="BX118" s="1115"/>
      <c r="BY118" s="1115"/>
      <c r="BZ118" s="1115"/>
      <c r="CA118" s="1115"/>
      <c r="CB118" s="1115"/>
      <c r="CC118" s="1115"/>
      <c r="CD118" s="1115"/>
      <c r="CE118" s="1115"/>
      <c r="CF118" s="1115"/>
      <c r="CG118" s="1115"/>
      <c r="CH118" s="1115"/>
      <c r="CI118" s="1115"/>
      <c r="CJ118" s="1115"/>
      <c r="CK118" s="1115"/>
      <c r="CL118" s="1115"/>
    </row>
    <row r="119" spans="1:90" ht="14.4">
      <c r="A119" s="963">
        <v>7444</v>
      </c>
      <c r="B119" s="963" t="s">
        <v>2815</v>
      </c>
      <c r="C119" s="963">
        <v>0</v>
      </c>
      <c r="D119" s="965">
        <v>1671.75</v>
      </c>
      <c r="E119" s="965">
        <v>17614.419999999998</v>
      </c>
      <c r="F119" s="965">
        <v>34155.199999999997</v>
      </c>
      <c r="G119" s="965">
        <v>18544.53</v>
      </c>
      <c r="H119" s="965">
        <v>19695.88</v>
      </c>
      <c r="I119" s="965">
        <v>35873.879999999997</v>
      </c>
      <c r="J119" s="1233">
        <v>21630.39</v>
      </c>
      <c r="K119" s="1233">
        <v>0</v>
      </c>
      <c r="L119" s="1115"/>
      <c r="M119" s="1115"/>
      <c r="N119" s="1115"/>
      <c r="O119" s="1115"/>
      <c r="P119" s="1115"/>
      <c r="Q119" s="1115"/>
      <c r="R119" s="1115"/>
      <c r="S119" s="1115"/>
      <c r="T119" s="1115"/>
      <c r="U119" s="1115"/>
      <c r="V119" s="1115"/>
      <c r="W119" s="1115"/>
      <c r="X119" s="1115"/>
      <c r="Y119" s="1115"/>
      <c r="Z119" s="1115"/>
      <c r="AA119" s="1115"/>
      <c r="AB119" s="1115"/>
      <c r="AC119" s="1115"/>
      <c r="AD119" s="1115"/>
      <c r="AE119" s="1115"/>
      <c r="AF119" s="1115"/>
      <c r="AG119" s="1115"/>
      <c r="AH119" s="1115"/>
      <c r="AI119" s="1115"/>
      <c r="AJ119" s="1115"/>
      <c r="AK119" s="1115"/>
      <c r="AL119" s="1115"/>
      <c r="AM119" s="1115"/>
      <c r="AN119" s="1115"/>
      <c r="AO119" s="1115"/>
      <c r="AP119" s="1115"/>
      <c r="AQ119" s="1115"/>
      <c r="AR119" s="1115"/>
      <c r="AS119" s="1115"/>
      <c r="AT119" s="1115"/>
      <c r="AU119" s="1115"/>
      <c r="AV119" s="1115"/>
      <c r="AW119" s="1115"/>
      <c r="AX119" s="1115"/>
      <c r="AY119" s="1115"/>
      <c r="AZ119" s="1115"/>
      <c r="BA119" s="1115"/>
      <c r="BB119" s="1115"/>
      <c r="BC119" s="1115"/>
      <c r="BD119" s="1115"/>
      <c r="BE119" s="1115"/>
      <c r="BF119" s="1115"/>
      <c r="BG119" s="1115"/>
      <c r="BH119" s="1115"/>
      <c r="BI119" s="1115"/>
      <c r="BJ119" s="1115"/>
      <c r="BK119" s="1115"/>
      <c r="BL119" s="1115"/>
      <c r="BM119" s="1115"/>
      <c r="BN119" s="1115"/>
      <c r="BO119" s="1115"/>
      <c r="BP119" s="1115"/>
      <c r="BQ119" s="1115"/>
      <c r="BR119" s="1115"/>
      <c r="BS119" s="1115"/>
      <c r="BT119" s="1115"/>
      <c r="BU119" s="1115"/>
      <c r="BV119" s="1115"/>
      <c r="BW119" s="1115"/>
      <c r="BX119" s="1115"/>
      <c r="BY119" s="1115"/>
      <c r="BZ119" s="1115"/>
      <c r="CA119" s="1115"/>
      <c r="CB119" s="1115"/>
      <c r="CC119" s="1115"/>
      <c r="CD119" s="1115"/>
      <c r="CE119" s="1115"/>
      <c r="CF119" s="1115"/>
      <c r="CG119" s="1115"/>
      <c r="CH119" s="1115"/>
      <c r="CI119" s="1115"/>
      <c r="CJ119" s="1115"/>
      <c r="CK119" s="1115"/>
      <c r="CL119" s="1115"/>
    </row>
    <row r="120" spans="1:90" ht="14.4">
      <c r="A120" s="963">
        <v>7445</v>
      </c>
      <c r="B120" s="963" t="s">
        <v>2816</v>
      </c>
      <c r="C120" s="965">
        <v>-21959.5</v>
      </c>
      <c r="D120" s="963">
        <v>0</v>
      </c>
      <c r="E120" s="963">
        <v>0</v>
      </c>
      <c r="F120" s="963">
        <v>0</v>
      </c>
      <c r="G120" s="963">
        <v>0</v>
      </c>
      <c r="H120" s="963">
        <v>0</v>
      </c>
      <c r="I120" s="963">
        <v>0</v>
      </c>
      <c r="J120" s="1233">
        <v>0</v>
      </c>
      <c r="K120" s="1233">
        <v>0</v>
      </c>
      <c r="L120" s="1115"/>
      <c r="M120" s="1115"/>
      <c r="N120" s="1115"/>
      <c r="O120" s="1115"/>
      <c r="P120" s="1115"/>
      <c r="Q120" s="1115"/>
      <c r="R120" s="1115"/>
      <c r="S120" s="1115"/>
      <c r="T120" s="1115"/>
      <c r="U120" s="1115"/>
      <c r="V120" s="1115"/>
      <c r="W120" s="1115"/>
      <c r="X120" s="1115"/>
      <c r="Y120" s="1115"/>
      <c r="Z120" s="1115"/>
      <c r="AA120" s="1115"/>
      <c r="AB120" s="1115"/>
      <c r="AC120" s="1115"/>
      <c r="AD120" s="1115"/>
      <c r="AE120" s="1115"/>
      <c r="AF120" s="1115"/>
      <c r="AG120" s="1115"/>
      <c r="AH120" s="1115"/>
      <c r="AI120" s="1115"/>
      <c r="AJ120" s="1115"/>
      <c r="AK120" s="1115"/>
      <c r="AL120" s="1115"/>
      <c r="AM120" s="1115"/>
      <c r="AN120" s="1115"/>
      <c r="AO120" s="1115"/>
      <c r="AP120" s="1115"/>
      <c r="AQ120" s="1115"/>
      <c r="AR120" s="1115"/>
      <c r="AS120" s="1115"/>
      <c r="AT120" s="1115"/>
      <c r="AU120" s="1115"/>
      <c r="AV120" s="1115"/>
      <c r="AW120" s="1115"/>
      <c r="AX120" s="1115"/>
      <c r="AY120" s="1115"/>
      <c r="AZ120" s="1115"/>
      <c r="BA120" s="1115"/>
      <c r="BB120" s="1115"/>
      <c r="BC120" s="1115"/>
      <c r="BD120" s="1115"/>
      <c r="BE120" s="1115"/>
      <c r="BF120" s="1115"/>
      <c r="BG120" s="1115"/>
      <c r="BH120" s="1115"/>
      <c r="BI120" s="1115"/>
      <c r="BJ120" s="1115"/>
      <c r="BK120" s="1115"/>
      <c r="BL120" s="1115"/>
      <c r="BM120" s="1115"/>
      <c r="BN120" s="1115"/>
      <c r="BO120" s="1115"/>
      <c r="BP120" s="1115"/>
      <c r="BQ120" s="1115"/>
      <c r="BR120" s="1115"/>
      <c r="BS120" s="1115"/>
      <c r="BT120" s="1115"/>
      <c r="BU120" s="1115"/>
      <c r="BV120" s="1115"/>
      <c r="BW120" s="1115"/>
      <c r="BX120" s="1115"/>
      <c r="BY120" s="1115"/>
      <c r="BZ120" s="1115"/>
      <c r="CA120" s="1115"/>
      <c r="CB120" s="1115"/>
      <c r="CC120" s="1115"/>
      <c r="CD120" s="1115"/>
      <c r="CE120" s="1115"/>
      <c r="CF120" s="1115"/>
      <c r="CG120" s="1115"/>
      <c r="CH120" s="1115"/>
      <c r="CI120" s="1115"/>
      <c r="CJ120" s="1115"/>
      <c r="CK120" s="1115"/>
      <c r="CL120" s="1115"/>
    </row>
    <row r="121" spans="1:90" ht="14.4">
      <c r="A121" s="963">
        <v>7450</v>
      </c>
      <c r="B121" s="963" t="s">
        <v>2817</v>
      </c>
      <c r="C121" s="963">
        <v>0</v>
      </c>
      <c r="D121" s="963">
        <v>478.66</v>
      </c>
      <c r="E121" s="965">
        <v>2056.83</v>
      </c>
      <c r="F121" s="965">
        <v>2337.23</v>
      </c>
      <c r="G121" s="965">
        <v>1515.99</v>
      </c>
      <c r="H121" s="963">
        <v>968.37</v>
      </c>
      <c r="I121" s="965">
        <v>1504.92</v>
      </c>
      <c r="J121" s="1233">
        <v>125</v>
      </c>
      <c r="K121" s="1233">
        <v>190</v>
      </c>
      <c r="L121" s="1115"/>
      <c r="M121" s="1115"/>
      <c r="N121" s="1115"/>
      <c r="O121" s="1115"/>
      <c r="P121" s="1115"/>
      <c r="Q121" s="1115"/>
      <c r="R121" s="1115"/>
      <c r="S121" s="1115"/>
      <c r="T121" s="1115"/>
      <c r="U121" s="1115"/>
      <c r="V121" s="1115"/>
      <c r="W121" s="1115"/>
      <c r="X121" s="1115"/>
      <c r="Y121" s="1115"/>
      <c r="Z121" s="1115"/>
      <c r="AA121" s="1115"/>
      <c r="AB121" s="1115"/>
      <c r="AC121" s="1115"/>
      <c r="AD121" s="1115"/>
      <c r="AE121" s="1115"/>
      <c r="AF121" s="1115"/>
      <c r="AG121" s="1115"/>
      <c r="AH121" s="1115"/>
      <c r="AI121" s="1115"/>
      <c r="AJ121" s="1115"/>
      <c r="AK121" s="1115"/>
      <c r="AL121" s="1115"/>
      <c r="AM121" s="1115"/>
      <c r="AN121" s="1115"/>
      <c r="AO121" s="1115"/>
      <c r="AP121" s="1115"/>
      <c r="AQ121" s="1115"/>
      <c r="AR121" s="1115"/>
      <c r="AS121" s="1115"/>
      <c r="AT121" s="1115"/>
      <c r="AU121" s="1115"/>
      <c r="AV121" s="1115"/>
      <c r="AW121" s="1115"/>
      <c r="AX121" s="1115"/>
      <c r="AY121" s="1115"/>
      <c r="AZ121" s="1115"/>
      <c r="BA121" s="1115"/>
      <c r="BB121" s="1115"/>
      <c r="BC121" s="1115"/>
      <c r="BD121" s="1115"/>
      <c r="BE121" s="1115"/>
      <c r="BF121" s="1115"/>
      <c r="BG121" s="1115"/>
      <c r="BH121" s="1115"/>
      <c r="BI121" s="1115"/>
      <c r="BJ121" s="1115"/>
      <c r="BK121" s="1115"/>
      <c r="BL121" s="1115"/>
      <c r="BM121" s="1115"/>
      <c r="BN121" s="1115"/>
      <c r="BO121" s="1115"/>
      <c r="BP121" s="1115"/>
      <c r="BQ121" s="1115"/>
      <c r="BR121" s="1115"/>
      <c r="BS121" s="1115"/>
      <c r="BT121" s="1115"/>
      <c r="BU121" s="1115"/>
      <c r="BV121" s="1115"/>
      <c r="BW121" s="1115"/>
      <c r="BX121" s="1115"/>
      <c r="BY121" s="1115"/>
      <c r="BZ121" s="1115"/>
      <c r="CA121" s="1115"/>
      <c r="CB121" s="1115"/>
      <c r="CC121" s="1115"/>
      <c r="CD121" s="1115"/>
      <c r="CE121" s="1115"/>
      <c r="CF121" s="1115"/>
      <c r="CG121" s="1115"/>
      <c r="CH121" s="1115"/>
      <c r="CI121" s="1115"/>
      <c r="CJ121" s="1115"/>
      <c r="CK121" s="1115"/>
      <c r="CL121" s="1115"/>
    </row>
    <row r="122" spans="1:90" ht="14.4">
      <c r="A122" s="963">
        <v>7451</v>
      </c>
      <c r="B122" s="963" t="s">
        <v>2818</v>
      </c>
      <c r="C122" s="963">
        <v>0</v>
      </c>
      <c r="D122" s="965">
        <v>2092.9899999999998</v>
      </c>
      <c r="E122" s="965">
        <v>6471.43</v>
      </c>
      <c r="F122" s="965">
        <v>4943.8500000000004</v>
      </c>
      <c r="G122" s="965">
        <v>3668.74</v>
      </c>
      <c r="H122" s="965">
        <v>4702.75</v>
      </c>
      <c r="I122" s="965">
        <v>4115.1000000000004</v>
      </c>
      <c r="J122" s="1233">
        <v>632.33000000000004</v>
      </c>
      <c r="K122" s="1233">
        <v>0</v>
      </c>
      <c r="L122" s="1115"/>
      <c r="M122" s="1115"/>
      <c r="N122" s="1115"/>
      <c r="O122" s="1115"/>
      <c r="P122" s="1115"/>
      <c r="Q122" s="1115"/>
      <c r="R122" s="1115"/>
      <c r="S122" s="1115"/>
      <c r="T122" s="1115"/>
      <c r="U122" s="1115"/>
      <c r="V122" s="1115"/>
      <c r="W122" s="1115"/>
      <c r="X122" s="1115"/>
      <c r="Y122" s="1115"/>
      <c r="Z122" s="1115"/>
      <c r="AA122" s="1115"/>
      <c r="AB122" s="1115"/>
      <c r="AC122" s="1115"/>
      <c r="AD122" s="1115"/>
      <c r="AE122" s="1115"/>
      <c r="AF122" s="1115"/>
      <c r="AG122" s="1115"/>
      <c r="AH122" s="1115"/>
      <c r="AI122" s="1115"/>
      <c r="AJ122" s="1115"/>
      <c r="AK122" s="1115"/>
      <c r="AL122" s="1115"/>
      <c r="AM122" s="1115"/>
      <c r="AN122" s="1115"/>
      <c r="AO122" s="1115"/>
      <c r="AP122" s="1115"/>
      <c r="AQ122" s="1115"/>
      <c r="AR122" s="1115"/>
      <c r="AS122" s="1115"/>
      <c r="AT122" s="1115"/>
      <c r="AU122" s="1115"/>
      <c r="AV122" s="1115"/>
      <c r="AW122" s="1115"/>
      <c r="AX122" s="1115"/>
      <c r="AY122" s="1115"/>
      <c r="AZ122" s="1115"/>
      <c r="BA122" s="1115"/>
      <c r="BB122" s="1115"/>
      <c r="BC122" s="1115"/>
      <c r="BD122" s="1115"/>
      <c r="BE122" s="1115"/>
      <c r="BF122" s="1115"/>
      <c r="BG122" s="1115"/>
      <c r="BH122" s="1115"/>
      <c r="BI122" s="1115"/>
      <c r="BJ122" s="1115"/>
      <c r="BK122" s="1115"/>
      <c r="BL122" s="1115"/>
      <c r="BM122" s="1115"/>
      <c r="BN122" s="1115"/>
      <c r="BO122" s="1115"/>
      <c r="BP122" s="1115"/>
      <c r="BQ122" s="1115"/>
      <c r="BR122" s="1115"/>
      <c r="BS122" s="1115"/>
      <c r="BT122" s="1115"/>
      <c r="BU122" s="1115"/>
      <c r="BV122" s="1115"/>
      <c r="BW122" s="1115"/>
      <c r="BX122" s="1115"/>
      <c r="BY122" s="1115"/>
      <c r="BZ122" s="1115"/>
      <c r="CA122" s="1115"/>
      <c r="CB122" s="1115"/>
      <c r="CC122" s="1115"/>
      <c r="CD122" s="1115"/>
      <c r="CE122" s="1115"/>
      <c r="CF122" s="1115"/>
      <c r="CG122" s="1115"/>
      <c r="CH122" s="1115"/>
      <c r="CI122" s="1115"/>
      <c r="CJ122" s="1115"/>
      <c r="CK122" s="1115"/>
      <c r="CL122" s="1115"/>
    </row>
    <row r="123" spans="1:90" ht="14.4">
      <c r="A123" s="963">
        <v>7452</v>
      </c>
      <c r="B123" s="963" t="s">
        <v>2819</v>
      </c>
      <c r="C123" s="963">
        <v>0</v>
      </c>
      <c r="D123" s="963">
        <v>595.38</v>
      </c>
      <c r="E123" s="963">
        <v>0</v>
      </c>
      <c r="F123" s="963">
        <v>0</v>
      </c>
      <c r="G123" s="963">
        <v>0</v>
      </c>
      <c r="H123" s="963">
        <v>0</v>
      </c>
      <c r="I123" s="963">
        <v>0</v>
      </c>
      <c r="J123" s="1233">
        <v>0</v>
      </c>
      <c r="K123" s="1233">
        <v>0</v>
      </c>
      <c r="L123" s="1115"/>
      <c r="M123" s="1115"/>
      <c r="N123" s="1115"/>
      <c r="O123" s="1115"/>
      <c r="P123" s="1115"/>
      <c r="Q123" s="1115"/>
      <c r="R123" s="1115"/>
      <c r="S123" s="1115"/>
      <c r="T123" s="1115"/>
      <c r="U123" s="1115"/>
      <c r="V123" s="1115"/>
      <c r="W123" s="1115"/>
      <c r="X123" s="1115"/>
      <c r="Y123" s="1115"/>
      <c r="Z123" s="1115"/>
      <c r="AA123" s="1115"/>
      <c r="AB123" s="1115"/>
      <c r="AC123" s="1115"/>
      <c r="AD123" s="1115"/>
      <c r="AE123" s="1115"/>
      <c r="AF123" s="1115"/>
      <c r="AG123" s="1115"/>
      <c r="AH123" s="1115"/>
      <c r="AI123" s="1115"/>
      <c r="AJ123" s="1115"/>
      <c r="AK123" s="1115"/>
      <c r="AL123" s="1115"/>
      <c r="AM123" s="1115"/>
      <c r="AN123" s="1115"/>
      <c r="AO123" s="1115"/>
      <c r="AP123" s="1115"/>
      <c r="AQ123" s="1115"/>
      <c r="AR123" s="1115"/>
      <c r="AS123" s="1115"/>
      <c r="AT123" s="1115"/>
      <c r="AU123" s="1115"/>
      <c r="AV123" s="1115"/>
      <c r="AW123" s="1115"/>
      <c r="AX123" s="1115"/>
      <c r="AY123" s="1115"/>
      <c r="AZ123" s="1115"/>
      <c r="BA123" s="1115"/>
      <c r="BB123" s="1115"/>
      <c r="BC123" s="1115"/>
      <c r="BD123" s="1115"/>
      <c r="BE123" s="1115"/>
      <c r="BF123" s="1115"/>
      <c r="BG123" s="1115"/>
      <c r="BH123" s="1115"/>
      <c r="BI123" s="1115"/>
      <c r="BJ123" s="1115"/>
      <c r="BK123" s="1115"/>
      <c r="BL123" s="1115"/>
      <c r="BM123" s="1115"/>
      <c r="BN123" s="1115"/>
      <c r="BO123" s="1115"/>
      <c r="BP123" s="1115"/>
      <c r="BQ123" s="1115"/>
      <c r="BR123" s="1115"/>
      <c r="BS123" s="1115"/>
      <c r="BT123" s="1115"/>
      <c r="BU123" s="1115"/>
      <c r="BV123" s="1115"/>
      <c r="BW123" s="1115"/>
      <c r="BX123" s="1115"/>
      <c r="BY123" s="1115"/>
      <c r="BZ123" s="1115"/>
      <c r="CA123" s="1115"/>
      <c r="CB123" s="1115"/>
      <c r="CC123" s="1115"/>
      <c r="CD123" s="1115"/>
      <c r="CE123" s="1115"/>
      <c r="CF123" s="1115"/>
      <c r="CG123" s="1115"/>
      <c r="CH123" s="1115"/>
      <c r="CI123" s="1115"/>
      <c r="CJ123" s="1115"/>
      <c r="CK123" s="1115"/>
      <c r="CL123" s="1115"/>
    </row>
    <row r="124" spans="1:90" ht="14.4">
      <c r="A124" s="963">
        <v>7453</v>
      </c>
      <c r="B124" s="963" t="s">
        <v>2820</v>
      </c>
      <c r="C124" s="963">
        <v>0</v>
      </c>
      <c r="D124" s="965">
        <v>1861.9</v>
      </c>
      <c r="E124" s="965">
        <v>2294.92</v>
      </c>
      <c r="F124" s="965">
        <v>2024.3</v>
      </c>
      <c r="G124" s="965">
        <v>3464.02</v>
      </c>
      <c r="H124" s="965">
        <v>1750.7</v>
      </c>
      <c r="I124" s="965">
        <v>1407.27</v>
      </c>
      <c r="J124" s="1233">
        <v>1807.78</v>
      </c>
      <c r="K124" s="1233">
        <v>0</v>
      </c>
      <c r="L124" s="1115"/>
      <c r="M124" s="1115"/>
      <c r="N124" s="1115"/>
      <c r="O124" s="1115"/>
      <c r="P124" s="1115"/>
      <c r="Q124" s="1115"/>
      <c r="R124" s="1115"/>
      <c r="S124" s="1115"/>
      <c r="T124" s="1115"/>
      <c r="U124" s="1115"/>
      <c r="V124" s="1115"/>
      <c r="W124" s="1115"/>
      <c r="X124" s="1115"/>
      <c r="Y124" s="1115"/>
      <c r="Z124" s="1115"/>
      <c r="AA124" s="1115"/>
      <c r="AB124" s="1115"/>
      <c r="AC124" s="1115"/>
      <c r="AD124" s="1115"/>
      <c r="AE124" s="1115"/>
      <c r="AF124" s="1115"/>
      <c r="AG124" s="1115"/>
      <c r="AH124" s="1115"/>
      <c r="AI124" s="1115"/>
      <c r="AJ124" s="1115"/>
      <c r="AK124" s="1115"/>
      <c r="AL124" s="1115"/>
      <c r="AM124" s="1115"/>
      <c r="AN124" s="1115"/>
      <c r="AO124" s="1115"/>
      <c r="AP124" s="1115"/>
      <c r="AQ124" s="1115"/>
      <c r="AR124" s="1115"/>
      <c r="AS124" s="1115"/>
      <c r="AT124" s="1115"/>
      <c r="AU124" s="1115"/>
      <c r="AV124" s="1115"/>
      <c r="AW124" s="1115"/>
      <c r="AX124" s="1115"/>
      <c r="AY124" s="1115"/>
      <c r="AZ124" s="1115"/>
      <c r="BA124" s="1115"/>
      <c r="BB124" s="1115"/>
      <c r="BC124" s="1115"/>
      <c r="BD124" s="1115"/>
      <c r="BE124" s="1115"/>
      <c r="BF124" s="1115"/>
      <c r="BG124" s="1115"/>
      <c r="BH124" s="1115"/>
      <c r="BI124" s="1115"/>
      <c r="BJ124" s="1115"/>
      <c r="BK124" s="1115"/>
      <c r="BL124" s="1115"/>
      <c r="BM124" s="1115"/>
      <c r="BN124" s="1115"/>
      <c r="BO124" s="1115"/>
      <c r="BP124" s="1115"/>
      <c r="BQ124" s="1115"/>
      <c r="BR124" s="1115"/>
      <c r="BS124" s="1115"/>
      <c r="BT124" s="1115"/>
      <c r="BU124" s="1115"/>
      <c r="BV124" s="1115"/>
      <c r="BW124" s="1115"/>
      <c r="BX124" s="1115"/>
      <c r="BY124" s="1115"/>
      <c r="BZ124" s="1115"/>
      <c r="CA124" s="1115"/>
      <c r="CB124" s="1115"/>
      <c r="CC124" s="1115"/>
      <c r="CD124" s="1115"/>
      <c r="CE124" s="1115"/>
      <c r="CF124" s="1115"/>
      <c r="CG124" s="1115"/>
      <c r="CH124" s="1115"/>
      <c r="CI124" s="1115"/>
      <c r="CJ124" s="1115"/>
      <c r="CK124" s="1115"/>
      <c r="CL124" s="1115"/>
    </row>
    <row r="125" spans="1:90" ht="14.4">
      <c r="A125" s="963">
        <v>7454</v>
      </c>
      <c r="B125" s="963" t="s">
        <v>2821</v>
      </c>
      <c r="C125" s="963">
        <v>0</v>
      </c>
      <c r="D125" s="965">
        <v>1020</v>
      </c>
      <c r="E125" s="965">
        <v>2386</v>
      </c>
      <c r="F125" s="965">
        <v>5834</v>
      </c>
      <c r="G125" s="963">
        <v>835</v>
      </c>
      <c r="H125" s="965">
        <v>2614.81</v>
      </c>
      <c r="I125" s="965">
        <v>3940</v>
      </c>
      <c r="J125" s="1233">
        <v>2430</v>
      </c>
      <c r="K125" s="1233">
        <v>0</v>
      </c>
      <c r="L125" s="1115"/>
      <c r="M125" s="1115"/>
      <c r="N125" s="1115"/>
      <c r="O125" s="1115"/>
      <c r="P125" s="1115"/>
      <c r="Q125" s="1115"/>
      <c r="R125" s="1115"/>
      <c r="S125" s="1115"/>
      <c r="T125" s="1115"/>
      <c r="U125" s="1115"/>
      <c r="V125" s="1115"/>
      <c r="W125" s="1115"/>
      <c r="X125" s="1115"/>
      <c r="Y125" s="1115"/>
      <c r="Z125" s="1115"/>
      <c r="AA125" s="1115"/>
      <c r="AB125" s="1115"/>
      <c r="AC125" s="1115"/>
      <c r="AD125" s="1115"/>
      <c r="AE125" s="1115"/>
      <c r="AF125" s="1115"/>
      <c r="AG125" s="1115"/>
      <c r="AH125" s="1115"/>
      <c r="AI125" s="1115"/>
      <c r="AJ125" s="1115"/>
      <c r="AK125" s="1115"/>
      <c r="AL125" s="1115"/>
      <c r="AM125" s="1115"/>
      <c r="AN125" s="1115"/>
      <c r="AO125" s="1115"/>
      <c r="AP125" s="1115"/>
      <c r="AQ125" s="1115"/>
      <c r="AR125" s="1115"/>
      <c r="AS125" s="1115"/>
      <c r="AT125" s="1115"/>
      <c r="AU125" s="1115"/>
      <c r="AV125" s="1115"/>
      <c r="AW125" s="1115"/>
      <c r="AX125" s="1115"/>
      <c r="AY125" s="1115"/>
      <c r="AZ125" s="1115"/>
      <c r="BA125" s="1115"/>
      <c r="BB125" s="1115"/>
      <c r="BC125" s="1115"/>
      <c r="BD125" s="1115"/>
      <c r="BE125" s="1115"/>
      <c r="BF125" s="1115"/>
      <c r="BG125" s="1115"/>
      <c r="BH125" s="1115"/>
      <c r="BI125" s="1115"/>
      <c r="BJ125" s="1115"/>
      <c r="BK125" s="1115"/>
      <c r="BL125" s="1115"/>
      <c r="BM125" s="1115"/>
      <c r="BN125" s="1115"/>
      <c r="BO125" s="1115"/>
      <c r="BP125" s="1115"/>
      <c r="BQ125" s="1115"/>
      <c r="BR125" s="1115"/>
      <c r="BS125" s="1115"/>
      <c r="BT125" s="1115"/>
      <c r="BU125" s="1115"/>
      <c r="BV125" s="1115"/>
      <c r="BW125" s="1115"/>
      <c r="BX125" s="1115"/>
      <c r="BY125" s="1115"/>
      <c r="BZ125" s="1115"/>
      <c r="CA125" s="1115"/>
      <c r="CB125" s="1115"/>
      <c r="CC125" s="1115"/>
      <c r="CD125" s="1115"/>
      <c r="CE125" s="1115"/>
      <c r="CF125" s="1115"/>
      <c r="CG125" s="1115"/>
      <c r="CH125" s="1115"/>
      <c r="CI125" s="1115"/>
      <c r="CJ125" s="1115"/>
      <c r="CK125" s="1115"/>
      <c r="CL125" s="1115"/>
    </row>
    <row r="126" spans="1:90" ht="14.4">
      <c r="A126" s="1115"/>
      <c r="B126" s="1116" t="s">
        <v>2812</v>
      </c>
      <c r="C126" s="1134">
        <v>-18032.39</v>
      </c>
      <c r="D126" s="1134">
        <v>8593.83</v>
      </c>
      <c r="E126" s="1134">
        <v>32152.51</v>
      </c>
      <c r="F126" s="1134">
        <v>50456.95</v>
      </c>
      <c r="G126" s="1134">
        <v>29805.83</v>
      </c>
      <c r="H126" s="1134">
        <v>30117.37</v>
      </c>
      <c r="I126" s="1134">
        <v>48342.7</v>
      </c>
      <c r="J126" s="1234">
        <v>26758.17</v>
      </c>
      <c r="K126" s="1234">
        <v>190</v>
      </c>
      <c r="L126" s="1115"/>
      <c r="M126" s="1115"/>
      <c r="N126" s="1115"/>
      <c r="O126" s="1115"/>
      <c r="P126" s="1115"/>
      <c r="Q126" s="1115"/>
      <c r="R126" s="1115"/>
      <c r="S126" s="1115"/>
      <c r="T126" s="1115"/>
      <c r="U126" s="1115"/>
      <c r="V126" s="1115"/>
      <c r="W126" s="1115"/>
      <c r="X126" s="1115"/>
      <c r="Y126" s="1115"/>
      <c r="Z126" s="1115"/>
      <c r="AA126" s="1115"/>
      <c r="AB126" s="1115"/>
      <c r="AC126" s="1115"/>
      <c r="AD126" s="1115"/>
      <c r="AE126" s="1115"/>
      <c r="AF126" s="1115"/>
      <c r="AG126" s="1115"/>
      <c r="AH126" s="1115"/>
      <c r="AI126" s="1115"/>
      <c r="AJ126" s="1115"/>
      <c r="AK126" s="1115"/>
      <c r="AL126" s="1115"/>
      <c r="AM126" s="1115"/>
      <c r="AN126" s="1115"/>
      <c r="AO126" s="1115"/>
      <c r="AP126" s="1115"/>
      <c r="AQ126" s="1115"/>
      <c r="AR126" s="1115"/>
      <c r="AS126" s="1115"/>
      <c r="AT126" s="1115"/>
      <c r="AU126" s="1115"/>
      <c r="AV126" s="1115"/>
      <c r="AW126" s="1115"/>
      <c r="AX126" s="1115"/>
      <c r="AY126" s="1115"/>
      <c r="AZ126" s="1115"/>
      <c r="BA126" s="1115"/>
      <c r="BB126" s="1115"/>
      <c r="BC126" s="1115"/>
      <c r="BD126" s="1115"/>
      <c r="BE126" s="1115"/>
      <c r="BF126" s="1115"/>
      <c r="BG126" s="1115"/>
      <c r="BH126" s="1115"/>
      <c r="BI126" s="1115"/>
      <c r="BJ126" s="1115"/>
      <c r="BK126" s="1115"/>
      <c r="BL126" s="1115"/>
      <c r="BM126" s="1115"/>
      <c r="BN126" s="1115"/>
      <c r="BO126" s="1115"/>
      <c r="BP126" s="1115"/>
      <c r="BQ126" s="1115"/>
      <c r="BR126" s="1115"/>
      <c r="BS126" s="1115"/>
      <c r="BT126" s="1115"/>
      <c r="BU126" s="1115"/>
      <c r="BV126" s="1115"/>
      <c r="BW126" s="1115"/>
      <c r="BX126" s="1115"/>
      <c r="BY126" s="1115"/>
      <c r="BZ126" s="1115"/>
      <c r="CA126" s="1115"/>
      <c r="CB126" s="1115"/>
      <c r="CC126" s="1115"/>
      <c r="CD126" s="1115"/>
      <c r="CE126" s="1115"/>
      <c r="CF126" s="1115"/>
      <c r="CG126" s="1115"/>
      <c r="CH126" s="1115"/>
      <c r="CI126" s="1115"/>
      <c r="CJ126" s="1115"/>
      <c r="CK126" s="1115"/>
      <c r="CL126" s="1115"/>
    </row>
    <row r="127" spans="1:90" ht="14.4">
      <c r="A127" s="1115"/>
      <c r="B127" s="963"/>
      <c r="C127" s="963"/>
      <c r="D127" s="963"/>
      <c r="E127" s="963"/>
      <c r="F127" s="963"/>
      <c r="G127" s="963"/>
      <c r="H127" s="963"/>
      <c r="I127" s="963"/>
      <c r="L127" s="1115"/>
      <c r="M127" s="1115"/>
      <c r="N127" s="1115"/>
      <c r="O127" s="1115"/>
      <c r="P127" s="1115"/>
      <c r="Q127" s="1115"/>
      <c r="R127" s="1115"/>
      <c r="S127" s="1115"/>
      <c r="T127" s="1115"/>
      <c r="U127" s="1115"/>
      <c r="V127" s="1115"/>
      <c r="W127" s="1115"/>
      <c r="X127" s="1115"/>
      <c r="Y127" s="1115"/>
      <c r="Z127" s="1115"/>
      <c r="AA127" s="1115"/>
      <c r="AB127" s="1115"/>
      <c r="AC127" s="1115"/>
      <c r="AD127" s="1115"/>
      <c r="AE127" s="1115"/>
      <c r="AF127" s="1115"/>
      <c r="AG127" s="1115"/>
      <c r="AH127" s="1115"/>
      <c r="AI127" s="1115"/>
      <c r="AJ127" s="1115"/>
      <c r="AK127" s="1115"/>
      <c r="AL127" s="1115"/>
      <c r="AM127" s="1115"/>
      <c r="AN127" s="1115"/>
      <c r="AO127" s="1115"/>
      <c r="AP127" s="1115"/>
      <c r="AQ127" s="1115"/>
      <c r="AR127" s="1115"/>
      <c r="AS127" s="1115"/>
      <c r="AT127" s="1115"/>
      <c r="AU127" s="1115"/>
      <c r="AV127" s="1115"/>
      <c r="AW127" s="1115"/>
      <c r="AX127" s="1115"/>
      <c r="AY127" s="1115"/>
      <c r="AZ127" s="1115"/>
      <c r="BA127" s="1115"/>
      <c r="BB127" s="1115"/>
      <c r="BC127" s="1115"/>
      <c r="BD127" s="1115"/>
      <c r="BE127" s="1115"/>
      <c r="BF127" s="1115"/>
      <c r="BG127" s="1115"/>
      <c r="BH127" s="1115"/>
      <c r="BI127" s="1115"/>
      <c r="BJ127" s="1115"/>
      <c r="BK127" s="1115"/>
      <c r="BL127" s="1115"/>
      <c r="BM127" s="1115"/>
      <c r="BN127" s="1115"/>
      <c r="BO127" s="1115"/>
      <c r="BP127" s="1115"/>
      <c r="BQ127" s="1115"/>
      <c r="BR127" s="1115"/>
      <c r="BS127" s="1115"/>
      <c r="BT127" s="1115"/>
      <c r="BU127" s="1115"/>
      <c r="BV127" s="1115"/>
      <c r="BW127" s="1115"/>
      <c r="BX127" s="1115"/>
      <c r="BY127" s="1115"/>
      <c r="BZ127" s="1115"/>
      <c r="CA127" s="1115"/>
      <c r="CB127" s="1115"/>
      <c r="CC127" s="1115"/>
      <c r="CD127" s="1115"/>
      <c r="CE127" s="1115"/>
      <c r="CF127" s="1115"/>
      <c r="CG127" s="1115"/>
      <c r="CH127" s="1115"/>
      <c r="CI127" s="1115"/>
      <c r="CJ127" s="1115"/>
      <c r="CK127" s="1115"/>
      <c r="CL127" s="1115"/>
    </row>
    <row r="128" spans="1:90" ht="14.4">
      <c r="A128" s="1116" t="s">
        <v>2822</v>
      </c>
      <c r="B128" s="963"/>
      <c r="C128" s="963"/>
      <c r="D128" s="963"/>
      <c r="E128" s="963"/>
      <c r="F128" s="963"/>
      <c r="G128" s="963"/>
      <c r="H128" s="963"/>
      <c r="I128" s="963"/>
      <c r="J128" s="1235"/>
      <c r="K128" s="1235"/>
      <c r="L128" s="1115"/>
      <c r="M128" s="1115"/>
      <c r="N128" s="1115"/>
      <c r="O128" s="1115"/>
      <c r="P128" s="1115"/>
      <c r="Q128" s="1115"/>
      <c r="R128" s="1115"/>
      <c r="S128" s="1115"/>
      <c r="T128" s="1115"/>
      <c r="U128" s="1115"/>
      <c r="V128" s="1115"/>
      <c r="W128" s="1115"/>
      <c r="X128" s="1115"/>
      <c r="Y128" s="1115"/>
      <c r="Z128" s="1115"/>
      <c r="AA128" s="1115"/>
      <c r="AB128" s="1115"/>
      <c r="AC128" s="1115"/>
      <c r="AD128" s="1115"/>
      <c r="AE128" s="1115"/>
      <c r="AF128" s="1115"/>
      <c r="AG128" s="1115"/>
      <c r="AH128" s="1115"/>
      <c r="AI128" s="1115"/>
      <c r="AJ128" s="1115"/>
      <c r="AK128" s="1115"/>
      <c r="AL128" s="1115"/>
      <c r="AM128" s="1115"/>
      <c r="AN128" s="1115"/>
      <c r="AO128" s="1115"/>
      <c r="AP128" s="1115"/>
      <c r="AQ128" s="1115"/>
      <c r="AR128" s="1115"/>
      <c r="AS128" s="1115"/>
      <c r="AT128" s="1115"/>
      <c r="AU128" s="1115"/>
      <c r="AV128" s="1115"/>
      <c r="AW128" s="1115"/>
      <c r="AX128" s="1115"/>
      <c r="AY128" s="1115"/>
      <c r="AZ128" s="1115"/>
      <c r="BA128" s="1115"/>
      <c r="BB128" s="1115"/>
      <c r="BC128" s="1115"/>
      <c r="BD128" s="1115"/>
      <c r="BE128" s="1115"/>
      <c r="BF128" s="1115"/>
      <c r="BG128" s="1115"/>
      <c r="BH128" s="1115"/>
      <c r="BI128" s="1115"/>
      <c r="BJ128" s="1115"/>
      <c r="BK128" s="1115"/>
      <c r="BL128" s="1115"/>
      <c r="BM128" s="1115"/>
      <c r="BN128" s="1115"/>
      <c r="BO128" s="1115"/>
      <c r="BP128" s="1115"/>
      <c r="BQ128" s="1115"/>
      <c r="BR128" s="1115"/>
      <c r="BS128" s="1115"/>
      <c r="BT128" s="1115"/>
      <c r="BU128" s="1115"/>
      <c r="BV128" s="1115"/>
      <c r="BW128" s="1115"/>
      <c r="BX128" s="1115"/>
      <c r="BY128" s="1115"/>
      <c r="BZ128" s="1115"/>
      <c r="CA128" s="1115"/>
      <c r="CB128" s="1115"/>
      <c r="CC128" s="1115"/>
      <c r="CD128" s="1115"/>
      <c r="CE128" s="1115"/>
      <c r="CF128" s="1115"/>
      <c r="CG128" s="1115"/>
      <c r="CH128" s="1115"/>
      <c r="CI128" s="1115"/>
      <c r="CJ128" s="1115"/>
      <c r="CK128" s="1115"/>
      <c r="CL128" s="1115"/>
    </row>
    <row r="129" spans="1:90" ht="14.4">
      <c r="A129" s="963">
        <v>7504</v>
      </c>
      <c r="B129" s="963" t="s">
        <v>2823</v>
      </c>
      <c r="C129" s="965">
        <v>-101460.78</v>
      </c>
      <c r="D129" s="965">
        <v>7242.74</v>
      </c>
      <c r="E129" s="965">
        <v>6236.07</v>
      </c>
      <c r="F129" s="965">
        <v>8584.65</v>
      </c>
      <c r="G129" s="965">
        <v>7271.04</v>
      </c>
      <c r="H129" s="965">
        <v>4638.7299999999996</v>
      </c>
      <c r="I129" s="965">
        <v>6217.03</v>
      </c>
      <c r="J129" s="1233">
        <v>7457.55</v>
      </c>
      <c r="K129" s="1233">
        <v>0</v>
      </c>
      <c r="L129" s="1115"/>
      <c r="M129" s="1115"/>
      <c r="N129" s="1115"/>
      <c r="O129" s="1115"/>
      <c r="P129" s="1115"/>
      <c r="Q129" s="1115"/>
      <c r="R129" s="1115"/>
      <c r="S129" s="1115"/>
      <c r="T129" s="1115"/>
      <c r="U129" s="1115"/>
      <c r="V129" s="1115"/>
      <c r="W129" s="1115"/>
      <c r="X129" s="1115"/>
      <c r="Y129" s="1115"/>
      <c r="Z129" s="1115"/>
      <c r="AA129" s="1115"/>
      <c r="AB129" s="1115"/>
      <c r="AC129" s="1115"/>
      <c r="AD129" s="1115"/>
      <c r="AE129" s="1115"/>
      <c r="AF129" s="1115"/>
      <c r="AG129" s="1115"/>
      <c r="AH129" s="1115"/>
      <c r="AI129" s="1115"/>
      <c r="AJ129" s="1115"/>
      <c r="AK129" s="1115"/>
      <c r="AL129" s="1115"/>
      <c r="AM129" s="1115"/>
      <c r="AN129" s="1115"/>
      <c r="AO129" s="1115"/>
      <c r="AP129" s="1115"/>
      <c r="AQ129" s="1115"/>
      <c r="AR129" s="1115"/>
      <c r="AS129" s="1115"/>
      <c r="AT129" s="1115"/>
      <c r="AU129" s="1115"/>
      <c r="AV129" s="1115"/>
      <c r="AW129" s="1115"/>
      <c r="AX129" s="1115"/>
      <c r="AY129" s="1115"/>
      <c r="AZ129" s="1115"/>
      <c r="BA129" s="1115"/>
      <c r="BB129" s="1115"/>
      <c r="BC129" s="1115"/>
      <c r="BD129" s="1115"/>
      <c r="BE129" s="1115"/>
      <c r="BF129" s="1115"/>
      <c r="BG129" s="1115"/>
      <c r="BH129" s="1115"/>
      <c r="BI129" s="1115"/>
      <c r="BJ129" s="1115"/>
      <c r="BK129" s="1115"/>
      <c r="BL129" s="1115"/>
      <c r="BM129" s="1115"/>
      <c r="BN129" s="1115"/>
      <c r="BO129" s="1115"/>
      <c r="BP129" s="1115"/>
      <c r="BQ129" s="1115"/>
      <c r="BR129" s="1115"/>
      <c r="BS129" s="1115"/>
      <c r="BT129" s="1115"/>
      <c r="BU129" s="1115"/>
      <c r="BV129" s="1115"/>
      <c r="BW129" s="1115"/>
      <c r="BX129" s="1115"/>
      <c r="BY129" s="1115"/>
      <c r="BZ129" s="1115"/>
      <c r="CA129" s="1115"/>
      <c r="CB129" s="1115"/>
      <c r="CC129" s="1115"/>
      <c r="CD129" s="1115"/>
      <c r="CE129" s="1115"/>
      <c r="CF129" s="1115"/>
      <c r="CG129" s="1115"/>
      <c r="CH129" s="1115"/>
      <c r="CI129" s="1115"/>
      <c r="CJ129" s="1115"/>
      <c r="CK129" s="1115"/>
      <c r="CL129" s="1115"/>
    </row>
    <row r="130" spans="1:90" ht="14.4">
      <c r="A130" s="963">
        <v>7506</v>
      </c>
      <c r="B130" s="963" t="s">
        <v>2824</v>
      </c>
      <c r="C130" s="963">
        <v>0</v>
      </c>
      <c r="D130" s="963">
        <v>462.3</v>
      </c>
      <c r="E130" s="963">
        <v>388.72</v>
      </c>
      <c r="F130" s="963">
        <v>817.71</v>
      </c>
      <c r="G130" s="963">
        <v>535.61</v>
      </c>
      <c r="H130" s="963">
        <v>762.11</v>
      </c>
      <c r="I130" s="963">
        <v>439.24</v>
      </c>
      <c r="J130" s="1233">
        <v>524.66999999999996</v>
      </c>
      <c r="K130" s="1233">
        <v>0</v>
      </c>
      <c r="L130" s="1115"/>
      <c r="M130" s="1115"/>
      <c r="N130" s="1115"/>
      <c r="O130" s="1115"/>
      <c r="P130" s="1115"/>
      <c r="Q130" s="1115"/>
      <c r="R130" s="1115"/>
      <c r="S130" s="1115"/>
      <c r="T130" s="1115"/>
      <c r="U130" s="1115"/>
      <c r="V130" s="1115"/>
      <c r="W130" s="1115"/>
      <c r="X130" s="1115"/>
      <c r="Y130" s="1115"/>
      <c r="Z130" s="1115"/>
      <c r="AA130" s="1115"/>
      <c r="AB130" s="1115"/>
      <c r="AC130" s="1115"/>
      <c r="AD130" s="1115"/>
      <c r="AE130" s="1115"/>
      <c r="AF130" s="1115"/>
      <c r="AG130" s="1115"/>
      <c r="AH130" s="1115"/>
      <c r="AI130" s="1115"/>
      <c r="AJ130" s="1115"/>
      <c r="AK130" s="1115"/>
      <c r="AL130" s="1115"/>
      <c r="AM130" s="1115"/>
      <c r="AN130" s="1115"/>
      <c r="AO130" s="1115"/>
      <c r="AP130" s="1115"/>
      <c r="AQ130" s="1115"/>
      <c r="AR130" s="1115"/>
      <c r="AS130" s="1115"/>
      <c r="AT130" s="1115"/>
      <c r="AU130" s="1115"/>
      <c r="AV130" s="1115"/>
      <c r="AW130" s="1115"/>
      <c r="AX130" s="1115"/>
      <c r="AY130" s="1115"/>
      <c r="AZ130" s="1115"/>
      <c r="BA130" s="1115"/>
      <c r="BB130" s="1115"/>
      <c r="BC130" s="1115"/>
      <c r="BD130" s="1115"/>
      <c r="BE130" s="1115"/>
      <c r="BF130" s="1115"/>
      <c r="BG130" s="1115"/>
      <c r="BH130" s="1115"/>
      <c r="BI130" s="1115"/>
      <c r="BJ130" s="1115"/>
      <c r="BK130" s="1115"/>
      <c r="BL130" s="1115"/>
      <c r="BM130" s="1115"/>
      <c r="BN130" s="1115"/>
      <c r="BO130" s="1115"/>
      <c r="BP130" s="1115"/>
      <c r="BQ130" s="1115"/>
      <c r="BR130" s="1115"/>
      <c r="BS130" s="1115"/>
      <c r="BT130" s="1115"/>
      <c r="BU130" s="1115"/>
      <c r="BV130" s="1115"/>
      <c r="BW130" s="1115"/>
      <c r="BX130" s="1115"/>
      <c r="BY130" s="1115"/>
      <c r="BZ130" s="1115"/>
      <c r="CA130" s="1115"/>
      <c r="CB130" s="1115"/>
      <c r="CC130" s="1115"/>
      <c r="CD130" s="1115"/>
      <c r="CE130" s="1115"/>
      <c r="CF130" s="1115"/>
      <c r="CG130" s="1115"/>
      <c r="CH130" s="1115"/>
      <c r="CI130" s="1115"/>
      <c r="CJ130" s="1115"/>
      <c r="CK130" s="1115"/>
      <c r="CL130" s="1115"/>
    </row>
    <row r="131" spans="1:90" ht="14.4">
      <c r="A131" s="963">
        <v>7508</v>
      </c>
      <c r="B131" s="963" t="s">
        <v>2825</v>
      </c>
      <c r="C131" s="965">
        <v>-34550.35</v>
      </c>
      <c r="D131" s="965">
        <v>1069.49</v>
      </c>
      <c r="E131" s="965">
        <v>3804.27</v>
      </c>
      <c r="F131" s="965">
        <v>4298.71</v>
      </c>
      <c r="G131" s="965">
        <v>7498.35</v>
      </c>
      <c r="H131" s="965">
        <v>4474.38</v>
      </c>
      <c r="I131" s="965">
        <v>4748.46</v>
      </c>
      <c r="J131" s="1233">
        <v>4510.5</v>
      </c>
      <c r="K131" s="1233">
        <v>0</v>
      </c>
      <c r="L131" s="1115"/>
      <c r="M131" s="1115"/>
      <c r="N131" s="1115"/>
      <c r="O131" s="1115"/>
      <c r="P131" s="1115"/>
      <c r="Q131" s="1115"/>
      <c r="R131" s="1115"/>
      <c r="S131" s="1115"/>
      <c r="T131" s="1115"/>
      <c r="U131" s="1115"/>
      <c r="V131" s="1115"/>
      <c r="W131" s="1115"/>
      <c r="X131" s="1115"/>
      <c r="Y131" s="1115"/>
      <c r="Z131" s="1115"/>
      <c r="AA131" s="1115"/>
      <c r="AB131" s="1115"/>
      <c r="AC131" s="1115"/>
      <c r="AD131" s="1115"/>
      <c r="AE131" s="1115"/>
      <c r="AF131" s="1115"/>
      <c r="AG131" s="1115"/>
      <c r="AH131" s="1115"/>
      <c r="AI131" s="1115"/>
      <c r="AJ131" s="1115"/>
      <c r="AK131" s="1115"/>
      <c r="AL131" s="1115"/>
      <c r="AM131" s="1115"/>
      <c r="AN131" s="1115"/>
      <c r="AO131" s="1115"/>
      <c r="AP131" s="1115"/>
      <c r="AQ131" s="1115"/>
      <c r="AR131" s="1115"/>
      <c r="AS131" s="1115"/>
      <c r="AT131" s="1115"/>
      <c r="AU131" s="1115"/>
      <c r="AV131" s="1115"/>
      <c r="AW131" s="1115"/>
      <c r="AX131" s="1115"/>
      <c r="AY131" s="1115"/>
      <c r="AZ131" s="1115"/>
      <c r="BA131" s="1115"/>
      <c r="BB131" s="1115"/>
      <c r="BC131" s="1115"/>
      <c r="BD131" s="1115"/>
      <c r="BE131" s="1115"/>
      <c r="BF131" s="1115"/>
      <c r="BG131" s="1115"/>
      <c r="BH131" s="1115"/>
      <c r="BI131" s="1115"/>
      <c r="BJ131" s="1115"/>
      <c r="BK131" s="1115"/>
      <c r="BL131" s="1115"/>
      <c r="BM131" s="1115"/>
      <c r="BN131" s="1115"/>
      <c r="BO131" s="1115"/>
      <c r="BP131" s="1115"/>
      <c r="BQ131" s="1115"/>
      <c r="BR131" s="1115"/>
      <c r="BS131" s="1115"/>
      <c r="BT131" s="1115"/>
      <c r="BU131" s="1115"/>
      <c r="BV131" s="1115"/>
      <c r="BW131" s="1115"/>
      <c r="BX131" s="1115"/>
      <c r="BY131" s="1115"/>
      <c r="BZ131" s="1115"/>
      <c r="CA131" s="1115"/>
      <c r="CB131" s="1115"/>
      <c r="CC131" s="1115"/>
      <c r="CD131" s="1115"/>
      <c r="CE131" s="1115"/>
      <c r="CF131" s="1115"/>
      <c r="CG131" s="1115"/>
      <c r="CH131" s="1115"/>
      <c r="CI131" s="1115"/>
      <c r="CJ131" s="1115"/>
      <c r="CK131" s="1115"/>
      <c r="CL131" s="1115"/>
    </row>
    <row r="132" spans="1:90" ht="14.4">
      <c r="A132" s="963">
        <v>7512</v>
      </c>
      <c r="B132" s="963" t="s">
        <v>2826</v>
      </c>
      <c r="C132" s="965">
        <v>-49648.09</v>
      </c>
      <c r="D132" s="963">
        <v>140.09</v>
      </c>
      <c r="E132" s="965">
        <v>1987.58</v>
      </c>
      <c r="F132" s="963">
        <v>155.11000000000001</v>
      </c>
      <c r="G132" s="965">
        <v>4322.12</v>
      </c>
      <c r="H132" s="965">
        <v>5402.13</v>
      </c>
      <c r="I132" s="965">
        <v>1909.69</v>
      </c>
      <c r="J132" s="1233">
        <v>1795.01</v>
      </c>
      <c r="K132" s="1233">
        <v>0</v>
      </c>
      <c r="L132" s="1115"/>
      <c r="M132" s="1115"/>
      <c r="N132" s="1115"/>
      <c r="O132" s="1115"/>
      <c r="P132" s="1115"/>
      <c r="Q132" s="1115"/>
      <c r="R132" s="1115"/>
      <c r="S132" s="1115"/>
      <c r="T132" s="1115"/>
      <c r="U132" s="1115"/>
      <c r="V132" s="1115"/>
      <c r="W132" s="1115"/>
      <c r="X132" s="1115"/>
      <c r="Y132" s="1115"/>
      <c r="Z132" s="1115"/>
      <c r="AA132" s="1115"/>
      <c r="AB132" s="1115"/>
      <c r="AC132" s="1115"/>
      <c r="AD132" s="1115"/>
      <c r="AE132" s="1115"/>
      <c r="AF132" s="1115"/>
      <c r="AG132" s="1115"/>
      <c r="AH132" s="1115"/>
      <c r="AI132" s="1115"/>
      <c r="AJ132" s="1115"/>
      <c r="AK132" s="1115"/>
      <c r="AL132" s="1115"/>
      <c r="AM132" s="1115"/>
      <c r="AN132" s="1115"/>
      <c r="AO132" s="1115"/>
      <c r="AP132" s="1115"/>
      <c r="AQ132" s="1115"/>
      <c r="AR132" s="1115"/>
      <c r="AS132" s="1115"/>
      <c r="AT132" s="1115"/>
      <c r="AU132" s="1115"/>
      <c r="AV132" s="1115"/>
      <c r="AW132" s="1115"/>
      <c r="AX132" s="1115"/>
      <c r="AY132" s="1115"/>
      <c r="AZ132" s="1115"/>
      <c r="BA132" s="1115"/>
      <c r="BB132" s="1115"/>
      <c r="BC132" s="1115"/>
      <c r="BD132" s="1115"/>
      <c r="BE132" s="1115"/>
      <c r="BF132" s="1115"/>
      <c r="BG132" s="1115"/>
      <c r="BH132" s="1115"/>
      <c r="BI132" s="1115"/>
      <c r="BJ132" s="1115"/>
      <c r="BK132" s="1115"/>
      <c r="BL132" s="1115"/>
      <c r="BM132" s="1115"/>
      <c r="BN132" s="1115"/>
      <c r="BO132" s="1115"/>
      <c r="BP132" s="1115"/>
      <c r="BQ132" s="1115"/>
      <c r="BR132" s="1115"/>
      <c r="BS132" s="1115"/>
      <c r="BT132" s="1115"/>
      <c r="BU132" s="1115"/>
      <c r="BV132" s="1115"/>
      <c r="BW132" s="1115"/>
      <c r="BX132" s="1115"/>
      <c r="BY132" s="1115"/>
      <c r="BZ132" s="1115"/>
      <c r="CA132" s="1115"/>
      <c r="CB132" s="1115"/>
      <c r="CC132" s="1115"/>
      <c r="CD132" s="1115"/>
      <c r="CE132" s="1115"/>
      <c r="CF132" s="1115"/>
      <c r="CG132" s="1115"/>
      <c r="CH132" s="1115"/>
      <c r="CI132" s="1115"/>
      <c r="CJ132" s="1115"/>
      <c r="CK132" s="1115"/>
      <c r="CL132" s="1115"/>
    </row>
    <row r="133" spans="1:90" ht="14.4">
      <c r="A133" s="963">
        <v>7516</v>
      </c>
      <c r="B133" s="963" t="s">
        <v>2827</v>
      </c>
      <c r="C133" s="965">
        <v>-13923.95</v>
      </c>
      <c r="D133" s="965">
        <v>3610.71</v>
      </c>
      <c r="E133" s="965">
        <v>2647.14</v>
      </c>
      <c r="F133" s="965">
        <v>8824.6</v>
      </c>
      <c r="G133" s="965">
        <v>3039.97</v>
      </c>
      <c r="H133" s="965">
        <v>2433.69</v>
      </c>
      <c r="I133" s="965">
        <v>1029.81</v>
      </c>
      <c r="J133" s="1233">
        <v>4717.49</v>
      </c>
      <c r="K133" s="1233">
        <v>0</v>
      </c>
      <c r="L133" s="1115"/>
      <c r="M133" s="1115"/>
      <c r="N133" s="1115"/>
      <c r="O133" s="1115"/>
      <c r="P133" s="1115"/>
      <c r="Q133" s="1115"/>
      <c r="R133" s="1115"/>
      <c r="S133" s="1115"/>
      <c r="T133" s="1115"/>
      <c r="U133" s="1115"/>
      <c r="V133" s="1115"/>
      <c r="W133" s="1115"/>
      <c r="X133" s="1115"/>
      <c r="Y133" s="1115"/>
      <c r="Z133" s="1115"/>
      <c r="AA133" s="1115"/>
      <c r="AB133" s="1115"/>
      <c r="AC133" s="1115"/>
      <c r="AD133" s="1115"/>
      <c r="AE133" s="1115"/>
      <c r="AF133" s="1115"/>
      <c r="AG133" s="1115"/>
      <c r="AH133" s="1115"/>
      <c r="AI133" s="1115"/>
      <c r="AJ133" s="1115"/>
      <c r="AK133" s="1115"/>
      <c r="AL133" s="1115"/>
      <c r="AM133" s="1115"/>
      <c r="AN133" s="1115"/>
      <c r="AO133" s="1115"/>
      <c r="AP133" s="1115"/>
      <c r="AQ133" s="1115"/>
      <c r="AR133" s="1115"/>
      <c r="AS133" s="1115"/>
      <c r="AT133" s="1115"/>
      <c r="AU133" s="1115"/>
      <c r="AV133" s="1115"/>
      <c r="AW133" s="1115"/>
      <c r="AX133" s="1115"/>
      <c r="AY133" s="1115"/>
      <c r="AZ133" s="1115"/>
      <c r="BA133" s="1115"/>
      <c r="BB133" s="1115"/>
      <c r="BC133" s="1115"/>
      <c r="BD133" s="1115"/>
      <c r="BE133" s="1115"/>
      <c r="BF133" s="1115"/>
      <c r="BG133" s="1115"/>
      <c r="BH133" s="1115"/>
      <c r="BI133" s="1115"/>
      <c r="BJ133" s="1115"/>
      <c r="BK133" s="1115"/>
      <c r="BL133" s="1115"/>
      <c r="BM133" s="1115"/>
      <c r="BN133" s="1115"/>
      <c r="BO133" s="1115"/>
      <c r="BP133" s="1115"/>
      <c r="BQ133" s="1115"/>
      <c r="BR133" s="1115"/>
      <c r="BS133" s="1115"/>
      <c r="BT133" s="1115"/>
      <c r="BU133" s="1115"/>
      <c r="BV133" s="1115"/>
      <c r="BW133" s="1115"/>
      <c r="BX133" s="1115"/>
      <c r="BY133" s="1115"/>
      <c r="BZ133" s="1115"/>
      <c r="CA133" s="1115"/>
      <c r="CB133" s="1115"/>
      <c r="CC133" s="1115"/>
      <c r="CD133" s="1115"/>
      <c r="CE133" s="1115"/>
      <c r="CF133" s="1115"/>
      <c r="CG133" s="1115"/>
      <c r="CH133" s="1115"/>
      <c r="CI133" s="1115"/>
      <c r="CJ133" s="1115"/>
      <c r="CK133" s="1115"/>
      <c r="CL133" s="1115"/>
    </row>
    <row r="134" spans="1:90" ht="14.4">
      <c r="A134" s="963">
        <v>7535</v>
      </c>
      <c r="B134" s="963" t="s">
        <v>2828</v>
      </c>
      <c r="C134" s="965">
        <v>-24001.79</v>
      </c>
      <c r="D134" s="965">
        <v>2760.53</v>
      </c>
      <c r="E134" s="965">
        <v>4240.04</v>
      </c>
      <c r="F134" s="965">
        <v>3671.57</v>
      </c>
      <c r="G134" s="965">
        <v>12033.62</v>
      </c>
      <c r="H134" s="965">
        <v>15036.23</v>
      </c>
      <c r="I134" s="965">
        <v>5585.64</v>
      </c>
      <c r="J134" s="1233">
        <v>9235.84</v>
      </c>
      <c r="K134" s="1233">
        <v>0</v>
      </c>
      <c r="L134" s="1115"/>
      <c r="M134" s="1115"/>
      <c r="N134" s="1115"/>
      <c r="O134" s="1115"/>
      <c r="P134" s="1115"/>
      <c r="Q134" s="1115"/>
      <c r="R134" s="1115"/>
      <c r="S134" s="1115"/>
      <c r="T134" s="1115"/>
      <c r="U134" s="1115"/>
      <c r="V134" s="1115"/>
      <c r="W134" s="1115"/>
      <c r="X134" s="1115"/>
      <c r="Y134" s="1115"/>
      <c r="Z134" s="1115"/>
      <c r="AA134" s="1115"/>
      <c r="AB134" s="1115"/>
      <c r="AC134" s="1115"/>
      <c r="AD134" s="1115"/>
      <c r="AE134" s="1115"/>
      <c r="AF134" s="1115"/>
      <c r="AG134" s="1115"/>
      <c r="AH134" s="1115"/>
      <c r="AI134" s="1115"/>
      <c r="AJ134" s="1115"/>
      <c r="AK134" s="1115"/>
      <c r="AL134" s="1115"/>
      <c r="AM134" s="1115"/>
      <c r="AN134" s="1115"/>
      <c r="AO134" s="1115"/>
      <c r="AP134" s="1115"/>
      <c r="AQ134" s="1115"/>
      <c r="AR134" s="1115"/>
      <c r="AS134" s="1115"/>
      <c r="AT134" s="1115"/>
      <c r="AU134" s="1115"/>
      <c r="AV134" s="1115"/>
      <c r="AW134" s="1115"/>
      <c r="AX134" s="1115"/>
      <c r="AY134" s="1115"/>
      <c r="AZ134" s="1115"/>
      <c r="BA134" s="1115"/>
      <c r="BB134" s="1115"/>
      <c r="BC134" s="1115"/>
      <c r="BD134" s="1115"/>
      <c r="BE134" s="1115"/>
      <c r="BF134" s="1115"/>
      <c r="BG134" s="1115"/>
      <c r="BH134" s="1115"/>
      <c r="BI134" s="1115"/>
      <c r="BJ134" s="1115"/>
      <c r="BK134" s="1115"/>
      <c r="BL134" s="1115"/>
      <c r="BM134" s="1115"/>
      <c r="BN134" s="1115"/>
      <c r="BO134" s="1115"/>
      <c r="BP134" s="1115"/>
      <c r="BQ134" s="1115"/>
      <c r="BR134" s="1115"/>
      <c r="BS134" s="1115"/>
      <c r="BT134" s="1115"/>
      <c r="BU134" s="1115"/>
      <c r="BV134" s="1115"/>
      <c r="BW134" s="1115"/>
      <c r="BX134" s="1115"/>
      <c r="BY134" s="1115"/>
      <c r="BZ134" s="1115"/>
      <c r="CA134" s="1115"/>
      <c r="CB134" s="1115"/>
      <c r="CC134" s="1115"/>
      <c r="CD134" s="1115"/>
      <c r="CE134" s="1115"/>
      <c r="CF134" s="1115"/>
      <c r="CG134" s="1115"/>
      <c r="CH134" s="1115"/>
      <c r="CI134" s="1115"/>
      <c r="CJ134" s="1115"/>
      <c r="CK134" s="1115"/>
      <c r="CL134" s="1115"/>
    </row>
    <row r="135" spans="1:90" ht="14.4">
      <c r="A135" s="963">
        <v>7536</v>
      </c>
      <c r="B135" s="963" t="s">
        <v>2829</v>
      </c>
      <c r="C135" s="965">
        <v>1571.79</v>
      </c>
      <c r="D135" s="965">
        <v>1571.79</v>
      </c>
      <c r="E135" s="963">
        <v>0</v>
      </c>
      <c r="F135" s="965">
        <v>3143.58</v>
      </c>
      <c r="G135" s="965">
        <v>1321.28</v>
      </c>
      <c r="H135" s="965">
        <v>1658.92</v>
      </c>
      <c r="I135" s="965">
        <v>2357.69</v>
      </c>
      <c r="J135" s="1233">
        <v>1599.12</v>
      </c>
      <c r="K135" s="1233">
        <v>53.13</v>
      </c>
      <c r="L135" s="1115"/>
      <c r="M135" s="1115"/>
      <c r="N135" s="1115"/>
      <c r="O135" s="1115"/>
      <c r="P135" s="1115"/>
      <c r="Q135" s="1115"/>
      <c r="R135" s="1115"/>
      <c r="S135" s="1115"/>
      <c r="T135" s="1115"/>
      <c r="U135" s="1115"/>
      <c r="V135" s="1115"/>
      <c r="W135" s="1115"/>
      <c r="X135" s="1115"/>
      <c r="Y135" s="1115"/>
      <c r="Z135" s="1115"/>
      <c r="AA135" s="1115"/>
      <c r="AB135" s="1115"/>
      <c r="AC135" s="1115"/>
      <c r="AD135" s="1115"/>
      <c r="AE135" s="1115"/>
      <c r="AF135" s="1115"/>
      <c r="AG135" s="1115"/>
      <c r="AH135" s="1115"/>
      <c r="AI135" s="1115"/>
      <c r="AJ135" s="1115"/>
      <c r="AK135" s="1115"/>
      <c r="AL135" s="1115"/>
      <c r="AM135" s="1115"/>
      <c r="AN135" s="1115"/>
      <c r="AO135" s="1115"/>
      <c r="AP135" s="1115"/>
      <c r="AQ135" s="1115"/>
      <c r="AR135" s="1115"/>
      <c r="AS135" s="1115"/>
      <c r="AT135" s="1115"/>
      <c r="AU135" s="1115"/>
      <c r="AV135" s="1115"/>
      <c r="AW135" s="1115"/>
      <c r="AX135" s="1115"/>
      <c r="AY135" s="1115"/>
      <c r="AZ135" s="1115"/>
      <c r="BA135" s="1115"/>
      <c r="BB135" s="1115"/>
      <c r="BC135" s="1115"/>
      <c r="BD135" s="1115"/>
      <c r="BE135" s="1115"/>
      <c r="BF135" s="1115"/>
      <c r="BG135" s="1115"/>
      <c r="BH135" s="1115"/>
      <c r="BI135" s="1115"/>
      <c r="BJ135" s="1115"/>
      <c r="BK135" s="1115"/>
      <c r="BL135" s="1115"/>
      <c r="BM135" s="1115"/>
      <c r="BN135" s="1115"/>
      <c r="BO135" s="1115"/>
      <c r="BP135" s="1115"/>
      <c r="BQ135" s="1115"/>
      <c r="BR135" s="1115"/>
      <c r="BS135" s="1115"/>
      <c r="BT135" s="1115"/>
      <c r="BU135" s="1115"/>
      <c r="BV135" s="1115"/>
      <c r="BW135" s="1115"/>
      <c r="BX135" s="1115"/>
      <c r="BY135" s="1115"/>
      <c r="BZ135" s="1115"/>
      <c r="CA135" s="1115"/>
      <c r="CB135" s="1115"/>
      <c r="CC135" s="1115"/>
      <c r="CD135" s="1115"/>
      <c r="CE135" s="1115"/>
      <c r="CF135" s="1115"/>
      <c r="CG135" s="1115"/>
      <c r="CH135" s="1115"/>
      <c r="CI135" s="1115"/>
      <c r="CJ135" s="1115"/>
      <c r="CK135" s="1115"/>
      <c r="CL135" s="1115"/>
    </row>
    <row r="136" spans="1:90" ht="14.4">
      <c r="A136" s="963">
        <v>7537</v>
      </c>
      <c r="B136" s="963" t="s">
        <v>2830</v>
      </c>
      <c r="C136" s="963">
        <v>0</v>
      </c>
      <c r="D136" s="963">
        <v>635.69000000000005</v>
      </c>
      <c r="E136" s="963">
        <v>0</v>
      </c>
      <c r="F136" s="963">
        <v>0</v>
      </c>
      <c r="G136" s="963">
        <v>618.63</v>
      </c>
      <c r="H136" s="963">
        <v>70.66</v>
      </c>
      <c r="I136" s="963">
        <v>140.71</v>
      </c>
      <c r="J136" s="1233">
        <v>0</v>
      </c>
      <c r="K136" s="1233">
        <v>0</v>
      </c>
      <c r="L136" s="1115"/>
      <c r="M136" s="1115"/>
      <c r="N136" s="1115"/>
      <c r="O136" s="1115"/>
      <c r="P136" s="1115"/>
      <c r="Q136" s="1115"/>
      <c r="R136" s="1115"/>
      <c r="S136" s="1115"/>
      <c r="T136" s="1115"/>
      <c r="U136" s="1115"/>
      <c r="V136" s="1115"/>
      <c r="W136" s="1115"/>
      <c r="X136" s="1115"/>
      <c r="Y136" s="1115"/>
      <c r="Z136" s="1115"/>
      <c r="AA136" s="1115"/>
      <c r="AB136" s="1115"/>
      <c r="AC136" s="1115"/>
      <c r="AD136" s="1115"/>
      <c r="AE136" s="1115"/>
      <c r="AF136" s="1115"/>
      <c r="AG136" s="1115"/>
      <c r="AH136" s="1115"/>
      <c r="AI136" s="1115"/>
      <c r="AJ136" s="1115"/>
      <c r="AK136" s="1115"/>
      <c r="AL136" s="1115"/>
      <c r="AM136" s="1115"/>
      <c r="AN136" s="1115"/>
      <c r="AO136" s="1115"/>
      <c r="AP136" s="1115"/>
      <c r="AQ136" s="1115"/>
      <c r="AR136" s="1115"/>
      <c r="AS136" s="1115"/>
      <c r="AT136" s="1115"/>
      <c r="AU136" s="1115"/>
      <c r="AV136" s="1115"/>
      <c r="AW136" s="1115"/>
      <c r="AX136" s="1115"/>
      <c r="AY136" s="1115"/>
      <c r="AZ136" s="1115"/>
      <c r="BA136" s="1115"/>
      <c r="BB136" s="1115"/>
      <c r="BC136" s="1115"/>
      <c r="BD136" s="1115"/>
      <c r="BE136" s="1115"/>
      <c r="BF136" s="1115"/>
      <c r="BG136" s="1115"/>
      <c r="BH136" s="1115"/>
      <c r="BI136" s="1115"/>
      <c r="BJ136" s="1115"/>
      <c r="BK136" s="1115"/>
      <c r="BL136" s="1115"/>
      <c r="BM136" s="1115"/>
      <c r="BN136" s="1115"/>
      <c r="BO136" s="1115"/>
      <c r="BP136" s="1115"/>
      <c r="BQ136" s="1115"/>
      <c r="BR136" s="1115"/>
      <c r="BS136" s="1115"/>
      <c r="BT136" s="1115"/>
      <c r="BU136" s="1115"/>
      <c r="BV136" s="1115"/>
      <c r="BW136" s="1115"/>
      <c r="BX136" s="1115"/>
      <c r="BY136" s="1115"/>
      <c r="BZ136" s="1115"/>
      <c r="CA136" s="1115"/>
      <c r="CB136" s="1115"/>
      <c r="CC136" s="1115"/>
      <c r="CD136" s="1115"/>
      <c r="CE136" s="1115"/>
      <c r="CF136" s="1115"/>
      <c r="CG136" s="1115"/>
      <c r="CH136" s="1115"/>
      <c r="CI136" s="1115"/>
      <c r="CJ136" s="1115"/>
      <c r="CK136" s="1115"/>
      <c r="CL136" s="1115"/>
    </row>
    <row r="137" spans="1:90" ht="14.4">
      <c r="A137" s="963">
        <v>7539</v>
      </c>
      <c r="B137" s="963" t="s">
        <v>2831</v>
      </c>
      <c r="C137" s="965">
        <v>1050.06</v>
      </c>
      <c r="D137" s="965">
        <v>3255.94</v>
      </c>
      <c r="E137" s="965">
        <v>1417.48</v>
      </c>
      <c r="F137" s="963">
        <v>713.61</v>
      </c>
      <c r="G137" s="963">
        <v>498.63</v>
      </c>
      <c r="H137" s="965">
        <v>3540.96</v>
      </c>
      <c r="I137" s="965">
        <v>1484.83</v>
      </c>
      <c r="J137" s="1233">
        <v>3371.6</v>
      </c>
      <c r="K137" s="1233">
        <v>0</v>
      </c>
      <c r="L137" s="1115"/>
      <c r="M137" s="1115"/>
      <c r="N137" s="1115"/>
      <c r="O137" s="1115"/>
      <c r="P137" s="1115"/>
      <c r="Q137" s="1115"/>
      <c r="R137" s="1115"/>
      <c r="S137" s="1115"/>
      <c r="T137" s="1115"/>
      <c r="U137" s="1115"/>
      <c r="V137" s="1115"/>
      <c r="W137" s="1115"/>
      <c r="X137" s="1115"/>
      <c r="Y137" s="1115"/>
      <c r="Z137" s="1115"/>
      <c r="AA137" s="1115"/>
      <c r="AB137" s="1115"/>
      <c r="AC137" s="1115"/>
      <c r="AD137" s="1115"/>
      <c r="AE137" s="1115"/>
      <c r="AF137" s="1115"/>
      <c r="AG137" s="1115"/>
      <c r="AH137" s="1115"/>
      <c r="AI137" s="1115"/>
      <c r="AJ137" s="1115"/>
      <c r="AK137" s="1115"/>
      <c r="AL137" s="1115"/>
      <c r="AM137" s="1115"/>
      <c r="AN137" s="1115"/>
      <c r="AO137" s="1115"/>
      <c r="AP137" s="1115"/>
      <c r="AQ137" s="1115"/>
      <c r="AR137" s="1115"/>
      <c r="AS137" s="1115"/>
      <c r="AT137" s="1115"/>
      <c r="AU137" s="1115"/>
      <c r="AV137" s="1115"/>
      <c r="AW137" s="1115"/>
      <c r="AX137" s="1115"/>
      <c r="AY137" s="1115"/>
      <c r="AZ137" s="1115"/>
      <c r="BA137" s="1115"/>
      <c r="BB137" s="1115"/>
      <c r="BC137" s="1115"/>
      <c r="BD137" s="1115"/>
      <c r="BE137" s="1115"/>
      <c r="BF137" s="1115"/>
      <c r="BG137" s="1115"/>
      <c r="BH137" s="1115"/>
      <c r="BI137" s="1115"/>
      <c r="BJ137" s="1115"/>
      <c r="BK137" s="1115"/>
      <c r="BL137" s="1115"/>
      <c r="BM137" s="1115"/>
      <c r="BN137" s="1115"/>
      <c r="BO137" s="1115"/>
      <c r="BP137" s="1115"/>
      <c r="BQ137" s="1115"/>
      <c r="BR137" s="1115"/>
      <c r="BS137" s="1115"/>
      <c r="BT137" s="1115"/>
      <c r="BU137" s="1115"/>
      <c r="BV137" s="1115"/>
      <c r="BW137" s="1115"/>
      <c r="BX137" s="1115"/>
      <c r="BY137" s="1115"/>
      <c r="BZ137" s="1115"/>
      <c r="CA137" s="1115"/>
      <c r="CB137" s="1115"/>
      <c r="CC137" s="1115"/>
      <c r="CD137" s="1115"/>
      <c r="CE137" s="1115"/>
      <c r="CF137" s="1115"/>
      <c r="CG137" s="1115"/>
      <c r="CH137" s="1115"/>
      <c r="CI137" s="1115"/>
      <c r="CJ137" s="1115"/>
      <c r="CK137" s="1115"/>
      <c r="CL137" s="1115"/>
    </row>
    <row r="138" spans="1:90" ht="14.4">
      <c r="A138" s="963">
        <v>7544</v>
      </c>
      <c r="B138" s="963" t="s">
        <v>2832</v>
      </c>
      <c r="C138" s="963">
        <v>0</v>
      </c>
      <c r="D138" s="963">
        <v>0</v>
      </c>
      <c r="E138" s="963">
        <v>0</v>
      </c>
      <c r="F138" s="963">
        <v>0</v>
      </c>
      <c r="G138" s="963">
        <v>0</v>
      </c>
      <c r="H138" s="963">
        <v>60</v>
      </c>
      <c r="I138" s="963">
        <v>0</v>
      </c>
      <c r="J138" s="1233">
        <v>0</v>
      </c>
      <c r="K138" s="1233">
        <v>0</v>
      </c>
      <c r="L138" s="1115"/>
      <c r="M138" s="1115"/>
      <c r="N138" s="1115"/>
      <c r="O138" s="1115"/>
      <c r="P138" s="1115"/>
      <c r="Q138" s="1115"/>
      <c r="R138" s="1115"/>
      <c r="S138" s="1115"/>
      <c r="T138" s="1115"/>
      <c r="U138" s="1115"/>
      <c r="V138" s="1115"/>
      <c r="W138" s="1115"/>
      <c r="X138" s="1115"/>
      <c r="Y138" s="1115"/>
      <c r="Z138" s="1115"/>
      <c r="AA138" s="1115"/>
      <c r="AB138" s="1115"/>
      <c r="AC138" s="1115"/>
      <c r="AD138" s="1115"/>
      <c r="AE138" s="1115"/>
      <c r="AF138" s="1115"/>
      <c r="AG138" s="1115"/>
      <c r="AH138" s="1115"/>
      <c r="AI138" s="1115"/>
      <c r="AJ138" s="1115"/>
      <c r="AK138" s="1115"/>
      <c r="AL138" s="1115"/>
      <c r="AM138" s="1115"/>
      <c r="AN138" s="1115"/>
      <c r="AO138" s="1115"/>
      <c r="AP138" s="1115"/>
      <c r="AQ138" s="1115"/>
      <c r="AR138" s="1115"/>
      <c r="AS138" s="1115"/>
      <c r="AT138" s="1115"/>
      <c r="AU138" s="1115"/>
      <c r="AV138" s="1115"/>
      <c r="AW138" s="1115"/>
      <c r="AX138" s="1115"/>
      <c r="AY138" s="1115"/>
      <c r="AZ138" s="1115"/>
      <c r="BA138" s="1115"/>
      <c r="BB138" s="1115"/>
      <c r="BC138" s="1115"/>
      <c r="BD138" s="1115"/>
      <c r="BE138" s="1115"/>
      <c r="BF138" s="1115"/>
      <c r="BG138" s="1115"/>
      <c r="BH138" s="1115"/>
      <c r="BI138" s="1115"/>
      <c r="BJ138" s="1115"/>
      <c r="BK138" s="1115"/>
      <c r="BL138" s="1115"/>
      <c r="BM138" s="1115"/>
      <c r="BN138" s="1115"/>
      <c r="BO138" s="1115"/>
      <c r="BP138" s="1115"/>
      <c r="BQ138" s="1115"/>
      <c r="BR138" s="1115"/>
      <c r="BS138" s="1115"/>
      <c r="BT138" s="1115"/>
      <c r="BU138" s="1115"/>
      <c r="BV138" s="1115"/>
      <c r="BW138" s="1115"/>
      <c r="BX138" s="1115"/>
      <c r="BY138" s="1115"/>
      <c r="BZ138" s="1115"/>
      <c r="CA138" s="1115"/>
      <c r="CB138" s="1115"/>
      <c r="CC138" s="1115"/>
      <c r="CD138" s="1115"/>
      <c r="CE138" s="1115"/>
      <c r="CF138" s="1115"/>
      <c r="CG138" s="1115"/>
      <c r="CH138" s="1115"/>
      <c r="CI138" s="1115"/>
      <c r="CJ138" s="1115"/>
      <c r="CK138" s="1115"/>
      <c r="CL138" s="1115"/>
    </row>
    <row r="139" spans="1:90" ht="14.4">
      <c r="A139" s="963">
        <v>7545</v>
      </c>
      <c r="B139" s="963" t="s">
        <v>2833</v>
      </c>
      <c r="C139" s="963"/>
      <c r="D139" s="963"/>
      <c r="E139" s="963"/>
      <c r="F139" s="963"/>
      <c r="G139" s="963"/>
      <c r="H139" s="963"/>
      <c r="I139" s="963"/>
      <c r="J139" s="1233">
        <v>0</v>
      </c>
      <c r="K139" s="1233">
        <v>0</v>
      </c>
      <c r="L139" s="1115"/>
      <c r="M139" s="1115"/>
      <c r="N139" s="1115"/>
      <c r="O139" s="1115"/>
      <c r="P139" s="1115"/>
      <c r="Q139" s="1115"/>
      <c r="R139" s="1115"/>
      <c r="S139" s="1115"/>
      <c r="T139" s="1115"/>
      <c r="U139" s="1115"/>
      <c r="V139" s="1115"/>
      <c r="W139" s="1115"/>
      <c r="X139" s="1115"/>
      <c r="Y139" s="1115"/>
      <c r="Z139" s="1115"/>
      <c r="AA139" s="1115"/>
      <c r="AB139" s="1115"/>
      <c r="AC139" s="1115"/>
      <c r="AD139" s="1115"/>
      <c r="AE139" s="1115"/>
      <c r="AF139" s="1115"/>
      <c r="AG139" s="1115"/>
      <c r="AH139" s="1115"/>
      <c r="AI139" s="1115"/>
      <c r="AJ139" s="1115"/>
      <c r="AK139" s="1115"/>
      <c r="AL139" s="1115"/>
      <c r="AM139" s="1115"/>
      <c r="AN139" s="1115"/>
      <c r="AO139" s="1115"/>
      <c r="AP139" s="1115"/>
      <c r="AQ139" s="1115"/>
      <c r="AR139" s="1115"/>
      <c r="AS139" s="1115"/>
      <c r="AT139" s="1115"/>
      <c r="AU139" s="1115"/>
      <c r="AV139" s="1115"/>
      <c r="AW139" s="1115"/>
      <c r="AX139" s="1115"/>
      <c r="AY139" s="1115"/>
      <c r="AZ139" s="1115"/>
      <c r="BA139" s="1115"/>
      <c r="BB139" s="1115"/>
      <c r="BC139" s="1115"/>
      <c r="BD139" s="1115"/>
      <c r="BE139" s="1115"/>
      <c r="BF139" s="1115"/>
      <c r="BG139" s="1115"/>
      <c r="BH139" s="1115"/>
      <c r="BI139" s="1115"/>
      <c r="BJ139" s="1115"/>
      <c r="BK139" s="1115"/>
      <c r="BL139" s="1115"/>
      <c r="BM139" s="1115"/>
      <c r="BN139" s="1115"/>
      <c r="BO139" s="1115"/>
      <c r="BP139" s="1115"/>
      <c r="BQ139" s="1115"/>
      <c r="BR139" s="1115"/>
      <c r="BS139" s="1115"/>
      <c r="BT139" s="1115"/>
      <c r="BU139" s="1115"/>
      <c r="BV139" s="1115"/>
      <c r="BW139" s="1115"/>
      <c r="BX139" s="1115"/>
      <c r="BY139" s="1115"/>
      <c r="BZ139" s="1115"/>
      <c r="CA139" s="1115"/>
      <c r="CB139" s="1115"/>
      <c r="CC139" s="1115"/>
      <c r="CD139" s="1115"/>
      <c r="CE139" s="1115"/>
      <c r="CF139" s="1115"/>
      <c r="CG139" s="1115"/>
      <c r="CH139" s="1115"/>
      <c r="CI139" s="1115"/>
      <c r="CJ139" s="1115"/>
      <c r="CK139" s="1115"/>
      <c r="CL139" s="1115"/>
    </row>
    <row r="140" spans="1:90" ht="14.4">
      <c r="A140" s="1115"/>
      <c r="B140" s="1116" t="s">
        <v>2822</v>
      </c>
      <c r="C140" s="1134">
        <v>-220963.11</v>
      </c>
      <c r="D140" s="1134">
        <v>20749.28</v>
      </c>
      <c r="E140" s="1134">
        <v>20721.3</v>
      </c>
      <c r="F140" s="1134">
        <v>30209.54</v>
      </c>
      <c r="G140" s="1134">
        <v>37139.25</v>
      </c>
      <c r="H140" s="1134">
        <v>38077.81</v>
      </c>
      <c r="I140" s="1134">
        <v>23913.1</v>
      </c>
      <c r="J140" s="1234">
        <v>33211.78</v>
      </c>
      <c r="K140" s="1234">
        <v>53.13</v>
      </c>
      <c r="L140" s="1115"/>
      <c r="M140" s="1115"/>
      <c r="N140" s="1115"/>
      <c r="O140" s="1115"/>
      <c r="P140" s="1115"/>
      <c r="Q140" s="1115"/>
      <c r="R140" s="1115"/>
      <c r="S140" s="1115"/>
      <c r="T140" s="1115"/>
      <c r="U140" s="1115"/>
      <c r="V140" s="1115"/>
      <c r="W140" s="1115"/>
      <c r="X140" s="1115"/>
      <c r="Y140" s="1115"/>
      <c r="Z140" s="1115"/>
      <c r="AA140" s="1115"/>
      <c r="AB140" s="1115"/>
      <c r="AC140" s="1115"/>
      <c r="AD140" s="1115"/>
      <c r="AE140" s="1115"/>
      <c r="AF140" s="1115"/>
      <c r="AG140" s="1115"/>
      <c r="AH140" s="1115"/>
      <c r="AI140" s="1115"/>
      <c r="AJ140" s="1115"/>
      <c r="AK140" s="1115"/>
      <c r="AL140" s="1115"/>
      <c r="AM140" s="1115"/>
      <c r="AN140" s="1115"/>
      <c r="AO140" s="1115"/>
      <c r="AP140" s="1115"/>
      <c r="AQ140" s="1115"/>
      <c r="AR140" s="1115"/>
      <c r="AS140" s="1115"/>
      <c r="AT140" s="1115"/>
      <c r="AU140" s="1115"/>
      <c r="AV140" s="1115"/>
      <c r="AW140" s="1115"/>
      <c r="AX140" s="1115"/>
      <c r="AY140" s="1115"/>
      <c r="AZ140" s="1115"/>
      <c r="BA140" s="1115"/>
      <c r="BB140" s="1115"/>
      <c r="BC140" s="1115"/>
      <c r="BD140" s="1115"/>
      <c r="BE140" s="1115"/>
      <c r="BF140" s="1115"/>
      <c r="BG140" s="1115"/>
      <c r="BH140" s="1115"/>
      <c r="BI140" s="1115"/>
      <c r="BJ140" s="1115"/>
      <c r="BK140" s="1115"/>
      <c r="BL140" s="1115"/>
      <c r="BM140" s="1115"/>
      <c r="BN140" s="1115"/>
      <c r="BO140" s="1115"/>
      <c r="BP140" s="1115"/>
      <c r="BQ140" s="1115"/>
      <c r="BR140" s="1115"/>
      <c r="BS140" s="1115"/>
      <c r="BT140" s="1115"/>
      <c r="BU140" s="1115"/>
      <c r="BV140" s="1115"/>
      <c r="BW140" s="1115"/>
      <c r="BX140" s="1115"/>
      <c r="BY140" s="1115"/>
      <c r="BZ140" s="1115"/>
      <c r="CA140" s="1115"/>
      <c r="CB140" s="1115"/>
      <c r="CC140" s="1115"/>
      <c r="CD140" s="1115"/>
      <c r="CE140" s="1115"/>
      <c r="CF140" s="1115"/>
      <c r="CG140" s="1115"/>
      <c r="CH140" s="1115"/>
      <c r="CI140" s="1115"/>
      <c r="CJ140" s="1115"/>
      <c r="CK140" s="1115"/>
      <c r="CL140" s="1115"/>
    </row>
    <row r="141" spans="1:90" ht="14.4">
      <c r="A141" s="1115"/>
      <c r="B141" s="963"/>
      <c r="C141" s="963"/>
      <c r="D141" s="963"/>
      <c r="E141" s="963"/>
      <c r="F141" s="963"/>
      <c r="G141" s="963"/>
      <c r="H141" s="963"/>
      <c r="I141" s="963"/>
      <c r="L141" s="1115"/>
      <c r="M141" s="1115"/>
      <c r="N141" s="1115"/>
      <c r="O141" s="1115"/>
      <c r="P141" s="1115"/>
      <c r="Q141" s="1115"/>
      <c r="R141" s="1115"/>
      <c r="S141" s="1115"/>
      <c r="T141" s="1115"/>
      <c r="U141" s="1115"/>
      <c r="V141" s="1115"/>
      <c r="W141" s="1115"/>
      <c r="X141" s="1115"/>
      <c r="Y141" s="1115"/>
      <c r="Z141" s="1115"/>
      <c r="AA141" s="1115"/>
      <c r="AB141" s="1115"/>
      <c r="AC141" s="1115"/>
      <c r="AD141" s="1115"/>
      <c r="AE141" s="1115"/>
      <c r="AF141" s="1115"/>
      <c r="AG141" s="1115"/>
      <c r="AH141" s="1115"/>
      <c r="AI141" s="1115"/>
      <c r="AJ141" s="1115"/>
      <c r="AK141" s="1115"/>
      <c r="AL141" s="1115"/>
      <c r="AM141" s="1115"/>
      <c r="AN141" s="1115"/>
      <c r="AO141" s="1115"/>
      <c r="AP141" s="1115"/>
      <c r="AQ141" s="1115"/>
      <c r="AR141" s="1115"/>
      <c r="AS141" s="1115"/>
      <c r="AT141" s="1115"/>
      <c r="AU141" s="1115"/>
      <c r="AV141" s="1115"/>
      <c r="AW141" s="1115"/>
      <c r="AX141" s="1115"/>
      <c r="AY141" s="1115"/>
      <c r="AZ141" s="1115"/>
      <c r="BA141" s="1115"/>
      <c r="BB141" s="1115"/>
      <c r="BC141" s="1115"/>
      <c r="BD141" s="1115"/>
      <c r="BE141" s="1115"/>
      <c r="BF141" s="1115"/>
      <c r="BG141" s="1115"/>
      <c r="BH141" s="1115"/>
      <c r="BI141" s="1115"/>
      <c r="BJ141" s="1115"/>
      <c r="BK141" s="1115"/>
      <c r="BL141" s="1115"/>
      <c r="BM141" s="1115"/>
      <c r="BN141" s="1115"/>
      <c r="BO141" s="1115"/>
      <c r="BP141" s="1115"/>
      <c r="BQ141" s="1115"/>
      <c r="BR141" s="1115"/>
      <c r="BS141" s="1115"/>
      <c r="BT141" s="1115"/>
      <c r="BU141" s="1115"/>
      <c r="BV141" s="1115"/>
      <c r="BW141" s="1115"/>
      <c r="BX141" s="1115"/>
      <c r="BY141" s="1115"/>
      <c r="BZ141" s="1115"/>
      <c r="CA141" s="1115"/>
      <c r="CB141" s="1115"/>
      <c r="CC141" s="1115"/>
      <c r="CD141" s="1115"/>
      <c r="CE141" s="1115"/>
      <c r="CF141" s="1115"/>
      <c r="CG141" s="1115"/>
      <c r="CH141" s="1115"/>
      <c r="CI141" s="1115"/>
      <c r="CJ141" s="1115"/>
      <c r="CK141" s="1115"/>
      <c r="CL141" s="1115"/>
    </row>
    <row r="142" spans="1:90" ht="14.4">
      <c r="A142" s="1116" t="s">
        <v>2834</v>
      </c>
      <c r="B142" s="963"/>
      <c r="C142" s="963"/>
      <c r="D142" s="963"/>
      <c r="E142" s="963"/>
      <c r="F142" s="963"/>
      <c r="G142" s="963"/>
      <c r="H142" s="963"/>
      <c r="I142" s="963"/>
      <c r="J142" s="1235"/>
      <c r="K142" s="1235"/>
      <c r="L142" s="1115"/>
      <c r="M142" s="1115"/>
      <c r="N142" s="1115"/>
      <c r="O142" s="1115"/>
      <c r="P142" s="1115"/>
      <c r="Q142" s="1115"/>
      <c r="R142" s="1115"/>
      <c r="S142" s="1115"/>
      <c r="T142" s="1115"/>
      <c r="U142" s="1115"/>
      <c r="V142" s="1115"/>
      <c r="W142" s="1115"/>
      <c r="X142" s="1115"/>
      <c r="Y142" s="1115"/>
      <c r="Z142" s="1115"/>
      <c r="AA142" s="1115"/>
      <c r="AB142" s="1115"/>
      <c r="AC142" s="1115"/>
      <c r="AD142" s="1115"/>
      <c r="AE142" s="1115"/>
      <c r="AF142" s="1115"/>
      <c r="AG142" s="1115"/>
      <c r="AH142" s="1115"/>
      <c r="AI142" s="1115"/>
      <c r="AJ142" s="1115"/>
      <c r="AK142" s="1115"/>
      <c r="AL142" s="1115"/>
      <c r="AM142" s="1115"/>
      <c r="AN142" s="1115"/>
      <c r="AO142" s="1115"/>
      <c r="AP142" s="1115"/>
      <c r="AQ142" s="1115"/>
      <c r="AR142" s="1115"/>
      <c r="AS142" s="1115"/>
      <c r="AT142" s="1115"/>
      <c r="AU142" s="1115"/>
      <c r="AV142" s="1115"/>
      <c r="AW142" s="1115"/>
      <c r="AX142" s="1115"/>
      <c r="AY142" s="1115"/>
      <c r="AZ142" s="1115"/>
      <c r="BA142" s="1115"/>
      <c r="BB142" s="1115"/>
      <c r="BC142" s="1115"/>
      <c r="BD142" s="1115"/>
      <c r="BE142" s="1115"/>
      <c r="BF142" s="1115"/>
      <c r="BG142" s="1115"/>
      <c r="BH142" s="1115"/>
      <c r="BI142" s="1115"/>
      <c r="BJ142" s="1115"/>
      <c r="BK142" s="1115"/>
      <c r="BL142" s="1115"/>
      <c r="BM142" s="1115"/>
      <c r="BN142" s="1115"/>
      <c r="BO142" s="1115"/>
      <c r="BP142" s="1115"/>
      <c r="BQ142" s="1115"/>
      <c r="BR142" s="1115"/>
      <c r="BS142" s="1115"/>
      <c r="BT142" s="1115"/>
      <c r="BU142" s="1115"/>
      <c r="BV142" s="1115"/>
      <c r="BW142" s="1115"/>
      <c r="BX142" s="1115"/>
      <c r="BY142" s="1115"/>
      <c r="BZ142" s="1115"/>
      <c r="CA142" s="1115"/>
      <c r="CB142" s="1115"/>
      <c r="CC142" s="1115"/>
      <c r="CD142" s="1115"/>
      <c r="CE142" s="1115"/>
      <c r="CF142" s="1115"/>
      <c r="CG142" s="1115"/>
      <c r="CH142" s="1115"/>
      <c r="CI142" s="1115"/>
      <c r="CJ142" s="1115"/>
      <c r="CK142" s="1115"/>
      <c r="CL142" s="1115"/>
    </row>
    <row r="143" spans="1:90" ht="14.4">
      <c r="A143" s="963">
        <v>7604</v>
      </c>
      <c r="B143" s="963" t="s">
        <v>2835</v>
      </c>
      <c r="C143" s="965">
        <v>27486.2</v>
      </c>
      <c r="D143" s="965">
        <v>15643.89</v>
      </c>
      <c r="E143" s="965">
        <v>9446.59</v>
      </c>
      <c r="F143" s="965">
        <v>12295.29</v>
      </c>
      <c r="G143" s="965">
        <v>23950.29</v>
      </c>
      <c r="H143" s="965">
        <v>14463.66</v>
      </c>
      <c r="I143" s="965">
        <v>13266.07</v>
      </c>
      <c r="J143" s="1233">
        <v>14758.79</v>
      </c>
      <c r="K143" s="1233">
        <v>-6150</v>
      </c>
      <c r="L143" s="1115"/>
      <c r="M143" s="1115"/>
      <c r="N143" s="1115"/>
      <c r="O143" s="1115"/>
      <c r="P143" s="1115"/>
      <c r="Q143" s="1115"/>
      <c r="R143" s="1115"/>
      <c r="S143" s="1115"/>
      <c r="T143" s="1115"/>
      <c r="U143" s="1115"/>
      <c r="V143" s="1115"/>
      <c r="W143" s="1115"/>
      <c r="X143" s="1115"/>
      <c r="Y143" s="1115"/>
      <c r="Z143" s="1115"/>
      <c r="AA143" s="1115"/>
      <c r="AB143" s="1115"/>
      <c r="AC143" s="1115"/>
      <c r="AD143" s="1115"/>
      <c r="AE143" s="1115"/>
      <c r="AF143" s="1115"/>
      <c r="AG143" s="1115"/>
      <c r="AH143" s="1115"/>
      <c r="AI143" s="1115"/>
      <c r="AJ143" s="1115"/>
      <c r="AK143" s="1115"/>
      <c r="AL143" s="1115"/>
      <c r="AM143" s="1115"/>
      <c r="AN143" s="1115"/>
      <c r="AO143" s="1115"/>
      <c r="AP143" s="1115"/>
      <c r="AQ143" s="1115"/>
      <c r="AR143" s="1115"/>
      <c r="AS143" s="1115"/>
      <c r="AT143" s="1115"/>
      <c r="AU143" s="1115"/>
      <c r="AV143" s="1115"/>
      <c r="AW143" s="1115"/>
      <c r="AX143" s="1115"/>
      <c r="AY143" s="1115"/>
      <c r="AZ143" s="1115"/>
      <c r="BA143" s="1115"/>
      <c r="BB143" s="1115"/>
      <c r="BC143" s="1115"/>
      <c r="BD143" s="1115"/>
      <c r="BE143" s="1115"/>
      <c r="BF143" s="1115"/>
      <c r="BG143" s="1115"/>
      <c r="BH143" s="1115"/>
      <c r="BI143" s="1115"/>
      <c r="BJ143" s="1115"/>
      <c r="BK143" s="1115"/>
      <c r="BL143" s="1115"/>
      <c r="BM143" s="1115"/>
      <c r="BN143" s="1115"/>
      <c r="BO143" s="1115"/>
      <c r="BP143" s="1115"/>
      <c r="BQ143" s="1115"/>
      <c r="BR143" s="1115"/>
      <c r="BS143" s="1115"/>
      <c r="BT143" s="1115"/>
      <c r="BU143" s="1115"/>
      <c r="BV143" s="1115"/>
      <c r="BW143" s="1115"/>
      <c r="BX143" s="1115"/>
      <c r="BY143" s="1115"/>
      <c r="BZ143" s="1115"/>
      <c r="CA143" s="1115"/>
      <c r="CB143" s="1115"/>
      <c r="CC143" s="1115"/>
      <c r="CD143" s="1115"/>
      <c r="CE143" s="1115"/>
      <c r="CF143" s="1115"/>
      <c r="CG143" s="1115"/>
      <c r="CH143" s="1115"/>
      <c r="CI143" s="1115"/>
      <c r="CJ143" s="1115"/>
      <c r="CK143" s="1115"/>
      <c r="CL143" s="1115"/>
    </row>
    <row r="144" spans="1:90" ht="14.4">
      <c r="A144" s="963">
        <v>7608</v>
      </c>
      <c r="B144" s="963" t="s">
        <v>2836</v>
      </c>
      <c r="C144" s="963">
        <v>0</v>
      </c>
      <c r="D144" s="963">
        <v>107.68</v>
      </c>
      <c r="E144" s="963">
        <v>104.85</v>
      </c>
      <c r="F144" s="963">
        <v>106.23</v>
      </c>
      <c r="G144" s="963">
        <v>106.23</v>
      </c>
      <c r="H144" s="963">
        <v>104.85</v>
      </c>
      <c r="I144" s="963">
        <v>104.85</v>
      </c>
      <c r="J144" s="1233">
        <v>71.17</v>
      </c>
      <c r="K144" s="1233">
        <v>0</v>
      </c>
      <c r="L144" s="1115"/>
      <c r="M144" s="1115"/>
      <c r="N144" s="1115"/>
      <c r="O144" s="1115"/>
      <c r="P144" s="1115"/>
      <c r="Q144" s="1115"/>
      <c r="R144" s="1115"/>
      <c r="S144" s="1115"/>
      <c r="T144" s="1115"/>
      <c r="U144" s="1115"/>
      <c r="V144" s="1115"/>
      <c r="W144" s="1115"/>
      <c r="X144" s="1115"/>
      <c r="Y144" s="1115"/>
      <c r="Z144" s="1115"/>
      <c r="AA144" s="1115"/>
      <c r="AB144" s="1115"/>
      <c r="AC144" s="1115"/>
      <c r="AD144" s="1115"/>
      <c r="AE144" s="1115"/>
      <c r="AF144" s="1115"/>
      <c r="AG144" s="1115"/>
      <c r="AH144" s="1115"/>
      <c r="AI144" s="1115"/>
      <c r="AJ144" s="1115"/>
      <c r="AK144" s="1115"/>
      <c r="AL144" s="1115"/>
      <c r="AM144" s="1115"/>
      <c r="AN144" s="1115"/>
      <c r="AO144" s="1115"/>
      <c r="AP144" s="1115"/>
      <c r="AQ144" s="1115"/>
      <c r="AR144" s="1115"/>
      <c r="AS144" s="1115"/>
      <c r="AT144" s="1115"/>
      <c r="AU144" s="1115"/>
      <c r="AV144" s="1115"/>
      <c r="AW144" s="1115"/>
      <c r="AX144" s="1115"/>
      <c r="AY144" s="1115"/>
      <c r="AZ144" s="1115"/>
      <c r="BA144" s="1115"/>
      <c r="BB144" s="1115"/>
      <c r="BC144" s="1115"/>
      <c r="BD144" s="1115"/>
      <c r="BE144" s="1115"/>
      <c r="BF144" s="1115"/>
      <c r="BG144" s="1115"/>
      <c r="BH144" s="1115"/>
      <c r="BI144" s="1115"/>
      <c r="BJ144" s="1115"/>
      <c r="BK144" s="1115"/>
      <c r="BL144" s="1115"/>
      <c r="BM144" s="1115"/>
      <c r="BN144" s="1115"/>
      <c r="BO144" s="1115"/>
      <c r="BP144" s="1115"/>
      <c r="BQ144" s="1115"/>
      <c r="BR144" s="1115"/>
      <c r="BS144" s="1115"/>
      <c r="BT144" s="1115"/>
      <c r="BU144" s="1115"/>
      <c r="BV144" s="1115"/>
      <c r="BW144" s="1115"/>
      <c r="BX144" s="1115"/>
      <c r="BY144" s="1115"/>
      <c r="BZ144" s="1115"/>
      <c r="CA144" s="1115"/>
      <c r="CB144" s="1115"/>
      <c r="CC144" s="1115"/>
      <c r="CD144" s="1115"/>
      <c r="CE144" s="1115"/>
      <c r="CF144" s="1115"/>
      <c r="CG144" s="1115"/>
      <c r="CH144" s="1115"/>
      <c r="CI144" s="1115"/>
      <c r="CJ144" s="1115"/>
      <c r="CK144" s="1115"/>
      <c r="CL144" s="1115"/>
    </row>
    <row r="145" spans="1:90" ht="14.4">
      <c r="A145" s="963">
        <v>7616</v>
      </c>
      <c r="B145" s="963" t="s">
        <v>2837</v>
      </c>
      <c r="C145" s="963">
        <v>0</v>
      </c>
      <c r="D145" s="963">
        <v>0</v>
      </c>
      <c r="E145" s="963">
        <v>0</v>
      </c>
      <c r="F145" s="965">
        <v>4123.03</v>
      </c>
      <c r="G145" s="963">
        <v>0</v>
      </c>
      <c r="H145" s="963">
        <v>0</v>
      </c>
      <c r="I145" s="963">
        <v>0</v>
      </c>
      <c r="J145" s="1233">
        <v>0</v>
      </c>
      <c r="K145" s="1233">
        <v>0</v>
      </c>
      <c r="L145" s="1115"/>
      <c r="M145" s="1115"/>
      <c r="N145" s="1115"/>
      <c r="O145" s="1115"/>
      <c r="P145" s="1115"/>
      <c r="Q145" s="1115"/>
      <c r="R145" s="1115"/>
      <c r="S145" s="1115"/>
      <c r="T145" s="1115"/>
      <c r="U145" s="1115"/>
      <c r="V145" s="1115"/>
      <c r="W145" s="1115"/>
      <c r="X145" s="1115"/>
      <c r="Y145" s="1115"/>
      <c r="Z145" s="1115"/>
      <c r="AA145" s="1115"/>
      <c r="AB145" s="1115"/>
      <c r="AC145" s="1115"/>
      <c r="AD145" s="1115"/>
      <c r="AE145" s="1115"/>
      <c r="AF145" s="1115"/>
      <c r="AG145" s="1115"/>
      <c r="AH145" s="1115"/>
      <c r="AI145" s="1115"/>
      <c r="AJ145" s="1115"/>
      <c r="AK145" s="1115"/>
      <c r="AL145" s="1115"/>
      <c r="AM145" s="1115"/>
      <c r="AN145" s="1115"/>
      <c r="AO145" s="1115"/>
      <c r="AP145" s="1115"/>
      <c r="AQ145" s="1115"/>
      <c r="AR145" s="1115"/>
      <c r="AS145" s="1115"/>
      <c r="AT145" s="1115"/>
      <c r="AU145" s="1115"/>
      <c r="AV145" s="1115"/>
      <c r="AW145" s="1115"/>
      <c r="AX145" s="1115"/>
      <c r="AY145" s="1115"/>
      <c r="AZ145" s="1115"/>
      <c r="BA145" s="1115"/>
      <c r="BB145" s="1115"/>
      <c r="BC145" s="1115"/>
      <c r="BD145" s="1115"/>
      <c r="BE145" s="1115"/>
      <c r="BF145" s="1115"/>
      <c r="BG145" s="1115"/>
      <c r="BH145" s="1115"/>
      <c r="BI145" s="1115"/>
      <c r="BJ145" s="1115"/>
      <c r="BK145" s="1115"/>
      <c r="BL145" s="1115"/>
      <c r="BM145" s="1115"/>
      <c r="BN145" s="1115"/>
      <c r="BO145" s="1115"/>
      <c r="BP145" s="1115"/>
      <c r="BQ145" s="1115"/>
      <c r="BR145" s="1115"/>
      <c r="BS145" s="1115"/>
      <c r="BT145" s="1115"/>
      <c r="BU145" s="1115"/>
      <c r="BV145" s="1115"/>
      <c r="BW145" s="1115"/>
      <c r="BX145" s="1115"/>
      <c r="BY145" s="1115"/>
      <c r="BZ145" s="1115"/>
      <c r="CA145" s="1115"/>
      <c r="CB145" s="1115"/>
      <c r="CC145" s="1115"/>
      <c r="CD145" s="1115"/>
      <c r="CE145" s="1115"/>
      <c r="CF145" s="1115"/>
      <c r="CG145" s="1115"/>
      <c r="CH145" s="1115"/>
      <c r="CI145" s="1115"/>
      <c r="CJ145" s="1115"/>
      <c r="CK145" s="1115"/>
      <c r="CL145" s="1115"/>
    </row>
    <row r="146" spans="1:90" ht="14.4">
      <c r="A146" s="963">
        <v>7625</v>
      </c>
      <c r="B146" s="963" t="s">
        <v>2838</v>
      </c>
      <c r="C146" s="963">
        <v>0</v>
      </c>
      <c r="D146" s="963">
        <v>0</v>
      </c>
      <c r="E146" s="963">
        <v>0</v>
      </c>
      <c r="F146" s="963">
        <v>0</v>
      </c>
      <c r="G146" s="963">
        <v>0</v>
      </c>
      <c r="H146" s="963">
        <v>0</v>
      </c>
      <c r="I146" s="963">
        <v>0</v>
      </c>
      <c r="J146" s="1233">
        <v>388.83</v>
      </c>
      <c r="K146" s="1233">
        <v>0</v>
      </c>
      <c r="L146" s="1115"/>
      <c r="M146" s="1115"/>
      <c r="N146" s="1115"/>
      <c r="O146" s="1115"/>
      <c r="P146" s="1115"/>
      <c r="Q146" s="1115"/>
      <c r="R146" s="1115"/>
      <c r="S146" s="1115"/>
      <c r="T146" s="1115"/>
      <c r="U146" s="1115"/>
      <c r="V146" s="1115"/>
      <c r="W146" s="1115"/>
      <c r="X146" s="1115"/>
      <c r="Y146" s="1115"/>
      <c r="Z146" s="1115"/>
      <c r="AA146" s="1115"/>
      <c r="AB146" s="1115"/>
      <c r="AC146" s="1115"/>
      <c r="AD146" s="1115"/>
      <c r="AE146" s="1115"/>
      <c r="AF146" s="1115"/>
      <c r="AG146" s="1115"/>
      <c r="AH146" s="1115"/>
      <c r="AI146" s="1115"/>
      <c r="AJ146" s="1115"/>
      <c r="AK146" s="1115"/>
      <c r="AL146" s="1115"/>
      <c r="AM146" s="1115"/>
      <c r="AN146" s="1115"/>
      <c r="AO146" s="1115"/>
      <c r="AP146" s="1115"/>
      <c r="AQ146" s="1115"/>
      <c r="AR146" s="1115"/>
      <c r="AS146" s="1115"/>
      <c r="AT146" s="1115"/>
      <c r="AU146" s="1115"/>
      <c r="AV146" s="1115"/>
      <c r="AW146" s="1115"/>
      <c r="AX146" s="1115"/>
      <c r="AY146" s="1115"/>
      <c r="AZ146" s="1115"/>
      <c r="BA146" s="1115"/>
      <c r="BB146" s="1115"/>
      <c r="BC146" s="1115"/>
      <c r="BD146" s="1115"/>
      <c r="BE146" s="1115"/>
      <c r="BF146" s="1115"/>
      <c r="BG146" s="1115"/>
      <c r="BH146" s="1115"/>
      <c r="BI146" s="1115"/>
      <c r="BJ146" s="1115"/>
      <c r="BK146" s="1115"/>
      <c r="BL146" s="1115"/>
      <c r="BM146" s="1115"/>
      <c r="BN146" s="1115"/>
      <c r="BO146" s="1115"/>
      <c r="BP146" s="1115"/>
      <c r="BQ146" s="1115"/>
      <c r="BR146" s="1115"/>
      <c r="BS146" s="1115"/>
      <c r="BT146" s="1115"/>
      <c r="BU146" s="1115"/>
      <c r="BV146" s="1115"/>
      <c r="BW146" s="1115"/>
      <c r="BX146" s="1115"/>
      <c r="BY146" s="1115"/>
      <c r="BZ146" s="1115"/>
      <c r="CA146" s="1115"/>
      <c r="CB146" s="1115"/>
      <c r="CC146" s="1115"/>
      <c r="CD146" s="1115"/>
      <c r="CE146" s="1115"/>
      <c r="CF146" s="1115"/>
      <c r="CG146" s="1115"/>
      <c r="CH146" s="1115"/>
      <c r="CI146" s="1115"/>
      <c r="CJ146" s="1115"/>
      <c r="CK146" s="1115"/>
      <c r="CL146" s="1115"/>
    </row>
    <row r="147" spans="1:90" ht="14.4">
      <c r="A147" s="963">
        <v>7628</v>
      </c>
      <c r="B147" s="963" t="s">
        <v>2839</v>
      </c>
      <c r="C147" s="963">
        <v>0</v>
      </c>
      <c r="D147" s="963">
        <v>399.45</v>
      </c>
      <c r="E147" s="963">
        <v>486.94</v>
      </c>
      <c r="F147" s="963">
        <v>496.84</v>
      </c>
      <c r="G147" s="963">
        <v>797.7</v>
      </c>
      <c r="H147" s="963">
        <v>399.45</v>
      </c>
      <c r="I147" s="963">
        <v>453.76</v>
      </c>
      <c r="J147" s="1233">
        <v>798.9</v>
      </c>
      <c r="K147" s="1233">
        <v>0</v>
      </c>
      <c r="L147" s="1115"/>
      <c r="M147" s="1115"/>
      <c r="N147" s="1115"/>
      <c r="O147" s="1115"/>
      <c r="P147" s="1115"/>
      <c r="Q147" s="1115"/>
      <c r="R147" s="1115"/>
      <c r="S147" s="1115"/>
      <c r="T147" s="1115"/>
      <c r="U147" s="1115"/>
      <c r="V147" s="1115"/>
      <c r="W147" s="1115"/>
      <c r="X147" s="1115"/>
      <c r="Y147" s="1115"/>
      <c r="Z147" s="1115"/>
      <c r="AA147" s="1115"/>
      <c r="AB147" s="1115"/>
      <c r="AC147" s="1115"/>
      <c r="AD147" s="1115"/>
      <c r="AE147" s="1115"/>
      <c r="AF147" s="1115"/>
      <c r="AG147" s="1115"/>
      <c r="AH147" s="1115"/>
      <c r="AI147" s="1115"/>
      <c r="AJ147" s="1115"/>
      <c r="AK147" s="1115"/>
      <c r="AL147" s="1115"/>
      <c r="AM147" s="1115"/>
      <c r="AN147" s="1115"/>
      <c r="AO147" s="1115"/>
      <c r="AP147" s="1115"/>
      <c r="AQ147" s="1115"/>
      <c r="AR147" s="1115"/>
      <c r="AS147" s="1115"/>
      <c r="AT147" s="1115"/>
      <c r="AU147" s="1115"/>
      <c r="AV147" s="1115"/>
      <c r="AW147" s="1115"/>
      <c r="AX147" s="1115"/>
      <c r="AY147" s="1115"/>
      <c r="AZ147" s="1115"/>
      <c r="BA147" s="1115"/>
      <c r="BB147" s="1115"/>
      <c r="BC147" s="1115"/>
      <c r="BD147" s="1115"/>
      <c r="BE147" s="1115"/>
      <c r="BF147" s="1115"/>
      <c r="BG147" s="1115"/>
      <c r="BH147" s="1115"/>
      <c r="BI147" s="1115"/>
      <c r="BJ147" s="1115"/>
      <c r="BK147" s="1115"/>
      <c r="BL147" s="1115"/>
      <c r="BM147" s="1115"/>
      <c r="BN147" s="1115"/>
      <c r="BO147" s="1115"/>
      <c r="BP147" s="1115"/>
      <c r="BQ147" s="1115"/>
      <c r="BR147" s="1115"/>
      <c r="BS147" s="1115"/>
      <c r="BT147" s="1115"/>
      <c r="BU147" s="1115"/>
      <c r="BV147" s="1115"/>
      <c r="BW147" s="1115"/>
      <c r="BX147" s="1115"/>
      <c r="BY147" s="1115"/>
      <c r="BZ147" s="1115"/>
      <c r="CA147" s="1115"/>
      <c r="CB147" s="1115"/>
      <c r="CC147" s="1115"/>
      <c r="CD147" s="1115"/>
      <c r="CE147" s="1115"/>
      <c r="CF147" s="1115"/>
      <c r="CG147" s="1115"/>
      <c r="CH147" s="1115"/>
      <c r="CI147" s="1115"/>
      <c r="CJ147" s="1115"/>
      <c r="CK147" s="1115"/>
      <c r="CL147" s="1115"/>
    </row>
    <row r="148" spans="1:90" ht="14.4">
      <c r="A148" s="963">
        <v>7632</v>
      </c>
      <c r="B148" s="963" t="s">
        <v>2840</v>
      </c>
      <c r="C148" s="963">
        <v>0</v>
      </c>
      <c r="D148" s="965">
        <v>1670.17</v>
      </c>
      <c r="E148" s="963">
        <v>595.05999999999995</v>
      </c>
      <c r="F148" s="965">
        <v>1035.8699999999999</v>
      </c>
      <c r="G148" s="963">
        <v>0</v>
      </c>
      <c r="H148" s="963">
        <v>0</v>
      </c>
      <c r="I148" s="963">
        <v>985.73</v>
      </c>
      <c r="J148" s="1233">
        <v>420.51</v>
      </c>
      <c r="K148" s="1233">
        <v>0</v>
      </c>
      <c r="L148" s="1115"/>
      <c r="M148" s="1115"/>
      <c r="N148" s="1115"/>
      <c r="O148" s="1115"/>
      <c r="P148" s="1115"/>
      <c r="Q148" s="1115"/>
      <c r="R148" s="1115"/>
      <c r="S148" s="1115"/>
      <c r="T148" s="1115"/>
      <c r="U148" s="1115"/>
      <c r="V148" s="1115"/>
      <c r="W148" s="1115"/>
      <c r="X148" s="1115"/>
      <c r="Y148" s="1115"/>
      <c r="Z148" s="1115"/>
      <c r="AA148" s="1115"/>
      <c r="AB148" s="1115"/>
      <c r="AC148" s="1115"/>
      <c r="AD148" s="1115"/>
      <c r="AE148" s="1115"/>
      <c r="AF148" s="1115"/>
      <c r="AG148" s="1115"/>
      <c r="AH148" s="1115"/>
      <c r="AI148" s="1115"/>
      <c r="AJ148" s="1115"/>
      <c r="AK148" s="1115"/>
      <c r="AL148" s="1115"/>
      <c r="AM148" s="1115"/>
      <c r="AN148" s="1115"/>
      <c r="AO148" s="1115"/>
      <c r="AP148" s="1115"/>
      <c r="AQ148" s="1115"/>
      <c r="AR148" s="1115"/>
      <c r="AS148" s="1115"/>
      <c r="AT148" s="1115"/>
      <c r="AU148" s="1115"/>
      <c r="AV148" s="1115"/>
      <c r="AW148" s="1115"/>
      <c r="AX148" s="1115"/>
      <c r="AY148" s="1115"/>
      <c r="AZ148" s="1115"/>
      <c r="BA148" s="1115"/>
      <c r="BB148" s="1115"/>
      <c r="BC148" s="1115"/>
      <c r="BD148" s="1115"/>
      <c r="BE148" s="1115"/>
      <c r="BF148" s="1115"/>
      <c r="BG148" s="1115"/>
      <c r="BH148" s="1115"/>
      <c r="BI148" s="1115"/>
      <c r="BJ148" s="1115"/>
      <c r="BK148" s="1115"/>
      <c r="BL148" s="1115"/>
      <c r="BM148" s="1115"/>
      <c r="BN148" s="1115"/>
      <c r="BO148" s="1115"/>
      <c r="BP148" s="1115"/>
      <c r="BQ148" s="1115"/>
      <c r="BR148" s="1115"/>
      <c r="BS148" s="1115"/>
      <c r="BT148" s="1115"/>
      <c r="BU148" s="1115"/>
      <c r="BV148" s="1115"/>
      <c r="BW148" s="1115"/>
      <c r="BX148" s="1115"/>
      <c r="BY148" s="1115"/>
      <c r="BZ148" s="1115"/>
      <c r="CA148" s="1115"/>
      <c r="CB148" s="1115"/>
      <c r="CC148" s="1115"/>
      <c r="CD148" s="1115"/>
      <c r="CE148" s="1115"/>
      <c r="CF148" s="1115"/>
      <c r="CG148" s="1115"/>
      <c r="CH148" s="1115"/>
      <c r="CI148" s="1115"/>
      <c r="CJ148" s="1115"/>
      <c r="CK148" s="1115"/>
      <c r="CL148" s="1115"/>
    </row>
    <row r="149" spans="1:90" ht="14.4">
      <c r="A149" s="963">
        <v>7650</v>
      </c>
      <c r="B149" s="963" t="s">
        <v>2841</v>
      </c>
      <c r="C149" s="965">
        <v>1000</v>
      </c>
      <c r="D149" s="965">
        <v>2500</v>
      </c>
      <c r="E149" s="963">
        <v>0</v>
      </c>
      <c r="F149" s="963">
        <v>0</v>
      </c>
      <c r="G149" s="963">
        <v>439</v>
      </c>
      <c r="H149" s="963">
        <v>0</v>
      </c>
      <c r="I149" s="963">
        <v>0</v>
      </c>
      <c r="J149" s="1233">
        <v>0</v>
      </c>
      <c r="K149" s="1233">
        <v>782</v>
      </c>
      <c r="L149" s="1115"/>
      <c r="M149" s="1115"/>
      <c r="N149" s="1115"/>
      <c r="O149" s="1115"/>
      <c r="P149" s="1115"/>
      <c r="Q149" s="1115"/>
      <c r="R149" s="1115"/>
      <c r="S149" s="1115"/>
      <c r="T149" s="1115"/>
      <c r="U149" s="1115"/>
      <c r="V149" s="1115"/>
      <c r="W149" s="1115"/>
      <c r="X149" s="1115"/>
      <c r="Y149" s="1115"/>
      <c r="Z149" s="1115"/>
      <c r="AA149" s="1115"/>
      <c r="AB149" s="1115"/>
      <c r="AC149" s="1115"/>
      <c r="AD149" s="1115"/>
      <c r="AE149" s="1115"/>
      <c r="AF149" s="1115"/>
      <c r="AG149" s="1115"/>
      <c r="AH149" s="1115"/>
      <c r="AI149" s="1115"/>
      <c r="AJ149" s="1115"/>
      <c r="AK149" s="1115"/>
      <c r="AL149" s="1115"/>
      <c r="AM149" s="1115"/>
      <c r="AN149" s="1115"/>
      <c r="AO149" s="1115"/>
      <c r="AP149" s="1115"/>
      <c r="AQ149" s="1115"/>
      <c r="AR149" s="1115"/>
      <c r="AS149" s="1115"/>
      <c r="AT149" s="1115"/>
      <c r="AU149" s="1115"/>
      <c r="AV149" s="1115"/>
      <c r="AW149" s="1115"/>
      <c r="AX149" s="1115"/>
      <c r="AY149" s="1115"/>
      <c r="AZ149" s="1115"/>
      <c r="BA149" s="1115"/>
      <c r="BB149" s="1115"/>
      <c r="BC149" s="1115"/>
      <c r="BD149" s="1115"/>
      <c r="BE149" s="1115"/>
      <c r="BF149" s="1115"/>
      <c r="BG149" s="1115"/>
      <c r="BH149" s="1115"/>
      <c r="BI149" s="1115"/>
      <c r="BJ149" s="1115"/>
      <c r="BK149" s="1115"/>
      <c r="BL149" s="1115"/>
      <c r="BM149" s="1115"/>
      <c r="BN149" s="1115"/>
      <c r="BO149" s="1115"/>
      <c r="BP149" s="1115"/>
      <c r="BQ149" s="1115"/>
      <c r="BR149" s="1115"/>
      <c r="BS149" s="1115"/>
      <c r="BT149" s="1115"/>
      <c r="BU149" s="1115"/>
      <c r="BV149" s="1115"/>
      <c r="BW149" s="1115"/>
      <c r="BX149" s="1115"/>
      <c r="BY149" s="1115"/>
      <c r="BZ149" s="1115"/>
      <c r="CA149" s="1115"/>
      <c r="CB149" s="1115"/>
      <c r="CC149" s="1115"/>
      <c r="CD149" s="1115"/>
      <c r="CE149" s="1115"/>
      <c r="CF149" s="1115"/>
      <c r="CG149" s="1115"/>
      <c r="CH149" s="1115"/>
      <c r="CI149" s="1115"/>
      <c r="CJ149" s="1115"/>
      <c r="CK149" s="1115"/>
      <c r="CL149" s="1115"/>
    </row>
    <row r="150" spans="1:90" ht="14.4">
      <c r="A150" s="963">
        <v>7656</v>
      </c>
      <c r="B150" s="963" t="s">
        <v>2842</v>
      </c>
      <c r="C150" s="963">
        <v>0</v>
      </c>
      <c r="D150" s="963">
        <v>75.27</v>
      </c>
      <c r="E150" s="963">
        <v>474.26</v>
      </c>
      <c r="F150" s="963">
        <v>74.260000000000005</v>
      </c>
      <c r="G150" s="963">
        <v>473.28</v>
      </c>
      <c r="H150" s="963">
        <v>274.26</v>
      </c>
      <c r="I150" s="963">
        <v>72.34</v>
      </c>
      <c r="J150" s="1233">
        <v>272.33999999999997</v>
      </c>
      <c r="K150" s="1233">
        <v>0</v>
      </c>
      <c r="L150" s="1115"/>
      <c r="M150" s="1115"/>
      <c r="N150" s="1115"/>
      <c r="O150" s="1115"/>
      <c r="P150" s="1115"/>
      <c r="Q150" s="1115"/>
      <c r="R150" s="1115"/>
      <c r="S150" s="1115"/>
      <c r="T150" s="1115"/>
      <c r="U150" s="1115"/>
      <c r="V150" s="1115"/>
      <c r="W150" s="1115"/>
      <c r="X150" s="1115"/>
      <c r="Y150" s="1115"/>
      <c r="Z150" s="1115"/>
      <c r="AA150" s="1115"/>
      <c r="AB150" s="1115"/>
      <c r="AC150" s="1115"/>
      <c r="AD150" s="1115"/>
      <c r="AE150" s="1115"/>
      <c r="AF150" s="1115"/>
      <c r="AG150" s="1115"/>
      <c r="AH150" s="1115"/>
      <c r="AI150" s="1115"/>
      <c r="AJ150" s="1115"/>
      <c r="AK150" s="1115"/>
      <c r="AL150" s="1115"/>
      <c r="AM150" s="1115"/>
      <c r="AN150" s="1115"/>
      <c r="AO150" s="1115"/>
      <c r="AP150" s="1115"/>
      <c r="AQ150" s="1115"/>
      <c r="AR150" s="1115"/>
      <c r="AS150" s="1115"/>
      <c r="AT150" s="1115"/>
      <c r="AU150" s="1115"/>
      <c r="AV150" s="1115"/>
      <c r="AW150" s="1115"/>
      <c r="AX150" s="1115"/>
      <c r="AY150" s="1115"/>
      <c r="AZ150" s="1115"/>
      <c r="BA150" s="1115"/>
      <c r="BB150" s="1115"/>
      <c r="BC150" s="1115"/>
      <c r="BD150" s="1115"/>
      <c r="BE150" s="1115"/>
      <c r="BF150" s="1115"/>
      <c r="BG150" s="1115"/>
      <c r="BH150" s="1115"/>
      <c r="BI150" s="1115"/>
      <c r="BJ150" s="1115"/>
      <c r="BK150" s="1115"/>
      <c r="BL150" s="1115"/>
      <c r="BM150" s="1115"/>
      <c r="BN150" s="1115"/>
      <c r="BO150" s="1115"/>
      <c r="BP150" s="1115"/>
      <c r="BQ150" s="1115"/>
      <c r="BR150" s="1115"/>
      <c r="BS150" s="1115"/>
      <c r="BT150" s="1115"/>
      <c r="BU150" s="1115"/>
      <c r="BV150" s="1115"/>
      <c r="BW150" s="1115"/>
      <c r="BX150" s="1115"/>
      <c r="BY150" s="1115"/>
      <c r="BZ150" s="1115"/>
      <c r="CA150" s="1115"/>
      <c r="CB150" s="1115"/>
      <c r="CC150" s="1115"/>
      <c r="CD150" s="1115"/>
      <c r="CE150" s="1115"/>
      <c r="CF150" s="1115"/>
      <c r="CG150" s="1115"/>
      <c r="CH150" s="1115"/>
      <c r="CI150" s="1115"/>
      <c r="CJ150" s="1115"/>
      <c r="CK150" s="1115"/>
      <c r="CL150" s="1115"/>
    </row>
    <row r="151" spans="1:90" ht="14.4">
      <c r="A151" s="963">
        <v>7660</v>
      </c>
      <c r="B151" s="963" t="s">
        <v>2843</v>
      </c>
      <c r="C151" s="963">
        <v>575.05999999999995</v>
      </c>
      <c r="D151" s="963">
        <v>196.03</v>
      </c>
      <c r="E151" s="963">
        <v>635.69000000000005</v>
      </c>
      <c r="F151" s="963">
        <v>925.37</v>
      </c>
      <c r="G151" s="963">
        <v>317.07</v>
      </c>
      <c r="H151" s="963">
        <v>873.33</v>
      </c>
      <c r="I151" s="965">
        <v>1003.11</v>
      </c>
      <c r="J151" s="1233">
        <v>328.12</v>
      </c>
      <c r="K151" s="1233">
        <v>0</v>
      </c>
      <c r="L151" s="1115"/>
      <c r="M151" s="1115"/>
      <c r="N151" s="1115"/>
      <c r="O151" s="1115"/>
      <c r="P151" s="1115"/>
      <c r="Q151" s="1115"/>
      <c r="R151" s="1115"/>
      <c r="S151" s="1115"/>
      <c r="T151" s="1115"/>
      <c r="U151" s="1115"/>
      <c r="V151" s="1115"/>
      <c r="W151" s="1115"/>
      <c r="X151" s="1115"/>
      <c r="Y151" s="1115"/>
      <c r="Z151" s="1115"/>
      <c r="AA151" s="1115"/>
      <c r="AB151" s="1115"/>
      <c r="AC151" s="1115"/>
      <c r="AD151" s="1115"/>
      <c r="AE151" s="1115"/>
      <c r="AF151" s="1115"/>
      <c r="AG151" s="1115"/>
      <c r="AH151" s="1115"/>
      <c r="AI151" s="1115"/>
      <c r="AJ151" s="1115"/>
      <c r="AK151" s="1115"/>
      <c r="AL151" s="1115"/>
      <c r="AM151" s="1115"/>
      <c r="AN151" s="1115"/>
      <c r="AO151" s="1115"/>
      <c r="AP151" s="1115"/>
      <c r="AQ151" s="1115"/>
      <c r="AR151" s="1115"/>
      <c r="AS151" s="1115"/>
      <c r="AT151" s="1115"/>
      <c r="AU151" s="1115"/>
      <c r="AV151" s="1115"/>
      <c r="AW151" s="1115"/>
      <c r="AX151" s="1115"/>
      <c r="AY151" s="1115"/>
      <c r="AZ151" s="1115"/>
      <c r="BA151" s="1115"/>
      <c r="BB151" s="1115"/>
      <c r="BC151" s="1115"/>
      <c r="BD151" s="1115"/>
      <c r="BE151" s="1115"/>
      <c r="BF151" s="1115"/>
      <c r="BG151" s="1115"/>
      <c r="BH151" s="1115"/>
      <c r="BI151" s="1115"/>
      <c r="BJ151" s="1115"/>
      <c r="BK151" s="1115"/>
      <c r="BL151" s="1115"/>
      <c r="BM151" s="1115"/>
      <c r="BN151" s="1115"/>
      <c r="BO151" s="1115"/>
      <c r="BP151" s="1115"/>
      <c r="BQ151" s="1115"/>
      <c r="BR151" s="1115"/>
      <c r="BS151" s="1115"/>
      <c r="BT151" s="1115"/>
      <c r="BU151" s="1115"/>
      <c r="BV151" s="1115"/>
      <c r="BW151" s="1115"/>
      <c r="BX151" s="1115"/>
      <c r="BY151" s="1115"/>
      <c r="BZ151" s="1115"/>
      <c r="CA151" s="1115"/>
      <c r="CB151" s="1115"/>
      <c r="CC151" s="1115"/>
      <c r="CD151" s="1115"/>
      <c r="CE151" s="1115"/>
      <c r="CF151" s="1115"/>
      <c r="CG151" s="1115"/>
      <c r="CH151" s="1115"/>
      <c r="CI151" s="1115"/>
      <c r="CJ151" s="1115"/>
      <c r="CK151" s="1115"/>
      <c r="CL151" s="1115"/>
    </row>
    <row r="152" spans="1:90" ht="14.4">
      <c r="A152" s="1115"/>
      <c r="B152" s="1116" t="s">
        <v>2834</v>
      </c>
      <c r="C152" s="1134">
        <v>29061.26</v>
      </c>
      <c r="D152" s="1134">
        <v>20592.490000000002</v>
      </c>
      <c r="E152" s="1134">
        <v>11743.39</v>
      </c>
      <c r="F152" s="1134">
        <v>19056.89</v>
      </c>
      <c r="G152" s="1134">
        <v>26083.57</v>
      </c>
      <c r="H152" s="1134">
        <v>16115.55</v>
      </c>
      <c r="I152" s="1134">
        <v>15885.86</v>
      </c>
      <c r="J152" s="1234">
        <v>17038.66</v>
      </c>
      <c r="K152" s="1234">
        <v>-5368</v>
      </c>
      <c r="L152" s="1115"/>
      <c r="M152" s="1115"/>
      <c r="N152" s="1115"/>
      <c r="O152" s="1115"/>
      <c r="P152" s="1115"/>
      <c r="Q152" s="1115"/>
      <c r="R152" s="1115"/>
      <c r="S152" s="1115"/>
      <c r="T152" s="1115"/>
      <c r="U152" s="1115"/>
      <c r="V152" s="1115"/>
      <c r="W152" s="1115"/>
      <c r="X152" s="1115"/>
      <c r="Y152" s="1115"/>
      <c r="Z152" s="1115"/>
      <c r="AA152" s="1115"/>
      <c r="AB152" s="1115"/>
      <c r="AC152" s="1115"/>
      <c r="AD152" s="1115"/>
      <c r="AE152" s="1115"/>
      <c r="AF152" s="1115"/>
      <c r="AG152" s="1115"/>
      <c r="AH152" s="1115"/>
      <c r="AI152" s="1115"/>
      <c r="AJ152" s="1115"/>
      <c r="AK152" s="1115"/>
      <c r="AL152" s="1115"/>
      <c r="AM152" s="1115"/>
      <c r="AN152" s="1115"/>
      <c r="AO152" s="1115"/>
      <c r="AP152" s="1115"/>
      <c r="AQ152" s="1115"/>
      <c r="AR152" s="1115"/>
      <c r="AS152" s="1115"/>
      <c r="AT152" s="1115"/>
      <c r="AU152" s="1115"/>
      <c r="AV152" s="1115"/>
      <c r="AW152" s="1115"/>
      <c r="AX152" s="1115"/>
      <c r="AY152" s="1115"/>
      <c r="AZ152" s="1115"/>
      <c r="BA152" s="1115"/>
      <c r="BB152" s="1115"/>
      <c r="BC152" s="1115"/>
      <c r="BD152" s="1115"/>
      <c r="BE152" s="1115"/>
      <c r="BF152" s="1115"/>
      <c r="BG152" s="1115"/>
      <c r="BH152" s="1115"/>
      <c r="BI152" s="1115"/>
      <c r="BJ152" s="1115"/>
      <c r="BK152" s="1115"/>
      <c r="BL152" s="1115"/>
      <c r="BM152" s="1115"/>
      <c r="BN152" s="1115"/>
      <c r="BO152" s="1115"/>
      <c r="BP152" s="1115"/>
      <c r="BQ152" s="1115"/>
      <c r="BR152" s="1115"/>
      <c r="BS152" s="1115"/>
      <c r="BT152" s="1115"/>
      <c r="BU152" s="1115"/>
      <c r="BV152" s="1115"/>
      <c r="BW152" s="1115"/>
      <c r="BX152" s="1115"/>
      <c r="BY152" s="1115"/>
      <c r="BZ152" s="1115"/>
      <c r="CA152" s="1115"/>
      <c r="CB152" s="1115"/>
      <c r="CC152" s="1115"/>
      <c r="CD152" s="1115"/>
      <c r="CE152" s="1115"/>
      <c r="CF152" s="1115"/>
      <c r="CG152" s="1115"/>
      <c r="CH152" s="1115"/>
      <c r="CI152" s="1115"/>
      <c r="CJ152" s="1115"/>
      <c r="CK152" s="1115"/>
      <c r="CL152" s="1115"/>
    </row>
    <row r="153" spans="1:90" ht="14.4">
      <c r="A153" s="1115"/>
      <c r="B153" s="963"/>
      <c r="C153" s="963"/>
      <c r="D153" s="963"/>
      <c r="E153" s="963"/>
      <c r="F153" s="963"/>
      <c r="G153" s="963"/>
      <c r="H153" s="963"/>
      <c r="I153" s="963"/>
      <c r="L153" s="1115"/>
      <c r="M153" s="1115"/>
      <c r="N153" s="1115"/>
      <c r="O153" s="1115"/>
      <c r="P153" s="1115"/>
      <c r="Q153" s="1115"/>
      <c r="R153" s="1115"/>
      <c r="S153" s="1115"/>
      <c r="T153" s="1115"/>
      <c r="U153" s="1115"/>
      <c r="V153" s="1115"/>
      <c r="W153" s="1115"/>
      <c r="X153" s="1115"/>
      <c r="Y153" s="1115"/>
      <c r="Z153" s="1115"/>
      <c r="AA153" s="1115"/>
      <c r="AB153" s="1115"/>
      <c r="AC153" s="1115"/>
      <c r="AD153" s="1115"/>
      <c r="AE153" s="1115"/>
      <c r="AF153" s="1115"/>
      <c r="AG153" s="1115"/>
      <c r="AH153" s="1115"/>
      <c r="AI153" s="1115"/>
      <c r="AJ153" s="1115"/>
      <c r="AK153" s="1115"/>
      <c r="AL153" s="1115"/>
      <c r="AM153" s="1115"/>
      <c r="AN153" s="1115"/>
      <c r="AO153" s="1115"/>
      <c r="AP153" s="1115"/>
      <c r="AQ153" s="1115"/>
      <c r="AR153" s="1115"/>
      <c r="AS153" s="1115"/>
      <c r="AT153" s="1115"/>
      <c r="AU153" s="1115"/>
      <c r="AV153" s="1115"/>
      <c r="AW153" s="1115"/>
      <c r="AX153" s="1115"/>
      <c r="AY153" s="1115"/>
      <c r="AZ153" s="1115"/>
      <c r="BA153" s="1115"/>
      <c r="BB153" s="1115"/>
      <c r="BC153" s="1115"/>
      <c r="BD153" s="1115"/>
      <c r="BE153" s="1115"/>
      <c r="BF153" s="1115"/>
      <c r="BG153" s="1115"/>
      <c r="BH153" s="1115"/>
      <c r="BI153" s="1115"/>
      <c r="BJ153" s="1115"/>
      <c r="BK153" s="1115"/>
      <c r="BL153" s="1115"/>
      <c r="BM153" s="1115"/>
      <c r="BN153" s="1115"/>
      <c r="BO153" s="1115"/>
      <c r="BP153" s="1115"/>
      <c r="BQ153" s="1115"/>
      <c r="BR153" s="1115"/>
      <c r="BS153" s="1115"/>
      <c r="BT153" s="1115"/>
      <c r="BU153" s="1115"/>
      <c r="BV153" s="1115"/>
      <c r="BW153" s="1115"/>
      <c r="BX153" s="1115"/>
      <c r="BY153" s="1115"/>
      <c r="BZ153" s="1115"/>
      <c r="CA153" s="1115"/>
      <c r="CB153" s="1115"/>
      <c r="CC153" s="1115"/>
      <c r="CD153" s="1115"/>
      <c r="CE153" s="1115"/>
      <c r="CF153" s="1115"/>
      <c r="CG153" s="1115"/>
      <c r="CH153" s="1115"/>
      <c r="CI153" s="1115"/>
      <c r="CJ153" s="1115"/>
      <c r="CK153" s="1115"/>
      <c r="CL153" s="1115"/>
    </row>
    <row r="154" spans="1:90" ht="14.4">
      <c r="A154" s="1116" t="s">
        <v>2844</v>
      </c>
      <c r="B154" s="963"/>
      <c r="C154" s="963"/>
      <c r="D154" s="963"/>
      <c r="E154" s="963"/>
      <c r="F154" s="963"/>
      <c r="G154" s="963"/>
      <c r="H154" s="963"/>
      <c r="I154" s="963"/>
      <c r="J154" s="1235"/>
      <c r="K154" s="1235"/>
      <c r="L154" s="1115"/>
      <c r="M154" s="1115"/>
      <c r="N154" s="1115"/>
      <c r="O154" s="1115"/>
      <c r="P154" s="1115"/>
      <c r="Q154" s="1115"/>
      <c r="R154" s="1115"/>
      <c r="S154" s="1115"/>
      <c r="T154" s="1115"/>
      <c r="U154" s="1115"/>
      <c r="V154" s="1115"/>
      <c r="W154" s="1115"/>
      <c r="X154" s="1115"/>
      <c r="Y154" s="1115"/>
      <c r="Z154" s="1115"/>
      <c r="AA154" s="1115"/>
      <c r="AB154" s="1115"/>
      <c r="AC154" s="1115"/>
      <c r="AD154" s="1115"/>
      <c r="AE154" s="1115"/>
      <c r="AF154" s="1115"/>
      <c r="AG154" s="1115"/>
      <c r="AH154" s="1115"/>
      <c r="AI154" s="1115"/>
      <c r="AJ154" s="1115"/>
      <c r="AK154" s="1115"/>
      <c r="AL154" s="1115"/>
      <c r="AM154" s="1115"/>
      <c r="AN154" s="1115"/>
      <c r="AO154" s="1115"/>
      <c r="AP154" s="1115"/>
      <c r="AQ154" s="1115"/>
      <c r="AR154" s="1115"/>
      <c r="AS154" s="1115"/>
      <c r="AT154" s="1115"/>
      <c r="AU154" s="1115"/>
      <c r="AV154" s="1115"/>
      <c r="AW154" s="1115"/>
      <c r="AX154" s="1115"/>
      <c r="AY154" s="1115"/>
      <c r="AZ154" s="1115"/>
      <c r="BA154" s="1115"/>
      <c r="BB154" s="1115"/>
      <c r="BC154" s="1115"/>
      <c r="BD154" s="1115"/>
      <c r="BE154" s="1115"/>
      <c r="BF154" s="1115"/>
      <c r="BG154" s="1115"/>
      <c r="BH154" s="1115"/>
      <c r="BI154" s="1115"/>
      <c r="BJ154" s="1115"/>
      <c r="BK154" s="1115"/>
      <c r="BL154" s="1115"/>
      <c r="BM154" s="1115"/>
      <c r="BN154" s="1115"/>
      <c r="BO154" s="1115"/>
      <c r="BP154" s="1115"/>
      <c r="BQ154" s="1115"/>
      <c r="BR154" s="1115"/>
      <c r="BS154" s="1115"/>
      <c r="BT154" s="1115"/>
      <c r="BU154" s="1115"/>
      <c r="BV154" s="1115"/>
      <c r="BW154" s="1115"/>
      <c r="BX154" s="1115"/>
      <c r="BY154" s="1115"/>
      <c r="BZ154" s="1115"/>
      <c r="CA154" s="1115"/>
      <c r="CB154" s="1115"/>
      <c r="CC154" s="1115"/>
      <c r="CD154" s="1115"/>
      <c r="CE154" s="1115"/>
      <c r="CF154" s="1115"/>
      <c r="CG154" s="1115"/>
      <c r="CH154" s="1115"/>
      <c r="CI154" s="1115"/>
      <c r="CJ154" s="1115"/>
      <c r="CK154" s="1115"/>
      <c r="CL154" s="1115"/>
    </row>
    <row r="155" spans="1:90" ht="14.4">
      <c r="A155" s="963">
        <v>7704</v>
      </c>
      <c r="B155" s="963" t="s">
        <v>2845</v>
      </c>
      <c r="C155" s="963">
        <v>824.14</v>
      </c>
      <c r="D155" s="965">
        <v>1500</v>
      </c>
      <c r="E155" s="963">
        <v>799.51</v>
      </c>
      <c r="F155" s="965">
        <v>2024.16</v>
      </c>
      <c r="G155" s="965">
        <v>3672.85</v>
      </c>
      <c r="H155" s="965">
        <v>1738.44</v>
      </c>
      <c r="I155" s="965">
        <v>2444.8000000000002</v>
      </c>
      <c r="J155" s="1233">
        <v>2263.23</v>
      </c>
      <c r="K155" s="1233">
        <v>0</v>
      </c>
      <c r="L155" s="1115"/>
      <c r="M155" s="1115"/>
      <c r="N155" s="1115"/>
      <c r="O155" s="1115"/>
      <c r="P155" s="1115"/>
      <c r="Q155" s="1115"/>
      <c r="R155" s="1115"/>
      <c r="S155" s="1115"/>
      <c r="T155" s="1115"/>
      <c r="U155" s="1115"/>
      <c r="V155" s="1115"/>
      <c r="W155" s="1115"/>
      <c r="X155" s="1115"/>
      <c r="Y155" s="1115"/>
      <c r="Z155" s="1115"/>
      <c r="AA155" s="1115"/>
      <c r="AB155" s="1115"/>
      <c r="AC155" s="1115"/>
      <c r="AD155" s="1115"/>
      <c r="AE155" s="1115"/>
      <c r="AF155" s="1115"/>
      <c r="AG155" s="1115"/>
      <c r="AH155" s="1115"/>
      <c r="AI155" s="1115"/>
      <c r="AJ155" s="1115"/>
      <c r="AK155" s="1115"/>
      <c r="AL155" s="1115"/>
      <c r="AM155" s="1115"/>
      <c r="AN155" s="1115"/>
      <c r="AO155" s="1115"/>
      <c r="AP155" s="1115"/>
      <c r="AQ155" s="1115"/>
      <c r="AR155" s="1115"/>
      <c r="AS155" s="1115"/>
      <c r="AT155" s="1115"/>
      <c r="AU155" s="1115"/>
      <c r="AV155" s="1115"/>
      <c r="AW155" s="1115"/>
      <c r="AX155" s="1115"/>
      <c r="AY155" s="1115"/>
      <c r="AZ155" s="1115"/>
      <c r="BA155" s="1115"/>
      <c r="BB155" s="1115"/>
      <c r="BC155" s="1115"/>
      <c r="BD155" s="1115"/>
      <c r="BE155" s="1115"/>
      <c r="BF155" s="1115"/>
      <c r="BG155" s="1115"/>
      <c r="BH155" s="1115"/>
      <c r="BI155" s="1115"/>
      <c r="BJ155" s="1115"/>
      <c r="BK155" s="1115"/>
      <c r="BL155" s="1115"/>
      <c r="BM155" s="1115"/>
      <c r="BN155" s="1115"/>
      <c r="BO155" s="1115"/>
      <c r="BP155" s="1115"/>
      <c r="BQ155" s="1115"/>
      <c r="BR155" s="1115"/>
      <c r="BS155" s="1115"/>
      <c r="BT155" s="1115"/>
      <c r="BU155" s="1115"/>
      <c r="BV155" s="1115"/>
      <c r="BW155" s="1115"/>
      <c r="BX155" s="1115"/>
      <c r="BY155" s="1115"/>
      <c r="BZ155" s="1115"/>
      <c r="CA155" s="1115"/>
      <c r="CB155" s="1115"/>
      <c r="CC155" s="1115"/>
      <c r="CD155" s="1115"/>
      <c r="CE155" s="1115"/>
      <c r="CF155" s="1115"/>
      <c r="CG155" s="1115"/>
      <c r="CH155" s="1115"/>
      <c r="CI155" s="1115"/>
      <c r="CJ155" s="1115"/>
      <c r="CK155" s="1115"/>
      <c r="CL155" s="1115"/>
    </row>
    <row r="156" spans="1:90" ht="14.4">
      <c r="A156" s="963">
        <v>7708</v>
      </c>
      <c r="B156" s="963" t="s">
        <v>2846</v>
      </c>
      <c r="C156" s="965">
        <v>1252.7</v>
      </c>
      <c r="D156" s="963">
        <v>17.309999999999999</v>
      </c>
      <c r="E156" s="963">
        <v>7.57</v>
      </c>
      <c r="F156" s="963">
        <v>38.96</v>
      </c>
      <c r="G156" s="963">
        <v>0</v>
      </c>
      <c r="H156" s="963">
        <v>271.47000000000003</v>
      </c>
      <c r="I156" s="963">
        <v>19.46</v>
      </c>
      <c r="J156" s="1233">
        <v>30.08</v>
      </c>
      <c r="K156" s="1233">
        <v>0</v>
      </c>
      <c r="L156" s="1115"/>
      <c r="M156" s="1115"/>
      <c r="N156" s="1115"/>
      <c r="O156" s="1115"/>
      <c r="P156" s="1115"/>
      <c r="Q156" s="1115"/>
      <c r="R156" s="1115"/>
      <c r="S156" s="1115"/>
      <c r="T156" s="1115"/>
      <c r="U156" s="1115"/>
      <c r="V156" s="1115"/>
      <c r="W156" s="1115"/>
      <c r="X156" s="1115"/>
      <c r="Y156" s="1115"/>
      <c r="Z156" s="1115"/>
      <c r="AA156" s="1115"/>
      <c r="AB156" s="1115"/>
      <c r="AC156" s="1115"/>
      <c r="AD156" s="1115"/>
      <c r="AE156" s="1115"/>
      <c r="AF156" s="1115"/>
      <c r="AG156" s="1115"/>
      <c r="AH156" s="1115"/>
      <c r="AI156" s="1115"/>
      <c r="AJ156" s="1115"/>
      <c r="AK156" s="1115"/>
      <c r="AL156" s="1115"/>
      <c r="AM156" s="1115"/>
      <c r="AN156" s="1115"/>
      <c r="AO156" s="1115"/>
      <c r="AP156" s="1115"/>
      <c r="AQ156" s="1115"/>
      <c r="AR156" s="1115"/>
      <c r="AS156" s="1115"/>
      <c r="AT156" s="1115"/>
      <c r="AU156" s="1115"/>
      <c r="AV156" s="1115"/>
      <c r="AW156" s="1115"/>
      <c r="AX156" s="1115"/>
      <c r="AY156" s="1115"/>
      <c r="AZ156" s="1115"/>
      <c r="BA156" s="1115"/>
      <c r="BB156" s="1115"/>
      <c r="BC156" s="1115"/>
      <c r="BD156" s="1115"/>
      <c r="BE156" s="1115"/>
      <c r="BF156" s="1115"/>
      <c r="BG156" s="1115"/>
      <c r="BH156" s="1115"/>
      <c r="BI156" s="1115"/>
      <c r="BJ156" s="1115"/>
      <c r="BK156" s="1115"/>
      <c r="BL156" s="1115"/>
      <c r="BM156" s="1115"/>
      <c r="BN156" s="1115"/>
      <c r="BO156" s="1115"/>
      <c r="BP156" s="1115"/>
      <c r="BQ156" s="1115"/>
      <c r="BR156" s="1115"/>
      <c r="BS156" s="1115"/>
      <c r="BT156" s="1115"/>
      <c r="BU156" s="1115"/>
      <c r="BV156" s="1115"/>
      <c r="BW156" s="1115"/>
      <c r="BX156" s="1115"/>
      <c r="BY156" s="1115"/>
      <c r="BZ156" s="1115"/>
      <c r="CA156" s="1115"/>
      <c r="CB156" s="1115"/>
      <c r="CC156" s="1115"/>
      <c r="CD156" s="1115"/>
      <c r="CE156" s="1115"/>
      <c r="CF156" s="1115"/>
      <c r="CG156" s="1115"/>
      <c r="CH156" s="1115"/>
      <c r="CI156" s="1115"/>
      <c r="CJ156" s="1115"/>
      <c r="CK156" s="1115"/>
      <c r="CL156" s="1115"/>
    </row>
    <row r="157" spans="1:90" ht="14.4">
      <c r="A157" s="963">
        <v>7711</v>
      </c>
      <c r="B157" s="963" t="s">
        <v>2847</v>
      </c>
      <c r="C157" s="963">
        <v>0</v>
      </c>
      <c r="D157" s="963">
        <v>393.77</v>
      </c>
      <c r="E157" s="963">
        <v>252.17</v>
      </c>
      <c r="F157" s="963">
        <v>0</v>
      </c>
      <c r="G157" s="963">
        <v>0</v>
      </c>
      <c r="H157" s="963">
        <v>0</v>
      </c>
      <c r="I157" s="963">
        <v>0</v>
      </c>
      <c r="J157" s="1233">
        <v>0</v>
      </c>
      <c r="K157" s="1233">
        <v>0</v>
      </c>
      <c r="L157" s="1115"/>
      <c r="M157" s="1115"/>
      <c r="N157" s="1115"/>
      <c r="O157" s="1115"/>
      <c r="P157" s="1115"/>
      <c r="Q157" s="1115"/>
      <c r="R157" s="1115"/>
      <c r="S157" s="1115"/>
      <c r="T157" s="1115"/>
      <c r="U157" s="1115"/>
      <c r="V157" s="1115"/>
      <c r="W157" s="1115"/>
      <c r="X157" s="1115"/>
      <c r="Y157" s="1115"/>
      <c r="Z157" s="1115"/>
      <c r="AA157" s="1115"/>
      <c r="AB157" s="1115"/>
      <c r="AC157" s="1115"/>
      <c r="AD157" s="1115"/>
      <c r="AE157" s="1115"/>
      <c r="AF157" s="1115"/>
      <c r="AG157" s="1115"/>
      <c r="AH157" s="1115"/>
      <c r="AI157" s="1115"/>
      <c r="AJ157" s="1115"/>
      <c r="AK157" s="1115"/>
      <c r="AL157" s="1115"/>
      <c r="AM157" s="1115"/>
      <c r="AN157" s="1115"/>
      <c r="AO157" s="1115"/>
      <c r="AP157" s="1115"/>
      <c r="AQ157" s="1115"/>
      <c r="AR157" s="1115"/>
      <c r="AS157" s="1115"/>
      <c r="AT157" s="1115"/>
      <c r="AU157" s="1115"/>
      <c r="AV157" s="1115"/>
      <c r="AW157" s="1115"/>
      <c r="AX157" s="1115"/>
      <c r="AY157" s="1115"/>
      <c r="AZ157" s="1115"/>
      <c r="BA157" s="1115"/>
      <c r="BB157" s="1115"/>
      <c r="BC157" s="1115"/>
      <c r="BD157" s="1115"/>
      <c r="BE157" s="1115"/>
      <c r="BF157" s="1115"/>
      <c r="BG157" s="1115"/>
      <c r="BH157" s="1115"/>
      <c r="BI157" s="1115"/>
      <c r="BJ157" s="1115"/>
      <c r="BK157" s="1115"/>
      <c r="BL157" s="1115"/>
      <c r="BM157" s="1115"/>
      <c r="BN157" s="1115"/>
      <c r="BO157" s="1115"/>
      <c r="BP157" s="1115"/>
      <c r="BQ157" s="1115"/>
      <c r="BR157" s="1115"/>
      <c r="BS157" s="1115"/>
      <c r="BT157" s="1115"/>
      <c r="BU157" s="1115"/>
      <c r="BV157" s="1115"/>
      <c r="BW157" s="1115"/>
      <c r="BX157" s="1115"/>
      <c r="BY157" s="1115"/>
      <c r="BZ157" s="1115"/>
      <c r="CA157" s="1115"/>
      <c r="CB157" s="1115"/>
      <c r="CC157" s="1115"/>
      <c r="CD157" s="1115"/>
      <c r="CE157" s="1115"/>
      <c r="CF157" s="1115"/>
      <c r="CG157" s="1115"/>
      <c r="CH157" s="1115"/>
      <c r="CI157" s="1115"/>
      <c r="CJ157" s="1115"/>
      <c r="CK157" s="1115"/>
      <c r="CL157" s="1115"/>
    </row>
    <row r="158" spans="1:90" ht="14.4">
      <c r="A158" s="963">
        <v>7712</v>
      </c>
      <c r="B158" s="963" t="s">
        <v>2848</v>
      </c>
      <c r="C158" s="963">
        <v>244.8</v>
      </c>
      <c r="D158" s="963">
        <v>0</v>
      </c>
      <c r="E158" s="963">
        <v>0</v>
      </c>
      <c r="F158" s="963">
        <v>0</v>
      </c>
      <c r="G158" s="963">
        <v>0</v>
      </c>
      <c r="H158" s="963">
        <v>0</v>
      </c>
      <c r="I158" s="963">
        <v>0</v>
      </c>
      <c r="J158" s="1233">
        <v>0</v>
      </c>
      <c r="K158" s="1233">
        <v>0</v>
      </c>
      <c r="L158" s="1115"/>
      <c r="M158" s="1115"/>
      <c r="N158" s="1115"/>
      <c r="O158" s="1115"/>
      <c r="P158" s="1115"/>
      <c r="Q158" s="1115"/>
      <c r="R158" s="1115"/>
      <c r="S158" s="1115"/>
      <c r="T158" s="1115"/>
      <c r="U158" s="1115"/>
      <c r="V158" s="1115"/>
      <c r="W158" s="1115"/>
      <c r="X158" s="1115"/>
      <c r="Y158" s="1115"/>
      <c r="Z158" s="1115"/>
      <c r="AA158" s="1115"/>
      <c r="AB158" s="1115"/>
      <c r="AC158" s="1115"/>
      <c r="AD158" s="1115"/>
      <c r="AE158" s="1115"/>
      <c r="AF158" s="1115"/>
      <c r="AG158" s="1115"/>
      <c r="AH158" s="1115"/>
      <c r="AI158" s="1115"/>
      <c r="AJ158" s="1115"/>
      <c r="AK158" s="1115"/>
      <c r="AL158" s="1115"/>
      <c r="AM158" s="1115"/>
      <c r="AN158" s="1115"/>
      <c r="AO158" s="1115"/>
      <c r="AP158" s="1115"/>
      <c r="AQ158" s="1115"/>
      <c r="AR158" s="1115"/>
      <c r="AS158" s="1115"/>
      <c r="AT158" s="1115"/>
      <c r="AU158" s="1115"/>
      <c r="AV158" s="1115"/>
      <c r="AW158" s="1115"/>
      <c r="AX158" s="1115"/>
      <c r="AY158" s="1115"/>
      <c r="AZ158" s="1115"/>
      <c r="BA158" s="1115"/>
      <c r="BB158" s="1115"/>
      <c r="BC158" s="1115"/>
      <c r="BD158" s="1115"/>
      <c r="BE158" s="1115"/>
      <c r="BF158" s="1115"/>
      <c r="BG158" s="1115"/>
      <c r="BH158" s="1115"/>
      <c r="BI158" s="1115"/>
      <c r="BJ158" s="1115"/>
      <c r="BK158" s="1115"/>
      <c r="BL158" s="1115"/>
      <c r="BM158" s="1115"/>
      <c r="BN158" s="1115"/>
      <c r="BO158" s="1115"/>
      <c r="BP158" s="1115"/>
      <c r="BQ158" s="1115"/>
      <c r="BR158" s="1115"/>
      <c r="BS158" s="1115"/>
      <c r="BT158" s="1115"/>
      <c r="BU158" s="1115"/>
      <c r="BV158" s="1115"/>
      <c r="BW158" s="1115"/>
      <c r="BX158" s="1115"/>
      <c r="BY158" s="1115"/>
      <c r="BZ158" s="1115"/>
      <c r="CA158" s="1115"/>
      <c r="CB158" s="1115"/>
      <c r="CC158" s="1115"/>
      <c r="CD158" s="1115"/>
      <c r="CE158" s="1115"/>
      <c r="CF158" s="1115"/>
      <c r="CG158" s="1115"/>
      <c r="CH158" s="1115"/>
      <c r="CI158" s="1115"/>
      <c r="CJ158" s="1115"/>
      <c r="CK158" s="1115"/>
      <c r="CL158" s="1115"/>
    </row>
    <row r="159" spans="1:90" ht="14.4">
      <c r="A159" s="963">
        <v>7720</v>
      </c>
      <c r="B159" s="963" t="s">
        <v>2849</v>
      </c>
      <c r="C159" s="963">
        <v>0</v>
      </c>
      <c r="D159" s="963">
        <v>0</v>
      </c>
      <c r="E159" s="963">
        <v>116.17</v>
      </c>
      <c r="F159" s="963">
        <v>457.63</v>
      </c>
      <c r="G159" s="963">
        <v>536.83000000000004</v>
      </c>
      <c r="H159" s="963">
        <v>55.53</v>
      </c>
      <c r="I159" s="963">
        <v>684.77</v>
      </c>
      <c r="J159" s="1233">
        <v>373.06</v>
      </c>
      <c r="K159" s="1233">
        <v>178.61</v>
      </c>
      <c r="L159" s="1115"/>
      <c r="M159" s="1115"/>
      <c r="N159" s="1115"/>
      <c r="O159" s="1115"/>
      <c r="P159" s="1115"/>
      <c r="Q159" s="1115"/>
      <c r="R159" s="1115"/>
      <c r="S159" s="1115"/>
      <c r="T159" s="1115"/>
      <c r="U159" s="1115"/>
      <c r="V159" s="1115"/>
      <c r="W159" s="1115"/>
      <c r="X159" s="1115"/>
      <c r="Y159" s="1115"/>
      <c r="Z159" s="1115"/>
      <c r="AA159" s="1115"/>
      <c r="AB159" s="1115"/>
      <c r="AC159" s="1115"/>
      <c r="AD159" s="1115"/>
      <c r="AE159" s="1115"/>
      <c r="AF159" s="1115"/>
      <c r="AG159" s="1115"/>
      <c r="AH159" s="1115"/>
      <c r="AI159" s="1115"/>
      <c r="AJ159" s="1115"/>
      <c r="AK159" s="1115"/>
      <c r="AL159" s="1115"/>
      <c r="AM159" s="1115"/>
      <c r="AN159" s="1115"/>
      <c r="AO159" s="1115"/>
      <c r="AP159" s="1115"/>
      <c r="AQ159" s="1115"/>
      <c r="AR159" s="1115"/>
      <c r="AS159" s="1115"/>
      <c r="AT159" s="1115"/>
      <c r="AU159" s="1115"/>
      <c r="AV159" s="1115"/>
      <c r="AW159" s="1115"/>
      <c r="AX159" s="1115"/>
      <c r="AY159" s="1115"/>
      <c r="AZ159" s="1115"/>
      <c r="BA159" s="1115"/>
      <c r="BB159" s="1115"/>
      <c r="BC159" s="1115"/>
      <c r="BD159" s="1115"/>
      <c r="BE159" s="1115"/>
      <c r="BF159" s="1115"/>
      <c r="BG159" s="1115"/>
      <c r="BH159" s="1115"/>
      <c r="BI159" s="1115"/>
      <c r="BJ159" s="1115"/>
      <c r="BK159" s="1115"/>
      <c r="BL159" s="1115"/>
      <c r="BM159" s="1115"/>
      <c r="BN159" s="1115"/>
      <c r="BO159" s="1115"/>
      <c r="BP159" s="1115"/>
      <c r="BQ159" s="1115"/>
      <c r="BR159" s="1115"/>
      <c r="BS159" s="1115"/>
      <c r="BT159" s="1115"/>
      <c r="BU159" s="1115"/>
      <c r="BV159" s="1115"/>
      <c r="BW159" s="1115"/>
      <c r="BX159" s="1115"/>
      <c r="BY159" s="1115"/>
      <c r="BZ159" s="1115"/>
      <c r="CA159" s="1115"/>
      <c r="CB159" s="1115"/>
      <c r="CC159" s="1115"/>
      <c r="CD159" s="1115"/>
      <c r="CE159" s="1115"/>
      <c r="CF159" s="1115"/>
      <c r="CG159" s="1115"/>
      <c r="CH159" s="1115"/>
      <c r="CI159" s="1115"/>
      <c r="CJ159" s="1115"/>
      <c r="CK159" s="1115"/>
      <c r="CL159" s="1115"/>
    </row>
    <row r="160" spans="1:90" ht="14.4">
      <c r="A160" s="963">
        <v>7735</v>
      </c>
      <c r="B160" s="963" t="s">
        <v>2850</v>
      </c>
      <c r="C160" s="965">
        <v>5608.99</v>
      </c>
      <c r="D160" s="965">
        <v>7514.16</v>
      </c>
      <c r="E160" s="965">
        <v>6315.3</v>
      </c>
      <c r="F160" s="965">
        <v>6433.89</v>
      </c>
      <c r="G160" s="965">
        <v>6350.66</v>
      </c>
      <c r="H160" s="965">
        <v>6910.79</v>
      </c>
      <c r="I160" s="965">
        <v>6086.14</v>
      </c>
      <c r="J160" s="1233">
        <v>6230.83</v>
      </c>
      <c r="K160" s="1233">
        <v>5336.91</v>
      </c>
      <c r="L160" s="1115"/>
      <c r="M160" s="1115"/>
      <c r="N160" s="1115"/>
      <c r="O160" s="1115"/>
      <c r="P160" s="1115"/>
      <c r="Q160" s="1115"/>
      <c r="R160" s="1115"/>
      <c r="S160" s="1115"/>
      <c r="T160" s="1115"/>
      <c r="U160" s="1115"/>
      <c r="V160" s="1115"/>
      <c r="W160" s="1115"/>
      <c r="X160" s="1115"/>
      <c r="Y160" s="1115"/>
      <c r="Z160" s="1115"/>
      <c r="AA160" s="1115"/>
      <c r="AB160" s="1115"/>
      <c r="AC160" s="1115"/>
      <c r="AD160" s="1115"/>
      <c r="AE160" s="1115"/>
      <c r="AF160" s="1115"/>
      <c r="AG160" s="1115"/>
      <c r="AH160" s="1115"/>
      <c r="AI160" s="1115"/>
      <c r="AJ160" s="1115"/>
      <c r="AK160" s="1115"/>
      <c r="AL160" s="1115"/>
      <c r="AM160" s="1115"/>
      <c r="AN160" s="1115"/>
      <c r="AO160" s="1115"/>
      <c r="AP160" s="1115"/>
      <c r="AQ160" s="1115"/>
      <c r="AR160" s="1115"/>
      <c r="AS160" s="1115"/>
      <c r="AT160" s="1115"/>
      <c r="AU160" s="1115"/>
      <c r="AV160" s="1115"/>
      <c r="AW160" s="1115"/>
      <c r="AX160" s="1115"/>
      <c r="AY160" s="1115"/>
      <c r="AZ160" s="1115"/>
      <c r="BA160" s="1115"/>
      <c r="BB160" s="1115"/>
      <c r="BC160" s="1115"/>
      <c r="BD160" s="1115"/>
      <c r="BE160" s="1115"/>
      <c r="BF160" s="1115"/>
      <c r="BG160" s="1115"/>
      <c r="BH160" s="1115"/>
      <c r="BI160" s="1115"/>
      <c r="BJ160" s="1115"/>
      <c r="BK160" s="1115"/>
      <c r="BL160" s="1115"/>
      <c r="BM160" s="1115"/>
      <c r="BN160" s="1115"/>
      <c r="BO160" s="1115"/>
      <c r="BP160" s="1115"/>
      <c r="BQ160" s="1115"/>
      <c r="BR160" s="1115"/>
      <c r="BS160" s="1115"/>
      <c r="BT160" s="1115"/>
      <c r="BU160" s="1115"/>
      <c r="BV160" s="1115"/>
      <c r="BW160" s="1115"/>
      <c r="BX160" s="1115"/>
      <c r="BY160" s="1115"/>
      <c r="BZ160" s="1115"/>
      <c r="CA160" s="1115"/>
      <c r="CB160" s="1115"/>
      <c r="CC160" s="1115"/>
      <c r="CD160" s="1115"/>
      <c r="CE160" s="1115"/>
      <c r="CF160" s="1115"/>
      <c r="CG160" s="1115"/>
      <c r="CH160" s="1115"/>
      <c r="CI160" s="1115"/>
      <c r="CJ160" s="1115"/>
      <c r="CK160" s="1115"/>
      <c r="CL160" s="1115"/>
    </row>
    <row r="161" spans="1:90" ht="14.4">
      <c r="A161" s="963">
        <v>7744</v>
      </c>
      <c r="B161" s="963" t="s">
        <v>2851</v>
      </c>
      <c r="C161" s="963">
        <v>488.58</v>
      </c>
      <c r="D161" s="965">
        <v>1525.66</v>
      </c>
      <c r="E161" s="965">
        <v>1696.55</v>
      </c>
      <c r="F161" s="965">
        <v>10577.88</v>
      </c>
      <c r="G161" s="965">
        <v>3257.92</v>
      </c>
      <c r="H161" s="965">
        <v>-8536.73</v>
      </c>
      <c r="I161" s="965">
        <v>3781.91</v>
      </c>
      <c r="J161" s="1233">
        <v>9931.2800000000007</v>
      </c>
      <c r="K161" s="1233">
        <v>-2730</v>
      </c>
      <c r="L161" s="1115"/>
      <c r="M161" s="1115"/>
      <c r="N161" s="1115"/>
      <c r="O161" s="1115"/>
      <c r="P161" s="1115"/>
      <c r="Q161" s="1115"/>
      <c r="R161" s="1115"/>
      <c r="S161" s="1115"/>
      <c r="T161" s="1115"/>
      <c r="U161" s="1115"/>
      <c r="V161" s="1115"/>
      <c r="W161" s="1115"/>
      <c r="X161" s="1115"/>
      <c r="Y161" s="1115"/>
      <c r="Z161" s="1115"/>
      <c r="AA161" s="1115"/>
      <c r="AB161" s="1115"/>
      <c r="AC161" s="1115"/>
      <c r="AD161" s="1115"/>
      <c r="AE161" s="1115"/>
      <c r="AF161" s="1115"/>
      <c r="AG161" s="1115"/>
      <c r="AH161" s="1115"/>
      <c r="AI161" s="1115"/>
      <c r="AJ161" s="1115"/>
      <c r="AK161" s="1115"/>
      <c r="AL161" s="1115"/>
      <c r="AM161" s="1115"/>
      <c r="AN161" s="1115"/>
      <c r="AO161" s="1115"/>
      <c r="AP161" s="1115"/>
      <c r="AQ161" s="1115"/>
      <c r="AR161" s="1115"/>
      <c r="AS161" s="1115"/>
      <c r="AT161" s="1115"/>
      <c r="AU161" s="1115"/>
      <c r="AV161" s="1115"/>
      <c r="AW161" s="1115"/>
      <c r="AX161" s="1115"/>
      <c r="AY161" s="1115"/>
      <c r="AZ161" s="1115"/>
      <c r="BA161" s="1115"/>
      <c r="BB161" s="1115"/>
      <c r="BC161" s="1115"/>
      <c r="BD161" s="1115"/>
      <c r="BE161" s="1115"/>
      <c r="BF161" s="1115"/>
      <c r="BG161" s="1115"/>
      <c r="BH161" s="1115"/>
      <c r="BI161" s="1115"/>
      <c r="BJ161" s="1115"/>
      <c r="BK161" s="1115"/>
      <c r="BL161" s="1115"/>
      <c r="BM161" s="1115"/>
      <c r="BN161" s="1115"/>
      <c r="BO161" s="1115"/>
      <c r="BP161" s="1115"/>
      <c r="BQ161" s="1115"/>
      <c r="BR161" s="1115"/>
      <c r="BS161" s="1115"/>
      <c r="BT161" s="1115"/>
      <c r="BU161" s="1115"/>
      <c r="BV161" s="1115"/>
      <c r="BW161" s="1115"/>
      <c r="BX161" s="1115"/>
      <c r="BY161" s="1115"/>
      <c r="BZ161" s="1115"/>
      <c r="CA161" s="1115"/>
      <c r="CB161" s="1115"/>
      <c r="CC161" s="1115"/>
      <c r="CD161" s="1115"/>
      <c r="CE161" s="1115"/>
      <c r="CF161" s="1115"/>
      <c r="CG161" s="1115"/>
      <c r="CH161" s="1115"/>
      <c r="CI161" s="1115"/>
      <c r="CJ161" s="1115"/>
      <c r="CK161" s="1115"/>
      <c r="CL161" s="1115"/>
    </row>
    <row r="162" spans="1:90" ht="14.4">
      <c r="A162" s="963">
        <v>7746</v>
      </c>
      <c r="B162" s="963" t="s">
        <v>2852</v>
      </c>
      <c r="C162" s="963">
        <v>288.38</v>
      </c>
      <c r="D162" s="963">
        <v>739.08</v>
      </c>
      <c r="E162" s="965">
        <v>1821.89</v>
      </c>
      <c r="F162" s="965">
        <v>2801.28</v>
      </c>
      <c r="G162" s="965">
        <v>3202.63</v>
      </c>
      <c r="H162" s="965">
        <v>3148.5</v>
      </c>
      <c r="I162" s="965">
        <v>3642.83</v>
      </c>
      <c r="J162" s="1233">
        <v>3789.2</v>
      </c>
      <c r="K162" s="1233">
        <v>3545.38</v>
      </c>
      <c r="L162" s="1115"/>
      <c r="M162" s="1115"/>
      <c r="N162" s="1115"/>
      <c r="O162" s="1115"/>
      <c r="P162" s="1115"/>
      <c r="Q162" s="1115"/>
      <c r="R162" s="1115"/>
      <c r="S162" s="1115"/>
      <c r="T162" s="1115"/>
      <c r="U162" s="1115"/>
      <c r="V162" s="1115"/>
      <c r="W162" s="1115"/>
      <c r="X162" s="1115"/>
      <c r="Y162" s="1115"/>
      <c r="Z162" s="1115"/>
      <c r="AA162" s="1115"/>
      <c r="AB162" s="1115"/>
      <c r="AC162" s="1115"/>
      <c r="AD162" s="1115"/>
      <c r="AE162" s="1115"/>
      <c r="AF162" s="1115"/>
      <c r="AG162" s="1115"/>
      <c r="AH162" s="1115"/>
      <c r="AI162" s="1115"/>
      <c r="AJ162" s="1115"/>
      <c r="AK162" s="1115"/>
      <c r="AL162" s="1115"/>
      <c r="AM162" s="1115"/>
      <c r="AN162" s="1115"/>
      <c r="AO162" s="1115"/>
      <c r="AP162" s="1115"/>
      <c r="AQ162" s="1115"/>
      <c r="AR162" s="1115"/>
      <c r="AS162" s="1115"/>
      <c r="AT162" s="1115"/>
      <c r="AU162" s="1115"/>
      <c r="AV162" s="1115"/>
      <c r="AW162" s="1115"/>
      <c r="AX162" s="1115"/>
      <c r="AY162" s="1115"/>
      <c r="AZ162" s="1115"/>
      <c r="BA162" s="1115"/>
      <c r="BB162" s="1115"/>
      <c r="BC162" s="1115"/>
      <c r="BD162" s="1115"/>
      <c r="BE162" s="1115"/>
      <c r="BF162" s="1115"/>
      <c r="BG162" s="1115"/>
      <c r="BH162" s="1115"/>
      <c r="BI162" s="1115"/>
      <c r="BJ162" s="1115"/>
      <c r="BK162" s="1115"/>
      <c r="BL162" s="1115"/>
      <c r="BM162" s="1115"/>
      <c r="BN162" s="1115"/>
      <c r="BO162" s="1115"/>
      <c r="BP162" s="1115"/>
      <c r="BQ162" s="1115"/>
      <c r="BR162" s="1115"/>
      <c r="BS162" s="1115"/>
      <c r="BT162" s="1115"/>
      <c r="BU162" s="1115"/>
      <c r="BV162" s="1115"/>
      <c r="BW162" s="1115"/>
      <c r="BX162" s="1115"/>
      <c r="BY162" s="1115"/>
      <c r="BZ162" s="1115"/>
      <c r="CA162" s="1115"/>
      <c r="CB162" s="1115"/>
      <c r="CC162" s="1115"/>
      <c r="CD162" s="1115"/>
      <c r="CE162" s="1115"/>
      <c r="CF162" s="1115"/>
      <c r="CG162" s="1115"/>
      <c r="CH162" s="1115"/>
      <c r="CI162" s="1115"/>
      <c r="CJ162" s="1115"/>
      <c r="CK162" s="1115"/>
      <c r="CL162" s="1115"/>
    </row>
    <row r="163" spans="1:90" ht="14.4">
      <c r="A163" s="963">
        <v>7747</v>
      </c>
      <c r="B163" s="963" t="s">
        <v>2853</v>
      </c>
      <c r="C163" s="965">
        <v>11963.99</v>
      </c>
      <c r="D163" s="965">
        <v>12000</v>
      </c>
      <c r="E163" s="963">
        <v>530.30999999999995</v>
      </c>
      <c r="F163" s="965">
        <v>22789.11</v>
      </c>
      <c r="G163" s="965">
        <v>12937.33</v>
      </c>
      <c r="H163" s="965">
        <v>13330.43</v>
      </c>
      <c r="I163" s="965">
        <v>15615.47</v>
      </c>
      <c r="J163" s="1233">
        <v>14743.52</v>
      </c>
      <c r="K163" s="1233">
        <v>0</v>
      </c>
      <c r="L163" s="1115"/>
      <c r="M163" s="1115"/>
      <c r="N163" s="1115"/>
      <c r="O163" s="1115"/>
      <c r="P163" s="1115"/>
      <c r="Q163" s="1115"/>
      <c r="R163" s="1115"/>
      <c r="S163" s="1115"/>
      <c r="T163" s="1115"/>
      <c r="U163" s="1115"/>
      <c r="V163" s="1115"/>
      <c r="W163" s="1115"/>
      <c r="X163" s="1115"/>
      <c r="Y163" s="1115"/>
      <c r="Z163" s="1115"/>
      <c r="AA163" s="1115"/>
      <c r="AB163" s="1115"/>
      <c r="AC163" s="1115"/>
      <c r="AD163" s="1115"/>
      <c r="AE163" s="1115"/>
      <c r="AF163" s="1115"/>
      <c r="AG163" s="1115"/>
      <c r="AH163" s="1115"/>
      <c r="AI163" s="1115"/>
      <c r="AJ163" s="1115"/>
      <c r="AK163" s="1115"/>
      <c r="AL163" s="1115"/>
      <c r="AM163" s="1115"/>
      <c r="AN163" s="1115"/>
      <c r="AO163" s="1115"/>
      <c r="AP163" s="1115"/>
      <c r="AQ163" s="1115"/>
      <c r="AR163" s="1115"/>
      <c r="AS163" s="1115"/>
      <c r="AT163" s="1115"/>
      <c r="AU163" s="1115"/>
      <c r="AV163" s="1115"/>
      <c r="AW163" s="1115"/>
      <c r="AX163" s="1115"/>
      <c r="AY163" s="1115"/>
      <c r="AZ163" s="1115"/>
      <c r="BA163" s="1115"/>
      <c r="BB163" s="1115"/>
      <c r="BC163" s="1115"/>
      <c r="BD163" s="1115"/>
      <c r="BE163" s="1115"/>
      <c r="BF163" s="1115"/>
      <c r="BG163" s="1115"/>
      <c r="BH163" s="1115"/>
      <c r="BI163" s="1115"/>
      <c r="BJ163" s="1115"/>
      <c r="BK163" s="1115"/>
      <c r="BL163" s="1115"/>
      <c r="BM163" s="1115"/>
      <c r="BN163" s="1115"/>
      <c r="BO163" s="1115"/>
      <c r="BP163" s="1115"/>
      <c r="BQ163" s="1115"/>
      <c r="BR163" s="1115"/>
      <c r="BS163" s="1115"/>
      <c r="BT163" s="1115"/>
      <c r="BU163" s="1115"/>
      <c r="BV163" s="1115"/>
      <c r="BW163" s="1115"/>
      <c r="BX163" s="1115"/>
      <c r="BY163" s="1115"/>
      <c r="BZ163" s="1115"/>
      <c r="CA163" s="1115"/>
      <c r="CB163" s="1115"/>
      <c r="CC163" s="1115"/>
      <c r="CD163" s="1115"/>
      <c r="CE163" s="1115"/>
      <c r="CF163" s="1115"/>
      <c r="CG163" s="1115"/>
      <c r="CH163" s="1115"/>
      <c r="CI163" s="1115"/>
      <c r="CJ163" s="1115"/>
      <c r="CK163" s="1115"/>
      <c r="CL163" s="1115"/>
    </row>
    <row r="164" spans="1:90" ht="14.4">
      <c r="A164" s="963">
        <v>7749</v>
      </c>
      <c r="B164" s="963" t="s">
        <v>2854</v>
      </c>
      <c r="C164" s="965"/>
      <c r="D164" s="965"/>
      <c r="E164" s="963"/>
      <c r="F164" s="965"/>
      <c r="G164" s="965"/>
      <c r="H164" s="965"/>
      <c r="I164" s="965"/>
      <c r="J164" s="1233">
        <v>0</v>
      </c>
      <c r="K164" s="1233">
        <v>0</v>
      </c>
      <c r="L164" s="1115"/>
      <c r="M164" s="1115"/>
      <c r="N164" s="1115"/>
      <c r="O164" s="1115"/>
      <c r="P164" s="1115"/>
      <c r="Q164" s="1115"/>
      <c r="R164" s="1115"/>
      <c r="S164" s="1115"/>
      <c r="T164" s="1115"/>
      <c r="U164" s="1115"/>
      <c r="V164" s="1115"/>
      <c r="W164" s="1115"/>
      <c r="X164" s="1115"/>
      <c r="Y164" s="1115"/>
      <c r="Z164" s="1115"/>
      <c r="AA164" s="1115"/>
      <c r="AB164" s="1115"/>
      <c r="AC164" s="1115"/>
      <c r="AD164" s="1115"/>
      <c r="AE164" s="1115"/>
      <c r="AF164" s="1115"/>
      <c r="AG164" s="1115"/>
      <c r="AH164" s="1115"/>
      <c r="AI164" s="1115"/>
      <c r="AJ164" s="1115"/>
      <c r="AK164" s="1115"/>
      <c r="AL164" s="1115"/>
      <c r="AM164" s="1115"/>
      <c r="AN164" s="1115"/>
      <c r="AO164" s="1115"/>
      <c r="AP164" s="1115"/>
      <c r="AQ164" s="1115"/>
      <c r="AR164" s="1115"/>
      <c r="AS164" s="1115"/>
      <c r="AT164" s="1115"/>
      <c r="AU164" s="1115"/>
      <c r="AV164" s="1115"/>
      <c r="AW164" s="1115"/>
      <c r="AX164" s="1115"/>
      <c r="AY164" s="1115"/>
      <c r="AZ164" s="1115"/>
      <c r="BA164" s="1115"/>
      <c r="BB164" s="1115"/>
      <c r="BC164" s="1115"/>
      <c r="BD164" s="1115"/>
      <c r="BE164" s="1115"/>
      <c r="BF164" s="1115"/>
      <c r="BG164" s="1115"/>
      <c r="BH164" s="1115"/>
      <c r="BI164" s="1115"/>
      <c r="BJ164" s="1115"/>
      <c r="BK164" s="1115"/>
      <c r="BL164" s="1115"/>
      <c r="BM164" s="1115"/>
      <c r="BN164" s="1115"/>
      <c r="BO164" s="1115"/>
      <c r="BP164" s="1115"/>
      <c r="BQ164" s="1115"/>
      <c r="BR164" s="1115"/>
      <c r="BS164" s="1115"/>
      <c r="BT164" s="1115"/>
      <c r="BU164" s="1115"/>
      <c r="BV164" s="1115"/>
      <c r="BW164" s="1115"/>
      <c r="BX164" s="1115"/>
      <c r="BY164" s="1115"/>
      <c r="BZ164" s="1115"/>
      <c r="CA164" s="1115"/>
      <c r="CB164" s="1115"/>
      <c r="CC164" s="1115"/>
      <c r="CD164" s="1115"/>
      <c r="CE164" s="1115"/>
      <c r="CF164" s="1115"/>
      <c r="CG164" s="1115"/>
      <c r="CH164" s="1115"/>
      <c r="CI164" s="1115"/>
      <c r="CJ164" s="1115"/>
      <c r="CK164" s="1115"/>
      <c r="CL164" s="1115"/>
    </row>
    <row r="165" spans="1:90" ht="14.4">
      <c r="A165" s="963">
        <v>7750</v>
      </c>
      <c r="B165" s="963" t="s">
        <v>2855</v>
      </c>
      <c r="C165" s="963">
        <v>0</v>
      </c>
      <c r="D165" s="965">
        <v>8000</v>
      </c>
      <c r="E165" s="963">
        <v>460.55</v>
      </c>
      <c r="F165" s="963">
        <v>0</v>
      </c>
      <c r="G165" s="963">
        <v>0</v>
      </c>
      <c r="H165" s="963">
        <v>0</v>
      </c>
      <c r="I165" s="963">
        <v>0</v>
      </c>
      <c r="J165" s="1233">
        <v>0</v>
      </c>
      <c r="K165" s="1233">
        <v>0</v>
      </c>
      <c r="L165" s="1115"/>
      <c r="M165" s="1115"/>
      <c r="N165" s="1115"/>
      <c r="O165" s="1115"/>
      <c r="P165" s="1115"/>
      <c r="Q165" s="1115"/>
      <c r="R165" s="1115"/>
      <c r="S165" s="1115"/>
      <c r="T165" s="1115"/>
      <c r="U165" s="1115"/>
      <c r="V165" s="1115"/>
      <c r="W165" s="1115"/>
      <c r="X165" s="1115"/>
      <c r="Y165" s="1115"/>
      <c r="Z165" s="1115"/>
      <c r="AA165" s="1115"/>
      <c r="AB165" s="1115"/>
      <c r="AC165" s="1115"/>
      <c r="AD165" s="1115"/>
      <c r="AE165" s="1115"/>
      <c r="AF165" s="1115"/>
      <c r="AG165" s="1115"/>
      <c r="AH165" s="1115"/>
      <c r="AI165" s="1115"/>
      <c r="AJ165" s="1115"/>
      <c r="AK165" s="1115"/>
      <c r="AL165" s="1115"/>
      <c r="AM165" s="1115"/>
      <c r="AN165" s="1115"/>
      <c r="AO165" s="1115"/>
      <c r="AP165" s="1115"/>
      <c r="AQ165" s="1115"/>
      <c r="AR165" s="1115"/>
      <c r="AS165" s="1115"/>
      <c r="AT165" s="1115"/>
      <c r="AU165" s="1115"/>
      <c r="AV165" s="1115"/>
      <c r="AW165" s="1115"/>
      <c r="AX165" s="1115"/>
      <c r="AY165" s="1115"/>
      <c r="AZ165" s="1115"/>
      <c r="BA165" s="1115"/>
      <c r="BB165" s="1115"/>
      <c r="BC165" s="1115"/>
      <c r="BD165" s="1115"/>
      <c r="BE165" s="1115"/>
      <c r="BF165" s="1115"/>
      <c r="BG165" s="1115"/>
      <c r="BH165" s="1115"/>
      <c r="BI165" s="1115"/>
      <c r="BJ165" s="1115"/>
      <c r="BK165" s="1115"/>
      <c r="BL165" s="1115"/>
      <c r="BM165" s="1115"/>
      <c r="BN165" s="1115"/>
      <c r="BO165" s="1115"/>
      <c r="BP165" s="1115"/>
      <c r="BQ165" s="1115"/>
      <c r="BR165" s="1115"/>
      <c r="BS165" s="1115"/>
      <c r="BT165" s="1115"/>
      <c r="BU165" s="1115"/>
      <c r="BV165" s="1115"/>
      <c r="BW165" s="1115"/>
      <c r="BX165" s="1115"/>
      <c r="BY165" s="1115"/>
      <c r="BZ165" s="1115"/>
      <c r="CA165" s="1115"/>
      <c r="CB165" s="1115"/>
      <c r="CC165" s="1115"/>
      <c r="CD165" s="1115"/>
      <c r="CE165" s="1115"/>
      <c r="CF165" s="1115"/>
      <c r="CG165" s="1115"/>
      <c r="CH165" s="1115"/>
      <c r="CI165" s="1115"/>
      <c r="CJ165" s="1115"/>
      <c r="CK165" s="1115"/>
      <c r="CL165" s="1115"/>
    </row>
    <row r="166" spans="1:90" ht="14.4">
      <c r="A166" s="963">
        <v>7751</v>
      </c>
      <c r="B166" s="963" t="s">
        <v>2856</v>
      </c>
      <c r="C166" s="963">
        <v>0</v>
      </c>
      <c r="D166" s="965">
        <v>6503.23</v>
      </c>
      <c r="E166" s="965">
        <v>4200</v>
      </c>
      <c r="F166" s="965">
        <v>4200</v>
      </c>
      <c r="G166" s="965">
        <v>4200</v>
      </c>
      <c r="H166" s="965">
        <v>4200</v>
      </c>
      <c r="I166" s="965">
        <v>4200</v>
      </c>
      <c r="J166" s="1233">
        <v>4200</v>
      </c>
      <c r="K166" s="1233">
        <v>0</v>
      </c>
      <c r="L166" s="1115"/>
      <c r="M166" s="1115"/>
      <c r="N166" s="1115"/>
      <c r="O166" s="1115"/>
      <c r="P166" s="1115"/>
      <c r="Q166" s="1115"/>
      <c r="R166" s="1115"/>
      <c r="S166" s="1115"/>
      <c r="T166" s="1115"/>
      <c r="U166" s="1115"/>
      <c r="V166" s="1115"/>
      <c r="W166" s="1115"/>
      <c r="X166" s="1115"/>
      <c r="Y166" s="1115"/>
      <c r="Z166" s="1115"/>
      <c r="AA166" s="1115"/>
      <c r="AB166" s="1115"/>
      <c r="AC166" s="1115"/>
      <c r="AD166" s="1115"/>
      <c r="AE166" s="1115"/>
      <c r="AF166" s="1115"/>
      <c r="AG166" s="1115"/>
      <c r="AH166" s="1115"/>
      <c r="AI166" s="1115"/>
      <c r="AJ166" s="1115"/>
      <c r="AK166" s="1115"/>
      <c r="AL166" s="1115"/>
      <c r="AM166" s="1115"/>
      <c r="AN166" s="1115"/>
      <c r="AO166" s="1115"/>
      <c r="AP166" s="1115"/>
      <c r="AQ166" s="1115"/>
      <c r="AR166" s="1115"/>
      <c r="AS166" s="1115"/>
      <c r="AT166" s="1115"/>
      <c r="AU166" s="1115"/>
      <c r="AV166" s="1115"/>
      <c r="AW166" s="1115"/>
      <c r="AX166" s="1115"/>
      <c r="AY166" s="1115"/>
      <c r="AZ166" s="1115"/>
      <c r="BA166" s="1115"/>
      <c r="BB166" s="1115"/>
      <c r="BC166" s="1115"/>
      <c r="BD166" s="1115"/>
      <c r="BE166" s="1115"/>
      <c r="BF166" s="1115"/>
      <c r="BG166" s="1115"/>
      <c r="BH166" s="1115"/>
      <c r="BI166" s="1115"/>
      <c r="BJ166" s="1115"/>
      <c r="BK166" s="1115"/>
      <c r="BL166" s="1115"/>
      <c r="BM166" s="1115"/>
      <c r="BN166" s="1115"/>
      <c r="BO166" s="1115"/>
      <c r="BP166" s="1115"/>
      <c r="BQ166" s="1115"/>
      <c r="BR166" s="1115"/>
      <c r="BS166" s="1115"/>
      <c r="BT166" s="1115"/>
      <c r="BU166" s="1115"/>
      <c r="BV166" s="1115"/>
      <c r="BW166" s="1115"/>
      <c r="BX166" s="1115"/>
      <c r="BY166" s="1115"/>
      <c r="BZ166" s="1115"/>
      <c r="CA166" s="1115"/>
      <c r="CB166" s="1115"/>
      <c r="CC166" s="1115"/>
      <c r="CD166" s="1115"/>
      <c r="CE166" s="1115"/>
      <c r="CF166" s="1115"/>
      <c r="CG166" s="1115"/>
      <c r="CH166" s="1115"/>
      <c r="CI166" s="1115"/>
      <c r="CJ166" s="1115"/>
      <c r="CK166" s="1115"/>
      <c r="CL166" s="1115"/>
    </row>
    <row r="167" spans="1:90" ht="14.4">
      <c r="A167" s="963">
        <v>7752</v>
      </c>
      <c r="B167" s="963" t="s">
        <v>2857</v>
      </c>
      <c r="C167" s="963"/>
      <c r="D167" s="965"/>
      <c r="E167" s="965"/>
      <c r="F167" s="965"/>
      <c r="G167" s="965"/>
      <c r="H167" s="965"/>
      <c r="I167" s="965"/>
      <c r="J167" s="1233">
        <v>0</v>
      </c>
      <c r="K167" s="1233">
        <v>0</v>
      </c>
      <c r="L167" s="1115"/>
      <c r="M167" s="1115"/>
      <c r="N167" s="1115"/>
      <c r="O167" s="1115"/>
      <c r="P167" s="1115"/>
      <c r="Q167" s="1115"/>
      <c r="R167" s="1115"/>
      <c r="S167" s="1115"/>
      <c r="T167" s="1115"/>
      <c r="U167" s="1115"/>
      <c r="V167" s="1115"/>
      <c r="W167" s="1115"/>
      <c r="X167" s="1115"/>
      <c r="Y167" s="1115"/>
      <c r="Z167" s="1115"/>
      <c r="AA167" s="1115"/>
      <c r="AB167" s="1115"/>
      <c r="AC167" s="1115"/>
      <c r="AD167" s="1115"/>
      <c r="AE167" s="1115"/>
      <c r="AF167" s="1115"/>
      <c r="AG167" s="1115"/>
      <c r="AH167" s="1115"/>
      <c r="AI167" s="1115"/>
      <c r="AJ167" s="1115"/>
      <c r="AK167" s="1115"/>
      <c r="AL167" s="1115"/>
      <c r="AM167" s="1115"/>
      <c r="AN167" s="1115"/>
      <c r="AO167" s="1115"/>
      <c r="AP167" s="1115"/>
      <c r="AQ167" s="1115"/>
      <c r="AR167" s="1115"/>
      <c r="AS167" s="1115"/>
      <c r="AT167" s="1115"/>
      <c r="AU167" s="1115"/>
      <c r="AV167" s="1115"/>
      <c r="AW167" s="1115"/>
      <c r="AX167" s="1115"/>
      <c r="AY167" s="1115"/>
      <c r="AZ167" s="1115"/>
      <c r="BA167" s="1115"/>
      <c r="BB167" s="1115"/>
      <c r="BC167" s="1115"/>
      <c r="BD167" s="1115"/>
      <c r="BE167" s="1115"/>
      <c r="BF167" s="1115"/>
      <c r="BG167" s="1115"/>
      <c r="BH167" s="1115"/>
      <c r="BI167" s="1115"/>
      <c r="BJ167" s="1115"/>
      <c r="BK167" s="1115"/>
      <c r="BL167" s="1115"/>
      <c r="BM167" s="1115"/>
      <c r="BN167" s="1115"/>
      <c r="BO167" s="1115"/>
      <c r="BP167" s="1115"/>
      <c r="BQ167" s="1115"/>
      <c r="BR167" s="1115"/>
      <c r="BS167" s="1115"/>
      <c r="BT167" s="1115"/>
      <c r="BU167" s="1115"/>
      <c r="BV167" s="1115"/>
      <c r="BW167" s="1115"/>
      <c r="BX167" s="1115"/>
      <c r="BY167" s="1115"/>
      <c r="BZ167" s="1115"/>
      <c r="CA167" s="1115"/>
      <c r="CB167" s="1115"/>
      <c r="CC167" s="1115"/>
      <c r="CD167" s="1115"/>
      <c r="CE167" s="1115"/>
      <c r="CF167" s="1115"/>
      <c r="CG167" s="1115"/>
      <c r="CH167" s="1115"/>
      <c r="CI167" s="1115"/>
      <c r="CJ167" s="1115"/>
      <c r="CK167" s="1115"/>
      <c r="CL167" s="1115"/>
    </row>
    <row r="168" spans="1:90" ht="14.4">
      <c r="A168" s="963">
        <v>7780</v>
      </c>
      <c r="B168" s="963" t="s">
        <v>2858</v>
      </c>
      <c r="C168" s="965">
        <v>3283.41</v>
      </c>
      <c r="D168" s="963">
        <v>0</v>
      </c>
      <c r="E168" s="963">
        <v>0</v>
      </c>
      <c r="F168" s="963">
        <v>0</v>
      </c>
      <c r="G168" s="963">
        <v>0</v>
      </c>
      <c r="H168" s="963">
        <v>0</v>
      </c>
      <c r="I168" s="963">
        <v>0</v>
      </c>
      <c r="J168" s="1233">
        <v>0</v>
      </c>
      <c r="K168" s="1233">
        <v>0</v>
      </c>
      <c r="L168" s="1115"/>
      <c r="M168" s="1115"/>
      <c r="N168" s="1115"/>
      <c r="O168" s="1115"/>
      <c r="P168" s="1115"/>
      <c r="Q168" s="1115"/>
      <c r="R168" s="1115"/>
      <c r="S168" s="1115"/>
      <c r="T168" s="1115"/>
      <c r="U168" s="1115"/>
      <c r="V168" s="1115"/>
      <c r="W168" s="1115"/>
      <c r="X168" s="1115"/>
      <c r="Y168" s="1115"/>
      <c r="Z168" s="1115"/>
      <c r="AA168" s="1115"/>
      <c r="AB168" s="1115"/>
      <c r="AC168" s="1115"/>
      <c r="AD168" s="1115"/>
      <c r="AE168" s="1115"/>
      <c r="AF168" s="1115"/>
      <c r="AG168" s="1115"/>
      <c r="AH168" s="1115"/>
      <c r="AI168" s="1115"/>
      <c r="AJ168" s="1115"/>
      <c r="AK168" s="1115"/>
      <c r="AL168" s="1115"/>
      <c r="AM168" s="1115"/>
      <c r="AN168" s="1115"/>
      <c r="AO168" s="1115"/>
      <c r="AP168" s="1115"/>
      <c r="AQ168" s="1115"/>
      <c r="AR168" s="1115"/>
      <c r="AS168" s="1115"/>
      <c r="AT168" s="1115"/>
      <c r="AU168" s="1115"/>
      <c r="AV168" s="1115"/>
      <c r="AW168" s="1115"/>
      <c r="AX168" s="1115"/>
      <c r="AY168" s="1115"/>
      <c r="AZ168" s="1115"/>
      <c r="BA168" s="1115"/>
      <c r="BB168" s="1115"/>
      <c r="BC168" s="1115"/>
      <c r="BD168" s="1115"/>
      <c r="BE168" s="1115"/>
      <c r="BF168" s="1115"/>
      <c r="BG168" s="1115"/>
      <c r="BH168" s="1115"/>
      <c r="BI168" s="1115"/>
      <c r="BJ168" s="1115"/>
      <c r="BK168" s="1115"/>
      <c r="BL168" s="1115"/>
      <c r="BM168" s="1115"/>
      <c r="BN168" s="1115"/>
      <c r="BO168" s="1115"/>
      <c r="BP168" s="1115"/>
      <c r="BQ168" s="1115"/>
      <c r="BR168" s="1115"/>
      <c r="BS168" s="1115"/>
      <c r="BT168" s="1115"/>
      <c r="BU168" s="1115"/>
      <c r="BV168" s="1115"/>
      <c r="BW168" s="1115"/>
      <c r="BX168" s="1115"/>
      <c r="BY168" s="1115"/>
      <c r="BZ168" s="1115"/>
      <c r="CA168" s="1115"/>
      <c r="CB168" s="1115"/>
      <c r="CC168" s="1115"/>
      <c r="CD168" s="1115"/>
      <c r="CE168" s="1115"/>
      <c r="CF168" s="1115"/>
      <c r="CG168" s="1115"/>
      <c r="CH168" s="1115"/>
      <c r="CI168" s="1115"/>
      <c r="CJ168" s="1115"/>
      <c r="CK168" s="1115"/>
      <c r="CL168" s="1115"/>
    </row>
    <row r="169" spans="1:90" ht="14.4">
      <c r="A169" s="963">
        <v>7782</v>
      </c>
      <c r="B169" s="963" t="s">
        <v>2859</v>
      </c>
      <c r="C169" s="963">
        <v>0</v>
      </c>
      <c r="D169" s="963">
        <v>553.86</v>
      </c>
      <c r="E169" s="963">
        <v>0</v>
      </c>
      <c r="F169" s="963">
        <v>0</v>
      </c>
      <c r="G169" s="963">
        <v>0</v>
      </c>
      <c r="H169" s="963">
        <v>0</v>
      </c>
      <c r="I169" s="963">
        <v>0</v>
      </c>
      <c r="J169" s="1233">
        <v>0</v>
      </c>
      <c r="K169" s="1233">
        <v>0</v>
      </c>
      <c r="L169" s="1115"/>
      <c r="M169" s="1115"/>
      <c r="N169" s="1115"/>
      <c r="O169" s="1115"/>
      <c r="P169" s="1115"/>
      <c r="Q169" s="1115"/>
      <c r="R169" s="1115"/>
      <c r="S169" s="1115"/>
      <c r="T169" s="1115"/>
      <c r="U169" s="1115"/>
      <c r="V169" s="1115"/>
      <c r="W169" s="1115"/>
      <c r="X169" s="1115"/>
      <c r="Y169" s="1115"/>
      <c r="Z169" s="1115"/>
      <c r="AA169" s="1115"/>
      <c r="AB169" s="1115"/>
      <c r="AC169" s="1115"/>
      <c r="AD169" s="1115"/>
      <c r="AE169" s="1115"/>
      <c r="AF169" s="1115"/>
      <c r="AG169" s="1115"/>
      <c r="AH169" s="1115"/>
      <c r="AI169" s="1115"/>
      <c r="AJ169" s="1115"/>
      <c r="AK169" s="1115"/>
      <c r="AL169" s="1115"/>
      <c r="AM169" s="1115"/>
      <c r="AN169" s="1115"/>
      <c r="AO169" s="1115"/>
      <c r="AP169" s="1115"/>
      <c r="AQ169" s="1115"/>
      <c r="AR169" s="1115"/>
      <c r="AS169" s="1115"/>
      <c r="AT169" s="1115"/>
      <c r="AU169" s="1115"/>
      <c r="AV169" s="1115"/>
      <c r="AW169" s="1115"/>
      <c r="AX169" s="1115"/>
      <c r="AY169" s="1115"/>
      <c r="AZ169" s="1115"/>
      <c r="BA169" s="1115"/>
      <c r="BB169" s="1115"/>
      <c r="BC169" s="1115"/>
      <c r="BD169" s="1115"/>
      <c r="BE169" s="1115"/>
      <c r="BF169" s="1115"/>
      <c r="BG169" s="1115"/>
      <c r="BH169" s="1115"/>
      <c r="BI169" s="1115"/>
      <c r="BJ169" s="1115"/>
      <c r="BK169" s="1115"/>
      <c r="BL169" s="1115"/>
      <c r="BM169" s="1115"/>
      <c r="BN169" s="1115"/>
      <c r="BO169" s="1115"/>
      <c r="BP169" s="1115"/>
      <c r="BQ169" s="1115"/>
      <c r="BR169" s="1115"/>
      <c r="BS169" s="1115"/>
      <c r="BT169" s="1115"/>
      <c r="BU169" s="1115"/>
      <c r="BV169" s="1115"/>
      <c r="BW169" s="1115"/>
      <c r="BX169" s="1115"/>
      <c r="BY169" s="1115"/>
      <c r="BZ169" s="1115"/>
      <c r="CA169" s="1115"/>
      <c r="CB169" s="1115"/>
      <c r="CC169" s="1115"/>
      <c r="CD169" s="1115"/>
      <c r="CE169" s="1115"/>
      <c r="CF169" s="1115"/>
      <c r="CG169" s="1115"/>
      <c r="CH169" s="1115"/>
      <c r="CI169" s="1115"/>
      <c r="CJ169" s="1115"/>
      <c r="CK169" s="1115"/>
      <c r="CL169" s="1115"/>
    </row>
    <row r="170" spans="1:90" ht="14.4">
      <c r="A170" s="963">
        <v>7784</v>
      </c>
      <c r="B170" s="963" t="s">
        <v>2860</v>
      </c>
      <c r="C170" s="963"/>
      <c r="D170" s="963"/>
      <c r="E170" s="963"/>
      <c r="F170" s="963"/>
      <c r="G170" s="963"/>
      <c r="H170" s="963"/>
      <c r="I170" s="963"/>
      <c r="J170" s="1233">
        <v>0</v>
      </c>
      <c r="K170" s="1233">
        <v>0</v>
      </c>
      <c r="L170" s="1115"/>
      <c r="M170" s="1115"/>
      <c r="N170" s="1115"/>
      <c r="O170" s="1115"/>
      <c r="P170" s="1115"/>
      <c r="Q170" s="1115"/>
      <c r="R170" s="1115"/>
      <c r="S170" s="1115"/>
      <c r="T170" s="1115"/>
      <c r="U170" s="1115"/>
      <c r="V170" s="1115"/>
      <c r="W170" s="1115"/>
      <c r="X170" s="1115"/>
      <c r="Y170" s="1115"/>
      <c r="Z170" s="1115"/>
      <c r="AA170" s="1115"/>
      <c r="AB170" s="1115"/>
      <c r="AC170" s="1115"/>
      <c r="AD170" s="1115"/>
      <c r="AE170" s="1115"/>
      <c r="AF170" s="1115"/>
      <c r="AG170" s="1115"/>
      <c r="AH170" s="1115"/>
      <c r="AI170" s="1115"/>
      <c r="AJ170" s="1115"/>
      <c r="AK170" s="1115"/>
      <c r="AL170" s="1115"/>
      <c r="AM170" s="1115"/>
      <c r="AN170" s="1115"/>
      <c r="AO170" s="1115"/>
      <c r="AP170" s="1115"/>
      <c r="AQ170" s="1115"/>
      <c r="AR170" s="1115"/>
      <c r="AS170" s="1115"/>
      <c r="AT170" s="1115"/>
      <c r="AU170" s="1115"/>
      <c r="AV170" s="1115"/>
      <c r="AW170" s="1115"/>
      <c r="AX170" s="1115"/>
      <c r="AY170" s="1115"/>
      <c r="AZ170" s="1115"/>
      <c r="BA170" s="1115"/>
      <c r="BB170" s="1115"/>
      <c r="BC170" s="1115"/>
      <c r="BD170" s="1115"/>
      <c r="BE170" s="1115"/>
      <c r="BF170" s="1115"/>
      <c r="BG170" s="1115"/>
      <c r="BH170" s="1115"/>
      <c r="BI170" s="1115"/>
      <c r="BJ170" s="1115"/>
      <c r="BK170" s="1115"/>
      <c r="BL170" s="1115"/>
      <c r="BM170" s="1115"/>
      <c r="BN170" s="1115"/>
      <c r="BO170" s="1115"/>
      <c r="BP170" s="1115"/>
      <c r="BQ170" s="1115"/>
      <c r="BR170" s="1115"/>
      <c r="BS170" s="1115"/>
      <c r="BT170" s="1115"/>
      <c r="BU170" s="1115"/>
      <c r="BV170" s="1115"/>
      <c r="BW170" s="1115"/>
      <c r="BX170" s="1115"/>
      <c r="BY170" s="1115"/>
      <c r="BZ170" s="1115"/>
      <c r="CA170" s="1115"/>
      <c r="CB170" s="1115"/>
      <c r="CC170" s="1115"/>
      <c r="CD170" s="1115"/>
      <c r="CE170" s="1115"/>
      <c r="CF170" s="1115"/>
      <c r="CG170" s="1115"/>
      <c r="CH170" s="1115"/>
      <c r="CI170" s="1115"/>
      <c r="CJ170" s="1115"/>
      <c r="CK170" s="1115"/>
      <c r="CL170" s="1115"/>
    </row>
    <row r="171" spans="1:90" ht="14.4">
      <c r="A171" s="963">
        <v>7798</v>
      </c>
      <c r="B171" s="963" t="s">
        <v>2861</v>
      </c>
      <c r="C171" s="963">
        <v>313.63</v>
      </c>
      <c r="D171" s="963">
        <v>445</v>
      </c>
      <c r="E171" s="963">
        <v>75</v>
      </c>
      <c r="F171" s="963">
        <v>75</v>
      </c>
      <c r="G171" s="963">
        <v>75</v>
      </c>
      <c r="H171" s="963">
        <v>75</v>
      </c>
      <c r="I171" s="963">
        <v>75</v>
      </c>
      <c r="J171" s="1233">
        <v>98.08</v>
      </c>
      <c r="K171" s="1233">
        <v>0</v>
      </c>
      <c r="L171" s="1115"/>
      <c r="M171" s="1115"/>
      <c r="N171" s="1115"/>
      <c r="O171" s="1115"/>
      <c r="P171" s="1115"/>
      <c r="Q171" s="1115"/>
      <c r="R171" s="1115"/>
      <c r="S171" s="1115"/>
      <c r="T171" s="1115"/>
      <c r="U171" s="1115"/>
      <c r="V171" s="1115"/>
      <c r="W171" s="1115"/>
      <c r="X171" s="1115"/>
      <c r="Y171" s="1115"/>
      <c r="Z171" s="1115"/>
      <c r="AA171" s="1115"/>
      <c r="AB171" s="1115"/>
      <c r="AC171" s="1115"/>
      <c r="AD171" s="1115"/>
      <c r="AE171" s="1115"/>
      <c r="AF171" s="1115"/>
      <c r="AG171" s="1115"/>
      <c r="AH171" s="1115"/>
      <c r="AI171" s="1115"/>
      <c r="AJ171" s="1115"/>
      <c r="AK171" s="1115"/>
      <c r="AL171" s="1115"/>
      <c r="AM171" s="1115"/>
      <c r="AN171" s="1115"/>
      <c r="AO171" s="1115"/>
      <c r="AP171" s="1115"/>
      <c r="AQ171" s="1115"/>
      <c r="AR171" s="1115"/>
      <c r="AS171" s="1115"/>
      <c r="AT171" s="1115"/>
      <c r="AU171" s="1115"/>
      <c r="AV171" s="1115"/>
      <c r="AW171" s="1115"/>
      <c r="AX171" s="1115"/>
      <c r="AY171" s="1115"/>
      <c r="AZ171" s="1115"/>
      <c r="BA171" s="1115"/>
      <c r="BB171" s="1115"/>
      <c r="BC171" s="1115"/>
      <c r="BD171" s="1115"/>
      <c r="BE171" s="1115"/>
      <c r="BF171" s="1115"/>
      <c r="BG171" s="1115"/>
      <c r="BH171" s="1115"/>
      <c r="BI171" s="1115"/>
      <c r="BJ171" s="1115"/>
      <c r="BK171" s="1115"/>
      <c r="BL171" s="1115"/>
      <c r="BM171" s="1115"/>
      <c r="BN171" s="1115"/>
      <c r="BO171" s="1115"/>
      <c r="BP171" s="1115"/>
      <c r="BQ171" s="1115"/>
      <c r="BR171" s="1115"/>
      <c r="BS171" s="1115"/>
      <c r="BT171" s="1115"/>
      <c r="BU171" s="1115"/>
      <c r="BV171" s="1115"/>
      <c r="BW171" s="1115"/>
      <c r="BX171" s="1115"/>
      <c r="BY171" s="1115"/>
      <c r="BZ171" s="1115"/>
      <c r="CA171" s="1115"/>
      <c r="CB171" s="1115"/>
      <c r="CC171" s="1115"/>
      <c r="CD171" s="1115"/>
      <c r="CE171" s="1115"/>
      <c r="CF171" s="1115"/>
      <c r="CG171" s="1115"/>
      <c r="CH171" s="1115"/>
      <c r="CI171" s="1115"/>
      <c r="CJ171" s="1115"/>
      <c r="CK171" s="1115"/>
      <c r="CL171" s="1115"/>
    </row>
    <row r="172" spans="1:90" ht="14.4">
      <c r="A172" s="1115"/>
      <c r="B172" s="1116" t="s">
        <v>2844</v>
      </c>
      <c r="C172" s="1134">
        <v>24268.62</v>
      </c>
      <c r="D172" s="1134">
        <v>39192.07</v>
      </c>
      <c r="E172" s="1134">
        <v>16275.02</v>
      </c>
      <c r="F172" s="1134">
        <v>49397.91</v>
      </c>
      <c r="G172" s="1134">
        <v>34233.22</v>
      </c>
      <c r="H172" s="1134">
        <v>21193.43</v>
      </c>
      <c r="I172" s="1134">
        <v>36550.379999999997</v>
      </c>
      <c r="J172" s="1234">
        <v>41659.280000000006</v>
      </c>
      <c r="K172" s="1234">
        <v>6330.9</v>
      </c>
      <c r="L172" s="1115"/>
      <c r="M172" s="1115"/>
      <c r="N172" s="1115"/>
      <c r="O172" s="1115"/>
      <c r="P172" s="1115"/>
      <c r="Q172" s="1115"/>
      <c r="R172" s="1115"/>
      <c r="S172" s="1115"/>
      <c r="T172" s="1115"/>
      <c r="U172" s="1115"/>
      <c r="V172" s="1115"/>
      <c r="W172" s="1115"/>
      <c r="X172" s="1115"/>
      <c r="Y172" s="1115"/>
      <c r="Z172" s="1115"/>
      <c r="AA172" s="1115"/>
      <c r="AB172" s="1115"/>
      <c r="AC172" s="1115"/>
      <c r="AD172" s="1115"/>
      <c r="AE172" s="1115"/>
      <c r="AF172" s="1115"/>
      <c r="AG172" s="1115"/>
      <c r="AH172" s="1115"/>
      <c r="AI172" s="1115"/>
      <c r="AJ172" s="1115"/>
      <c r="AK172" s="1115"/>
      <c r="AL172" s="1115"/>
      <c r="AM172" s="1115"/>
      <c r="AN172" s="1115"/>
      <c r="AO172" s="1115"/>
      <c r="AP172" s="1115"/>
      <c r="AQ172" s="1115"/>
      <c r="AR172" s="1115"/>
      <c r="AS172" s="1115"/>
      <c r="AT172" s="1115"/>
      <c r="AU172" s="1115"/>
      <c r="AV172" s="1115"/>
      <c r="AW172" s="1115"/>
      <c r="AX172" s="1115"/>
      <c r="AY172" s="1115"/>
      <c r="AZ172" s="1115"/>
      <c r="BA172" s="1115"/>
      <c r="BB172" s="1115"/>
      <c r="BC172" s="1115"/>
      <c r="BD172" s="1115"/>
      <c r="BE172" s="1115"/>
      <c r="BF172" s="1115"/>
      <c r="BG172" s="1115"/>
      <c r="BH172" s="1115"/>
      <c r="BI172" s="1115"/>
      <c r="BJ172" s="1115"/>
      <c r="BK172" s="1115"/>
      <c r="BL172" s="1115"/>
      <c r="BM172" s="1115"/>
      <c r="BN172" s="1115"/>
      <c r="BO172" s="1115"/>
      <c r="BP172" s="1115"/>
      <c r="BQ172" s="1115"/>
      <c r="BR172" s="1115"/>
      <c r="BS172" s="1115"/>
      <c r="BT172" s="1115"/>
      <c r="BU172" s="1115"/>
      <c r="BV172" s="1115"/>
      <c r="BW172" s="1115"/>
      <c r="BX172" s="1115"/>
      <c r="BY172" s="1115"/>
      <c r="BZ172" s="1115"/>
      <c r="CA172" s="1115"/>
      <c r="CB172" s="1115"/>
      <c r="CC172" s="1115"/>
      <c r="CD172" s="1115"/>
      <c r="CE172" s="1115"/>
      <c r="CF172" s="1115"/>
      <c r="CG172" s="1115"/>
      <c r="CH172" s="1115"/>
      <c r="CI172" s="1115"/>
      <c r="CJ172" s="1115"/>
      <c r="CK172" s="1115"/>
      <c r="CL172" s="1115"/>
    </row>
    <row r="173" spans="1:90" ht="14.4">
      <c r="A173" s="1115"/>
      <c r="B173" s="963"/>
      <c r="C173" s="963"/>
      <c r="D173" s="963"/>
      <c r="E173" s="963"/>
      <c r="F173" s="963"/>
      <c r="G173" s="963"/>
      <c r="H173" s="963"/>
      <c r="I173" s="963"/>
      <c r="L173" s="1115"/>
      <c r="M173" s="1115"/>
      <c r="N173" s="1115"/>
      <c r="O173" s="1115"/>
      <c r="P173" s="1115"/>
      <c r="Q173" s="1115"/>
      <c r="R173" s="1115"/>
      <c r="S173" s="1115"/>
      <c r="T173" s="1115"/>
      <c r="U173" s="1115"/>
      <c r="V173" s="1115"/>
      <c r="W173" s="1115"/>
      <c r="X173" s="1115"/>
      <c r="Y173" s="1115"/>
      <c r="Z173" s="1115"/>
      <c r="AA173" s="1115"/>
      <c r="AB173" s="1115"/>
      <c r="AC173" s="1115"/>
      <c r="AD173" s="1115"/>
      <c r="AE173" s="1115"/>
      <c r="AF173" s="1115"/>
      <c r="AG173" s="1115"/>
      <c r="AH173" s="1115"/>
      <c r="AI173" s="1115"/>
      <c r="AJ173" s="1115"/>
      <c r="AK173" s="1115"/>
      <c r="AL173" s="1115"/>
      <c r="AM173" s="1115"/>
      <c r="AN173" s="1115"/>
      <c r="AO173" s="1115"/>
      <c r="AP173" s="1115"/>
      <c r="AQ173" s="1115"/>
      <c r="AR173" s="1115"/>
      <c r="AS173" s="1115"/>
      <c r="AT173" s="1115"/>
      <c r="AU173" s="1115"/>
      <c r="AV173" s="1115"/>
      <c r="AW173" s="1115"/>
      <c r="AX173" s="1115"/>
      <c r="AY173" s="1115"/>
      <c r="AZ173" s="1115"/>
      <c r="BA173" s="1115"/>
      <c r="BB173" s="1115"/>
      <c r="BC173" s="1115"/>
      <c r="BD173" s="1115"/>
      <c r="BE173" s="1115"/>
      <c r="BF173" s="1115"/>
      <c r="BG173" s="1115"/>
      <c r="BH173" s="1115"/>
      <c r="BI173" s="1115"/>
      <c r="BJ173" s="1115"/>
      <c r="BK173" s="1115"/>
      <c r="BL173" s="1115"/>
      <c r="BM173" s="1115"/>
      <c r="BN173" s="1115"/>
      <c r="BO173" s="1115"/>
      <c r="BP173" s="1115"/>
      <c r="BQ173" s="1115"/>
      <c r="BR173" s="1115"/>
      <c r="BS173" s="1115"/>
      <c r="BT173" s="1115"/>
      <c r="BU173" s="1115"/>
      <c r="BV173" s="1115"/>
      <c r="BW173" s="1115"/>
      <c r="BX173" s="1115"/>
      <c r="BY173" s="1115"/>
      <c r="BZ173" s="1115"/>
      <c r="CA173" s="1115"/>
      <c r="CB173" s="1115"/>
      <c r="CC173" s="1115"/>
      <c r="CD173" s="1115"/>
      <c r="CE173" s="1115"/>
      <c r="CF173" s="1115"/>
      <c r="CG173" s="1115"/>
      <c r="CH173" s="1115"/>
      <c r="CI173" s="1115"/>
      <c r="CJ173" s="1115"/>
      <c r="CK173" s="1115"/>
      <c r="CL173" s="1115"/>
    </row>
    <row r="174" spans="1:90" ht="14.4">
      <c r="A174" s="1116" t="s">
        <v>2862</v>
      </c>
      <c r="B174" s="963"/>
      <c r="C174" s="963"/>
      <c r="D174" s="963"/>
      <c r="E174" s="963"/>
      <c r="F174" s="963"/>
      <c r="G174" s="963"/>
      <c r="H174" s="963"/>
      <c r="I174" s="963"/>
      <c r="J174" s="1235"/>
      <c r="K174" s="1235"/>
      <c r="L174" s="1115"/>
      <c r="M174" s="1115"/>
      <c r="N174" s="1115"/>
      <c r="O174" s="1115"/>
      <c r="P174" s="1115"/>
      <c r="Q174" s="1115"/>
      <c r="R174" s="1115"/>
      <c r="S174" s="1115"/>
      <c r="T174" s="1115"/>
      <c r="U174" s="1115"/>
      <c r="V174" s="1115"/>
      <c r="W174" s="1115"/>
      <c r="X174" s="1115"/>
      <c r="Y174" s="1115"/>
      <c r="Z174" s="1115"/>
      <c r="AA174" s="1115"/>
      <c r="AB174" s="1115"/>
      <c r="AC174" s="1115"/>
      <c r="AD174" s="1115"/>
      <c r="AE174" s="1115"/>
      <c r="AF174" s="1115"/>
      <c r="AG174" s="1115"/>
      <c r="AH174" s="1115"/>
      <c r="AI174" s="1115"/>
      <c r="AJ174" s="1115"/>
      <c r="AK174" s="1115"/>
      <c r="AL174" s="1115"/>
      <c r="AM174" s="1115"/>
      <c r="AN174" s="1115"/>
      <c r="AO174" s="1115"/>
      <c r="AP174" s="1115"/>
      <c r="AQ174" s="1115"/>
      <c r="AR174" s="1115"/>
      <c r="AS174" s="1115"/>
      <c r="AT174" s="1115"/>
      <c r="AU174" s="1115"/>
      <c r="AV174" s="1115"/>
      <c r="AW174" s="1115"/>
      <c r="AX174" s="1115"/>
      <c r="AY174" s="1115"/>
      <c r="AZ174" s="1115"/>
      <c r="BA174" s="1115"/>
      <c r="BB174" s="1115"/>
      <c r="BC174" s="1115"/>
      <c r="BD174" s="1115"/>
      <c r="BE174" s="1115"/>
      <c r="BF174" s="1115"/>
      <c r="BG174" s="1115"/>
      <c r="BH174" s="1115"/>
      <c r="BI174" s="1115"/>
      <c r="BJ174" s="1115"/>
      <c r="BK174" s="1115"/>
      <c r="BL174" s="1115"/>
      <c r="BM174" s="1115"/>
      <c r="BN174" s="1115"/>
      <c r="BO174" s="1115"/>
      <c r="BP174" s="1115"/>
      <c r="BQ174" s="1115"/>
      <c r="BR174" s="1115"/>
      <c r="BS174" s="1115"/>
      <c r="BT174" s="1115"/>
      <c r="BU174" s="1115"/>
      <c r="BV174" s="1115"/>
      <c r="BW174" s="1115"/>
      <c r="BX174" s="1115"/>
      <c r="BY174" s="1115"/>
      <c r="BZ174" s="1115"/>
      <c r="CA174" s="1115"/>
      <c r="CB174" s="1115"/>
      <c r="CC174" s="1115"/>
      <c r="CD174" s="1115"/>
      <c r="CE174" s="1115"/>
      <c r="CF174" s="1115"/>
      <c r="CG174" s="1115"/>
      <c r="CH174" s="1115"/>
      <c r="CI174" s="1115"/>
      <c r="CJ174" s="1115"/>
      <c r="CK174" s="1115"/>
      <c r="CL174" s="1115"/>
    </row>
    <row r="175" spans="1:90" ht="14.4">
      <c r="A175" s="963">
        <v>8101</v>
      </c>
      <c r="B175" s="963" t="s">
        <v>2863</v>
      </c>
      <c r="C175" s="965">
        <v>27092.01</v>
      </c>
      <c r="D175" s="965">
        <v>41851.660000000003</v>
      </c>
      <c r="E175" s="965">
        <v>40187.21</v>
      </c>
      <c r="F175" s="965">
        <v>38863.85</v>
      </c>
      <c r="G175" s="965">
        <v>34589.57</v>
      </c>
      <c r="H175" s="965">
        <v>33486.519999999997</v>
      </c>
      <c r="I175" s="965">
        <v>38127.32</v>
      </c>
      <c r="J175" s="1233">
        <v>37320.199999999997</v>
      </c>
      <c r="K175" s="1233">
        <v>0</v>
      </c>
      <c r="L175" s="1115"/>
      <c r="M175" s="1115"/>
      <c r="N175" s="1115"/>
      <c r="O175" s="1115"/>
      <c r="P175" s="1115"/>
      <c r="Q175" s="1115"/>
      <c r="R175" s="1115"/>
      <c r="S175" s="1115"/>
      <c r="T175" s="1115"/>
      <c r="U175" s="1115"/>
      <c r="V175" s="1115"/>
      <c r="W175" s="1115"/>
      <c r="X175" s="1115"/>
      <c r="Y175" s="1115"/>
      <c r="Z175" s="1115"/>
      <c r="AA175" s="1115"/>
      <c r="AB175" s="1115"/>
      <c r="AC175" s="1115"/>
      <c r="AD175" s="1115"/>
      <c r="AE175" s="1115"/>
      <c r="AF175" s="1115"/>
      <c r="AG175" s="1115"/>
      <c r="AH175" s="1115"/>
      <c r="AI175" s="1115"/>
      <c r="AJ175" s="1115"/>
      <c r="AK175" s="1115"/>
      <c r="AL175" s="1115"/>
      <c r="AM175" s="1115"/>
      <c r="AN175" s="1115"/>
      <c r="AO175" s="1115"/>
      <c r="AP175" s="1115"/>
      <c r="AQ175" s="1115"/>
      <c r="AR175" s="1115"/>
      <c r="AS175" s="1115"/>
      <c r="AT175" s="1115"/>
      <c r="AU175" s="1115"/>
      <c r="AV175" s="1115"/>
      <c r="AW175" s="1115"/>
      <c r="AX175" s="1115"/>
      <c r="AY175" s="1115"/>
      <c r="AZ175" s="1115"/>
      <c r="BA175" s="1115"/>
      <c r="BB175" s="1115"/>
      <c r="BC175" s="1115"/>
      <c r="BD175" s="1115"/>
      <c r="BE175" s="1115"/>
      <c r="BF175" s="1115"/>
      <c r="BG175" s="1115"/>
      <c r="BH175" s="1115"/>
      <c r="BI175" s="1115"/>
      <c r="BJ175" s="1115"/>
      <c r="BK175" s="1115"/>
      <c r="BL175" s="1115"/>
      <c r="BM175" s="1115"/>
      <c r="BN175" s="1115"/>
      <c r="BO175" s="1115"/>
      <c r="BP175" s="1115"/>
      <c r="BQ175" s="1115"/>
      <c r="BR175" s="1115"/>
      <c r="BS175" s="1115"/>
      <c r="BT175" s="1115"/>
      <c r="BU175" s="1115"/>
      <c r="BV175" s="1115"/>
      <c r="BW175" s="1115"/>
      <c r="BX175" s="1115"/>
      <c r="BY175" s="1115"/>
      <c r="BZ175" s="1115"/>
      <c r="CA175" s="1115"/>
      <c r="CB175" s="1115"/>
      <c r="CC175" s="1115"/>
      <c r="CD175" s="1115"/>
      <c r="CE175" s="1115"/>
      <c r="CF175" s="1115"/>
      <c r="CG175" s="1115"/>
      <c r="CH175" s="1115"/>
      <c r="CI175" s="1115"/>
      <c r="CJ175" s="1115"/>
      <c r="CK175" s="1115"/>
      <c r="CL175" s="1115"/>
    </row>
    <row r="176" spans="1:90" ht="14.4">
      <c r="A176" s="1115"/>
      <c r="B176" s="1116" t="s">
        <v>2862</v>
      </c>
      <c r="C176" s="1134">
        <v>27092.01</v>
      </c>
      <c r="D176" s="1134">
        <v>41851.660000000003</v>
      </c>
      <c r="E176" s="1134">
        <v>40187.21</v>
      </c>
      <c r="F176" s="1134">
        <v>38863.85</v>
      </c>
      <c r="G176" s="1134">
        <v>34589.57</v>
      </c>
      <c r="H176" s="1134">
        <v>33486.519999999997</v>
      </c>
      <c r="I176" s="1134">
        <v>38127.32</v>
      </c>
      <c r="J176" s="1234">
        <v>37320.199999999997</v>
      </c>
      <c r="K176" s="1234">
        <v>0</v>
      </c>
      <c r="L176" s="1115"/>
      <c r="M176" s="1115"/>
      <c r="N176" s="1115"/>
      <c r="O176" s="1115"/>
      <c r="P176" s="1115"/>
      <c r="Q176" s="1115"/>
      <c r="R176" s="1115"/>
      <c r="S176" s="1115"/>
      <c r="T176" s="1115"/>
      <c r="U176" s="1115"/>
      <c r="V176" s="1115"/>
      <c r="W176" s="1115"/>
      <c r="X176" s="1115"/>
      <c r="Y176" s="1115"/>
      <c r="Z176" s="1115"/>
      <c r="AA176" s="1115"/>
      <c r="AB176" s="1115"/>
      <c r="AC176" s="1115"/>
      <c r="AD176" s="1115"/>
      <c r="AE176" s="1115"/>
      <c r="AF176" s="1115"/>
      <c r="AG176" s="1115"/>
      <c r="AH176" s="1115"/>
      <c r="AI176" s="1115"/>
      <c r="AJ176" s="1115"/>
      <c r="AK176" s="1115"/>
      <c r="AL176" s="1115"/>
      <c r="AM176" s="1115"/>
      <c r="AN176" s="1115"/>
      <c r="AO176" s="1115"/>
      <c r="AP176" s="1115"/>
      <c r="AQ176" s="1115"/>
      <c r="AR176" s="1115"/>
      <c r="AS176" s="1115"/>
      <c r="AT176" s="1115"/>
      <c r="AU176" s="1115"/>
      <c r="AV176" s="1115"/>
      <c r="AW176" s="1115"/>
      <c r="AX176" s="1115"/>
      <c r="AY176" s="1115"/>
      <c r="AZ176" s="1115"/>
      <c r="BA176" s="1115"/>
      <c r="BB176" s="1115"/>
      <c r="BC176" s="1115"/>
      <c r="BD176" s="1115"/>
      <c r="BE176" s="1115"/>
      <c r="BF176" s="1115"/>
      <c r="BG176" s="1115"/>
      <c r="BH176" s="1115"/>
      <c r="BI176" s="1115"/>
      <c r="BJ176" s="1115"/>
      <c r="BK176" s="1115"/>
      <c r="BL176" s="1115"/>
      <c r="BM176" s="1115"/>
      <c r="BN176" s="1115"/>
      <c r="BO176" s="1115"/>
      <c r="BP176" s="1115"/>
      <c r="BQ176" s="1115"/>
      <c r="BR176" s="1115"/>
      <c r="BS176" s="1115"/>
      <c r="BT176" s="1115"/>
      <c r="BU176" s="1115"/>
      <c r="BV176" s="1115"/>
      <c r="BW176" s="1115"/>
      <c r="BX176" s="1115"/>
      <c r="BY176" s="1115"/>
      <c r="BZ176" s="1115"/>
      <c r="CA176" s="1115"/>
      <c r="CB176" s="1115"/>
      <c r="CC176" s="1115"/>
      <c r="CD176" s="1115"/>
      <c r="CE176" s="1115"/>
      <c r="CF176" s="1115"/>
      <c r="CG176" s="1115"/>
      <c r="CH176" s="1115"/>
      <c r="CI176" s="1115"/>
      <c r="CJ176" s="1115"/>
      <c r="CK176" s="1115"/>
      <c r="CL176" s="1115"/>
    </row>
    <row r="177" spans="1:90" ht="14.4">
      <c r="A177" s="1115"/>
      <c r="B177" s="963"/>
      <c r="C177" s="963"/>
      <c r="D177" s="963"/>
      <c r="E177" s="963"/>
      <c r="F177" s="963"/>
      <c r="G177" s="963"/>
      <c r="H177" s="963"/>
      <c r="I177" s="963"/>
      <c r="L177" s="1115"/>
      <c r="M177" s="1115"/>
      <c r="N177" s="1115"/>
      <c r="O177" s="1115"/>
      <c r="P177" s="1115"/>
      <c r="Q177" s="1115"/>
      <c r="R177" s="1115"/>
      <c r="S177" s="1115"/>
      <c r="T177" s="1115"/>
      <c r="U177" s="1115"/>
      <c r="V177" s="1115"/>
      <c r="W177" s="1115"/>
      <c r="X177" s="1115"/>
      <c r="Y177" s="1115"/>
      <c r="Z177" s="1115"/>
      <c r="AA177" s="1115"/>
      <c r="AB177" s="1115"/>
      <c r="AC177" s="1115"/>
      <c r="AD177" s="1115"/>
      <c r="AE177" s="1115"/>
      <c r="AF177" s="1115"/>
      <c r="AG177" s="1115"/>
      <c r="AH177" s="1115"/>
      <c r="AI177" s="1115"/>
      <c r="AJ177" s="1115"/>
      <c r="AK177" s="1115"/>
      <c r="AL177" s="1115"/>
      <c r="AM177" s="1115"/>
      <c r="AN177" s="1115"/>
      <c r="AO177" s="1115"/>
      <c r="AP177" s="1115"/>
      <c r="AQ177" s="1115"/>
      <c r="AR177" s="1115"/>
      <c r="AS177" s="1115"/>
      <c r="AT177" s="1115"/>
      <c r="AU177" s="1115"/>
      <c r="AV177" s="1115"/>
      <c r="AW177" s="1115"/>
      <c r="AX177" s="1115"/>
      <c r="AY177" s="1115"/>
      <c r="AZ177" s="1115"/>
      <c r="BA177" s="1115"/>
      <c r="BB177" s="1115"/>
      <c r="BC177" s="1115"/>
      <c r="BD177" s="1115"/>
      <c r="BE177" s="1115"/>
      <c r="BF177" s="1115"/>
      <c r="BG177" s="1115"/>
      <c r="BH177" s="1115"/>
      <c r="BI177" s="1115"/>
      <c r="BJ177" s="1115"/>
      <c r="BK177" s="1115"/>
      <c r="BL177" s="1115"/>
      <c r="BM177" s="1115"/>
      <c r="BN177" s="1115"/>
      <c r="BO177" s="1115"/>
      <c r="BP177" s="1115"/>
      <c r="BQ177" s="1115"/>
      <c r="BR177" s="1115"/>
      <c r="BS177" s="1115"/>
      <c r="BT177" s="1115"/>
      <c r="BU177" s="1115"/>
      <c r="BV177" s="1115"/>
      <c r="BW177" s="1115"/>
      <c r="BX177" s="1115"/>
      <c r="BY177" s="1115"/>
      <c r="BZ177" s="1115"/>
      <c r="CA177" s="1115"/>
      <c r="CB177" s="1115"/>
      <c r="CC177" s="1115"/>
      <c r="CD177" s="1115"/>
      <c r="CE177" s="1115"/>
      <c r="CF177" s="1115"/>
      <c r="CG177" s="1115"/>
      <c r="CH177" s="1115"/>
      <c r="CI177" s="1115"/>
      <c r="CJ177" s="1115"/>
      <c r="CK177" s="1115"/>
      <c r="CL177" s="1115"/>
    </row>
    <row r="178" spans="1:90" ht="14.4">
      <c r="A178" s="1116" t="s">
        <v>2864</v>
      </c>
      <c r="B178" s="963"/>
      <c r="C178" s="963"/>
      <c r="D178" s="963"/>
      <c r="E178" s="963"/>
      <c r="F178" s="963"/>
      <c r="G178" s="963"/>
      <c r="H178" s="963"/>
      <c r="I178" s="963"/>
      <c r="J178" s="1235"/>
      <c r="K178" s="1235"/>
      <c r="L178" s="1115"/>
      <c r="M178" s="1115"/>
      <c r="N178" s="1115"/>
      <c r="O178" s="1115"/>
      <c r="P178" s="1115"/>
      <c r="Q178" s="1115"/>
      <c r="R178" s="1115"/>
      <c r="S178" s="1115"/>
      <c r="T178" s="1115"/>
      <c r="U178" s="1115"/>
      <c r="V178" s="1115"/>
      <c r="W178" s="1115"/>
      <c r="X178" s="1115"/>
      <c r="Y178" s="1115"/>
      <c r="Z178" s="1115"/>
      <c r="AA178" s="1115"/>
      <c r="AB178" s="1115"/>
      <c r="AC178" s="1115"/>
      <c r="AD178" s="1115"/>
      <c r="AE178" s="1115"/>
      <c r="AF178" s="1115"/>
      <c r="AG178" s="1115"/>
      <c r="AH178" s="1115"/>
      <c r="AI178" s="1115"/>
      <c r="AJ178" s="1115"/>
      <c r="AK178" s="1115"/>
      <c r="AL178" s="1115"/>
      <c r="AM178" s="1115"/>
      <c r="AN178" s="1115"/>
      <c r="AO178" s="1115"/>
      <c r="AP178" s="1115"/>
      <c r="AQ178" s="1115"/>
      <c r="AR178" s="1115"/>
      <c r="AS178" s="1115"/>
      <c r="AT178" s="1115"/>
      <c r="AU178" s="1115"/>
      <c r="AV178" s="1115"/>
      <c r="AW178" s="1115"/>
      <c r="AX178" s="1115"/>
      <c r="AY178" s="1115"/>
      <c r="AZ178" s="1115"/>
      <c r="BA178" s="1115"/>
      <c r="BB178" s="1115"/>
      <c r="BC178" s="1115"/>
      <c r="BD178" s="1115"/>
      <c r="BE178" s="1115"/>
      <c r="BF178" s="1115"/>
      <c r="BG178" s="1115"/>
      <c r="BH178" s="1115"/>
      <c r="BI178" s="1115"/>
      <c r="BJ178" s="1115"/>
      <c r="BK178" s="1115"/>
      <c r="BL178" s="1115"/>
      <c r="BM178" s="1115"/>
      <c r="BN178" s="1115"/>
      <c r="BO178" s="1115"/>
      <c r="BP178" s="1115"/>
      <c r="BQ178" s="1115"/>
      <c r="BR178" s="1115"/>
      <c r="BS178" s="1115"/>
      <c r="BT178" s="1115"/>
      <c r="BU178" s="1115"/>
      <c r="BV178" s="1115"/>
      <c r="BW178" s="1115"/>
      <c r="BX178" s="1115"/>
      <c r="BY178" s="1115"/>
      <c r="BZ178" s="1115"/>
      <c r="CA178" s="1115"/>
      <c r="CB178" s="1115"/>
      <c r="CC178" s="1115"/>
      <c r="CD178" s="1115"/>
      <c r="CE178" s="1115"/>
      <c r="CF178" s="1115"/>
      <c r="CG178" s="1115"/>
      <c r="CH178" s="1115"/>
      <c r="CI178" s="1115"/>
      <c r="CJ178" s="1115"/>
      <c r="CK178" s="1115"/>
      <c r="CL178" s="1115"/>
    </row>
    <row r="179" spans="1:90" ht="14.4">
      <c r="A179" s="963">
        <v>8201</v>
      </c>
      <c r="B179" s="963" t="s">
        <v>2865</v>
      </c>
      <c r="C179" s="965">
        <v>77294.25</v>
      </c>
      <c r="D179" s="965">
        <v>55612.99</v>
      </c>
      <c r="E179" s="965">
        <v>55612.99</v>
      </c>
      <c r="F179" s="965">
        <v>55612.99</v>
      </c>
      <c r="G179" s="965">
        <v>55612.99</v>
      </c>
      <c r="H179" s="965">
        <v>57600.67</v>
      </c>
      <c r="I179" s="965">
        <v>56275.55</v>
      </c>
      <c r="J179" s="1233">
        <v>56275.55</v>
      </c>
      <c r="K179" s="1233">
        <v>0</v>
      </c>
      <c r="L179" s="1115"/>
      <c r="M179" s="1115"/>
      <c r="N179" s="1115"/>
      <c r="O179" s="1115"/>
      <c r="P179" s="1115"/>
      <c r="Q179" s="1115"/>
      <c r="R179" s="1115"/>
      <c r="S179" s="1115"/>
      <c r="T179" s="1115"/>
      <c r="U179" s="1115"/>
      <c r="V179" s="1115"/>
      <c r="W179" s="1115"/>
      <c r="X179" s="1115"/>
      <c r="Y179" s="1115"/>
      <c r="Z179" s="1115"/>
      <c r="AA179" s="1115"/>
      <c r="AB179" s="1115"/>
      <c r="AC179" s="1115"/>
      <c r="AD179" s="1115"/>
      <c r="AE179" s="1115"/>
      <c r="AF179" s="1115"/>
      <c r="AG179" s="1115"/>
      <c r="AH179" s="1115"/>
      <c r="AI179" s="1115"/>
      <c r="AJ179" s="1115"/>
      <c r="AK179" s="1115"/>
      <c r="AL179" s="1115"/>
      <c r="AM179" s="1115"/>
      <c r="AN179" s="1115"/>
      <c r="AO179" s="1115"/>
      <c r="AP179" s="1115"/>
      <c r="AQ179" s="1115"/>
      <c r="AR179" s="1115"/>
      <c r="AS179" s="1115"/>
      <c r="AT179" s="1115"/>
      <c r="AU179" s="1115"/>
      <c r="AV179" s="1115"/>
      <c r="AW179" s="1115"/>
      <c r="AX179" s="1115"/>
      <c r="AY179" s="1115"/>
      <c r="AZ179" s="1115"/>
      <c r="BA179" s="1115"/>
      <c r="BB179" s="1115"/>
      <c r="BC179" s="1115"/>
      <c r="BD179" s="1115"/>
      <c r="BE179" s="1115"/>
      <c r="BF179" s="1115"/>
      <c r="BG179" s="1115"/>
      <c r="BH179" s="1115"/>
      <c r="BI179" s="1115"/>
      <c r="BJ179" s="1115"/>
      <c r="BK179" s="1115"/>
      <c r="BL179" s="1115"/>
      <c r="BM179" s="1115"/>
      <c r="BN179" s="1115"/>
      <c r="BO179" s="1115"/>
      <c r="BP179" s="1115"/>
      <c r="BQ179" s="1115"/>
      <c r="BR179" s="1115"/>
      <c r="BS179" s="1115"/>
      <c r="BT179" s="1115"/>
      <c r="BU179" s="1115"/>
      <c r="BV179" s="1115"/>
      <c r="BW179" s="1115"/>
      <c r="BX179" s="1115"/>
      <c r="BY179" s="1115"/>
      <c r="BZ179" s="1115"/>
      <c r="CA179" s="1115"/>
      <c r="CB179" s="1115"/>
      <c r="CC179" s="1115"/>
      <c r="CD179" s="1115"/>
      <c r="CE179" s="1115"/>
      <c r="CF179" s="1115"/>
      <c r="CG179" s="1115"/>
      <c r="CH179" s="1115"/>
      <c r="CI179" s="1115"/>
      <c r="CJ179" s="1115"/>
      <c r="CK179" s="1115"/>
      <c r="CL179" s="1115"/>
    </row>
    <row r="180" spans="1:90" ht="14.4">
      <c r="A180" s="963">
        <v>8302</v>
      </c>
      <c r="B180" s="963" t="s">
        <v>2866</v>
      </c>
      <c r="C180" s="965">
        <v>164350.10999999999</v>
      </c>
      <c r="D180" s="965">
        <v>164350.10999999999</v>
      </c>
      <c r="E180" s="965">
        <v>164350.10999999999</v>
      </c>
      <c r="F180" s="965">
        <v>164350.10999999999</v>
      </c>
      <c r="G180" s="965">
        <v>164350.10999999999</v>
      </c>
      <c r="H180" s="965">
        <v>164350.10999999999</v>
      </c>
      <c r="I180" s="965">
        <v>164350.10999999999</v>
      </c>
      <c r="J180" s="1233">
        <v>164350.10999999999</v>
      </c>
      <c r="K180" s="1233">
        <v>0</v>
      </c>
      <c r="L180" s="1115"/>
      <c r="M180" s="1115"/>
      <c r="N180" s="1115"/>
      <c r="O180" s="1115"/>
      <c r="P180" s="1115"/>
      <c r="Q180" s="1115"/>
      <c r="R180" s="1115"/>
      <c r="S180" s="1115"/>
      <c r="T180" s="1115"/>
      <c r="U180" s="1115"/>
      <c r="V180" s="1115"/>
      <c r="W180" s="1115"/>
      <c r="X180" s="1115"/>
      <c r="Y180" s="1115"/>
      <c r="Z180" s="1115"/>
      <c r="AA180" s="1115"/>
      <c r="AB180" s="1115"/>
      <c r="AC180" s="1115"/>
      <c r="AD180" s="1115"/>
      <c r="AE180" s="1115"/>
      <c r="AF180" s="1115"/>
      <c r="AG180" s="1115"/>
      <c r="AH180" s="1115"/>
      <c r="AI180" s="1115"/>
      <c r="AJ180" s="1115"/>
      <c r="AK180" s="1115"/>
      <c r="AL180" s="1115"/>
      <c r="AM180" s="1115"/>
      <c r="AN180" s="1115"/>
      <c r="AO180" s="1115"/>
      <c r="AP180" s="1115"/>
      <c r="AQ180" s="1115"/>
      <c r="AR180" s="1115"/>
      <c r="AS180" s="1115"/>
      <c r="AT180" s="1115"/>
      <c r="AU180" s="1115"/>
      <c r="AV180" s="1115"/>
      <c r="AW180" s="1115"/>
      <c r="AX180" s="1115"/>
      <c r="AY180" s="1115"/>
      <c r="AZ180" s="1115"/>
      <c r="BA180" s="1115"/>
      <c r="BB180" s="1115"/>
      <c r="BC180" s="1115"/>
      <c r="BD180" s="1115"/>
      <c r="BE180" s="1115"/>
      <c r="BF180" s="1115"/>
      <c r="BG180" s="1115"/>
      <c r="BH180" s="1115"/>
      <c r="BI180" s="1115"/>
      <c r="BJ180" s="1115"/>
      <c r="BK180" s="1115"/>
      <c r="BL180" s="1115"/>
      <c r="BM180" s="1115"/>
      <c r="BN180" s="1115"/>
      <c r="BO180" s="1115"/>
      <c r="BP180" s="1115"/>
      <c r="BQ180" s="1115"/>
      <c r="BR180" s="1115"/>
      <c r="BS180" s="1115"/>
      <c r="BT180" s="1115"/>
      <c r="BU180" s="1115"/>
      <c r="BV180" s="1115"/>
      <c r="BW180" s="1115"/>
      <c r="BX180" s="1115"/>
      <c r="BY180" s="1115"/>
      <c r="BZ180" s="1115"/>
      <c r="CA180" s="1115"/>
      <c r="CB180" s="1115"/>
      <c r="CC180" s="1115"/>
      <c r="CD180" s="1115"/>
      <c r="CE180" s="1115"/>
      <c r="CF180" s="1115"/>
      <c r="CG180" s="1115"/>
      <c r="CH180" s="1115"/>
      <c r="CI180" s="1115"/>
      <c r="CJ180" s="1115"/>
      <c r="CK180" s="1115"/>
      <c r="CL180" s="1115"/>
    </row>
    <row r="181" spans="1:90" ht="14.4">
      <c r="A181" s="963">
        <v>8403</v>
      </c>
      <c r="B181" s="963" t="s">
        <v>2867</v>
      </c>
      <c r="C181" s="965">
        <v>6529.64</v>
      </c>
      <c r="D181" s="965">
        <v>3000</v>
      </c>
      <c r="E181" s="965">
        <v>3000</v>
      </c>
      <c r="F181" s="965">
        <v>3000</v>
      </c>
      <c r="G181" s="965">
        <v>3000</v>
      </c>
      <c r="H181" s="965">
        <v>3000</v>
      </c>
      <c r="I181" s="965">
        <v>3000</v>
      </c>
      <c r="J181" s="1233">
        <v>3000</v>
      </c>
      <c r="K181" s="1233">
        <v>0</v>
      </c>
      <c r="L181" s="1115"/>
      <c r="M181" s="1115"/>
      <c r="N181" s="1115"/>
      <c r="O181" s="1115"/>
      <c r="P181" s="1115"/>
      <c r="Q181" s="1115"/>
      <c r="R181" s="1115"/>
      <c r="S181" s="1115"/>
      <c r="T181" s="1115"/>
      <c r="U181" s="1115"/>
      <c r="V181" s="1115"/>
      <c r="W181" s="1115"/>
      <c r="X181" s="1115"/>
      <c r="Y181" s="1115"/>
      <c r="Z181" s="1115"/>
      <c r="AA181" s="1115"/>
      <c r="AB181" s="1115"/>
      <c r="AC181" s="1115"/>
      <c r="AD181" s="1115"/>
      <c r="AE181" s="1115"/>
      <c r="AF181" s="1115"/>
      <c r="AG181" s="1115"/>
      <c r="AH181" s="1115"/>
      <c r="AI181" s="1115"/>
      <c r="AJ181" s="1115"/>
      <c r="AK181" s="1115"/>
      <c r="AL181" s="1115"/>
      <c r="AM181" s="1115"/>
      <c r="AN181" s="1115"/>
      <c r="AO181" s="1115"/>
      <c r="AP181" s="1115"/>
      <c r="AQ181" s="1115"/>
      <c r="AR181" s="1115"/>
      <c r="AS181" s="1115"/>
      <c r="AT181" s="1115"/>
      <c r="AU181" s="1115"/>
      <c r="AV181" s="1115"/>
      <c r="AW181" s="1115"/>
      <c r="AX181" s="1115"/>
      <c r="AY181" s="1115"/>
      <c r="AZ181" s="1115"/>
      <c r="BA181" s="1115"/>
      <c r="BB181" s="1115"/>
      <c r="BC181" s="1115"/>
      <c r="BD181" s="1115"/>
      <c r="BE181" s="1115"/>
      <c r="BF181" s="1115"/>
      <c r="BG181" s="1115"/>
      <c r="BH181" s="1115"/>
      <c r="BI181" s="1115"/>
      <c r="BJ181" s="1115"/>
      <c r="BK181" s="1115"/>
      <c r="BL181" s="1115"/>
      <c r="BM181" s="1115"/>
      <c r="BN181" s="1115"/>
      <c r="BO181" s="1115"/>
      <c r="BP181" s="1115"/>
      <c r="BQ181" s="1115"/>
      <c r="BR181" s="1115"/>
      <c r="BS181" s="1115"/>
      <c r="BT181" s="1115"/>
      <c r="BU181" s="1115"/>
      <c r="BV181" s="1115"/>
      <c r="BW181" s="1115"/>
      <c r="BX181" s="1115"/>
      <c r="BY181" s="1115"/>
      <c r="BZ181" s="1115"/>
      <c r="CA181" s="1115"/>
      <c r="CB181" s="1115"/>
      <c r="CC181" s="1115"/>
      <c r="CD181" s="1115"/>
      <c r="CE181" s="1115"/>
      <c r="CF181" s="1115"/>
      <c r="CG181" s="1115"/>
      <c r="CH181" s="1115"/>
      <c r="CI181" s="1115"/>
      <c r="CJ181" s="1115"/>
      <c r="CK181" s="1115"/>
      <c r="CL181" s="1115"/>
    </row>
    <row r="182" spans="1:90" ht="14.4">
      <c r="A182" s="1115"/>
      <c r="B182" s="1116" t="s">
        <v>2864</v>
      </c>
      <c r="C182" s="1134">
        <v>248174</v>
      </c>
      <c r="D182" s="1134">
        <v>222963.1</v>
      </c>
      <c r="E182" s="1134">
        <v>222963.1</v>
      </c>
      <c r="F182" s="1134">
        <v>222963.1</v>
      </c>
      <c r="G182" s="1134">
        <v>222963.1</v>
      </c>
      <c r="H182" s="1134">
        <v>224950.78</v>
      </c>
      <c r="I182" s="1134">
        <v>223625.66</v>
      </c>
      <c r="J182" s="1234">
        <v>223625.65999999997</v>
      </c>
      <c r="K182" s="1234">
        <v>0</v>
      </c>
      <c r="L182" s="1115"/>
      <c r="M182" s="1115"/>
      <c r="N182" s="1115"/>
      <c r="O182" s="1115"/>
      <c r="P182" s="1115"/>
      <c r="Q182" s="1115"/>
      <c r="R182" s="1115"/>
      <c r="S182" s="1115"/>
      <c r="T182" s="1115"/>
      <c r="U182" s="1115"/>
      <c r="V182" s="1115"/>
      <c r="W182" s="1115"/>
      <c r="X182" s="1115"/>
      <c r="Y182" s="1115"/>
      <c r="Z182" s="1115"/>
      <c r="AA182" s="1115"/>
      <c r="AB182" s="1115"/>
      <c r="AC182" s="1115"/>
      <c r="AD182" s="1115"/>
      <c r="AE182" s="1115"/>
      <c r="AF182" s="1115"/>
      <c r="AG182" s="1115"/>
      <c r="AH182" s="1115"/>
      <c r="AI182" s="1115"/>
      <c r="AJ182" s="1115"/>
      <c r="AK182" s="1115"/>
      <c r="AL182" s="1115"/>
      <c r="AM182" s="1115"/>
      <c r="AN182" s="1115"/>
      <c r="AO182" s="1115"/>
      <c r="AP182" s="1115"/>
      <c r="AQ182" s="1115"/>
      <c r="AR182" s="1115"/>
      <c r="AS182" s="1115"/>
      <c r="AT182" s="1115"/>
      <c r="AU182" s="1115"/>
      <c r="AV182" s="1115"/>
      <c r="AW182" s="1115"/>
      <c r="AX182" s="1115"/>
      <c r="AY182" s="1115"/>
      <c r="AZ182" s="1115"/>
      <c r="BA182" s="1115"/>
      <c r="BB182" s="1115"/>
      <c r="BC182" s="1115"/>
      <c r="BD182" s="1115"/>
      <c r="BE182" s="1115"/>
      <c r="BF182" s="1115"/>
      <c r="BG182" s="1115"/>
      <c r="BH182" s="1115"/>
      <c r="BI182" s="1115"/>
      <c r="BJ182" s="1115"/>
      <c r="BK182" s="1115"/>
      <c r="BL182" s="1115"/>
      <c r="BM182" s="1115"/>
      <c r="BN182" s="1115"/>
      <c r="BO182" s="1115"/>
      <c r="BP182" s="1115"/>
      <c r="BQ182" s="1115"/>
      <c r="BR182" s="1115"/>
      <c r="BS182" s="1115"/>
      <c r="BT182" s="1115"/>
      <c r="BU182" s="1115"/>
      <c r="BV182" s="1115"/>
      <c r="BW182" s="1115"/>
      <c r="BX182" s="1115"/>
      <c r="BY182" s="1115"/>
      <c r="BZ182" s="1115"/>
      <c r="CA182" s="1115"/>
      <c r="CB182" s="1115"/>
      <c r="CC182" s="1115"/>
      <c r="CD182" s="1115"/>
      <c r="CE182" s="1115"/>
      <c r="CF182" s="1115"/>
      <c r="CG182" s="1115"/>
      <c r="CH182" s="1115"/>
      <c r="CI182" s="1115"/>
      <c r="CJ182" s="1115"/>
      <c r="CK182" s="1115"/>
      <c r="CL182" s="1115"/>
    </row>
    <row r="183" spans="1:90" ht="14.4">
      <c r="A183" s="1115"/>
      <c r="B183" s="963"/>
      <c r="C183" s="963"/>
      <c r="D183" s="963"/>
      <c r="E183" s="963"/>
      <c r="F183" s="963"/>
      <c r="G183" s="963"/>
      <c r="H183" s="963"/>
      <c r="I183" s="963"/>
      <c r="L183" s="1115"/>
      <c r="M183" s="1115"/>
      <c r="N183" s="1115"/>
      <c r="O183" s="1115"/>
      <c r="P183" s="1115"/>
      <c r="Q183" s="1115"/>
      <c r="R183" s="1115"/>
      <c r="S183" s="1115"/>
      <c r="T183" s="1115"/>
      <c r="U183" s="1115"/>
      <c r="V183" s="1115"/>
      <c r="W183" s="1115"/>
      <c r="X183" s="1115"/>
      <c r="Y183" s="1115"/>
      <c r="Z183" s="1115"/>
      <c r="AA183" s="1115"/>
      <c r="AB183" s="1115"/>
      <c r="AC183" s="1115"/>
      <c r="AD183" s="1115"/>
      <c r="AE183" s="1115"/>
      <c r="AF183" s="1115"/>
      <c r="AG183" s="1115"/>
      <c r="AH183" s="1115"/>
      <c r="AI183" s="1115"/>
      <c r="AJ183" s="1115"/>
      <c r="AK183" s="1115"/>
      <c r="AL183" s="1115"/>
      <c r="AM183" s="1115"/>
      <c r="AN183" s="1115"/>
      <c r="AO183" s="1115"/>
      <c r="AP183" s="1115"/>
      <c r="AQ183" s="1115"/>
      <c r="AR183" s="1115"/>
      <c r="AS183" s="1115"/>
      <c r="AT183" s="1115"/>
      <c r="AU183" s="1115"/>
      <c r="AV183" s="1115"/>
      <c r="AW183" s="1115"/>
      <c r="AX183" s="1115"/>
      <c r="AY183" s="1115"/>
      <c r="AZ183" s="1115"/>
      <c r="BA183" s="1115"/>
      <c r="BB183" s="1115"/>
      <c r="BC183" s="1115"/>
      <c r="BD183" s="1115"/>
      <c r="BE183" s="1115"/>
      <c r="BF183" s="1115"/>
      <c r="BG183" s="1115"/>
      <c r="BH183" s="1115"/>
      <c r="BI183" s="1115"/>
      <c r="BJ183" s="1115"/>
      <c r="BK183" s="1115"/>
      <c r="BL183" s="1115"/>
      <c r="BM183" s="1115"/>
      <c r="BN183" s="1115"/>
      <c r="BO183" s="1115"/>
      <c r="BP183" s="1115"/>
      <c r="BQ183" s="1115"/>
      <c r="BR183" s="1115"/>
      <c r="BS183" s="1115"/>
      <c r="BT183" s="1115"/>
      <c r="BU183" s="1115"/>
      <c r="BV183" s="1115"/>
      <c r="BW183" s="1115"/>
      <c r="BX183" s="1115"/>
      <c r="BY183" s="1115"/>
      <c r="BZ183" s="1115"/>
      <c r="CA183" s="1115"/>
      <c r="CB183" s="1115"/>
      <c r="CC183" s="1115"/>
      <c r="CD183" s="1115"/>
      <c r="CE183" s="1115"/>
      <c r="CF183" s="1115"/>
      <c r="CG183" s="1115"/>
      <c r="CH183" s="1115"/>
      <c r="CI183" s="1115"/>
      <c r="CJ183" s="1115"/>
      <c r="CK183" s="1115"/>
      <c r="CL183" s="1115"/>
    </row>
    <row r="184" spans="1:90" ht="14.4">
      <c r="A184" s="1115"/>
      <c r="B184" s="1116" t="s">
        <v>2779</v>
      </c>
      <c r="C184" s="1134">
        <v>316116.75</v>
      </c>
      <c r="D184" s="1134">
        <v>592325.57999999996</v>
      </c>
      <c r="E184" s="1134">
        <v>660408.22</v>
      </c>
      <c r="F184" s="1134">
        <v>678780</v>
      </c>
      <c r="G184" s="1134">
        <v>672924.95</v>
      </c>
      <c r="H184" s="1134">
        <v>632304.59</v>
      </c>
      <c r="I184" s="1134">
        <v>654431.12</v>
      </c>
      <c r="J184" s="1234">
        <v>731360.27000000014</v>
      </c>
      <c r="K184" s="1234">
        <v>5976.369999999999</v>
      </c>
      <c r="L184" s="1115"/>
      <c r="M184" s="1115"/>
      <c r="N184" s="1115"/>
      <c r="O184" s="1115"/>
      <c r="P184" s="1115"/>
      <c r="Q184" s="1115"/>
      <c r="R184" s="1115"/>
      <c r="S184" s="1115"/>
      <c r="T184" s="1115"/>
      <c r="U184" s="1115"/>
      <c r="V184" s="1115"/>
      <c r="W184" s="1115"/>
      <c r="X184" s="1115"/>
      <c r="Y184" s="1115"/>
      <c r="Z184" s="1115"/>
      <c r="AA184" s="1115"/>
      <c r="AB184" s="1115"/>
      <c r="AC184" s="1115"/>
      <c r="AD184" s="1115"/>
      <c r="AE184" s="1115"/>
      <c r="AF184" s="1115"/>
      <c r="AG184" s="1115"/>
      <c r="AH184" s="1115"/>
      <c r="AI184" s="1115"/>
      <c r="AJ184" s="1115"/>
      <c r="AK184" s="1115"/>
      <c r="AL184" s="1115"/>
      <c r="AM184" s="1115"/>
      <c r="AN184" s="1115"/>
      <c r="AO184" s="1115"/>
      <c r="AP184" s="1115"/>
      <c r="AQ184" s="1115"/>
      <c r="AR184" s="1115"/>
      <c r="AS184" s="1115"/>
      <c r="AT184" s="1115"/>
      <c r="AU184" s="1115"/>
      <c r="AV184" s="1115"/>
      <c r="AW184" s="1115"/>
      <c r="AX184" s="1115"/>
      <c r="AY184" s="1115"/>
      <c r="AZ184" s="1115"/>
      <c r="BA184" s="1115"/>
      <c r="BB184" s="1115"/>
      <c r="BC184" s="1115"/>
      <c r="BD184" s="1115"/>
      <c r="BE184" s="1115"/>
      <c r="BF184" s="1115"/>
      <c r="BG184" s="1115"/>
      <c r="BH184" s="1115"/>
      <c r="BI184" s="1115"/>
      <c r="BJ184" s="1115"/>
      <c r="BK184" s="1115"/>
      <c r="BL184" s="1115"/>
      <c r="BM184" s="1115"/>
      <c r="BN184" s="1115"/>
      <c r="BO184" s="1115"/>
      <c r="BP184" s="1115"/>
      <c r="BQ184" s="1115"/>
      <c r="BR184" s="1115"/>
      <c r="BS184" s="1115"/>
      <c r="BT184" s="1115"/>
      <c r="BU184" s="1115"/>
      <c r="BV184" s="1115"/>
      <c r="BW184" s="1115"/>
      <c r="BX184" s="1115"/>
      <c r="BY184" s="1115"/>
      <c r="BZ184" s="1115"/>
      <c r="CA184" s="1115"/>
      <c r="CB184" s="1115"/>
      <c r="CC184" s="1115"/>
      <c r="CD184" s="1115"/>
      <c r="CE184" s="1115"/>
      <c r="CF184" s="1115"/>
      <c r="CG184" s="1115"/>
      <c r="CH184" s="1115"/>
      <c r="CI184" s="1115"/>
      <c r="CJ184" s="1115"/>
      <c r="CK184" s="1115"/>
      <c r="CL184" s="1115"/>
    </row>
    <row r="185" spans="1:90" ht="14.4">
      <c r="A185" s="1115"/>
      <c r="B185" s="963"/>
      <c r="C185" s="963"/>
      <c r="D185" s="963"/>
      <c r="E185" s="963"/>
      <c r="F185" s="963"/>
      <c r="G185" s="963"/>
      <c r="H185" s="963"/>
      <c r="I185" s="963"/>
      <c r="L185" s="1115"/>
      <c r="M185" s="1115"/>
      <c r="N185" s="1115"/>
      <c r="O185" s="1115"/>
      <c r="P185" s="1115"/>
      <c r="Q185" s="1115"/>
      <c r="R185" s="1115"/>
      <c r="S185" s="1115"/>
      <c r="T185" s="1115"/>
      <c r="U185" s="1115"/>
      <c r="V185" s="1115"/>
      <c r="W185" s="1115"/>
      <c r="X185" s="1115"/>
      <c r="Y185" s="1115"/>
      <c r="Z185" s="1115"/>
      <c r="AA185" s="1115"/>
      <c r="AB185" s="1115"/>
      <c r="AC185" s="1115"/>
      <c r="AD185" s="1115"/>
      <c r="AE185" s="1115"/>
      <c r="AF185" s="1115"/>
      <c r="AG185" s="1115"/>
      <c r="AH185" s="1115"/>
      <c r="AI185" s="1115"/>
      <c r="AJ185" s="1115"/>
      <c r="AK185" s="1115"/>
      <c r="AL185" s="1115"/>
      <c r="AM185" s="1115"/>
      <c r="AN185" s="1115"/>
      <c r="AO185" s="1115"/>
      <c r="AP185" s="1115"/>
      <c r="AQ185" s="1115"/>
      <c r="AR185" s="1115"/>
      <c r="AS185" s="1115"/>
      <c r="AT185" s="1115"/>
      <c r="AU185" s="1115"/>
      <c r="AV185" s="1115"/>
      <c r="AW185" s="1115"/>
      <c r="AX185" s="1115"/>
      <c r="AY185" s="1115"/>
      <c r="AZ185" s="1115"/>
      <c r="BA185" s="1115"/>
      <c r="BB185" s="1115"/>
      <c r="BC185" s="1115"/>
      <c r="BD185" s="1115"/>
      <c r="BE185" s="1115"/>
      <c r="BF185" s="1115"/>
      <c r="BG185" s="1115"/>
      <c r="BH185" s="1115"/>
      <c r="BI185" s="1115"/>
      <c r="BJ185" s="1115"/>
      <c r="BK185" s="1115"/>
      <c r="BL185" s="1115"/>
      <c r="BM185" s="1115"/>
      <c r="BN185" s="1115"/>
      <c r="BO185" s="1115"/>
      <c r="BP185" s="1115"/>
      <c r="BQ185" s="1115"/>
      <c r="BR185" s="1115"/>
      <c r="BS185" s="1115"/>
      <c r="BT185" s="1115"/>
      <c r="BU185" s="1115"/>
      <c r="BV185" s="1115"/>
      <c r="BW185" s="1115"/>
      <c r="BX185" s="1115"/>
      <c r="BY185" s="1115"/>
      <c r="BZ185" s="1115"/>
      <c r="CA185" s="1115"/>
      <c r="CB185" s="1115"/>
      <c r="CC185" s="1115"/>
      <c r="CD185" s="1115"/>
      <c r="CE185" s="1115"/>
      <c r="CF185" s="1115"/>
      <c r="CG185" s="1115"/>
      <c r="CH185" s="1115"/>
      <c r="CI185" s="1115"/>
      <c r="CJ185" s="1115"/>
      <c r="CK185" s="1115"/>
      <c r="CL185" s="1115"/>
    </row>
    <row r="186" spans="1:90" ht="14.4">
      <c r="A186" s="1115"/>
      <c r="B186" s="1116" t="s">
        <v>2868</v>
      </c>
      <c r="C186" s="1134">
        <v>524039.9</v>
      </c>
      <c r="D186" s="1134">
        <v>265903.07</v>
      </c>
      <c r="E186" s="1134">
        <v>143954.23999999999</v>
      </c>
      <c r="F186" s="1134">
        <v>97722.31</v>
      </c>
      <c r="G186" s="1134">
        <v>13592.52</v>
      </c>
      <c r="H186" s="1134">
        <v>30990.84</v>
      </c>
      <c r="I186" s="1134">
        <v>106565.12</v>
      </c>
      <c r="J186" s="1234">
        <v>12644.030000000203</v>
      </c>
      <c r="K186" s="1234">
        <v>660031.24</v>
      </c>
      <c r="L186" s="1115"/>
      <c r="M186" s="1115"/>
      <c r="N186" s="1115"/>
      <c r="O186" s="1115"/>
      <c r="P186" s="1115"/>
      <c r="Q186" s="1115"/>
      <c r="R186" s="1115"/>
      <c r="S186" s="1115"/>
      <c r="T186" s="1115"/>
      <c r="U186" s="1115"/>
      <c r="V186" s="1115"/>
      <c r="W186" s="1115"/>
      <c r="X186" s="1115"/>
      <c r="Y186" s="1115"/>
      <c r="Z186" s="1115"/>
      <c r="AA186" s="1115"/>
      <c r="AB186" s="1115"/>
      <c r="AC186" s="1115"/>
      <c r="AD186" s="1115"/>
      <c r="AE186" s="1115"/>
      <c r="AF186" s="1115"/>
      <c r="AG186" s="1115"/>
      <c r="AH186" s="1115"/>
      <c r="AI186" s="1115"/>
      <c r="AJ186" s="1115"/>
      <c r="AK186" s="1115"/>
      <c r="AL186" s="1115"/>
      <c r="AM186" s="1115"/>
      <c r="AN186" s="1115"/>
      <c r="AO186" s="1115"/>
      <c r="AP186" s="1115"/>
      <c r="AQ186" s="1115"/>
      <c r="AR186" s="1115"/>
      <c r="AS186" s="1115"/>
      <c r="AT186" s="1115"/>
      <c r="AU186" s="1115"/>
      <c r="AV186" s="1115"/>
      <c r="AW186" s="1115"/>
      <c r="AX186" s="1115"/>
      <c r="AY186" s="1115"/>
      <c r="AZ186" s="1115"/>
      <c r="BA186" s="1115"/>
      <c r="BB186" s="1115"/>
      <c r="BC186" s="1115"/>
      <c r="BD186" s="1115"/>
      <c r="BE186" s="1115"/>
      <c r="BF186" s="1115"/>
      <c r="BG186" s="1115"/>
      <c r="BH186" s="1115"/>
      <c r="BI186" s="1115"/>
      <c r="BJ186" s="1115"/>
      <c r="BK186" s="1115"/>
      <c r="BL186" s="1115"/>
      <c r="BM186" s="1115"/>
      <c r="BN186" s="1115"/>
      <c r="BO186" s="1115"/>
      <c r="BP186" s="1115"/>
      <c r="BQ186" s="1115"/>
      <c r="BR186" s="1115"/>
      <c r="BS186" s="1115"/>
      <c r="BT186" s="1115"/>
      <c r="BU186" s="1115"/>
      <c r="BV186" s="1115"/>
      <c r="BW186" s="1115"/>
      <c r="BX186" s="1115"/>
      <c r="BY186" s="1115"/>
      <c r="BZ186" s="1115"/>
      <c r="CA186" s="1115"/>
      <c r="CB186" s="1115"/>
      <c r="CC186" s="1115"/>
      <c r="CD186" s="1115"/>
      <c r="CE186" s="1115"/>
      <c r="CF186" s="1115"/>
      <c r="CG186" s="1115"/>
      <c r="CH186" s="1115"/>
      <c r="CI186" s="1115"/>
      <c r="CJ186" s="1115"/>
      <c r="CK186" s="1115"/>
      <c r="CL186" s="1115"/>
    </row>
    <row r="187" spans="1:90" ht="14.4">
      <c r="A187" s="1115"/>
      <c r="B187" s="963"/>
      <c r="C187" s="963"/>
      <c r="D187" s="963"/>
      <c r="E187" s="963"/>
      <c r="F187" s="963"/>
      <c r="G187" s="963"/>
      <c r="H187" s="963"/>
      <c r="I187" s="963"/>
      <c r="L187" s="1115"/>
      <c r="M187" s="1115"/>
      <c r="N187" s="1115"/>
      <c r="O187" s="1115"/>
      <c r="P187" s="1115"/>
      <c r="Q187" s="1115"/>
      <c r="R187" s="1115"/>
      <c r="S187" s="1115"/>
      <c r="T187" s="1115"/>
      <c r="U187" s="1115"/>
      <c r="V187" s="1115"/>
      <c r="W187" s="1115"/>
      <c r="X187" s="1115"/>
      <c r="Y187" s="1115"/>
      <c r="Z187" s="1115"/>
      <c r="AA187" s="1115"/>
      <c r="AB187" s="1115"/>
      <c r="AC187" s="1115"/>
      <c r="AD187" s="1115"/>
      <c r="AE187" s="1115"/>
      <c r="AF187" s="1115"/>
      <c r="AG187" s="1115"/>
      <c r="AH187" s="1115"/>
      <c r="AI187" s="1115"/>
      <c r="AJ187" s="1115"/>
      <c r="AK187" s="1115"/>
      <c r="AL187" s="1115"/>
      <c r="AM187" s="1115"/>
      <c r="AN187" s="1115"/>
      <c r="AO187" s="1115"/>
      <c r="AP187" s="1115"/>
      <c r="AQ187" s="1115"/>
      <c r="AR187" s="1115"/>
      <c r="AS187" s="1115"/>
      <c r="AT187" s="1115"/>
      <c r="AU187" s="1115"/>
      <c r="AV187" s="1115"/>
      <c r="AW187" s="1115"/>
      <c r="AX187" s="1115"/>
      <c r="AY187" s="1115"/>
      <c r="AZ187" s="1115"/>
      <c r="BA187" s="1115"/>
      <c r="BB187" s="1115"/>
      <c r="BC187" s="1115"/>
      <c r="BD187" s="1115"/>
      <c r="BE187" s="1115"/>
      <c r="BF187" s="1115"/>
      <c r="BG187" s="1115"/>
      <c r="BH187" s="1115"/>
      <c r="BI187" s="1115"/>
      <c r="BJ187" s="1115"/>
      <c r="BK187" s="1115"/>
      <c r="BL187" s="1115"/>
      <c r="BM187" s="1115"/>
      <c r="BN187" s="1115"/>
      <c r="BO187" s="1115"/>
      <c r="BP187" s="1115"/>
      <c r="BQ187" s="1115"/>
      <c r="BR187" s="1115"/>
      <c r="BS187" s="1115"/>
      <c r="BT187" s="1115"/>
      <c r="BU187" s="1115"/>
      <c r="BV187" s="1115"/>
      <c r="BW187" s="1115"/>
      <c r="BX187" s="1115"/>
      <c r="BY187" s="1115"/>
      <c r="BZ187" s="1115"/>
      <c r="CA187" s="1115"/>
      <c r="CB187" s="1115"/>
      <c r="CC187" s="1115"/>
      <c r="CD187" s="1115"/>
      <c r="CE187" s="1115"/>
      <c r="CF187" s="1115"/>
      <c r="CG187" s="1115"/>
      <c r="CH187" s="1115"/>
      <c r="CI187" s="1115"/>
      <c r="CJ187" s="1115"/>
      <c r="CK187" s="1115"/>
      <c r="CL187" s="1115"/>
    </row>
    <row r="188" spans="1:90" ht="14.4">
      <c r="A188" s="1116" t="s">
        <v>2869</v>
      </c>
      <c r="B188" s="963"/>
      <c r="C188" s="963"/>
      <c r="D188" s="963"/>
      <c r="E188" s="963"/>
      <c r="F188" s="963"/>
      <c r="G188" s="963"/>
      <c r="H188" s="963"/>
      <c r="I188" s="963"/>
      <c r="J188" s="1236"/>
      <c r="K188" s="1236"/>
      <c r="L188" s="1115"/>
      <c r="M188" s="1115"/>
      <c r="N188" s="1115"/>
      <c r="O188" s="1115"/>
      <c r="P188" s="1115"/>
      <c r="Q188" s="1115"/>
      <c r="R188" s="1115"/>
      <c r="S188" s="1115"/>
      <c r="T188" s="1115"/>
      <c r="U188" s="1115"/>
      <c r="V188" s="1115"/>
      <c r="W188" s="1115"/>
      <c r="X188" s="1115"/>
      <c r="Y188" s="1115"/>
      <c r="Z188" s="1115"/>
      <c r="AA188" s="1115"/>
      <c r="AB188" s="1115"/>
      <c r="AC188" s="1115"/>
      <c r="AD188" s="1115"/>
      <c r="AE188" s="1115"/>
      <c r="AF188" s="1115"/>
      <c r="AG188" s="1115"/>
      <c r="AH188" s="1115"/>
      <c r="AI188" s="1115"/>
      <c r="AJ188" s="1115"/>
      <c r="AK188" s="1115"/>
      <c r="AL188" s="1115"/>
      <c r="AM188" s="1115"/>
      <c r="AN188" s="1115"/>
      <c r="AO188" s="1115"/>
      <c r="AP188" s="1115"/>
      <c r="AQ188" s="1115"/>
      <c r="AR188" s="1115"/>
      <c r="AS188" s="1115"/>
      <c r="AT188" s="1115"/>
      <c r="AU188" s="1115"/>
      <c r="AV188" s="1115"/>
      <c r="AW188" s="1115"/>
      <c r="AX188" s="1115"/>
      <c r="AY188" s="1115"/>
      <c r="AZ188" s="1115"/>
      <c r="BA188" s="1115"/>
      <c r="BB188" s="1115"/>
      <c r="BC188" s="1115"/>
      <c r="BD188" s="1115"/>
      <c r="BE188" s="1115"/>
      <c r="BF188" s="1115"/>
      <c r="BG188" s="1115"/>
      <c r="BH188" s="1115"/>
      <c r="BI188" s="1115"/>
      <c r="BJ188" s="1115"/>
      <c r="BK188" s="1115"/>
      <c r="BL188" s="1115"/>
      <c r="BM188" s="1115"/>
      <c r="BN188" s="1115"/>
      <c r="BO188" s="1115"/>
      <c r="BP188" s="1115"/>
      <c r="BQ188" s="1115"/>
      <c r="BR188" s="1115"/>
      <c r="BS188" s="1115"/>
      <c r="BT188" s="1115"/>
      <c r="BU188" s="1115"/>
      <c r="BV188" s="1115"/>
      <c r="BW188" s="1115"/>
      <c r="BX188" s="1115"/>
      <c r="BY188" s="1115"/>
      <c r="BZ188" s="1115"/>
      <c r="CA188" s="1115"/>
      <c r="CB188" s="1115"/>
      <c r="CC188" s="1115"/>
      <c r="CD188" s="1115"/>
      <c r="CE188" s="1115"/>
      <c r="CF188" s="1115"/>
      <c r="CG188" s="1115"/>
      <c r="CH188" s="1115"/>
      <c r="CI188" s="1115"/>
      <c r="CJ188" s="1115"/>
      <c r="CK188" s="1115"/>
      <c r="CL188" s="1115"/>
    </row>
    <row r="189" spans="1:90" ht="14.4">
      <c r="A189" s="1116" t="s">
        <v>2870</v>
      </c>
      <c r="B189" s="963"/>
      <c r="C189" s="963"/>
      <c r="D189" s="963"/>
      <c r="E189" s="963"/>
      <c r="F189" s="963"/>
      <c r="G189" s="963"/>
      <c r="H189" s="963"/>
      <c r="I189" s="963"/>
      <c r="J189" s="1235"/>
      <c r="K189" s="1235"/>
      <c r="L189" s="1115"/>
      <c r="M189" s="1115"/>
      <c r="N189" s="1115"/>
      <c r="O189" s="1115"/>
      <c r="P189" s="1115"/>
      <c r="Q189" s="1115"/>
      <c r="R189" s="1115"/>
      <c r="S189" s="1115"/>
      <c r="T189" s="1115"/>
      <c r="U189" s="1115"/>
      <c r="V189" s="1115"/>
      <c r="W189" s="1115"/>
      <c r="X189" s="1115"/>
      <c r="Y189" s="1115"/>
      <c r="Z189" s="1115"/>
      <c r="AA189" s="1115"/>
      <c r="AB189" s="1115"/>
      <c r="AC189" s="1115"/>
      <c r="AD189" s="1115"/>
      <c r="AE189" s="1115"/>
      <c r="AF189" s="1115"/>
      <c r="AG189" s="1115"/>
      <c r="AH189" s="1115"/>
      <c r="AI189" s="1115"/>
      <c r="AJ189" s="1115"/>
      <c r="AK189" s="1115"/>
      <c r="AL189" s="1115"/>
      <c r="AM189" s="1115"/>
      <c r="AN189" s="1115"/>
      <c r="AO189" s="1115"/>
      <c r="AP189" s="1115"/>
      <c r="AQ189" s="1115"/>
      <c r="AR189" s="1115"/>
      <c r="AS189" s="1115"/>
      <c r="AT189" s="1115"/>
      <c r="AU189" s="1115"/>
      <c r="AV189" s="1115"/>
      <c r="AW189" s="1115"/>
      <c r="AX189" s="1115"/>
      <c r="AY189" s="1115"/>
      <c r="AZ189" s="1115"/>
      <c r="BA189" s="1115"/>
      <c r="BB189" s="1115"/>
      <c r="BC189" s="1115"/>
      <c r="BD189" s="1115"/>
      <c r="BE189" s="1115"/>
      <c r="BF189" s="1115"/>
      <c r="BG189" s="1115"/>
      <c r="BH189" s="1115"/>
      <c r="BI189" s="1115"/>
      <c r="BJ189" s="1115"/>
      <c r="BK189" s="1115"/>
      <c r="BL189" s="1115"/>
      <c r="BM189" s="1115"/>
      <c r="BN189" s="1115"/>
      <c r="BO189" s="1115"/>
      <c r="BP189" s="1115"/>
      <c r="BQ189" s="1115"/>
      <c r="BR189" s="1115"/>
      <c r="BS189" s="1115"/>
      <c r="BT189" s="1115"/>
      <c r="BU189" s="1115"/>
      <c r="BV189" s="1115"/>
      <c r="BW189" s="1115"/>
      <c r="BX189" s="1115"/>
      <c r="BY189" s="1115"/>
      <c r="BZ189" s="1115"/>
      <c r="CA189" s="1115"/>
      <c r="CB189" s="1115"/>
      <c r="CC189" s="1115"/>
      <c r="CD189" s="1115"/>
      <c r="CE189" s="1115"/>
      <c r="CF189" s="1115"/>
      <c r="CG189" s="1115"/>
      <c r="CH189" s="1115"/>
      <c r="CI189" s="1115"/>
      <c r="CJ189" s="1115"/>
      <c r="CK189" s="1115"/>
      <c r="CL189" s="1115"/>
    </row>
    <row r="190" spans="1:90" ht="14.4">
      <c r="A190" s="1116" t="s">
        <v>2871</v>
      </c>
      <c r="B190" s="963"/>
      <c r="C190" s="963"/>
      <c r="D190" s="963"/>
      <c r="E190" s="963"/>
      <c r="F190" s="963"/>
      <c r="G190" s="963"/>
      <c r="H190" s="963"/>
      <c r="I190" s="963"/>
      <c r="J190" s="1237"/>
      <c r="K190" s="1237"/>
      <c r="L190" s="1115"/>
      <c r="M190" s="1115"/>
      <c r="N190" s="1115"/>
      <c r="O190" s="1115"/>
      <c r="P190" s="1115"/>
      <c r="Q190" s="1115"/>
      <c r="R190" s="1115"/>
      <c r="S190" s="1115"/>
      <c r="T190" s="1115"/>
      <c r="U190" s="1115"/>
      <c r="V190" s="1115"/>
      <c r="W190" s="1115"/>
      <c r="X190" s="1115"/>
      <c r="Y190" s="1115"/>
      <c r="Z190" s="1115"/>
      <c r="AA190" s="1115"/>
      <c r="AB190" s="1115"/>
      <c r="AC190" s="1115"/>
      <c r="AD190" s="1115"/>
      <c r="AE190" s="1115"/>
      <c r="AF190" s="1115"/>
      <c r="AG190" s="1115"/>
      <c r="AH190" s="1115"/>
      <c r="AI190" s="1115"/>
      <c r="AJ190" s="1115"/>
      <c r="AK190" s="1115"/>
      <c r="AL190" s="1115"/>
      <c r="AM190" s="1115"/>
      <c r="AN190" s="1115"/>
      <c r="AO190" s="1115"/>
      <c r="AP190" s="1115"/>
      <c r="AQ190" s="1115"/>
      <c r="AR190" s="1115"/>
      <c r="AS190" s="1115"/>
      <c r="AT190" s="1115"/>
      <c r="AU190" s="1115"/>
      <c r="AV190" s="1115"/>
      <c r="AW190" s="1115"/>
      <c r="AX190" s="1115"/>
      <c r="AY190" s="1115"/>
      <c r="AZ190" s="1115"/>
      <c r="BA190" s="1115"/>
      <c r="BB190" s="1115"/>
      <c r="BC190" s="1115"/>
      <c r="BD190" s="1115"/>
      <c r="BE190" s="1115"/>
      <c r="BF190" s="1115"/>
      <c r="BG190" s="1115"/>
      <c r="BH190" s="1115"/>
      <c r="BI190" s="1115"/>
      <c r="BJ190" s="1115"/>
      <c r="BK190" s="1115"/>
      <c r="BL190" s="1115"/>
      <c r="BM190" s="1115"/>
      <c r="BN190" s="1115"/>
      <c r="BO190" s="1115"/>
      <c r="BP190" s="1115"/>
      <c r="BQ190" s="1115"/>
      <c r="BR190" s="1115"/>
      <c r="BS190" s="1115"/>
      <c r="BT190" s="1115"/>
      <c r="BU190" s="1115"/>
      <c r="BV190" s="1115"/>
      <c r="BW190" s="1115"/>
      <c r="BX190" s="1115"/>
      <c r="BY190" s="1115"/>
      <c r="BZ190" s="1115"/>
      <c r="CA190" s="1115"/>
      <c r="CB190" s="1115"/>
      <c r="CC190" s="1115"/>
      <c r="CD190" s="1115"/>
      <c r="CE190" s="1115"/>
      <c r="CF190" s="1115"/>
      <c r="CG190" s="1115"/>
      <c r="CH190" s="1115"/>
      <c r="CI190" s="1115"/>
      <c r="CJ190" s="1115"/>
      <c r="CK190" s="1115"/>
      <c r="CL190" s="1115"/>
    </row>
    <row r="191" spans="1:90" ht="14.4">
      <c r="A191" s="963">
        <v>9402</v>
      </c>
      <c r="B191" s="963" t="s">
        <v>2872</v>
      </c>
      <c r="C191" s="965">
        <v>4177.74</v>
      </c>
      <c r="D191" s="963">
        <v>0</v>
      </c>
      <c r="E191" s="965">
        <v>3872.81</v>
      </c>
      <c r="F191" s="963">
        <v>0</v>
      </c>
      <c r="G191" s="963">
        <v>0</v>
      </c>
      <c r="H191" s="963">
        <v>0</v>
      </c>
      <c r="I191" s="963">
        <v>0</v>
      </c>
      <c r="J191" s="1233">
        <v>0</v>
      </c>
      <c r="K191" s="1233">
        <v>0</v>
      </c>
      <c r="L191" s="1115"/>
      <c r="M191" s="1115"/>
      <c r="N191" s="1115"/>
      <c r="O191" s="1115"/>
      <c r="P191" s="1115"/>
      <c r="Q191" s="1115"/>
      <c r="R191" s="1115"/>
      <c r="S191" s="1115"/>
      <c r="T191" s="1115"/>
      <c r="U191" s="1115"/>
      <c r="V191" s="1115"/>
      <c r="W191" s="1115"/>
      <c r="X191" s="1115"/>
      <c r="Y191" s="1115"/>
      <c r="Z191" s="1115"/>
      <c r="AA191" s="1115"/>
      <c r="AB191" s="1115"/>
      <c r="AC191" s="1115"/>
      <c r="AD191" s="1115"/>
      <c r="AE191" s="1115"/>
      <c r="AF191" s="1115"/>
      <c r="AG191" s="1115"/>
      <c r="AH191" s="1115"/>
      <c r="AI191" s="1115"/>
      <c r="AJ191" s="1115"/>
      <c r="AK191" s="1115"/>
      <c r="AL191" s="1115"/>
      <c r="AM191" s="1115"/>
      <c r="AN191" s="1115"/>
      <c r="AO191" s="1115"/>
      <c r="AP191" s="1115"/>
      <c r="AQ191" s="1115"/>
      <c r="AR191" s="1115"/>
      <c r="AS191" s="1115"/>
      <c r="AT191" s="1115"/>
      <c r="AU191" s="1115"/>
      <c r="AV191" s="1115"/>
      <c r="AW191" s="1115"/>
      <c r="AX191" s="1115"/>
      <c r="AY191" s="1115"/>
      <c r="AZ191" s="1115"/>
      <c r="BA191" s="1115"/>
      <c r="BB191" s="1115"/>
      <c r="BC191" s="1115"/>
      <c r="BD191" s="1115"/>
      <c r="BE191" s="1115"/>
      <c r="BF191" s="1115"/>
      <c r="BG191" s="1115"/>
      <c r="BH191" s="1115"/>
      <c r="BI191" s="1115"/>
      <c r="BJ191" s="1115"/>
      <c r="BK191" s="1115"/>
      <c r="BL191" s="1115"/>
      <c r="BM191" s="1115"/>
      <c r="BN191" s="1115"/>
      <c r="BO191" s="1115"/>
      <c r="BP191" s="1115"/>
      <c r="BQ191" s="1115"/>
      <c r="BR191" s="1115"/>
      <c r="BS191" s="1115"/>
      <c r="BT191" s="1115"/>
      <c r="BU191" s="1115"/>
      <c r="BV191" s="1115"/>
      <c r="BW191" s="1115"/>
      <c r="BX191" s="1115"/>
      <c r="BY191" s="1115"/>
      <c r="BZ191" s="1115"/>
      <c r="CA191" s="1115"/>
      <c r="CB191" s="1115"/>
      <c r="CC191" s="1115"/>
      <c r="CD191" s="1115"/>
      <c r="CE191" s="1115"/>
      <c r="CF191" s="1115"/>
      <c r="CG191" s="1115"/>
      <c r="CH191" s="1115"/>
      <c r="CI191" s="1115"/>
      <c r="CJ191" s="1115"/>
      <c r="CK191" s="1115"/>
      <c r="CL191" s="1115"/>
    </row>
    <row r="192" spans="1:90" ht="14.4">
      <c r="A192" s="963">
        <v>9445</v>
      </c>
      <c r="B192" s="963" t="s">
        <v>2873</v>
      </c>
      <c r="C192" s="963">
        <v>0</v>
      </c>
      <c r="D192" s="963">
        <v>0</v>
      </c>
      <c r="E192" s="963">
        <v>0</v>
      </c>
      <c r="F192" s="963">
        <v>0</v>
      </c>
      <c r="G192" s="963">
        <v>0</v>
      </c>
      <c r="H192" s="965">
        <v>8700</v>
      </c>
      <c r="I192" s="963">
        <v>0</v>
      </c>
      <c r="J192" s="1233">
        <v>4880</v>
      </c>
      <c r="K192" s="1233">
        <v>0</v>
      </c>
      <c r="L192" s="1115"/>
      <c r="M192" s="1115"/>
      <c r="N192" s="1115"/>
      <c r="O192" s="1115"/>
      <c r="P192" s="1115"/>
      <c r="Q192" s="1115"/>
      <c r="R192" s="1115"/>
      <c r="S192" s="1115"/>
      <c r="T192" s="1115"/>
      <c r="U192" s="1115"/>
      <c r="V192" s="1115"/>
      <c r="W192" s="1115"/>
      <c r="X192" s="1115"/>
      <c r="Y192" s="1115"/>
      <c r="Z192" s="1115"/>
      <c r="AA192" s="1115"/>
      <c r="AB192" s="1115"/>
      <c r="AC192" s="1115"/>
      <c r="AD192" s="1115"/>
      <c r="AE192" s="1115"/>
      <c r="AF192" s="1115"/>
      <c r="AG192" s="1115"/>
      <c r="AH192" s="1115"/>
      <c r="AI192" s="1115"/>
      <c r="AJ192" s="1115"/>
      <c r="AK192" s="1115"/>
      <c r="AL192" s="1115"/>
      <c r="AM192" s="1115"/>
      <c r="AN192" s="1115"/>
      <c r="AO192" s="1115"/>
      <c r="AP192" s="1115"/>
      <c r="AQ192" s="1115"/>
      <c r="AR192" s="1115"/>
      <c r="AS192" s="1115"/>
      <c r="AT192" s="1115"/>
      <c r="AU192" s="1115"/>
      <c r="AV192" s="1115"/>
      <c r="AW192" s="1115"/>
      <c r="AX192" s="1115"/>
      <c r="AY192" s="1115"/>
      <c r="AZ192" s="1115"/>
      <c r="BA192" s="1115"/>
      <c r="BB192" s="1115"/>
      <c r="BC192" s="1115"/>
      <c r="BD192" s="1115"/>
      <c r="BE192" s="1115"/>
      <c r="BF192" s="1115"/>
      <c r="BG192" s="1115"/>
      <c r="BH192" s="1115"/>
      <c r="BI192" s="1115"/>
      <c r="BJ192" s="1115"/>
      <c r="BK192" s="1115"/>
      <c r="BL192" s="1115"/>
      <c r="BM192" s="1115"/>
      <c r="BN192" s="1115"/>
      <c r="BO192" s="1115"/>
      <c r="BP192" s="1115"/>
      <c r="BQ192" s="1115"/>
      <c r="BR192" s="1115"/>
      <c r="BS192" s="1115"/>
      <c r="BT192" s="1115"/>
      <c r="BU192" s="1115"/>
      <c r="BV192" s="1115"/>
      <c r="BW192" s="1115"/>
      <c r="BX192" s="1115"/>
      <c r="BY192" s="1115"/>
      <c r="BZ192" s="1115"/>
      <c r="CA192" s="1115"/>
      <c r="CB192" s="1115"/>
      <c r="CC192" s="1115"/>
      <c r="CD192" s="1115"/>
      <c r="CE192" s="1115"/>
      <c r="CF192" s="1115"/>
      <c r="CG192" s="1115"/>
      <c r="CH192" s="1115"/>
      <c r="CI192" s="1115"/>
      <c r="CJ192" s="1115"/>
      <c r="CK192" s="1115"/>
      <c r="CL192" s="1115"/>
    </row>
    <row r="193" spans="1:90" ht="14.4">
      <c r="A193" s="963">
        <v>9446</v>
      </c>
      <c r="B193" s="963" t="s">
        <v>2874</v>
      </c>
      <c r="C193" s="963">
        <v>0</v>
      </c>
      <c r="D193" s="963">
        <v>0</v>
      </c>
      <c r="E193" s="963">
        <v>449.24</v>
      </c>
      <c r="F193" s="963">
        <v>0</v>
      </c>
      <c r="G193" s="963">
        <v>0</v>
      </c>
      <c r="H193" s="963">
        <v>0</v>
      </c>
      <c r="I193" s="963">
        <v>0</v>
      </c>
      <c r="J193" s="1233">
        <v>0</v>
      </c>
      <c r="K193" s="1233">
        <v>0</v>
      </c>
      <c r="L193" s="1115"/>
      <c r="M193" s="1115"/>
      <c r="N193" s="1115"/>
      <c r="O193" s="1115"/>
      <c r="P193" s="1115"/>
      <c r="Q193" s="1115"/>
      <c r="R193" s="1115"/>
      <c r="S193" s="1115"/>
      <c r="T193" s="1115"/>
      <c r="U193" s="1115"/>
      <c r="V193" s="1115"/>
      <c r="W193" s="1115"/>
      <c r="X193" s="1115"/>
      <c r="Y193" s="1115"/>
      <c r="Z193" s="1115"/>
      <c r="AA193" s="1115"/>
      <c r="AB193" s="1115"/>
      <c r="AC193" s="1115"/>
      <c r="AD193" s="1115"/>
      <c r="AE193" s="1115"/>
      <c r="AF193" s="1115"/>
      <c r="AG193" s="1115"/>
      <c r="AH193" s="1115"/>
      <c r="AI193" s="1115"/>
      <c r="AJ193" s="1115"/>
      <c r="AK193" s="1115"/>
      <c r="AL193" s="1115"/>
      <c r="AM193" s="1115"/>
      <c r="AN193" s="1115"/>
      <c r="AO193" s="1115"/>
      <c r="AP193" s="1115"/>
      <c r="AQ193" s="1115"/>
      <c r="AR193" s="1115"/>
      <c r="AS193" s="1115"/>
      <c r="AT193" s="1115"/>
      <c r="AU193" s="1115"/>
      <c r="AV193" s="1115"/>
      <c r="AW193" s="1115"/>
      <c r="AX193" s="1115"/>
      <c r="AY193" s="1115"/>
      <c r="AZ193" s="1115"/>
      <c r="BA193" s="1115"/>
      <c r="BB193" s="1115"/>
      <c r="BC193" s="1115"/>
      <c r="BD193" s="1115"/>
      <c r="BE193" s="1115"/>
      <c r="BF193" s="1115"/>
      <c r="BG193" s="1115"/>
      <c r="BH193" s="1115"/>
      <c r="BI193" s="1115"/>
      <c r="BJ193" s="1115"/>
      <c r="BK193" s="1115"/>
      <c r="BL193" s="1115"/>
      <c r="BM193" s="1115"/>
      <c r="BN193" s="1115"/>
      <c r="BO193" s="1115"/>
      <c r="BP193" s="1115"/>
      <c r="BQ193" s="1115"/>
      <c r="BR193" s="1115"/>
      <c r="BS193" s="1115"/>
      <c r="BT193" s="1115"/>
      <c r="BU193" s="1115"/>
      <c r="BV193" s="1115"/>
      <c r="BW193" s="1115"/>
      <c r="BX193" s="1115"/>
      <c r="BY193" s="1115"/>
      <c r="BZ193" s="1115"/>
      <c r="CA193" s="1115"/>
      <c r="CB193" s="1115"/>
      <c r="CC193" s="1115"/>
      <c r="CD193" s="1115"/>
      <c r="CE193" s="1115"/>
      <c r="CF193" s="1115"/>
      <c r="CG193" s="1115"/>
      <c r="CH193" s="1115"/>
      <c r="CI193" s="1115"/>
      <c r="CJ193" s="1115"/>
      <c r="CK193" s="1115"/>
      <c r="CL193" s="1115"/>
    </row>
    <row r="194" spans="1:90" ht="14.4">
      <c r="A194" s="963">
        <v>9450</v>
      </c>
      <c r="B194" s="963" t="s">
        <v>2875</v>
      </c>
      <c r="C194" s="963">
        <v>0</v>
      </c>
      <c r="D194" s="963">
        <v>0</v>
      </c>
      <c r="E194" s="963">
        <v>0</v>
      </c>
      <c r="F194" s="965">
        <v>1827.69</v>
      </c>
      <c r="G194" s="963">
        <v>0</v>
      </c>
      <c r="H194" s="963">
        <v>0</v>
      </c>
      <c r="I194" s="963">
        <v>0</v>
      </c>
      <c r="J194" s="1233">
        <v>0</v>
      </c>
      <c r="K194" s="1233">
        <v>0</v>
      </c>
      <c r="L194" s="1115"/>
      <c r="M194" s="1115"/>
      <c r="N194" s="1115"/>
      <c r="O194" s="1115"/>
      <c r="P194" s="1115"/>
      <c r="Q194" s="1115"/>
      <c r="R194" s="1115"/>
      <c r="S194" s="1115"/>
      <c r="T194" s="1115"/>
      <c r="U194" s="1115"/>
      <c r="V194" s="1115"/>
      <c r="W194" s="1115"/>
      <c r="X194" s="1115"/>
      <c r="Y194" s="1115"/>
      <c r="Z194" s="1115"/>
      <c r="AA194" s="1115"/>
      <c r="AB194" s="1115"/>
      <c r="AC194" s="1115"/>
      <c r="AD194" s="1115"/>
      <c r="AE194" s="1115"/>
      <c r="AF194" s="1115"/>
      <c r="AG194" s="1115"/>
      <c r="AH194" s="1115"/>
      <c r="AI194" s="1115"/>
      <c r="AJ194" s="1115"/>
      <c r="AK194" s="1115"/>
      <c r="AL194" s="1115"/>
      <c r="AM194" s="1115"/>
      <c r="AN194" s="1115"/>
      <c r="AO194" s="1115"/>
      <c r="AP194" s="1115"/>
      <c r="AQ194" s="1115"/>
      <c r="AR194" s="1115"/>
      <c r="AS194" s="1115"/>
      <c r="AT194" s="1115"/>
      <c r="AU194" s="1115"/>
      <c r="AV194" s="1115"/>
      <c r="AW194" s="1115"/>
      <c r="AX194" s="1115"/>
      <c r="AY194" s="1115"/>
      <c r="AZ194" s="1115"/>
      <c r="BA194" s="1115"/>
      <c r="BB194" s="1115"/>
      <c r="BC194" s="1115"/>
      <c r="BD194" s="1115"/>
      <c r="BE194" s="1115"/>
      <c r="BF194" s="1115"/>
      <c r="BG194" s="1115"/>
      <c r="BH194" s="1115"/>
      <c r="BI194" s="1115"/>
      <c r="BJ194" s="1115"/>
      <c r="BK194" s="1115"/>
      <c r="BL194" s="1115"/>
      <c r="BM194" s="1115"/>
      <c r="BN194" s="1115"/>
      <c r="BO194" s="1115"/>
      <c r="BP194" s="1115"/>
      <c r="BQ194" s="1115"/>
      <c r="BR194" s="1115"/>
      <c r="BS194" s="1115"/>
      <c r="BT194" s="1115"/>
      <c r="BU194" s="1115"/>
      <c r="BV194" s="1115"/>
      <c r="BW194" s="1115"/>
      <c r="BX194" s="1115"/>
      <c r="BY194" s="1115"/>
      <c r="BZ194" s="1115"/>
      <c r="CA194" s="1115"/>
      <c r="CB194" s="1115"/>
      <c r="CC194" s="1115"/>
      <c r="CD194" s="1115"/>
      <c r="CE194" s="1115"/>
      <c r="CF194" s="1115"/>
      <c r="CG194" s="1115"/>
      <c r="CH194" s="1115"/>
      <c r="CI194" s="1115"/>
      <c r="CJ194" s="1115"/>
      <c r="CK194" s="1115"/>
      <c r="CL194" s="1115"/>
    </row>
    <row r="195" spans="1:90" ht="14.4">
      <c r="A195" s="963">
        <v>9451</v>
      </c>
      <c r="B195" s="963" t="s">
        <v>2876</v>
      </c>
      <c r="C195" s="965">
        <v>51687.79</v>
      </c>
      <c r="D195" s="963">
        <v>748.11</v>
      </c>
      <c r="E195" s="965">
        <v>6717.54</v>
      </c>
      <c r="F195" s="965">
        <v>2165.56</v>
      </c>
      <c r="G195" s="965">
        <v>3359.12</v>
      </c>
      <c r="H195" s="965">
        <v>17887.48</v>
      </c>
      <c r="I195" s="965">
        <v>10316.44</v>
      </c>
      <c r="J195" s="1233">
        <v>32721.21</v>
      </c>
      <c r="K195" s="1233">
        <v>0</v>
      </c>
      <c r="L195" s="1115"/>
      <c r="M195" s="1115"/>
      <c r="N195" s="1115"/>
      <c r="O195" s="1115"/>
      <c r="P195" s="1115"/>
      <c r="Q195" s="1115"/>
      <c r="R195" s="1115"/>
      <c r="S195" s="1115"/>
      <c r="T195" s="1115"/>
      <c r="U195" s="1115"/>
      <c r="V195" s="1115"/>
      <c r="W195" s="1115"/>
      <c r="X195" s="1115"/>
      <c r="Y195" s="1115"/>
      <c r="Z195" s="1115"/>
      <c r="AA195" s="1115"/>
      <c r="AB195" s="1115"/>
      <c r="AC195" s="1115"/>
      <c r="AD195" s="1115"/>
      <c r="AE195" s="1115"/>
      <c r="AF195" s="1115"/>
      <c r="AG195" s="1115"/>
      <c r="AH195" s="1115"/>
      <c r="AI195" s="1115"/>
      <c r="AJ195" s="1115"/>
      <c r="AK195" s="1115"/>
      <c r="AL195" s="1115"/>
      <c r="AM195" s="1115"/>
      <c r="AN195" s="1115"/>
      <c r="AO195" s="1115"/>
      <c r="AP195" s="1115"/>
      <c r="AQ195" s="1115"/>
      <c r="AR195" s="1115"/>
      <c r="AS195" s="1115"/>
      <c r="AT195" s="1115"/>
      <c r="AU195" s="1115"/>
      <c r="AV195" s="1115"/>
      <c r="AW195" s="1115"/>
      <c r="AX195" s="1115"/>
      <c r="AY195" s="1115"/>
      <c r="AZ195" s="1115"/>
      <c r="BA195" s="1115"/>
      <c r="BB195" s="1115"/>
      <c r="BC195" s="1115"/>
      <c r="BD195" s="1115"/>
      <c r="BE195" s="1115"/>
      <c r="BF195" s="1115"/>
      <c r="BG195" s="1115"/>
      <c r="BH195" s="1115"/>
      <c r="BI195" s="1115"/>
      <c r="BJ195" s="1115"/>
      <c r="BK195" s="1115"/>
      <c r="BL195" s="1115"/>
      <c r="BM195" s="1115"/>
      <c r="BN195" s="1115"/>
      <c r="BO195" s="1115"/>
      <c r="BP195" s="1115"/>
      <c r="BQ195" s="1115"/>
      <c r="BR195" s="1115"/>
      <c r="BS195" s="1115"/>
      <c r="BT195" s="1115"/>
      <c r="BU195" s="1115"/>
      <c r="BV195" s="1115"/>
      <c r="BW195" s="1115"/>
      <c r="BX195" s="1115"/>
      <c r="BY195" s="1115"/>
      <c r="BZ195" s="1115"/>
      <c r="CA195" s="1115"/>
      <c r="CB195" s="1115"/>
      <c r="CC195" s="1115"/>
      <c r="CD195" s="1115"/>
      <c r="CE195" s="1115"/>
      <c r="CF195" s="1115"/>
      <c r="CG195" s="1115"/>
      <c r="CH195" s="1115"/>
      <c r="CI195" s="1115"/>
      <c r="CJ195" s="1115"/>
      <c r="CK195" s="1115"/>
      <c r="CL195" s="1115"/>
    </row>
    <row r="196" spans="1:90" ht="14.4">
      <c r="A196" s="963">
        <v>9453</v>
      </c>
      <c r="B196" s="963" t="s">
        <v>2877</v>
      </c>
      <c r="C196" s="963">
        <v>0</v>
      </c>
      <c r="D196" s="963">
        <v>0</v>
      </c>
      <c r="E196" s="965">
        <v>8095.43</v>
      </c>
      <c r="F196" s="965">
        <v>4478.13</v>
      </c>
      <c r="G196" s="965">
        <v>4434.8999999999996</v>
      </c>
      <c r="H196" s="965">
        <v>3965.46</v>
      </c>
      <c r="I196" s="965">
        <v>12963.01</v>
      </c>
      <c r="J196" s="1233">
        <v>11633.54</v>
      </c>
      <c r="K196" s="1233">
        <v>1884.63</v>
      </c>
      <c r="L196" s="1115"/>
      <c r="M196" s="1115"/>
      <c r="N196" s="1115"/>
      <c r="O196" s="1115"/>
      <c r="P196" s="1115"/>
      <c r="Q196" s="1115"/>
      <c r="R196" s="1115"/>
      <c r="S196" s="1115"/>
      <c r="T196" s="1115"/>
      <c r="U196" s="1115"/>
      <c r="V196" s="1115"/>
      <c r="W196" s="1115"/>
      <c r="X196" s="1115"/>
      <c r="Y196" s="1115"/>
      <c r="Z196" s="1115"/>
      <c r="AA196" s="1115"/>
      <c r="AB196" s="1115"/>
      <c r="AC196" s="1115"/>
      <c r="AD196" s="1115"/>
      <c r="AE196" s="1115"/>
      <c r="AF196" s="1115"/>
      <c r="AG196" s="1115"/>
      <c r="AH196" s="1115"/>
      <c r="AI196" s="1115"/>
      <c r="AJ196" s="1115"/>
      <c r="AK196" s="1115"/>
      <c r="AL196" s="1115"/>
      <c r="AM196" s="1115"/>
      <c r="AN196" s="1115"/>
      <c r="AO196" s="1115"/>
      <c r="AP196" s="1115"/>
      <c r="AQ196" s="1115"/>
      <c r="AR196" s="1115"/>
      <c r="AS196" s="1115"/>
      <c r="AT196" s="1115"/>
      <c r="AU196" s="1115"/>
      <c r="AV196" s="1115"/>
      <c r="AW196" s="1115"/>
      <c r="AX196" s="1115"/>
      <c r="AY196" s="1115"/>
      <c r="AZ196" s="1115"/>
      <c r="BA196" s="1115"/>
      <c r="BB196" s="1115"/>
      <c r="BC196" s="1115"/>
      <c r="BD196" s="1115"/>
      <c r="BE196" s="1115"/>
      <c r="BF196" s="1115"/>
      <c r="BG196" s="1115"/>
      <c r="BH196" s="1115"/>
      <c r="BI196" s="1115"/>
      <c r="BJ196" s="1115"/>
      <c r="BK196" s="1115"/>
      <c r="BL196" s="1115"/>
      <c r="BM196" s="1115"/>
      <c r="BN196" s="1115"/>
      <c r="BO196" s="1115"/>
      <c r="BP196" s="1115"/>
      <c r="BQ196" s="1115"/>
      <c r="BR196" s="1115"/>
      <c r="BS196" s="1115"/>
      <c r="BT196" s="1115"/>
      <c r="BU196" s="1115"/>
      <c r="BV196" s="1115"/>
      <c r="BW196" s="1115"/>
      <c r="BX196" s="1115"/>
      <c r="BY196" s="1115"/>
      <c r="BZ196" s="1115"/>
      <c r="CA196" s="1115"/>
      <c r="CB196" s="1115"/>
      <c r="CC196" s="1115"/>
      <c r="CD196" s="1115"/>
      <c r="CE196" s="1115"/>
      <c r="CF196" s="1115"/>
      <c r="CG196" s="1115"/>
      <c r="CH196" s="1115"/>
      <c r="CI196" s="1115"/>
      <c r="CJ196" s="1115"/>
      <c r="CK196" s="1115"/>
      <c r="CL196" s="1115"/>
    </row>
    <row r="197" spans="1:90" ht="14.4">
      <c r="A197" s="963">
        <v>9454</v>
      </c>
      <c r="B197" s="963" t="s">
        <v>2878</v>
      </c>
      <c r="C197" s="963">
        <v>0</v>
      </c>
      <c r="D197" s="965">
        <v>7073.35</v>
      </c>
      <c r="E197" s="965">
        <v>5360</v>
      </c>
      <c r="F197" s="963">
        <v>0</v>
      </c>
      <c r="G197" s="963">
        <v>0</v>
      </c>
      <c r="H197" s="963">
        <v>0</v>
      </c>
      <c r="I197" s="963">
        <v>0</v>
      </c>
      <c r="J197" s="1233">
        <v>0</v>
      </c>
      <c r="K197" s="1233">
        <v>0</v>
      </c>
      <c r="L197" s="1115"/>
      <c r="M197" s="1115"/>
      <c r="N197" s="1115"/>
      <c r="O197" s="1115"/>
      <c r="P197" s="1115"/>
      <c r="Q197" s="1115"/>
      <c r="R197" s="1115"/>
      <c r="S197" s="1115"/>
      <c r="T197" s="1115"/>
      <c r="U197" s="1115"/>
      <c r="V197" s="1115"/>
      <c r="W197" s="1115"/>
      <c r="X197" s="1115"/>
      <c r="Y197" s="1115"/>
      <c r="Z197" s="1115"/>
      <c r="AA197" s="1115"/>
      <c r="AB197" s="1115"/>
      <c r="AC197" s="1115"/>
      <c r="AD197" s="1115"/>
      <c r="AE197" s="1115"/>
      <c r="AF197" s="1115"/>
      <c r="AG197" s="1115"/>
      <c r="AH197" s="1115"/>
      <c r="AI197" s="1115"/>
      <c r="AJ197" s="1115"/>
      <c r="AK197" s="1115"/>
      <c r="AL197" s="1115"/>
      <c r="AM197" s="1115"/>
      <c r="AN197" s="1115"/>
      <c r="AO197" s="1115"/>
      <c r="AP197" s="1115"/>
      <c r="AQ197" s="1115"/>
      <c r="AR197" s="1115"/>
      <c r="AS197" s="1115"/>
      <c r="AT197" s="1115"/>
      <c r="AU197" s="1115"/>
      <c r="AV197" s="1115"/>
      <c r="AW197" s="1115"/>
      <c r="AX197" s="1115"/>
      <c r="AY197" s="1115"/>
      <c r="AZ197" s="1115"/>
      <c r="BA197" s="1115"/>
      <c r="BB197" s="1115"/>
      <c r="BC197" s="1115"/>
      <c r="BD197" s="1115"/>
      <c r="BE197" s="1115"/>
      <c r="BF197" s="1115"/>
      <c r="BG197" s="1115"/>
      <c r="BH197" s="1115"/>
      <c r="BI197" s="1115"/>
      <c r="BJ197" s="1115"/>
      <c r="BK197" s="1115"/>
      <c r="BL197" s="1115"/>
      <c r="BM197" s="1115"/>
      <c r="BN197" s="1115"/>
      <c r="BO197" s="1115"/>
      <c r="BP197" s="1115"/>
      <c r="BQ197" s="1115"/>
      <c r="BR197" s="1115"/>
      <c r="BS197" s="1115"/>
      <c r="BT197" s="1115"/>
      <c r="BU197" s="1115"/>
      <c r="BV197" s="1115"/>
      <c r="BW197" s="1115"/>
      <c r="BX197" s="1115"/>
      <c r="BY197" s="1115"/>
      <c r="BZ197" s="1115"/>
      <c r="CA197" s="1115"/>
      <c r="CB197" s="1115"/>
      <c r="CC197" s="1115"/>
      <c r="CD197" s="1115"/>
      <c r="CE197" s="1115"/>
      <c r="CF197" s="1115"/>
      <c r="CG197" s="1115"/>
      <c r="CH197" s="1115"/>
      <c r="CI197" s="1115"/>
      <c r="CJ197" s="1115"/>
      <c r="CK197" s="1115"/>
      <c r="CL197" s="1115"/>
    </row>
    <row r="198" spans="1:90" ht="14.4">
      <c r="A198" s="963">
        <v>9455</v>
      </c>
      <c r="B198" s="963" t="s">
        <v>2879</v>
      </c>
      <c r="C198" s="963">
        <v>0</v>
      </c>
      <c r="D198" s="963">
        <v>0</v>
      </c>
      <c r="E198" s="965">
        <v>5258.01</v>
      </c>
      <c r="F198" s="965">
        <v>4173.8500000000004</v>
      </c>
      <c r="G198" s="965">
        <v>1434.18</v>
      </c>
      <c r="H198" s="965">
        <v>7074.5</v>
      </c>
      <c r="I198" s="965">
        <v>2197.54</v>
      </c>
      <c r="J198" s="1233">
        <v>8297.2000000000007</v>
      </c>
      <c r="K198" s="1233">
        <v>547.01</v>
      </c>
      <c r="L198" s="1115"/>
      <c r="M198" s="1115"/>
      <c r="N198" s="1115"/>
      <c r="O198" s="1115"/>
      <c r="P198" s="1115"/>
      <c r="Q198" s="1115"/>
      <c r="R198" s="1115"/>
      <c r="S198" s="1115"/>
      <c r="T198" s="1115"/>
      <c r="U198" s="1115"/>
      <c r="V198" s="1115"/>
      <c r="W198" s="1115"/>
      <c r="X198" s="1115"/>
      <c r="Y198" s="1115"/>
      <c r="Z198" s="1115"/>
      <c r="AA198" s="1115"/>
      <c r="AB198" s="1115"/>
      <c r="AC198" s="1115"/>
      <c r="AD198" s="1115"/>
      <c r="AE198" s="1115"/>
      <c r="AF198" s="1115"/>
      <c r="AG198" s="1115"/>
      <c r="AH198" s="1115"/>
      <c r="AI198" s="1115"/>
      <c r="AJ198" s="1115"/>
      <c r="AK198" s="1115"/>
      <c r="AL198" s="1115"/>
      <c r="AM198" s="1115"/>
      <c r="AN198" s="1115"/>
      <c r="AO198" s="1115"/>
      <c r="AP198" s="1115"/>
      <c r="AQ198" s="1115"/>
      <c r="AR198" s="1115"/>
      <c r="AS198" s="1115"/>
      <c r="AT198" s="1115"/>
      <c r="AU198" s="1115"/>
      <c r="AV198" s="1115"/>
      <c r="AW198" s="1115"/>
      <c r="AX198" s="1115"/>
      <c r="AY198" s="1115"/>
      <c r="AZ198" s="1115"/>
      <c r="BA198" s="1115"/>
      <c r="BB198" s="1115"/>
      <c r="BC198" s="1115"/>
      <c r="BD198" s="1115"/>
      <c r="BE198" s="1115"/>
      <c r="BF198" s="1115"/>
      <c r="BG198" s="1115"/>
      <c r="BH198" s="1115"/>
      <c r="BI198" s="1115"/>
      <c r="BJ198" s="1115"/>
      <c r="BK198" s="1115"/>
      <c r="BL198" s="1115"/>
      <c r="BM198" s="1115"/>
      <c r="BN198" s="1115"/>
      <c r="BO198" s="1115"/>
      <c r="BP198" s="1115"/>
      <c r="BQ198" s="1115"/>
      <c r="BR198" s="1115"/>
      <c r="BS198" s="1115"/>
      <c r="BT198" s="1115"/>
      <c r="BU198" s="1115"/>
      <c r="BV198" s="1115"/>
      <c r="BW198" s="1115"/>
      <c r="BX198" s="1115"/>
      <c r="BY198" s="1115"/>
      <c r="BZ198" s="1115"/>
      <c r="CA198" s="1115"/>
      <c r="CB198" s="1115"/>
      <c r="CC198" s="1115"/>
      <c r="CD198" s="1115"/>
      <c r="CE198" s="1115"/>
      <c r="CF198" s="1115"/>
      <c r="CG198" s="1115"/>
      <c r="CH198" s="1115"/>
      <c r="CI198" s="1115"/>
      <c r="CJ198" s="1115"/>
      <c r="CK198" s="1115"/>
      <c r="CL198" s="1115"/>
    </row>
    <row r="199" spans="1:90" ht="14.4">
      <c r="A199" s="963">
        <v>9456</v>
      </c>
      <c r="B199" s="963" t="s">
        <v>2880</v>
      </c>
      <c r="C199" s="965">
        <v>14452.85</v>
      </c>
      <c r="D199" s="965">
        <v>1299.79</v>
      </c>
      <c r="E199" s="965">
        <v>1400.29</v>
      </c>
      <c r="F199" s="963">
        <v>541.71</v>
      </c>
      <c r="G199" s="965">
        <v>3744.45</v>
      </c>
      <c r="H199" s="965">
        <v>3677.57</v>
      </c>
      <c r="I199" s="965">
        <v>8833.61</v>
      </c>
      <c r="J199" s="1233">
        <v>3333.22</v>
      </c>
      <c r="K199" s="1233">
        <v>41.55</v>
      </c>
      <c r="L199" s="1115"/>
      <c r="M199" s="1115"/>
      <c r="N199" s="1115"/>
      <c r="O199" s="1115"/>
      <c r="P199" s="1115"/>
      <c r="Q199" s="1115"/>
      <c r="R199" s="1115"/>
      <c r="S199" s="1115"/>
      <c r="T199" s="1115"/>
      <c r="U199" s="1115"/>
      <c r="V199" s="1115"/>
      <c r="W199" s="1115"/>
      <c r="X199" s="1115"/>
      <c r="Y199" s="1115"/>
      <c r="Z199" s="1115"/>
      <c r="AA199" s="1115"/>
      <c r="AB199" s="1115"/>
      <c r="AC199" s="1115"/>
      <c r="AD199" s="1115"/>
      <c r="AE199" s="1115"/>
      <c r="AF199" s="1115"/>
      <c r="AG199" s="1115"/>
      <c r="AH199" s="1115"/>
      <c r="AI199" s="1115"/>
      <c r="AJ199" s="1115"/>
      <c r="AK199" s="1115"/>
      <c r="AL199" s="1115"/>
      <c r="AM199" s="1115"/>
      <c r="AN199" s="1115"/>
      <c r="AO199" s="1115"/>
      <c r="AP199" s="1115"/>
      <c r="AQ199" s="1115"/>
      <c r="AR199" s="1115"/>
      <c r="AS199" s="1115"/>
      <c r="AT199" s="1115"/>
      <c r="AU199" s="1115"/>
      <c r="AV199" s="1115"/>
      <c r="AW199" s="1115"/>
      <c r="AX199" s="1115"/>
      <c r="AY199" s="1115"/>
      <c r="AZ199" s="1115"/>
      <c r="BA199" s="1115"/>
      <c r="BB199" s="1115"/>
      <c r="BC199" s="1115"/>
      <c r="BD199" s="1115"/>
      <c r="BE199" s="1115"/>
      <c r="BF199" s="1115"/>
      <c r="BG199" s="1115"/>
      <c r="BH199" s="1115"/>
      <c r="BI199" s="1115"/>
      <c r="BJ199" s="1115"/>
      <c r="BK199" s="1115"/>
      <c r="BL199" s="1115"/>
      <c r="BM199" s="1115"/>
      <c r="BN199" s="1115"/>
      <c r="BO199" s="1115"/>
      <c r="BP199" s="1115"/>
      <c r="BQ199" s="1115"/>
      <c r="BR199" s="1115"/>
      <c r="BS199" s="1115"/>
      <c r="BT199" s="1115"/>
      <c r="BU199" s="1115"/>
      <c r="BV199" s="1115"/>
      <c r="BW199" s="1115"/>
      <c r="BX199" s="1115"/>
      <c r="BY199" s="1115"/>
      <c r="BZ199" s="1115"/>
      <c r="CA199" s="1115"/>
      <c r="CB199" s="1115"/>
      <c r="CC199" s="1115"/>
      <c r="CD199" s="1115"/>
      <c r="CE199" s="1115"/>
      <c r="CF199" s="1115"/>
      <c r="CG199" s="1115"/>
      <c r="CH199" s="1115"/>
      <c r="CI199" s="1115"/>
      <c r="CJ199" s="1115"/>
      <c r="CK199" s="1115"/>
      <c r="CL199" s="1115"/>
    </row>
    <row r="200" spans="1:90" ht="14.4">
      <c r="A200" s="963">
        <v>9457</v>
      </c>
      <c r="B200" s="963" t="s">
        <v>2881</v>
      </c>
      <c r="C200" s="963">
        <v>0</v>
      </c>
      <c r="D200" s="965">
        <v>4911</v>
      </c>
      <c r="E200" s="965">
        <v>2117</v>
      </c>
      <c r="F200" s="963">
        <v>0</v>
      </c>
      <c r="G200" s="965">
        <v>2585</v>
      </c>
      <c r="H200" s="965">
        <v>4725</v>
      </c>
      <c r="I200" s="963">
        <v>0</v>
      </c>
      <c r="J200" s="1233">
        <v>3975</v>
      </c>
      <c r="K200" s="1233">
        <v>-7950</v>
      </c>
      <c r="L200" s="1115"/>
      <c r="M200" s="1115"/>
      <c r="N200" s="1115"/>
      <c r="O200" s="1115"/>
      <c r="P200" s="1115"/>
      <c r="Q200" s="1115"/>
      <c r="R200" s="1115"/>
      <c r="S200" s="1115"/>
      <c r="T200" s="1115"/>
      <c r="U200" s="1115"/>
      <c r="V200" s="1115"/>
      <c r="W200" s="1115"/>
      <c r="X200" s="1115"/>
      <c r="Y200" s="1115"/>
      <c r="Z200" s="1115"/>
      <c r="AA200" s="1115"/>
      <c r="AB200" s="1115"/>
      <c r="AC200" s="1115"/>
      <c r="AD200" s="1115"/>
      <c r="AE200" s="1115"/>
      <c r="AF200" s="1115"/>
      <c r="AG200" s="1115"/>
      <c r="AH200" s="1115"/>
      <c r="AI200" s="1115"/>
      <c r="AJ200" s="1115"/>
      <c r="AK200" s="1115"/>
      <c r="AL200" s="1115"/>
      <c r="AM200" s="1115"/>
      <c r="AN200" s="1115"/>
      <c r="AO200" s="1115"/>
      <c r="AP200" s="1115"/>
      <c r="AQ200" s="1115"/>
      <c r="AR200" s="1115"/>
      <c r="AS200" s="1115"/>
      <c r="AT200" s="1115"/>
      <c r="AU200" s="1115"/>
      <c r="AV200" s="1115"/>
      <c r="AW200" s="1115"/>
      <c r="AX200" s="1115"/>
      <c r="AY200" s="1115"/>
      <c r="AZ200" s="1115"/>
      <c r="BA200" s="1115"/>
      <c r="BB200" s="1115"/>
      <c r="BC200" s="1115"/>
      <c r="BD200" s="1115"/>
      <c r="BE200" s="1115"/>
      <c r="BF200" s="1115"/>
      <c r="BG200" s="1115"/>
      <c r="BH200" s="1115"/>
      <c r="BI200" s="1115"/>
      <c r="BJ200" s="1115"/>
      <c r="BK200" s="1115"/>
      <c r="BL200" s="1115"/>
      <c r="BM200" s="1115"/>
      <c r="BN200" s="1115"/>
      <c r="BO200" s="1115"/>
      <c r="BP200" s="1115"/>
      <c r="BQ200" s="1115"/>
      <c r="BR200" s="1115"/>
      <c r="BS200" s="1115"/>
      <c r="BT200" s="1115"/>
      <c r="BU200" s="1115"/>
      <c r="BV200" s="1115"/>
      <c r="BW200" s="1115"/>
      <c r="BX200" s="1115"/>
      <c r="BY200" s="1115"/>
      <c r="BZ200" s="1115"/>
      <c r="CA200" s="1115"/>
      <c r="CB200" s="1115"/>
      <c r="CC200" s="1115"/>
      <c r="CD200" s="1115"/>
      <c r="CE200" s="1115"/>
      <c r="CF200" s="1115"/>
      <c r="CG200" s="1115"/>
      <c r="CH200" s="1115"/>
      <c r="CI200" s="1115"/>
      <c r="CJ200" s="1115"/>
      <c r="CK200" s="1115"/>
      <c r="CL200" s="1115"/>
    </row>
    <row r="201" spans="1:90" ht="14.4">
      <c r="A201" s="963">
        <v>9458</v>
      </c>
      <c r="B201" s="963" t="s">
        <v>2882</v>
      </c>
      <c r="C201" s="965">
        <v>24612.77</v>
      </c>
      <c r="D201" s="963">
        <v>0</v>
      </c>
      <c r="E201" s="965">
        <v>1056</v>
      </c>
      <c r="F201" s="963">
        <v>0</v>
      </c>
      <c r="G201" s="965">
        <v>2350</v>
      </c>
      <c r="H201" s="963">
        <v>450</v>
      </c>
      <c r="I201" s="965">
        <v>2870</v>
      </c>
      <c r="J201" s="1233">
        <v>3460</v>
      </c>
      <c r="K201" s="1233">
        <v>3254.54</v>
      </c>
      <c r="L201" s="1115"/>
      <c r="M201" s="1115"/>
      <c r="N201" s="1115"/>
      <c r="O201" s="1115"/>
      <c r="P201" s="1115"/>
      <c r="Q201" s="1115"/>
      <c r="R201" s="1115"/>
      <c r="S201" s="1115"/>
      <c r="T201" s="1115"/>
      <c r="U201" s="1115"/>
      <c r="V201" s="1115"/>
      <c r="W201" s="1115"/>
      <c r="X201" s="1115"/>
      <c r="Y201" s="1115"/>
      <c r="Z201" s="1115"/>
      <c r="AA201" s="1115"/>
      <c r="AB201" s="1115"/>
      <c r="AC201" s="1115"/>
      <c r="AD201" s="1115"/>
      <c r="AE201" s="1115"/>
      <c r="AF201" s="1115"/>
      <c r="AG201" s="1115"/>
      <c r="AH201" s="1115"/>
      <c r="AI201" s="1115"/>
      <c r="AJ201" s="1115"/>
      <c r="AK201" s="1115"/>
      <c r="AL201" s="1115"/>
      <c r="AM201" s="1115"/>
      <c r="AN201" s="1115"/>
      <c r="AO201" s="1115"/>
      <c r="AP201" s="1115"/>
      <c r="AQ201" s="1115"/>
      <c r="AR201" s="1115"/>
      <c r="AS201" s="1115"/>
      <c r="AT201" s="1115"/>
      <c r="AU201" s="1115"/>
      <c r="AV201" s="1115"/>
      <c r="AW201" s="1115"/>
      <c r="AX201" s="1115"/>
      <c r="AY201" s="1115"/>
      <c r="AZ201" s="1115"/>
      <c r="BA201" s="1115"/>
      <c r="BB201" s="1115"/>
      <c r="BC201" s="1115"/>
      <c r="BD201" s="1115"/>
      <c r="BE201" s="1115"/>
      <c r="BF201" s="1115"/>
      <c r="BG201" s="1115"/>
      <c r="BH201" s="1115"/>
      <c r="BI201" s="1115"/>
      <c r="BJ201" s="1115"/>
      <c r="BK201" s="1115"/>
      <c r="BL201" s="1115"/>
      <c r="BM201" s="1115"/>
      <c r="BN201" s="1115"/>
      <c r="BO201" s="1115"/>
      <c r="BP201" s="1115"/>
      <c r="BQ201" s="1115"/>
      <c r="BR201" s="1115"/>
      <c r="BS201" s="1115"/>
      <c r="BT201" s="1115"/>
      <c r="BU201" s="1115"/>
      <c r="BV201" s="1115"/>
      <c r="BW201" s="1115"/>
      <c r="BX201" s="1115"/>
      <c r="BY201" s="1115"/>
      <c r="BZ201" s="1115"/>
      <c r="CA201" s="1115"/>
      <c r="CB201" s="1115"/>
      <c r="CC201" s="1115"/>
      <c r="CD201" s="1115"/>
      <c r="CE201" s="1115"/>
      <c r="CF201" s="1115"/>
      <c r="CG201" s="1115"/>
      <c r="CH201" s="1115"/>
      <c r="CI201" s="1115"/>
      <c r="CJ201" s="1115"/>
      <c r="CK201" s="1115"/>
      <c r="CL201" s="1115"/>
    </row>
    <row r="202" spans="1:90" ht="14.4">
      <c r="A202" s="963">
        <v>9459</v>
      </c>
      <c r="B202" s="963" t="s">
        <v>2883</v>
      </c>
      <c r="C202" s="965"/>
      <c r="D202" s="963"/>
      <c r="E202" s="965"/>
      <c r="F202" s="963"/>
      <c r="G202" s="965"/>
      <c r="H202" s="963"/>
      <c r="I202" s="965">
        <v>6224.38</v>
      </c>
      <c r="J202" s="1233">
        <v>6224.38</v>
      </c>
      <c r="K202" s="1233">
        <v>-12448.76</v>
      </c>
      <c r="L202" s="1115"/>
      <c r="M202" s="1115"/>
      <c r="N202" s="1115"/>
      <c r="O202" s="1115"/>
      <c r="P202" s="1115"/>
      <c r="Q202" s="1115"/>
      <c r="R202" s="1115"/>
      <c r="S202" s="1115"/>
      <c r="T202" s="1115"/>
      <c r="U202" s="1115"/>
      <c r="V202" s="1115"/>
      <c r="W202" s="1115"/>
      <c r="X202" s="1115"/>
      <c r="Y202" s="1115"/>
      <c r="Z202" s="1115"/>
      <c r="AA202" s="1115"/>
      <c r="AB202" s="1115"/>
      <c r="AC202" s="1115"/>
      <c r="AD202" s="1115"/>
      <c r="AE202" s="1115"/>
      <c r="AF202" s="1115"/>
      <c r="AG202" s="1115"/>
      <c r="AH202" s="1115"/>
      <c r="AI202" s="1115"/>
      <c r="AJ202" s="1115"/>
      <c r="AK202" s="1115"/>
      <c r="AL202" s="1115"/>
      <c r="AM202" s="1115"/>
      <c r="AN202" s="1115"/>
      <c r="AO202" s="1115"/>
      <c r="AP202" s="1115"/>
      <c r="AQ202" s="1115"/>
      <c r="AR202" s="1115"/>
      <c r="AS202" s="1115"/>
      <c r="AT202" s="1115"/>
      <c r="AU202" s="1115"/>
      <c r="AV202" s="1115"/>
      <c r="AW202" s="1115"/>
      <c r="AX202" s="1115"/>
      <c r="AY202" s="1115"/>
      <c r="AZ202" s="1115"/>
      <c r="BA202" s="1115"/>
      <c r="BB202" s="1115"/>
      <c r="BC202" s="1115"/>
      <c r="BD202" s="1115"/>
      <c r="BE202" s="1115"/>
      <c r="BF202" s="1115"/>
      <c r="BG202" s="1115"/>
      <c r="BH202" s="1115"/>
      <c r="BI202" s="1115"/>
      <c r="BJ202" s="1115"/>
      <c r="BK202" s="1115"/>
      <c r="BL202" s="1115"/>
      <c r="BM202" s="1115"/>
      <c r="BN202" s="1115"/>
      <c r="BO202" s="1115"/>
      <c r="BP202" s="1115"/>
      <c r="BQ202" s="1115"/>
      <c r="BR202" s="1115"/>
      <c r="BS202" s="1115"/>
      <c r="BT202" s="1115"/>
      <c r="BU202" s="1115"/>
      <c r="BV202" s="1115"/>
      <c r="BW202" s="1115"/>
      <c r="BX202" s="1115"/>
      <c r="BY202" s="1115"/>
      <c r="BZ202" s="1115"/>
      <c r="CA202" s="1115"/>
      <c r="CB202" s="1115"/>
      <c r="CC202" s="1115"/>
      <c r="CD202" s="1115"/>
      <c r="CE202" s="1115"/>
      <c r="CF202" s="1115"/>
      <c r="CG202" s="1115"/>
      <c r="CH202" s="1115"/>
      <c r="CI202" s="1115"/>
      <c r="CJ202" s="1115"/>
      <c r="CK202" s="1115"/>
      <c r="CL202" s="1115"/>
    </row>
    <row r="203" spans="1:90" ht="14.4">
      <c r="A203" s="963">
        <v>9460</v>
      </c>
      <c r="B203" s="963" t="s">
        <v>2884</v>
      </c>
      <c r="C203" s="963">
        <v>0</v>
      </c>
      <c r="D203" s="963">
        <v>133.4</v>
      </c>
      <c r="E203" s="963">
        <v>694.67</v>
      </c>
      <c r="F203" s="963">
        <v>0</v>
      </c>
      <c r="G203" s="963">
        <v>0</v>
      </c>
      <c r="H203" s="963">
        <v>974.24</v>
      </c>
      <c r="I203" s="963">
        <v>0</v>
      </c>
      <c r="J203" s="1233">
        <v>0</v>
      </c>
      <c r="K203" s="1233">
        <v>0</v>
      </c>
      <c r="L203" s="1115"/>
      <c r="M203" s="1115"/>
      <c r="N203" s="1115"/>
      <c r="O203" s="1115"/>
      <c r="P203" s="1115"/>
      <c r="Q203" s="1115"/>
      <c r="R203" s="1115"/>
      <c r="S203" s="1115"/>
      <c r="T203" s="1115"/>
      <c r="U203" s="1115"/>
      <c r="V203" s="1115"/>
      <c r="W203" s="1115"/>
      <c r="X203" s="1115"/>
      <c r="Y203" s="1115"/>
      <c r="Z203" s="1115"/>
      <c r="AA203" s="1115"/>
      <c r="AB203" s="1115"/>
      <c r="AC203" s="1115"/>
      <c r="AD203" s="1115"/>
      <c r="AE203" s="1115"/>
      <c r="AF203" s="1115"/>
      <c r="AG203" s="1115"/>
      <c r="AH203" s="1115"/>
      <c r="AI203" s="1115"/>
      <c r="AJ203" s="1115"/>
      <c r="AK203" s="1115"/>
      <c r="AL203" s="1115"/>
      <c r="AM203" s="1115"/>
      <c r="AN203" s="1115"/>
      <c r="AO203" s="1115"/>
      <c r="AP203" s="1115"/>
      <c r="AQ203" s="1115"/>
      <c r="AR203" s="1115"/>
      <c r="AS203" s="1115"/>
      <c r="AT203" s="1115"/>
      <c r="AU203" s="1115"/>
      <c r="AV203" s="1115"/>
      <c r="AW203" s="1115"/>
      <c r="AX203" s="1115"/>
      <c r="AY203" s="1115"/>
      <c r="AZ203" s="1115"/>
      <c r="BA203" s="1115"/>
      <c r="BB203" s="1115"/>
      <c r="BC203" s="1115"/>
      <c r="BD203" s="1115"/>
      <c r="BE203" s="1115"/>
      <c r="BF203" s="1115"/>
      <c r="BG203" s="1115"/>
      <c r="BH203" s="1115"/>
      <c r="BI203" s="1115"/>
      <c r="BJ203" s="1115"/>
      <c r="BK203" s="1115"/>
      <c r="BL203" s="1115"/>
      <c r="BM203" s="1115"/>
      <c r="BN203" s="1115"/>
      <c r="BO203" s="1115"/>
      <c r="BP203" s="1115"/>
      <c r="BQ203" s="1115"/>
      <c r="BR203" s="1115"/>
      <c r="BS203" s="1115"/>
      <c r="BT203" s="1115"/>
      <c r="BU203" s="1115"/>
      <c r="BV203" s="1115"/>
      <c r="BW203" s="1115"/>
      <c r="BX203" s="1115"/>
      <c r="BY203" s="1115"/>
      <c r="BZ203" s="1115"/>
      <c r="CA203" s="1115"/>
      <c r="CB203" s="1115"/>
      <c r="CC203" s="1115"/>
      <c r="CD203" s="1115"/>
      <c r="CE203" s="1115"/>
      <c r="CF203" s="1115"/>
      <c r="CG203" s="1115"/>
      <c r="CH203" s="1115"/>
      <c r="CI203" s="1115"/>
      <c r="CJ203" s="1115"/>
      <c r="CK203" s="1115"/>
      <c r="CL203" s="1115"/>
    </row>
    <row r="204" spans="1:90" ht="14.4">
      <c r="A204" s="963">
        <v>9461</v>
      </c>
      <c r="B204" s="963" t="s">
        <v>2885</v>
      </c>
      <c r="C204" s="965">
        <v>35058.69</v>
      </c>
      <c r="D204" s="963">
        <v>511.96</v>
      </c>
      <c r="E204" s="963">
        <v>0</v>
      </c>
      <c r="F204" s="963">
        <v>0</v>
      </c>
      <c r="G204" s="963">
        <v>0</v>
      </c>
      <c r="H204" s="965">
        <v>2262.96</v>
      </c>
      <c r="I204" s="965">
        <v>1122.27</v>
      </c>
      <c r="J204" s="1233">
        <v>1122.27</v>
      </c>
      <c r="K204" s="1233">
        <v>0</v>
      </c>
      <c r="L204" s="1115"/>
      <c r="M204" s="1115"/>
      <c r="N204" s="1115"/>
      <c r="O204" s="1115"/>
      <c r="P204" s="1115"/>
      <c r="Q204" s="1115"/>
      <c r="R204" s="1115"/>
      <c r="S204" s="1115"/>
      <c r="T204" s="1115"/>
      <c r="U204" s="1115"/>
      <c r="V204" s="1115"/>
      <c r="W204" s="1115"/>
      <c r="X204" s="1115"/>
      <c r="Y204" s="1115"/>
      <c r="Z204" s="1115"/>
      <c r="AA204" s="1115"/>
      <c r="AB204" s="1115"/>
      <c r="AC204" s="1115"/>
      <c r="AD204" s="1115"/>
      <c r="AE204" s="1115"/>
      <c r="AF204" s="1115"/>
      <c r="AG204" s="1115"/>
      <c r="AH204" s="1115"/>
      <c r="AI204" s="1115"/>
      <c r="AJ204" s="1115"/>
      <c r="AK204" s="1115"/>
      <c r="AL204" s="1115"/>
      <c r="AM204" s="1115"/>
      <c r="AN204" s="1115"/>
      <c r="AO204" s="1115"/>
      <c r="AP204" s="1115"/>
      <c r="AQ204" s="1115"/>
      <c r="AR204" s="1115"/>
      <c r="AS204" s="1115"/>
      <c r="AT204" s="1115"/>
      <c r="AU204" s="1115"/>
      <c r="AV204" s="1115"/>
      <c r="AW204" s="1115"/>
      <c r="AX204" s="1115"/>
      <c r="AY204" s="1115"/>
      <c r="AZ204" s="1115"/>
      <c r="BA204" s="1115"/>
      <c r="BB204" s="1115"/>
      <c r="BC204" s="1115"/>
      <c r="BD204" s="1115"/>
      <c r="BE204" s="1115"/>
      <c r="BF204" s="1115"/>
      <c r="BG204" s="1115"/>
      <c r="BH204" s="1115"/>
      <c r="BI204" s="1115"/>
      <c r="BJ204" s="1115"/>
      <c r="BK204" s="1115"/>
      <c r="BL204" s="1115"/>
      <c r="BM204" s="1115"/>
      <c r="BN204" s="1115"/>
      <c r="BO204" s="1115"/>
      <c r="BP204" s="1115"/>
      <c r="BQ204" s="1115"/>
      <c r="BR204" s="1115"/>
      <c r="BS204" s="1115"/>
      <c r="BT204" s="1115"/>
      <c r="BU204" s="1115"/>
      <c r="BV204" s="1115"/>
      <c r="BW204" s="1115"/>
      <c r="BX204" s="1115"/>
      <c r="BY204" s="1115"/>
      <c r="BZ204" s="1115"/>
      <c r="CA204" s="1115"/>
      <c r="CB204" s="1115"/>
      <c r="CC204" s="1115"/>
      <c r="CD204" s="1115"/>
      <c r="CE204" s="1115"/>
      <c r="CF204" s="1115"/>
      <c r="CG204" s="1115"/>
      <c r="CH204" s="1115"/>
      <c r="CI204" s="1115"/>
      <c r="CJ204" s="1115"/>
      <c r="CK204" s="1115"/>
      <c r="CL204" s="1115"/>
    </row>
    <row r="205" spans="1:90" ht="14.4">
      <c r="A205" s="963">
        <v>9463</v>
      </c>
      <c r="B205" s="963" t="s">
        <v>2886</v>
      </c>
      <c r="C205" s="965">
        <v>105359.32</v>
      </c>
      <c r="D205" s="965">
        <v>8803.9599999999991</v>
      </c>
      <c r="E205" s="965">
        <v>7199.55</v>
      </c>
      <c r="F205" s="965">
        <v>10758.92</v>
      </c>
      <c r="G205" s="965">
        <v>4783.57</v>
      </c>
      <c r="H205" s="965">
        <v>2563.44</v>
      </c>
      <c r="I205" s="965">
        <v>13155.29</v>
      </c>
      <c r="J205" s="1233">
        <v>4455.66</v>
      </c>
      <c r="K205" s="1233">
        <v>3538.62</v>
      </c>
      <c r="L205" s="1115"/>
      <c r="M205" s="1115"/>
      <c r="N205" s="1115"/>
      <c r="O205" s="1115"/>
      <c r="P205" s="1115"/>
      <c r="Q205" s="1115"/>
      <c r="R205" s="1115"/>
      <c r="S205" s="1115"/>
      <c r="T205" s="1115"/>
      <c r="U205" s="1115"/>
      <c r="V205" s="1115"/>
      <c r="W205" s="1115"/>
      <c r="X205" s="1115"/>
      <c r="Y205" s="1115"/>
      <c r="Z205" s="1115"/>
      <c r="AA205" s="1115"/>
      <c r="AB205" s="1115"/>
      <c r="AC205" s="1115"/>
      <c r="AD205" s="1115"/>
      <c r="AE205" s="1115"/>
      <c r="AF205" s="1115"/>
      <c r="AG205" s="1115"/>
      <c r="AH205" s="1115"/>
      <c r="AI205" s="1115"/>
      <c r="AJ205" s="1115"/>
      <c r="AK205" s="1115"/>
      <c r="AL205" s="1115"/>
      <c r="AM205" s="1115"/>
      <c r="AN205" s="1115"/>
      <c r="AO205" s="1115"/>
      <c r="AP205" s="1115"/>
      <c r="AQ205" s="1115"/>
      <c r="AR205" s="1115"/>
      <c r="AS205" s="1115"/>
      <c r="AT205" s="1115"/>
      <c r="AU205" s="1115"/>
      <c r="AV205" s="1115"/>
      <c r="AW205" s="1115"/>
      <c r="AX205" s="1115"/>
      <c r="AY205" s="1115"/>
      <c r="AZ205" s="1115"/>
      <c r="BA205" s="1115"/>
      <c r="BB205" s="1115"/>
      <c r="BC205" s="1115"/>
      <c r="BD205" s="1115"/>
      <c r="BE205" s="1115"/>
      <c r="BF205" s="1115"/>
      <c r="BG205" s="1115"/>
      <c r="BH205" s="1115"/>
      <c r="BI205" s="1115"/>
      <c r="BJ205" s="1115"/>
      <c r="BK205" s="1115"/>
      <c r="BL205" s="1115"/>
      <c r="BM205" s="1115"/>
      <c r="BN205" s="1115"/>
      <c r="BO205" s="1115"/>
      <c r="BP205" s="1115"/>
      <c r="BQ205" s="1115"/>
      <c r="BR205" s="1115"/>
      <c r="BS205" s="1115"/>
      <c r="BT205" s="1115"/>
      <c r="BU205" s="1115"/>
      <c r="BV205" s="1115"/>
      <c r="BW205" s="1115"/>
      <c r="BX205" s="1115"/>
      <c r="BY205" s="1115"/>
      <c r="BZ205" s="1115"/>
      <c r="CA205" s="1115"/>
      <c r="CB205" s="1115"/>
      <c r="CC205" s="1115"/>
      <c r="CD205" s="1115"/>
      <c r="CE205" s="1115"/>
      <c r="CF205" s="1115"/>
      <c r="CG205" s="1115"/>
      <c r="CH205" s="1115"/>
      <c r="CI205" s="1115"/>
      <c r="CJ205" s="1115"/>
      <c r="CK205" s="1115"/>
      <c r="CL205" s="1115"/>
    </row>
    <row r="206" spans="1:90" ht="14.4">
      <c r="A206" s="963">
        <v>9464</v>
      </c>
      <c r="B206" s="963" t="s">
        <v>2887</v>
      </c>
      <c r="C206" s="963">
        <v>0</v>
      </c>
      <c r="D206" s="963">
        <v>0</v>
      </c>
      <c r="E206" s="963">
        <v>0</v>
      </c>
      <c r="F206" s="963">
        <v>250</v>
      </c>
      <c r="G206" s="965">
        <v>8000</v>
      </c>
      <c r="H206" s="963">
        <v>0</v>
      </c>
      <c r="I206" s="963">
        <v>0</v>
      </c>
      <c r="J206" s="1233">
        <v>0</v>
      </c>
      <c r="K206" s="1233">
        <v>0</v>
      </c>
      <c r="L206" s="1115"/>
      <c r="M206" s="1115"/>
      <c r="N206" s="1115"/>
      <c r="O206" s="1115"/>
      <c r="P206" s="1115"/>
      <c r="Q206" s="1115"/>
      <c r="R206" s="1115"/>
      <c r="S206" s="1115"/>
      <c r="T206" s="1115"/>
      <c r="U206" s="1115"/>
      <c r="V206" s="1115"/>
      <c r="W206" s="1115"/>
      <c r="X206" s="1115"/>
      <c r="Y206" s="1115"/>
      <c r="Z206" s="1115"/>
      <c r="AA206" s="1115"/>
      <c r="AB206" s="1115"/>
      <c r="AC206" s="1115"/>
      <c r="AD206" s="1115"/>
      <c r="AE206" s="1115"/>
      <c r="AF206" s="1115"/>
      <c r="AG206" s="1115"/>
      <c r="AH206" s="1115"/>
      <c r="AI206" s="1115"/>
      <c r="AJ206" s="1115"/>
      <c r="AK206" s="1115"/>
      <c r="AL206" s="1115"/>
      <c r="AM206" s="1115"/>
      <c r="AN206" s="1115"/>
      <c r="AO206" s="1115"/>
      <c r="AP206" s="1115"/>
      <c r="AQ206" s="1115"/>
      <c r="AR206" s="1115"/>
      <c r="AS206" s="1115"/>
      <c r="AT206" s="1115"/>
      <c r="AU206" s="1115"/>
      <c r="AV206" s="1115"/>
      <c r="AW206" s="1115"/>
      <c r="AX206" s="1115"/>
      <c r="AY206" s="1115"/>
      <c r="AZ206" s="1115"/>
      <c r="BA206" s="1115"/>
      <c r="BB206" s="1115"/>
      <c r="BC206" s="1115"/>
      <c r="BD206" s="1115"/>
      <c r="BE206" s="1115"/>
      <c r="BF206" s="1115"/>
      <c r="BG206" s="1115"/>
      <c r="BH206" s="1115"/>
      <c r="BI206" s="1115"/>
      <c r="BJ206" s="1115"/>
      <c r="BK206" s="1115"/>
      <c r="BL206" s="1115"/>
      <c r="BM206" s="1115"/>
      <c r="BN206" s="1115"/>
      <c r="BO206" s="1115"/>
      <c r="BP206" s="1115"/>
      <c r="BQ206" s="1115"/>
      <c r="BR206" s="1115"/>
      <c r="BS206" s="1115"/>
      <c r="BT206" s="1115"/>
      <c r="BU206" s="1115"/>
      <c r="BV206" s="1115"/>
      <c r="BW206" s="1115"/>
      <c r="BX206" s="1115"/>
      <c r="BY206" s="1115"/>
      <c r="BZ206" s="1115"/>
      <c r="CA206" s="1115"/>
      <c r="CB206" s="1115"/>
      <c r="CC206" s="1115"/>
      <c r="CD206" s="1115"/>
      <c r="CE206" s="1115"/>
      <c r="CF206" s="1115"/>
      <c r="CG206" s="1115"/>
      <c r="CH206" s="1115"/>
      <c r="CI206" s="1115"/>
      <c r="CJ206" s="1115"/>
      <c r="CK206" s="1115"/>
      <c r="CL206" s="1115"/>
    </row>
    <row r="207" spans="1:90" ht="14.4">
      <c r="A207" s="963">
        <v>9465</v>
      </c>
      <c r="B207" s="963" t="s">
        <v>2888</v>
      </c>
      <c r="C207" s="963">
        <v>0</v>
      </c>
      <c r="D207" s="963">
        <v>0</v>
      </c>
      <c r="E207" s="963">
        <v>0</v>
      </c>
      <c r="F207" s="963">
        <v>0</v>
      </c>
      <c r="G207" s="963">
        <v>0</v>
      </c>
      <c r="H207" s="963">
        <v>0</v>
      </c>
      <c r="I207" s="965">
        <v>1268.52</v>
      </c>
      <c r="J207" s="1233">
        <v>0</v>
      </c>
      <c r="K207" s="1233">
        <v>0</v>
      </c>
      <c r="L207" s="1115"/>
      <c r="M207" s="1115"/>
      <c r="N207" s="1115"/>
      <c r="O207" s="1115"/>
      <c r="P207" s="1115"/>
      <c r="Q207" s="1115"/>
      <c r="R207" s="1115"/>
      <c r="S207" s="1115"/>
      <c r="T207" s="1115"/>
      <c r="U207" s="1115"/>
      <c r="V207" s="1115"/>
      <c r="W207" s="1115"/>
      <c r="X207" s="1115"/>
      <c r="Y207" s="1115"/>
      <c r="Z207" s="1115"/>
      <c r="AA207" s="1115"/>
      <c r="AB207" s="1115"/>
      <c r="AC207" s="1115"/>
      <c r="AD207" s="1115"/>
      <c r="AE207" s="1115"/>
      <c r="AF207" s="1115"/>
      <c r="AG207" s="1115"/>
      <c r="AH207" s="1115"/>
      <c r="AI207" s="1115"/>
      <c r="AJ207" s="1115"/>
      <c r="AK207" s="1115"/>
      <c r="AL207" s="1115"/>
      <c r="AM207" s="1115"/>
      <c r="AN207" s="1115"/>
      <c r="AO207" s="1115"/>
      <c r="AP207" s="1115"/>
      <c r="AQ207" s="1115"/>
      <c r="AR207" s="1115"/>
      <c r="AS207" s="1115"/>
      <c r="AT207" s="1115"/>
      <c r="AU207" s="1115"/>
      <c r="AV207" s="1115"/>
      <c r="AW207" s="1115"/>
      <c r="AX207" s="1115"/>
      <c r="AY207" s="1115"/>
      <c r="AZ207" s="1115"/>
      <c r="BA207" s="1115"/>
      <c r="BB207" s="1115"/>
      <c r="BC207" s="1115"/>
      <c r="BD207" s="1115"/>
      <c r="BE207" s="1115"/>
      <c r="BF207" s="1115"/>
      <c r="BG207" s="1115"/>
      <c r="BH207" s="1115"/>
      <c r="BI207" s="1115"/>
      <c r="BJ207" s="1115"/>
      <c r="BK207" s="1115"/>
      <c r="BL207" s="1115"/>
      <c r="BM207" s="1115"/>
      <c r="BN207" s="1115"/>
      <c r="BO207" s="1115"/>
      <c r="BP207" s="1115"/>
      <c r="BQ207" s="1115"/>
      <c r="BR207" s="1115"/>
      <c r="BS207" s="1115"/>
      <c r="BT207" s="1115"/>
      <c r="BU207" s="1115"/>
      <c r="BV207" s="1115"/>
      <c r="BW207" s="1115"/>
      <c r="BX207" s="1115"/>
      <c r="BY207" s="1115"/>
      <c r="BZ207" s="1115"/>
      <c r="CA207" s="1115"/>
      <c r="CB207" s="1115"/>
      <c r="CC207" s="1115"/>
      <c r="CD207" s="1115"/>
      <c r="CE207" s="1115"/>
      <c r="CF207" s="1115"/>
      <c r="CG207" s="1115"/>
      <c r="CH207" s="1115"/>
      <c r="CI207" s="1115"/>
      <c r="CJ207" s="1115"/>
      <c r="CK207" s="1115"/>
      <c r="CL207" s="1115"/>
    </row>
    <row r="208" spans="1:90" ht="14.4">
      <c r="A208" s="963">
        <v>9466</v>
      </c>
      <c r="B208" s="963" t="s">
        <v>2889</v>
      </c>
      <c r="C208" s="963">
        <v>0</v>
      </c>
      <c r="D208" s="963">
        <v>0</v>
      </c>
      <c r="E208" s="963">
        <v>0</v>
      </c>
      <c r="F208" s="963">
        <v>0</v>
      </c>
      <c r="G208" s="963">
        <v>40.76</v>
      </c>
      <c r="H208" s="963">
        <v>-40.76</v>
      </c>
      <c r="I208" s="965">
        <v>17920.38</v>
      </c>
      <c r="J208" s="1233">
        <v>0</v>
      </c>
      <c r="K208" s="1233">
        <v>0</v>
      </c>
      <c r="L208" s="1115"/>
      <c r="M208" s="1115"/>
      <c r="N208" s="1115"/>
      <c r="O208" s="1115"/>
      <c r="P208" s="1115"/>
      <c r="Q208" s="1115"/>
      <c r="R208" s="1115"/>
      <c r="S208" s="1115"/>
      <c r="T208" s="1115"/>
      <c r="U208" s="1115"/>
      <c r="V208" s="1115"/>
      <c r="W208" s="1115"/>
      <c r="X208" s="1115"/>
      <c r="Y208" s="1115"/>
      <c r="Z208" s="1115"/>
      <c r="AA208" s="1115"/>
      <c r="AB208" s="1115"/>
      <c r="AC208" s="1115"/>
      <c r="AD208" s="1115"/>
      <c r="AE208" s="1115"/>
      <c r="AF208" s="1115"/>
      <c r="AG208" s="1115"/>
      <c r="AH208" s="1115"/>
      <c r="AI208" s="1115"/>
      <c r="AJ208" s="1115"/>
      <c r="AK208" s="1115"/>
      <c r="AL208" s="1115"/>
      <c r="AM208" s="1115"/>
      <c r="AN208" s="1115"/>
      <c r="AO208" s="1115"/>
      <c r="AP208" s="1115"/>
      <c r="AQ208" s="1115"/>
      <c r="AR208" s="1115"/>
      <c r="AS208" s="1115"/>
      <c r="AT208" s="1115"/>
      <c r="AU208" s="1115"/>
      <c r="AV208" s="1115"/>
      <c r="AW208" s="1115"/>
      <c r="AX208" s="1115"/>
      <c r="AY208" s="1115"/>
      <c r="AZ208" s="1115"/>
      <c r="BA208" s="1115"/>
      <c r="BB208" s="1115"/>
      <c r="BC208" s="1115"/>
      <c r="BD208" s="1115"/>
      <c r="BE208" s="1115"/>
      <c r="BF208" s="1115"/>
      <c r="BG208" s="1115"/>
      <c r="BH208" s="1115"/>
      <c r="BI208" s="1115"/>
      <c r="BJ208" s="1115"/>
      <c r="BK208" s="1115"/>
      <c r="BL208" s="1115"/>
      <c r="BM208" s="1115"/>
      <c r="BN208" s="1115"/>
      <c r="BO208" s="1115"/>
      <c r="BP208" s="1115"/>
      <c r="BQ208" s="1115"/>
      <c r="BR208" s="1115"/>
      <c r="BS208" s="1115"/>
      <c r="BT208" s="1115"/>
      <c r="BU208" s="1115"/>
      <c r="BV208" s="1115"/>
      <c r="BW208" s="1115"/>
      <c r="BX208" s="1115"/>
      <c r="BY208" s="1115"/>
      <c r="BZ208" s="1115"/>
      <c r="CA208" s="1115"/>
      <c r="CB208" s="1115"/>
      <c r="CC208" s="1115"/>
      <c r="CD208" s="1115"/>
      <c r="CE208" s="1115"/>
      <c r="CF208" s="1115"/>
      <c r="CG208" s="1115"/>
      <c r="CH208" s="1115"/>
      <c r="CI208" s="1115"/>
      <c r="CJ208" s="1115"/>
      <c r="CK208" s="1115"/>
      <c r="CL208" s="1115"/>
    </row>
    <row r="209" spans="1:90" ht="14.4">
      <c r="A209" s="963">
        <v>9472</v>
      </c>
      <c r="B209" s="963" t="s">
        <v>2890</v>
      </c>
      <c r="C209" s="963">
        <v>0</v>
      </c>
      <c r="D209" s="963">
        <v>0</v>
      </c>
      <c r="E209" s="965">
        <v>4394.1099999999997</v>
      </c>
      <c r="F209" s="965">
        <v>4862.38</v>
      </c>
      <c r="G209" s="965">
        <v>7837.97</v>
      </c>
      <c r="H209" s="965">
        <v>7095.97</v>
      </c>
      <c r="I209" s="965">
        <v>7331.12</v>
      </c>
      <c r="J209" s="1233">
        <v>4001.13</v>
      </c>
      <c r="K209" s="1233">
        <v>144.62</v>
      </c>
      <c r="L209" s="1115"/>
      <c r="M209" s="1115"/>
      <c r="N209" s="1115"/>
      <c r="O209" s="1115"/>
      <c r="P209" s="1115"/>
      <c r="Q209" s="1115"/>
      <c r="R209" s="1115"/>
      <c r="S209" s="1115"/>
      <c r="T209" s="1115"/>
      <c r="U209" s="1115"/>
      <c r="V209" s="1115"/>
      <c r="W209" s="1115"/>
      <c r="X209" s="1115"/>
      <c r="Y209" s="1115"/>
      <c r="Z209" s="1115"/>
      <c r="AA209" s="1115"/>
      <c r="AB209" s="1115"/>
      <c r="AC209" s="1115"/>
      <c r="AD209" s="1115"/>
      <c r="AE209" s="1115"/>
      <c r="AF209" s="1115"/>
      <c r="AG209" s="1115"/>
      <c r="AH209" s="1115"/>
      <c r="AI209" s="1115"/>
      <c r="AJ209" s="1115"/>
      <c r="AK209" s="1115"/>
      <c r="AL209" s="1115"/>
      <c r="AM209" s="1115"/>
      <c r="AN209" s="1115"/>
      <c r="AO209" s="1115"/>
      <c r="AP209" s="1115"/>
      <c r="AQ209" s="1115"/>
      <c r="AR209" s="1115"/>
      <c r="AS209" s="1115"/>
      <c r="AT209" s="1115"/>
      <c r="AU209" s="1115"/>
      <c r="AV209" s="1115"/>
      <c r="AW209" s="1115"/>
      <c r="AX209" s="1115"/>
      <c r="AY209" s="1115"/>
      <c r="AZ209" s="1115"/>
      <c r="BA209" s="1115"/>
      <c r="BB209" s="1115"/>
      <c r="BC209" s="1115"/>
      <c r="BD209" s="1115"/>
      <c r="BE209" s="1115"/>
      <c r="BF209" s="1115"/>
      <c r="BG209" s="1115"/>
      <c r="BH209" s="1115"/>
      <c r="BI209" s="1115"/>
      <c r="BJ209" s="1115"/>
      <c r="BK209" s="1115"/>
      <c r="BL209" s="1115"/>
      <c r="BM209" s="1115"/>
      <c r="BN209" s="1115"/>
      <c r="BO209" s="1115"/>
      <c r="BP209" s="1115"/>
      <c r="BQ209" s="1115"/>
      <c r="BR209" s="1115"/>
      <c r="BS209" s="1115"/>
      <c r="BT209" s="1115"/>
      <c r="BU209" s="1115"/>
      <c r="BV209" s="1115"/>
      <c r="BW209" s="1115"/>
      <c r="BX209" s="1115"/>
      <c r="BY209" s="1115"/>
      <c r="BZ209" s="1115"/>
      <c r="CA209" s="1115"/>
      <c r="CB209" s="1115"/>
      <c r="CC209" s="1115"/>
      <c r="CD209" s="1115"/>
      <c r="CE209" s="1115"/>
      <c r="CF209" s="1115"/>
      <c r="CG209" s="1115"/>
      <c r="CH209" s="1115"/>
      <c r="CI209" s="1115"/>
      <c r="CJ209" s="1115"/>
      <c r="CK209" s="1115"/>
      <c r="CL209" s="1115"/>
    </row>
    <row r="210" spans="1:90" ht="14.4">
      <c r="A210" s="963">
        <v>9473</v>
      </c>
      <c r="B210" s="963" t="s">
        <v>2891</v>
      </c>
      <c r="C210" s="965">
        <v>21959.5</v>
      </c>
      <c r="D210" s="965">
        <v>5915</v>
      </c>
      <c r="E210" s="965">
        <v>10611.35</v>
      </c>
      <c r="F210" s="965">
        <v>14500</v>
      </c>
      <c r="G210" s="965">
        <v>6100</v>
      </c>
      <c r="H210" s="965">
        <v>7377.5</v>
      </c>
      <c r="I210" s="965">
        <v>20532.04</v>
      </c>
      <c r="J210" s="1233">
        <v>5302.96</v>
      </c>
      <c r="K210" s="1233">
        <v>0</v>
      </c>
      <c r="L210" s="1115"/>
      <c r="M210" s="1115"/>
      <c r="N210" s="1115"/>
      <c r="O210" s="1115"/>
      <c r="P210" s="1115"/>
      <c r="Q210" s="1115"/>
      <c r="R210" s="1115"/>
      <c r="S210" s="1115"/>
      <c r="T210" s="1115"/>
      <c r="U210" s="1115"/>
      <c r="V210" s="1115"/>
      <c r="W210" s="1115"/>
      <c r="X210" s="1115"/>
      <c r="Y210" s="1115"/>
      <c r="Z210" s="1115"/>
      <c r="AA210" s="1115"/>
      <c r="AB210" s="1115"/>
      <c r="AC210" s="1115"/>
      <c r="AD210" s="1115"/>
      <c r="AE210" s="1115"/>
      <c r="AF210" s="1115"/>
      <c r="AG210" s="1115"/>
      <c r="AH210" s="1115"/>
      <c r="AI210" s="1115"/>
      <c r="AJ210" s="1115"/>
      <c r="AK210" s="1115"/>
      <c r="AL210" s="1115"/>
      <c r="AM210" s="1115"/>
      <c r="AN210" s="1115"/>
      <c r="AO210" s="1115"/>
      <c r="AP210" s="1115"/>
      <c r="AQ210" s="1115"/>
      <c r="AR210" s="1115"/>
      <c r="AS210" s="1115"/>
      <c r="AT210" s="1115"/>
      <c r="AU210" s="1115"/>
      <c r="AV210" s="1115"/>
      <c r="AW210" s="1115"/>
      <c r="AX210" s="1115"/>
      <c r="AY210" s="1115"/>
      <c r="AZ210" s="1115"/>
      <c r="BA210" s="1115"/>
      <c r="BB210" s="1115"/>
      <c r="BC210" s="1115"/>
      <c r="BD210" s="1115"/>
      <c r="BE210" s="1115"/>
      <c r="BF210" s="1115"/>
      <c r="BG210" s="1115"/>
      <c r="BH210" s="1115"/>
      <c r="BI210" s="1115"/>
      <c r="BJ210" s="1115"/>
      <c r="BK210" s="1115"/>
      <c r="BL210" s="1115"/>
      <c r="BM210" s="1115"/>
      <c r="BN210" s="1115"/>
      <c r="BO210" s="1115"/>
      <c r="BP210" s="1115"/>
      <c r="BQ210" s="1115"/>
      <c r="BR210" s="1115"/>
      <c r="BS210" s="1115"/>
      <c r="BT210" s="1115"/>
      <c r="BU210" s="1115"/>
      <c r="BV210" s="1115"/>
      <c r="BW210" s="1115"/>
      <c r="BX210" s="1115"/>
      <c r="BY210" s="1115"/>
      <c r="BZ210" s="1115"/>
      <c r="CA210" s="1115"/>
      <c r="CB210" s="1115"/>
      <c r="CC210" s="1115"/>
      <c r="CD210" s="1115"/>
      <c r="CE210" s="1115"/>
      <c r="CF210" s="1115"/>
      <c r="CG210" s="1115"/>
      <c r="CH210" s="1115"/>
      <c r="CI210" s="1115"/>
      <c r="CJ210" s="1115"/>
      <c r="CK210" s="1115"/>
      <c r="CL210" s="1115"/>
    </row>
    <row r="211" spans="1:90" ht="14.4">
      <c r="A211" s="963">
        <v>9478</v>
      </c>
      <c r="B211" s="963" t="s">
        <v>2892</v>
      </c>
      <c r="C211" s="965">
        <v>-257308.66</v>
      </c>
      <c r="D211" s="965">
        <v>-33396.57</v>
      </c>
      <c r="E211" s="965">
        <v>-57226</v>
      </c>
      <c r="F211" s="965">
        <v>-43558.239999999998</v>
      </c>
      <c r="G211" s="965">
        <v>-44669.95</v>
      </c>
      <c r="H211" s="965">
        <v>-66713.36</v>
      </c>
      <c r="I211" s="965">
        <v>-104734.6</v>
      </c>
      <c r="J211" s="1233">
        <v>0</v>
      </c>
      <c r="K211" s="1233">
        <v>0</v>
      </c>
      <c r="L211" s="1115"/>
      <c r="M211" s="1115"/>
      <c r="N211" s="1115"/>
      <c r="O211" s="1115"/>
      <c r="P211" s="1115"/>
      <c r="Q211" s="1115"/>
      <c r="R211" s="1115"/>
      <c r="S211" s="1115"/>
      <c r="T211" s="1115"/>
      <c r="U211" s="1115"/>
      <c r="V211" s="1115"/>
      <c r="W211" s="1115"/>
      <c r="X211" s="1115"/>
      <c r="Y211" s="1115"/>
      <c r="Z211" s="1115"/>
      <c r="AA211" s="1115"/>
      <c r="AB211" s="1115"/>
      <c r="AC211" s="1115"/>
      <c r="AD211" s="1115"/>
      <c r="AE211" s="1115"/>
      <c r="AF211" s="1115"/>
      <c r="AG211" s="1115"/>
      <c r="AH211" s="1115"/>
      <c r="AI211" s="1115"/>
      <c r="AJ211" s="1115"/>
      <c r="AK211" s="1115"/>
      <c r="AL211" s="1115"/>
      <c r="AM211" s="1115"/>
      <c r="AN211" s="1115"/>
      <c r="AO211" s="1115"/>
      <c r="AP211" s="1115"/>
      <c r="AQ211" s="1115"/>
      <c r="AR211" s="1115"/>
      <c r="AS211" s="1115"/>
      <c r="AT211" s="1115"/>
      <c r="AU211" s="1115"/>
      <c r="AV211" s="1115"/>
      <c r="AW211" s="1115"/>
      <c r="AX211" s="1115"/>
      <c r="AY211" s="1115"/>
      <c r="AZ211" s="1115"/>
      <c r="BA211" s="1115"/>
      <c r="BB211" s="1115"/>
      <c r="BC211" s="1115"/>
      <c r="BD211" s="1115"/>
      <c r="BE211" s="1115"/>
      <c r="BF211" s="1115"/>
      <c r="BG211" s="1115"/>
      <c r="BH211" s="1115"/>
      <c r="BI211" s="1115"/>
      <c r="BJ211" s="1115"/>
      <c r="BK211" s="1115"/>
      <c r="BL211" s="1115"/>
      <c r="BM211" s="1115"/>
      <c r="BN211" s="1115"/>
      <c r="BO211" s="1115"/>
      <c r="BP211" s="1115"/>
      <c r="BQ211" s="1115"/>
      <c r="BR211" s="1115"/>
      <c r="BS211" s="1115"/>
      <c r="BT211" s="1115"/>
      <c r="BU211" s="1115"/>
      <c r="BV211" s="1115"/>
      <c r="BW211" s="1115"/>
      <c r="BX211" s="1115"/>
      <c r="BY211" s="1115"/>
      <c r="BZ211" s="1115"/>
      <c r="CA211" s="1115"/>
      <c r="CB211" s="1115"/>
      <c r="CC211" s="1115"/>
      <c r="CD211" s="1115"/>
      <c r="CE211" s="1115"/>
      <c r="CF211" s="1115"/>
      <c r="CG211" s="1115"/>
      <c r="CH211" s="1115"/>
      <c r="CI211" s="1115"/>
      <c r="CJ211" s="1115"/>
      <c r="CK211" s="1115"/>
      <c r="CL211" s="1115"/>
    </row>
    <row r="212" spans="1:90" ht="14.4">
      <c r="A212" s="963">
        <v>9479</v>
      </c>
      <c r="B212" s="963" t="s">
        <v>2893</v>
      </c>
      <c r="C212" s="963">
        <v>0</v>
      </c>
      <c r="D212" s="965">
        <v>4000</v>
      </c>
      <c r="E212" s="963">
        <v>0</v>
      </c>
      <c r="F212" s="963">
        <v>0</v>
      </c>
      <c r="G212" s="963">
        <v>0</v>
      </c>
      <c r="H212" s="963">
        <v>0</v>
      </c>
      <c r="I212" s="963">
        <v>0</v>
      </c>
      <c r="J212" s="1233">
        <v>0</v>
      </c>
      <c r="K212" s="1233">
        <v>0</v>
      </c>
      <c r="L212" s="1115"/>
      <c r="M212" s="1115"/>
      <c r="N212" s="1115"/>
      <c r="O212" s="1115"/>
      <c r="P212" s="1115"/>
      <c r="Q212" s="1115"/>
      <c r="R212" s="1115"/>
      <c r="S212" s="1115"/>
      <c r="T212" s="1115"/>
      <c r="U212" s="1115"/>
      <c r="V212" s="1115"/>
      <c r="W212" s="1115"/>
      <c r="X212" s="1115"/>
      <c r="Y212" s="1115"/>
      <c r="Z212" s="1115"/>
      <c r="AA212" s="1115"/>
      <c r="AB212" s="1115"/>
      <c r="AC212" s="1115"/>
      <c r="AD212" s="1115"/>
      <c r="AE212" s="1115"/>
      <c r="AF212" s="1115"/>
      <c r="AG212" s="1115"/>
      <c r="AH212" s="1115"/>
      <c r="AI212" s="1115"/>
      <c r="AJ212" s="1115"/>
      <c r="AK212" s="1115"/>
      <c r="AL212" s="1115"/>
      <c r="AM212" s="1115"/>
      <c r="AN212" s="1115"/>
      <c r="AO212" s="1115"/>
      <c r="AP212" s="1115"/>
      <c r="AQ212" s="1115"/>
      <c r="AR212" s="1115"/>
      <c r="AS212" s="1115"/>
      <c r="AT212" s="1115"/>
      <c r="AU212" s="1115"/>
      <c r="AV212" s="1115"/>
      <c r="AW212" s="1115"/>
      <c r="AX212" s="1115"/>
      <c r="AY212" s="1115"/>
      <c r="AZ212" s="1115"/>
      <c r="BA212" s="1115"/>
      <c r="BB212" s="1115"/>
      <c r="BC212" s="1115"/>
      <c r="BD212" s="1115"/>
      <c r="BE212" s="1115"/>
      <c r="BF212" s="1115"/>
      <c r="BG212" s="1115"/>
      <c r="BH212" s="1115"/>
      <c r="BI212" s="1115"/>
      <c r="BJ212" s="1115"/>
      <c r="BK212" s="1115"/>
      <c r="BL212" s="1115"/>
      <c r="BM212" s="1115"/>
      <c r="BN212" s="1115"/>
      <c r="BO212" s="1115"/>
      <c r="BP212" s="1115"/>
      <c r="BQ212" s="1115"/>
      <c r="BR212" s="1115"/>
      <c r="BS212" s="1115"/>
      <c r="BT212" s="1115"/>
      <c r="BU212" s="1115"/>
      <c r="BV212" s="1115"/>
      <c r="BW212" s="1115"/>
      <c r="BX212" s="1115"/>
      <c r="BY212" s="1115"/>
      <c r="BZ212" s="1115"/>
      <c r="CA212" s="1115"/>
      <c r="CB212" s="1115"/>
      <c r="CC212" s="1115"/>
      <c r="CD212" s="1115"/>
      <c r="CE212" s="1115"/>
      <c r="CF212" s="1115"/>
      <c r="CG212" s="1115"/>
      <c r="CH212" s="1115"/>
      <c r="CI212" s="1115"/>
      <c r="CJ212" s="1115"/>
      <c r="CK212" s="1115"/>
      <c r="CL212" s="1115"/>
    </row>
    <row r="213" spans="1:90" ht="14.4">
      <c r="A213" s="1115"/>
      <c r="B213" s="1116" t="s">
        <v>2871</v>
      </c>
      <c r="C213" s="1133">
        <v>0</v>
      </c>
      <c r="D213" s="1133">
        <v>0</v>
      </c>
      <c r="E213" s="1133">
        <v>0</v>
      </c>
      <c r="F213" s="1133">
        <v>0</v>
      </c>
      <c r="G213" s="1133">
        <v>0</v>
      </c>
      <c r="H213" s="1133">
        <v>0</v>
      </c>
      <c r="I213" s="1133">
        <v>0</v>
      </c>
      <c r="J213" s="1234">
        <v>89406.570000000022</v>
      </c>
      <c r="K213" s="1234">
        <v>-10987.789999999999</v>
      </c>
      <c r="L213" s="1115"/>
      <c r="M213" s="1115"/>
      <c r="N213" s="1115"/>
      <c r="O213" s="1115"/>
      <c r="P213" s="1115"/>
      <c r="Q213" s="1115"/>
      <c r="R213" s="1115"/>
      <c r="S213" s="1115"/>
      <c r="T213" s="1115"/>
      <c r="U213" s="1115"/>
      <c r="V213" s="1115"/>
      <c r="W213" s="1115"/>
      <c r="X213" s="1115"/>
      <c r="Y213" s="1115"/>
      <c r="Z213" s="1115"/>
      <c r="AA213" s="1115"/>
      <c r="AB213" s="1115"/>
      <c r="AC213" s="1115"/>
      <c r="AD213" s="1115"/>
      <c r="AE213" s="1115"/>
      <c r="AF213" s="1115"/>
      <c r="AG213" s="1115"/>
      <c r="AH213" s="1115"/>
      <c r="AI213" s="1115"/>
      <c r="AJ213" s="1115"/>
      <c r="AK213" s="1115"/>
      <c r="AL213" s="1115"/>
      <c r="AM213" s="1115"/>
      <c r="AN213" s="1115"/>
      <c r="AO213" s="1115"/>
      <c r="AP213" s="1115"/>
      <c r="AQ213" s="1115"/>
      <c r="AR213" s="1115"/>
      <c r="AS213" s="1115"/>
      <c r="AT213" s="1115"/>
      <c r="AU213" s="1115"/>
      <c r="AV213" s="1115"/>
      <c r="AW213" s="1115"/>
      <c r="AX213" s="1115"/>
      <c r="AY213" s="1115"/>
      <c r="AZ213" s="1115"/>
      <c r="BA213" s="1115"/>
      <c r="BB213" s="1115"/>
      <c r="BC213" s="1115"/>
      <c r="BD213" s="1115"/>
      <c r="BE213" s="1115"/>
      <c r="BF213" s="1115"/>
      <c r="BG213" s="1115"/>
      <c r="BH213" s="1115"/>
      <c r="BI213" s="1115"/>
      <c r="BJ213" s="1115"/>
      <c r="BK213" s="1115"/>
      <c r="BL213" s="1115"/>
      <c r="BM213" s="1115"/>
      <c r="BN213" s="1115"/>
      <c r="BO213" s="1115"/>
      <c r="BP213" s="1115"/>
      <c r="BQ213" s="1115"/>
      <c r="BR213" s="1115"/>
      <c r="BS213" s="1115"/>
      <c r="BT213" s="1115"/>
      <c r="BU213" s="1115"/>
      <c r="BV213" s="1115"/>
      <c r="BW213" s="1115"/>
      <c r="BX213" s="1115"/>
      <c r="BY213" s="1115"/>
      <c r="BZ213" s="1115"/>
      <c r="CA213" s="1115"/>
      <c r="CB213" s="1115"/>
      <c r="CC213" s="1115"/>
      <c r="CD213" s="1115"/>
      <c r="CE213" s="1115"/>
      <c r="CF213" s="1115"/>
      <c r="CG213" s="1115"/>
      <c r="CH213" s="1115"/>
      <c r="CI213" s="1115"/>
      <c r="CJ213" s="1115"/>
      <c r="CK213" s="1115"/>
      <c r="CL213" s="1115"/>
    </row>
    <row r="214" spans="1:90" ht="14.4">
      <c r="A214" s="1115"/>
      <c r="B214" s="963"/>
      <c r="C214" s="963"/>
      <c r="D214" s="963"/>
      <c r="E214" s="963"/>
      <c r="F214" s="963"/>
      <c r="G214" s="963"/>
      <c r="H214" s="963"/>
      <c r="I214" s="963"/>
      <c r="L214" s="1115"/>
      <c r="M214" s="1115"/>
      <c r="N214" s="1115"/>
      <c r="O214" s="1115"/>
      <c r="P214" s="1115"/>
      <c r="Q214" s="1115"/>
      <c r="R214" s="1115"/>
      <c r="S214" s="1115"/>
      <c r="T214" s="1115"/>
      <c r="U214" s="1115"/>
      <c r="V214" s="1115"/>
      <c r="W214" s="1115"/>
      <c r="X214" s="1115"/>
      <c r="Y214" s="1115"/>
      <c r="Z214" s="1115"/>
      <c r="AA214" s="1115"/>
      <c r="AB214" s="1115"/>
      <c r="AC214" s="1115"/>
      <c r="AD214" s="1115"/>
      <c r="AE214" s="1115"/>
      <c r="AF214" s="1115"/>
      <c r="AG214" s="1115"/>
      <c r="AH214" s="1115"/>
      <c r="AI214" s="1115"/>
      <c r="AJ214" s="1115"/>
      <c r="AK214" s="1115"/>
      <c r="AL214" s="1115"/>
      <c r="AM214" s="1115"/>
      <c r="AN214" s="1115"/>
      <c r="AO214" s="1115"/>
      <c r="AP214" s="1115"/>
      <c r="AQ214" s="1115"/>
      <c r="AR214" s="1115"/>
      <c r="AS214" s="1115"/>
      <c r="AT214" s="1115"/>
      <c r="AU214" s="1115"/>
      <c r="AV214" s="1115"/>
      <c r="AW214" s="1115"/>
      <c r="AX214" s="1115"/>
      <c r="AY214" s="1115"/>
      <c r="AZ214" s="1115"/>
      <c r="BA214" s="1115"/>
      <c r="BB214" s="1115"/>
      <c r="BC214" s="1115"/>
      <c r="BD214" s="1115"/>
      <c r="BE214" s="1115"/>
      <c r="BF214" s="1115"/>
      <c r="BG214" s="1115"/>
      <c r="BH214" s="1115"/>
      <c r="BI214" s="1115"/>
      <c r="BJ214" s="1115"/>
      <c r="BK214" s="1115"/>
      <c r="BL214" s="1115"/>
      <c r="BM214" s="1115"/>
      <c r="BN214" s="1115"/>
      <c r="BO214" s="1115"/>
      <c r="BP214" s="1115"/>
      <c r="BQ214" s="1115"/>
      <c r="BR214" s="1115"/>
      <c r="BS214" s="1115"/>
      <c r="BT214" s="1115"/>
      <c r="BU214" s="1115"/>
      <c r="BV214" s="1115"/>
      <c r="BW214" s="1115"/>
      <c r="BX214" s="1115"/>
      <c r="BY214" s="1115"/>
      <c r="BZ214" s="1115"/>
      <c r="CA214" s="1115"/>
      <c r="CB214" s="1115"/>
      <c r="CC214" s="1115"/>
      <c r="CD214" s="1115"/>
      <c r="CE214" s="1115"/>
      <c r="CF214" s="1115"/>
      <c r="CG214" s="1115"/>
      <c r="CH214" s="1115"/>
      <c r="CI214" s="1115"/>
      <c r="CJ214" s="1115"/>
      <c r="CK214" s="1115"/>
      <c r="CL214" s="1115"/>
    </row>
    <row r="215" spans="1:90" ht="14.4">
      <c r="A215" s="1116" t="s">
        <v>2894</v>
      </c>
      <c r="B215" s="963"/>
      <c r="C215" s="963"/>
      <c r="D215" s="963"/>
      <c r="E215" s="963"/>
      <c r="F215" s="963"/>
      <c r="G215" s="963"/>
      <c r="H215" s="963"/>
      <c r="I215" s="963"/>
      <c r="J215" s="1237"/>
      <c r="K215" s="1237"/>
      <c r="L215" s="1115"/>
      <c r="M215" s="1115"/>
      <c r="N215" s="1115"/>
      <c r="O215" s="1115"/>
      <c r="P215" s="1115"/>
      <c r="Q215" s="1115"/>
      <c r="R215" s="1115"/>
      <c r="S215" s="1115"/>
      <c r="T215" s="1115"/>
      <c r="U215" s="1115"/>
      <c r="V215" s="1115"/>
      <c r="W215" s="1115"/>
      <c r="X215" s="1115"/>
      <c r="Y215" s="1115"/>
      <c r="Z215" s="1115"/>
      <c r="AA215" s="1115"/>
      <c r="AB215" s="1115"/>
      <c r="AC215" s="1115"/>
      <c r="AD215" s="1115"/>
      <c r="AE215" s="1115"/>
      <c r="AF215" s="1115"/>
      <c r="AG215" s="1115"/>
      <c r="AH215" s="1115"/>
      <c r="AI215" s="1115"/>
      <c r="AJ215" s="1115"/>
      <c r="AK215" s="1115"/>
      <c r="AL215" s="1115"/>
      <c r="AM215" s="1115"/>
      <c r="AN215" s="1115"/>
      <c r="AO215" s="1115"/>
      <c r="AP215" s="1115"/>
      <c r="AQ215" s="1115"/>
      <c r="AR215" s="1115"/>
      <c r="AS215" s="1115"/>
      <c r="AT215" s="1115"/>
      <c r="AU215" s="1115"/>
      <c r="AV215" s="1115"/>
      <c r="AW215" s="1115"/>
      <c r="AX215" s="1115"/>
      <c r="AY215" s="1115"/>
      <c r="AZ215" s="1115"/>
      <c r="BA215" s="1115"/>
      <c r="BB215" s="1115"/>
      <c r="BC215" s="1115"/>
      <c r="BD215" s="1115"/>
      <c r="BE215" s="1115"/>
      <c r="BF215" s="1115"/>
      <c r="BG215" s="1115"/>
      <c r="BH215" s="1115"/>
      <c r="BI215" s="1115"/>
      <c r="BJ215" s="1115"/>
      <c r="BK215" s="1115"/>
      <c r="BL215" s="1115"/>
      <c r="BM215" s="1115"/>
      <c r="BN215" s="1115"/>
      <c r="BO215" s="1115"/>
      <c r="BP215" s="1115"/>
      <c r="BQ215" s="1115"/>
      <c r="BR215" s="1115"/>
      <c r="BS215" s="1115"/>
      <c r="BT215" s="1115"/>
      <c r="BU215" s="1115"/>
      <c r="BV215" s="1115"/>
      <c r="BW215" s="1115"/>
      <c r="BX215" s="1115"/>
      <c r="BY215" s="1115"/>
      <c r="BZ215" s="1115"/>
      <c r="CA215" s="1115"/>
      <c r="CB215" s="1115"/>
      <c r="CC215" s="1115"/>
      <c r="CD215" s="1115"/>
      <c r="CE215" s="1115"/>
      <c r="CF215" s="1115"/>
      <c r="CG215" s="1115"/>
      <c r="CH215" s="1115"/>
      <c r="CI215" s="1115"/>
      <c r="CJ215" s="1115"/>
      <c r="CK215" s="1115"/>
      <c r="CL215" s="1115"/>
    </row>
    <row r="216" spans="1:90" ht="14.4">
      <c r="A216" s="963">
        <v>9602</v>
      </c>
      <c r="B216" s="963" t="s">
        <v>2895</v>
      </c>
      <c r="C216" s="963">
        <v>314</v>
      </c>
      <c r="D216" s="963">
        <v>0</v>
      </c>
      <c r="E216" s="963">
        <v>0</v>
      </c>
      <c r="F216" s="963">
        <v>0</v>
      </c>
      <c r="G216" s="963">
        <v>0</v>
      </c>
      <c r="H216" s="963">
        <v>0</v>
      </c>
      <c r="I216" s="963">
        <v>0</v>
      </c>
      <c r="J216" s="1233">
        <v>0</v>
      </c>
      <c r="K216" s="1233">
        <v>0</v>
      </c>
      <c r="L216" s="1115"/>
      <c r="M216" s="1115"/>
      <c r="N216" s="1115"/>
      <c r="O216" s="1115"/>
      <c r="P216" s="1115"/>
      <c r="Q216" s="1115"/>
      <c r="R216" s="1115"/>
      <c r="S216" s="1115"/>
      <c r="T216" s="1115"/>
      <c r="U216" s="1115"/>
      <c r="V216" s="1115"/>
      <c r="W216" s="1115"/>
      <c r="X216" s="1115"/>
      <c r="Y216" s="1115"/>
      <c r="Z216" s="1115"/>
      <c r="AA216" s="1115"/>
      <c r="AB216" s="1115"/>
      <c r="AC216" s="1115"/>
      <c r="AD216" s="1115"/>
      <c r="AE216" s="1115"/>
      <c r="AF216" s="1115"/>
      <c r="AG216" s="1115"/>
      <c r="AH216" s="1115"/>
      <c r="AI216" s="1115"/>
      <c r="AJ216" s="1115"/>
      <c r="AK216" s="1115"/>
      <c r="AL216" s="1115"/>
      <c r="AM216" s="1115"/>
      <c r="AN216" s="1115"/>
      <c r="AO216" s="1115"/>
      <c r="AP216" s="1115"/>
      <c r="AQ216" s="1115"/>
      <c r="AR216" s="1115"/>
      <c r="AS216" s="1115"/>
      <c r="AT216" s="1115"/>
      <c r="AU216" s="1115"/>
      <c r="AV216" s="1115"/>
      <c r="AW216" s="1115"/>
      <c r="AX216" s="1115"/>
      <c r="AY216" s="1115"/>
      <c r="AZ216" s="1115"/>
      <c r="BA216" s="1115"/>
      <c r="BB216" s="1115"/>
      <c r="BC216" s="1115"/>
      <c r="BD216" s="1115"/>
      <c r="BE216" s="1115"/>
      <c r="BF216" s="1115"/>
      <c r="BG216" s="1115"/>
      <c r="BH216" s="1115"/>
      <c r="BI216" s="1115"/>
      <c r="BJ216" s="1115"/>
      <c r="BK216" s="1115"/>
      <c r="BL216" s="1115"/>
      <c r="BM216" s="1115"/>
      <c r="BN216" s="1115"/>
      <c r="BO216" s="1115"/>
      <c r="BP216" s="1115"/>
      <c r="BQ216" s="1115"/>
      <c r="BR216" s="1115"/>
      <c r="BS216" s="1115"/>
      <c r="BT216" s="1115"/>
      <c r="BU216" s="1115"/>
      <c r="BV216" s="1115"/>
      <c r="BW216" s="1115"/>
      <c r="BX216" s="1115"/>
      <c r="BY216" s="1115"/>
      <c r="BZ216" s="1115"/>
      <c r="CA216" s="1115"/>
      <c r="CB216" s="1115"/>
      <c r="CC216" s="1115"/>
      <c r="CD216" s="1115"/>
      <c r="CE216" s="1115"/>
      <c r="CF216" s="1115"/>
      <c r="CG216" s="1115"/>
      <c r="CH216" s="1115"/>
      <c r="CI216" s="1115"/>
      <c r="CJ216" s="1115"/>
      <c r="CK216" s="1115"/>
      <c r="CL216" s="1115"/>
    </row>
    <row r="217" spans="1:90" ht="14.4">
      <c r="A217" s="963">
        <v>9674</v>
      </c>
      <c r="B217" s="963" t="s">
        <v>2896</v>
      </c>
      <c r="C217" s="965">
        <v>9214.5</v>
      </c>
      <c r="D217" s="963">
        <v>0</v>
      </c>
      <c r="E217" s="963">
        <v>0</v>
      </c>
      <c r="F217" s="963">
        <v>0</v>
      </c>
      <c r="G217" s="963">
        <v>0</v>
      </c>
      <c r="H217" s="963">
        <v>0</v>
      </c>
      <c r="I217" s="963">
        <v>0</v>
      </c>
      <c r="J217" s="1233">
        <v>0</v>
      </c>
      <c r="K217" s="1233">
        <v>0</v>
      </c>
      <c r="L217" s="1115"/>
      <c r="M217" s="1115"/>
      <c r="N217" s="1115"/>
      <c r="O217" s="1115"/>
      <c r="P217" s="1115"/>
      <c r="Q217" s="1115"/>
      <c r="R217" s="1115"/>
      <c r="S217" s="1115"/>
      <c r="T217" s="1115"/>
      <c r="U217" s="1115"/>
      <c r="V217" s="1115"/>
      <c r="W217" s="1115"/>
      <c r="X217" s="1115"/>
      <c r="Y217" s="1115"/>
      <c r="Z217" s="1115"/>
      <c r="AA217" s="1115"/>
      <c r="AB217" s="1115"/>
      <c r="AC217" s="1115"/>
      <c r="AD217" s="1115"/>
      <c r="AE217" s="1115"/>
      <c r="AF217" s="1115"/>
      <c r="AG217" s="1115"/>
      <c r="AH217" s="1115"/>
      <c r="AI217" s="1115"/>
      <c r="AJ217" s="1115"/>
      <c r="AK217" s="1115"/>
      <c r="AL217" s="1115"/>
      <c r="AM217" s="1115"/>
      <c r="AN217" s="1115"/>
      <c r="AO217" s="1115"/>
      <c r="AP217" s="1115"/>
      <c r="AQ217" s="1115"/>
      <c r="AR217" s="1115"/>
      <c r="AS217" s="1115"/>
      <c r="AT217" s="1115"/>
      <c r="AU217" s="1115"/>
      <c r="AV217" s="1115"/>
      <c r="AW217" s="1115"/>
      <c r="AX217" s="1115"/>
      <c r="AY217" s="1115"/>
      <c r="AZ217" s="1115"/>
      <c r="BA217" s="1115"/>
      <c r="BB217" s="1115"/>
      <c r="BC217" s="1115"/>
      <c r="BD217" s="1115"/>
      <c r="BE217" s="1115"/>
      <c r="BF217" s="1115"/>
      <c r="BG217" s="1115"/>
      <c r="BH217" s="1115"/>
      <c r="BI217" s="1115"/>
      <c r="BJ217" s="1115"/>
      <c r="BK217" s="1115"/>
      <c r="BL217" s="1115"/>
      <c r="BM217" s="1115"/>
      <c r="BN217" s="1115"/>
      <c r="BO217" s="1115"/>
      <c r="BP217" s="1115"/>
      <c r="BQ217" s="1115"/>
      <c r="BR217" s="1115"/>
      <c r="BS217" s="1115"/>
      <c r="BT217" s="1115"/>
      <c r="BU217" s="1115"/>
      <c r="BV217" s="1115"/>
      <c r="BW217" s="1115"/>
      <c r="BX217" s="1115"/>
      <c r="BY217" s="1115"/>
      <c r="BZ217" s="1115"/>
      <c r="CA217" s="1115"/>
      <c r="CB217" s="1115"/>
      <c r="CC217" s="1115"/>
      <c r="CD217" s="1115"/>
      <c r="CE217" s="1115"/>
      <c r="CF217" s="1115"/>
      <c r="CG217" s="1115"/>
      <c r="CH217" s="1115"/>
      <c r="CI217" s="1115"/>
      <c r="CJ217" s="1115"/>
      <c r="CK217" s="1115"/>
      <c r="CL217" s="1115"/>
    </row>
    <row r="218" spans="1:90" ht="14.4">
      <c r="A218" s="963">
        <v>9678</v>
      </c>
      <c r="B218" s="963" t="s">
        <v>2897</v>
      </c>
      <c r="C218" s="965">
        <v>-98278.59</v>
      </c>
      <c r="D218" s="963">
        <v>0</v>
      </c>
      <c r="E218" s="963">
        <v>0</v>
      </c>
      <c r="F218" s="963">
        <v>0</v>
      </c>
      <c r="G218" s="963">
        <v>0</v>
      </c>
      <c r="H218" s="963">
        <v>0</v>
      </c>
      <c r="I218" s="963">
        <v>0</v>
      </c>
      <c r="J218" s="1233">
        <v>0</v>
      </c>
      <c r="K218" s="1233">
        <v>0</v>
      </c>
      <c r="L218" s="1115"/>
      <c r="M218" s="1115"/>
      <c r="N218" s="1115"/>
      <c r="O218" s="1115"/>
      <c r="P218" s="1115"/>
      <c r="Q218" s="1115"/>
      <c r="R218" s="1115"/>
      <c r="S218" s="1115"/>
      <c r="T218" s="1115"/>
      <c r="U218" s="1115"/>
      <c r="V218" s="1115"/>
      <c r="W218" s="1115"/>
      <c r="X218" s="1115"/>
      <c r="Y218" s="1115"/>
      <c r="Z218" s="1115"/>
      <c r="AA218" s="1115"/>
      <c r="AB218" s="1115"/>
      <c r="AC218" s="1115"/>
      <c r="AD218" s="1115"/>
      <c r="AE218" s="1115"/>
      <c r="AF218" s="1115"/>
      <c r="AG218" s="1115"/>
      <c r="AH218" s="1115"/>
      <c r="AI218" s="1115"/>
      <c r="AJ218" s="1115"/>
      <c r="AK218" s="1115"/>
      <c r="AL218" s="1115"/>
      <c r="AM218" s="1115"/>
      <c r="AN218" s="1115"/>
      <c r="AO218" s="1115"/>
      <c r="AP218" s="1115"/>
      <c r="AQ218" s="1115"/>
      <c r="AR218" s="1115"/>
      <c r="AS218" s="1115"/>
      <c r="AT218" s="1115"/>
      <c r="AU218" s="1115"/>
      <c r="AV218" s="1115"/>
      <c r="AW218" s="1115"/>
      <c r="AX218" s="1115"/>
      <c r="AY218" s="1115"/>
      <c r="AZ218" s="1115"/>
      <c r="BA218" s="1115"/>
      <c r="BB218" s="1115"/>
      <c r="BC218" s="1115"/>
      <c r="BD218" s="1115"/>
      <c r="BE218" s="1115"/>
      <c r="BF218" s="1115"/>
      <c r="BG218" s="1115"/>
      <c r="BH218" s="1115"/>
      <c r="BI218" s="1115"/>
      <c r="BJ218" s="1115"/>
      <c r="BK218" s="1115"/>
      <c r="BL218" s="1115"/>
      <c r="BM218" s="1115"/>
      <c r="BN218" s="1115"/>
      <c r="BO218" s="1115"/>
      <c r="BP218" s="1115"/>
      <c r="BQ218" s="1115"/>
      <c r="BR218" s="1115"/>
      <c r="BS218" s="1115"/>
      <c r="BT218" s="1115"/>
      <c r="BU218" s="1115"/>
      <c r="BV218" s="1115"/>
      <c r="BW218" s="1115"/>
      <c r="BX218" s="1115"/>
      <c r="BY218" s="1115"/>
      <c r="BZ218" s="1115"/>
      <c r="CA218" s="1115"/>
      <c r="CB218" s="1115"/>
      <c r="CC218" s="1115"/>
      <c r="CD218" s="1115"/>
      <c r="CE218" s="1115"/>
      <c r="CF218" s="1115"/>
      <c r="CG218" s="1115"/>
      <c r="CH218" s="1115"/>
      <c r="CI218" s="1115"/>
      <c r="CJ218" s="1115"/>
      <c r="CK218" s="1115"/>
      <c r="CL218" s="1115"/>
    </row>
    <row r="219" spans="1:90" ht="14.4">
      <c r="A219" s="1115"/>
      <c r="B219" s="1116" t="s">
        <v>2894</v>
      </c>
      <c r="C219" s="1134">
        <v>-88750.09</v>
      </c>
      <c r="D219" s="1133">
        <v>0</v>
      </c>
      <c r="E219" s="1133">
        <v>0</v>
      </c>
      <c r="F219" s="1133">
        <v>0</v>
      </c>
      <c r="G219" s="1133">
        <v>0</v>
      </c>
      <c r="H219" s="1133">
        <v>0</v>
      </c>
      <c r="I219" s="1133">
        <v>0</v>
      </c>
      <c r="J219" s="1234">
        <v>0</v>
      </c>
      <c r="K219" s="1234">
        <v>0</v>
      </c>
      <c r="L219" s="1115"/>
      <c r="M219" s="1115"/>
      <c r="N219" s="1115"/>
      <c r="O219" s="1115"/>
      <c r="P219" s="1115"/>
      <c r="Q219" s="1115"/>
      <c r="R219" s="1115"/>
      <c r="S219" s="1115"/>
      <c r="T219" s="1115"/>
      <c r="U219" s="1115"/>
      <c r="V219" s="1115"/>
      <c r="W219" s="1115"/>
      <c r="X219" s="1115"/>
      <c r="Y219" s="1115"/>
      <c r="Z219" s="1115"/>
      <c r="AA219" s="1115"/>
      <c r="AB219" s="1115"/>
      <c r="AC219" s="1115"/>
      <c r="AD219" s="1115"/>
      <c r="AE219" s="1115"/>
      <c r="AF219" s="1115"/>
      <c r="AG219" s="1115"/>
      <c r="AH219" s="1115"/>
      <c r="AI219" s="1115"/>
      <c r="AJ219" s="1115"/>
      <c r="AK219" s="1115"/>
      <c r="AL219" s="1115"/>
      <c r="AM219" s="1115"/>
      <c r="AN219" s="1115"/>
      <c r="AO219" s="1115"/>
      <c r="AP219" s="1115"/>
      <c r="AQ219" s="1115"/>
      <c r="AR219" s="1115"/>
      <c r="AS219" s="1115"/>
      <c r="AT219" s="1115"/>
      <c r="AU219" s="1115"/>
      <c r="AV219" s="1115"/>
      <c r="AW219" s="1115"/>
      <c r="AX219" s="1115"/>
      <c r="AY219" s="1115"/>
      <c r="AZ219" s="1115"/>
      <c r="BA219" s="1115"/>
      <c r="BB219" s="1115"/>
      <c r="BC219" s="1115"/>
      <c r="BD219" s="1115"/>
      <c r="BE219" s="1115"/>
      <c r="BF219" s="1115"/>
      <c r="BG219" s="1115"/>
      <c r="BH219" s="1115"/>
      <c r="BI219" s="1115"/>
      <c r="BJ219" s="1115"/>
      <c r="BK219" s="1115"/>
      <c r="BL219" s="1115"/>
      <c r="BM219" s="1115"/>
      <c r="BN219" s="1115"/>
      <c r="BO219" s="1115"/>
      <c r="BP219" s="1115"/>
      <c r="BQ219" s="1115"/>
      <c r="BR219" s="1115"/>
      <c r="BS219" s="1115"/>
      <c r="BT219" s="1115"/>
      <c r="BU219" s="1115"/>
      <c r="BV219" s="1115"/>
      <c r="BW219" s="1115"/>
      <c r="BX219" s="1115"/>
      <c r="BY219" s="1115"/>
      <c r="BZ219" s="1115"/>
      <c r="CA219" s="1115"/>
      <c r="CB219" s="1115"/>
      <c r="CC219" s="1115"/>
      <c r="CD219" s="1115"/>
      <c r="CE219" s="1115"/>
      <c r="CF219" s="1115"/>
      <c r="CG219" s="1115"/>
      <c r="CH219" s="1115"/>
      <c r="CI219" s="1115"/>
      <c r="CJ219" s="1115"/>
      <c r="CK219" s="1115"/>
      <c r="CL219" s="1115"/>
    </row>
    <row r="220" spans="1:90" ht="14.4">
      <c r="A220" s="1115"/>
      <c r="B220" s="963"/>
      <c r="C220" s="963"/>
      <c r="D220" s="963"/>
      <c r="E220" s="963"/>
      <c r="F220" s="963"/>
      <c r="G220" s="963"/>
      <c r="H220" s="963"/>
      <c r="I220" s="963"/>
      <c r="L220" s="1115"/>
      <c r="M220" s="1115"/>
      <c r="N220" s="1115"/>
      <c r="O220" s="1115"/>
      <c r="P220" s="1115"/>
      <c r="Q220" s="1115"/>
      <c r="R220" s="1115"/>
      <c r="S220" s="1115"/>
      <c r="T220" s="1115"/>
      <c r="U220" s="1115"/>
      <c r="V220" s="1115"/>
      <c r="W220" s="1115"/>
      <c r="X220" s="1115"/>
      <c r="Y220" s="1115"/>
      <c r="Z220" s="1115"/>
      <c r="AA220" s="1115"/>
      <c r="AB220" s="1115"/>
      <c r="AC220" s="1115"/>
      <c r="AD220" s="1115"/>
      <c r="AE220" s="1115"/>
      <c r="AF220" s="1115"/>
      <c r="AG220" s="1115"/>
      <c r="AH220" s="1115"/>
      <c r="AI220" s="1115"/>
      <c r="AJ220" s="1115"/>
      <c r="AK220" s="1115"/>
      <c r="AL220" s="1115"/>
      <c r="AM220" s="1115"/>
      <c r="AN220" s="1115"/>
      <c r="AO220" s="1115"/>
      <c r="AP220" s="1115"/>
      <c r="AQ220" s="1115"/>
      <c r="AR220" s="1115"/>
      <c r="AS220" s="1115"/>
      <c r="AT220" s="1115"/>
      <c r="AU220" s="1115"/>
      <c r="AV220" s="1115"/>
      <c r="AW220" s="1115"/>
      <c r="AX220" s="1115"/>
      <c r="AY220" s="1115"/>
      <c r="AZ220" s="1115"/>
      <c r="BA220" s="1115"/>
      <c r="BB220" s="1115"/>
      <c r="BC220" s="1115"/>
      <c r="BD220" s="1115"/>
      <c r="BE220" s="1115"/>
      <c r="BF220" s="1115"/>
      <c r="BG220" s="1115"/>
      <c r="BH220" s="1115"/>
      <c r="BI220" s="1115"/>
      <c r="BJ220" s="1115"/>
      <c r="BK220" s="1115"/>
      <c r="BL220" s="1115"/>
      <c r="BM220" s="1115"/>
      <c r="BN220" s="1115"/>
      <c r="BO220" s="1115"/>
      <c r="BP220" s="1115"/>
      <c r="BQ220" s="1115"/>
      <c r="BR220" s="1115"/>
      <c r="BS220" s="1115"/>
      <c r="BT220" s="1115"/>
      <c r="BU220" s="1115"/>
      <c r="BV220" s="1115"/>
      <c r="BW220" s="1115"/>
      <c r="BX220" s="1115"/>
      <c r="BY220" s="1115"/>
      <c r="BZ220" s="1115"/>
      <c r="CA220" s="1115"/>
      <c r="CB220" s="1115"/>
      <c r="CC220" s="1115"/>
      <c r="CD220" s="1115"/>
      <c r="CE220" s="1115"/>
      <c r="CF220" s="1115"/>
      <c r="CG220" s="1115"/>
      <c r="CH220" s="1115"/>
      <c r="CI220" s="1115"/>
      <c r="CJ220" s="1115"/>
      <c r="CK220" s="1115"/>
      <c r="CL220" s="1115"/>
    </row>
    <row r="221" spans="1:90" ht="14.4">
      <c r="A221" s="1115"/>
      <c r="B221" s="1116" t="s">
        <v>2870</v>
      </c>
      <c r="C221" s="1134">
        <v>-88750.09</v>
      </c>
      <c r="D221" s="1133">
        <v>0</v>
      </c>
      <c r="E221" s="1133">
        <v>0</v>
      </c>
      <c r="F221" s="1133">
        <v>0</v>
      </c>
      <c r="G221" s="1133">
        <v>0</v>
      </c>
      <c r="H221" s="1133">
        <v>0</v>
      </c>
      <c r="I221" s="1133">
        <v>0</v>
      </c>
      <c r="J221" s="1234">
        <v>89406.570000000022</v>
      </c>
      <c r="K221" s="1234">
        <v>-10987.789999999999</v>
      </c>
      <c r="L221" s="1115"/>
      <c r="M221" s="1115"/>
      <c r="N221" s="1115"/>
      <c r="O221" s="1115"/>
      <c r="P221" s="1115"/>
      <c r="Q221" s="1115"/>
      <c r="R221" s="1115"/>
      <c r="S221" s="1115"/>
      <c r="T221" s="1115"/>
      <c r="U221" s="1115"/>
      <c r="V221" s="1115"/>
      <c r="W221" s="1115"/>
      <c r="X221" s="1115"/>
      <c r="Y221" s="1115"/>
      <c r="Z221" s="1115"/>
      <c r="AA221" s="1115"/>
      <c r="AB221" s="1115"/>
      <c r="AC221" s="1115"/>
      <c r="AD221" s="1115"/>
      <c r="AE221" s="1115"/>
      <c r="AF221" s="1115"/>
      <c r="AG221" s="1115"/>
      <c r="AH221" s="1115"/>
      <c r="AI221" s="1115"/>
      <c r="AJ221" s="1115"/>
      <c r="AK221" s="1115"/>
      <c r="AL221" s="1115"/>
      <c r="AM221" s="1115"/>
      <c r="AN221" s="1115"/>
      <c r="AO221" s="1115"/>
      <c r="AP221" s="1115"/>
      <c r="AQ221" s="1115"/>
      <c r="AR221" s="1115"/>
      <c r="AS221" s="1115"/>
      <c r="AT221" s="1115"/>
      <c r="AU221" s="1115"/>
      <c r="AV221" s="1115"/>
      <c r="AW221" s="1115"/>
      <c r="AX221" s="1115"/>
      <c r="AY221" s="1115"/>
      <c r="AZ221" s="1115"/>
      <c r="BA221" s="1115"/>
      <c r="BB221" s="1115"/>
      <c r="BC221" s="1115"/>
      <c r="BD221" s="1115"/>
      <c r="BE221" s="1115"/>
      <c r="BF221" s="1115"/>
      <c r="BG221" s="1115"/>
      <c r="BH221" s="1115"/>
      <c r="BI221" s="1115"/>
      <c r="BJ221" s="1115"/>
      <c r="BK221" s="1115"/>
      <c r="BL221" s="1115"/>
      <c r="BM221" s="1115"/>
      <c r="BN221" s="1115"/>
      <c r="BO221" s="1115"/>
      <c r="BP221" s="1115"/>
      <c r="BQ221" s="1115"/>
      <c r="BR221" s="1115"/>
      <c r="BS221" s="1115"/>
      <c r="BT221" s="1115"/>
      <c r="BU221" s="1115"/>
      <c r="BV221" s="1115"/>
      <c r="BW221" s="1115"/>
      <c r="BX221" s="1115"/>
      <c r="BY221" s="1115"/>
      <c r="BZ221" s="1115"/>
      <c r="CA221" s="1115"/>
      <c r="CB221" s="1115"/>
      <c r="CC221" s="1115"/>
      <c r="CD221" s="1115"/>
      <c r="CE221" s="1115"/>
      <c r="CF221" s="1115"/>
      <c r="CG221" s="1115"/>
      <c r="CH221" s="1115"/>
      <c r="CI221" s="1115"/>
      <c r="CJ221" s="1115"/>
      <c r="CK221" s="1115"/>
      <c r="CL221" s="1115"/>
    </row>
    <row r="222" spans="1:90" ht="14.4">
      <c r="A222" s="1115"/>
      <c r="B222" s="963"/>
      <c r="C222" s="963"/>
      <c r="D222" s="963"/>
      <c r="E222" s="963"/>
      <c r="F222" s="963"/>
      <c r="G222" s="963"/>
      <c r="H222" s="963"/>
      <c r="I222" s="963"/>
      <c r="L222" s="1115"/>
      <c r="M222" s="1115"/>
      <c r="N222" s="1115"/>
      <c r="O222" s="1115"/>
      <c r="P222" s="1115"/>
      <c r="Q222" s="1115"/>
      <c r="R222" s="1115"/>
      <c r="S222" s="1115"/>
      <c r="T222" s="1115"/>
      <c r="U222" s="1115"/>
      <c r="V222" s="1115"/>
      <c r="W222" s="1115"/>
      <c r="X222" s="1115"/>
      <c r="Y222" s="1115"/>
      <c r="Z222" s="1115"/>
      <c r="AA222" s="1115"/>
      <c r="AB222" s="1115"/>
      <c r="AC222" s="1115"/>
      <c r="AD222" s="1115"/>
      <c r="AE222" s="1115"/>
      <c r="AF222" s="1115"/>
      <c r="AG222" s="1115"/>
      <c r="AH222" s="1115"/>
      <c r="AI222" s="1115"/>
      <c r="AJ222" s="1115"/>
      <c r="AK222" s="1115"/>
      <c r="AL222" s="1115"/>
      <c r="AM222" s="1115"/>
      <c r="AN222" s="1115"/>
      <c r="AO222" s="1115"/>
      <c r="AP222" s="1115"/>
      <c r="AQ222" s="1115"/>
      <c r="AR222" s="1115"/>
      <c r="AS222" s="1115"/>
      <c r="AT222" s="1115"/>
      <c r="AU222" s="1115"/>
      <c r="AV222" s="1115"/>
      <c r="AW222" s="1115"/>
      <c r="AX222" s="1115"/>
      <c r="AY222" s="1115"/>
      <c r="AZ222" s="1115"/>
      <c r="BA222" s="1115"/>
      <c r="BB222" s="1115"/>
      <c r="BC222" s="1115"/>
      <c r="BD222" s="1115"/>
      <c r="BE222" s="1115"/>
      <c r="BF222" s="1115"/>
      <c r="BG222" s="1115"/>
      <c r="BH222" s="1115"/>
      <c r="BI222" s="1115"/>
      <c r="BJ222" s="1115"/>
      <c r="BK222" s="1115"/>
      <c r="BL222" s="1115"/>
      <c r="BM222" s="1115"/>
      <c r="BN222" s="1115"/>
      <c r="BO222" s="1115"/>
      <c r="BP222" s="1115"/>
      <c r="BQ222" s="1115"/>
      <c r="BR222" s="1115"/>
      <c r="BS222" s="1115"/>
      <c r="BT222" s="1115"/>
      <c r="BU222" s="1115"/>
      <c r="BV222" s="1115"/>
      <c r="BW222" s="1115"/>
      <c r="BX222" s="1115"/>
      <c r="BY222" s="1115"/>
      <c r="BZ222" s="1115"/>
      <c r="CA222" s="1115"/>
      <c r="CB222" s="1115"/>
      <c r="CC222" s="1115"/>
      <c r="CD222" s="1115"/>
      <c r="CE222" s="1115"/>
      <c r="CF222" s="1115"/>
      <c r="CG222" s="1115"/>
      <c r="CH222" s="1115"/>
      <c r="CI222" s="1115"/>
      <c r="CJ222" s="1115"/>
      <c r="CK222" s="1115"/>
      <c r="CL222" s="1115"/>
    </row>
    <row r="223" spans="1:90" ht="14.4">
      <c r="A223" s="1116" t="s">
        <v>2898</v>
      </c>
      <c r="B223" s="963"/>
      <c r="C223" s="963"/>
      <c r="D223" s="963"/>
      <c r="E223" s="963"/>
      <c r="F223" s="963"/>
      <c r="G223" s="963"/>
      <c r="H223" s="963"/>
      <c r="I223" s="963"/>
      <c r="J223" s="1235"/>
      <c r="K223" s="1235"/>
      <c r="L223" s="1115"/>
      <c r="M223" s="1115"/>
      <c r="N223" s="1115"/>
      <c r="O223" s="1115"/>
      <c r="P223" s="1115"/>
      <c r="Q223" s="1115"/>
      <c r="R223" s="1115"/>
      <c r="S223" s="1115"/>
      <c r="T223" s="1115"/>
      <c r="U223" s="1115"/>
      <c r="V223" s="1115"/>
      <c r="W223" s="1115"/>
      <c r="X223" s="1115"/>
      <c r="Y223" s="1115"/>
      <c r="Z223" s="1115"/>
      <c r="AA223" s="1115"/>
      <c r="AB223" s="1115"/>
      <c r="AC223" s="1115"/>
      <c r="AD223" s="1115"/>
      <c r="AE223" s="1115"/>
      <c r="AF223" s="1115"/>
      <c r="AG223" s="1115"/>
      <c r="AH223" s="1115"/>
      <c r="AI223" s="1115"/>
      <c r="AJ223" s="1115"/>
      <c r="AK223" s="1115"/>
      <c r="AL223" s="1115"/>
      <c r="AM223" s="1115"/>
      <c r="AN223" s="1115"/>
      <c r="AO223" s="1115"/>
      <c r="AP223" s="1115"/>
      <c r="AQ223" s="1115"/>
      <c r="AR223" s="1115"/>
      <c r="AS223" s="1115"/>
      <c r="AT223" s="1115"/>
      <c r="AU223" s="1115"/>
      <c r="AV223" s="1115"/>
      <c r="AW223" s="1115"/>
      <c r="AX223" s="1115"/>
      <c r="AY223" s="1115"/>
      <c r="AZ223" s="1115"/>
      <c r="BA223" s="1115"/>
      <c r="BB223" s="1115"/>
      <c r="BC223" s="1115"/>
      <c r="BD223" s="1115"/>
      <c r="BE223" s="1115"/>
      <c r="BF223" s="1115"/>
      <c r="BG223" s="1115"/>
      <c r="BH223" s="1115"/>
      <c r="BI223" s="1115"/>
      <c r="BJ223" s="1115"/>
      <c r="BK223" s="1115"/>
      <c r="BL223" s="1115"/>
      <c r="BM223" s="1115"/>
      <c r="BN223" s="1115"/>
      <c r="BO223" s="1115"/>
      <c r="BP223" s="1115"/>
      <c r="BQ223" s="1115"/>
      <c r="BR223" s="1115"/>
      <c r="BS223" s="1115"/>
      <c r="BT223" s="1115"/>
      <c r="BU223" s="1115"/>
      <c r="BV223" s="1115"/>
      <c r="BW223" s="1115"/>
      <c r="BX223" s="1115"/>
      <c r="BY223" s="1115"/>
      <c r="BZ223" s="1115"/>
      <c r="CA223" s="1115"/>
      <c r="CB223" s="1115"/>
      <c r="CC223" s="1115"/>
      <c r="CD223" s="1115"/>
      <c r="CE223" s="1115"/>
      <c r="CF223" s="1115"/>
      <c r="CG223" s="1115"/>
      <c r="CH223" s="1115"/>
      <c r="CI223" s="1115"/>
      <c r="CJ223" s="1115"/>
      <c r="CK223" s="1115"/>
      <c r="CL223" s="1115"/>
    </row>
    <row r="224" spans="1:90" ht="14.4">
      <c r="A224" s="963">
        <v>8901</v>
      </c>
      <c r="B224" s="963" t="s">
        <v>2899</v>
      </c>
      <c r="C224" s="965">
        <v>397476.46</v>
      </c>
      <c r="D224" s="965">
        <v>397476.46</v>
      </c>
      <c r="E224" s="965">
        <v>359011</v>
      </c>
      <c r="F224" s="965">
        <v>397476.46</v>
      </c>
      <c r="G224" s="965">
        <v>384654.64</v>
      </c>
      <c r="H224" s="965">
        <v>397476.46</v>
      </c>
      <c r="I224" s="965">
        <v>384654.64</v>
      </c>
      <c r="J224" s="1233">
        <v>397476.46</v>
      </c>
      <c r="K224" s="1233">
        <v>0</v>
      </c>
      <c r="L224" s="1115"/>
      <c r="M224" s="1115"/>
      <c r="N224" s="1115"/>
      <c r="O224" s="1115"/>
      <c r="P224" s="1115"/>
      <c r="Q224" s="1115"/>
      <c r="R224" s="1115"/>
      <c r="S224" s="1115"/>
      <c r="T224" s="1115"/>
      <c r="U224" s="1115"/>
      <c r="V224" s="1115"/>
      <c r="W224" s="1115"/>
      <c r="X224" s="1115"/>
      <c r="Y224" s="1115"/>
      <c r="Z224" s="1115"/>
      <c r="AA224" s="1115"/>
      <c r="AB224" s="1115"/>
      <c r="AC224" s="1115"/>
      <c r="AD224" s="1115"/>
      <c r="AE224" s="1115"/>
      <c r="AF224" s="1115"/>
      <c r="AG224" s="1115"/>
      <c r="AH224" s="1115"/>
      <c r="AI224" s="1115"/>
      <c r="AJ224" s="1115"/>
      <c r="AK224" s="1115"/>
      <c r="AL224" s="1115"/>
      <c r="AM224" s="1115"/>
      <c r="AN224" s="1115"/>
      <c r="AO224" s="1115"/>
      <c r="AP224" s="1115"/>
      <c r="AQ224" s="1115"/>
      <c r="AR224" s="1115"/>
      <c r="AS224" s="1115"/>
      <c r="AT224" s="1115"/>
      <c r="AU224" s="1115"/>
      <c r="AV224" s="1115"/>
      <c r="AW224" s="1115"/>
      <c r="AX224" s="1115"/>
      <c r="AY224" s="1115"/>
      <c r="AZ224" s="1115"/>
      <c r="BA224" s="1115"/>
      <c r="BB224" s="1115"/>
      <c r="BC224" s="1115"/>
      <c r="BD224" s="1115"/>
      <c r="BE224" s="1115"/>
      <c r="BF224" s="1115"/>
      <c r="BG224" s="1115"/>
      <c r="BH224" s="1115"/>
      <c r="BI224" s="1115"/>
      <c r="BJ224" s="1115"/>
      <c r="BK224" s="1115"/>
      <c r="BL224" s="1115"/>
      <c r="BM224" s="1115"/>
      <c r="BN224" s="1115"/>
      <c r="BO224" s="1115"/>
      <c r="BP224" s="1115"/>
      <c r="BQ224" s="1115"/>
      <c r="BR224" s="1115"/>
      <c r="BS224" s="1115"/>
      <c r="BT224" s="1115"/>
      <c r="BU224" s="1115"/>
      <c r="BV224" s="1115"/>
      <c r="BW224" s="1115"/>
      <c r="BX224" s="1115"/>
      <c r="BY224" s="1115"/>
      <c r="BZ224" s="1115"/>
      <c r="CA224" s="1115"/>
      <c r="CB224" s="1115"/>
      <c r="CC224" s="1115"/>
      <c r="CD224" s="1115"/>
      <c r="CE224" s="1115"/>
      <c r="CF224" s="1115"/>
      <c r="CG224" s="1115"/>
      <c r="CH224" s="1115"/>
      <c r="CI224" s="1115"/>
      <c r="CJ224" s="1115"/>
      <c r="CK224" s="1115"/>
      <c r="CL224" s="1115"/>
    </row>
    <row r="225" spans="1:90" ht="14.4">
      <c r="A225" s="963">
        <v>8910</v>
      </c>
      <c r="B225" s="963" t="s">
        <v>2900</v>
      </c>
      <c r="C225" s="965">
        <v>-80452.41</v>
      </c>
      <c r="D225" s="965">
        <v>-67179.12</v>
      </c>
      <c r="E225" s="965">
        <v>-59262.1</v>
      </c>
      <c r="F225" s="965">
        <v>-65387.68</v>
      </c>
      <c r="G225" s="965">
        <v>-63115.87</v>
      </c>
      <c r="H225" s="965">
        <v>-64379.99</v>
      </c>
      <c r="I225" s="965">
        <v>-60732.09</v>
      </c>
      <c r="J225" s="1233">
        <v>-64212.04</v>
      </c>
      <c r="K225" s="1233">
        <v>0</v>
      </c>
      <c r="L225" s="1115"/>
      <c r="M225" s="1115"/>
      <c r="N225" s="1115"/>
      <c r="O225" s="1115"/>
      <c r="P225" s="1115"/>
      <c r="Q225" s="1115"/>
      <c r="R225" s="1115"/>
      <c r="S225" s="1115"/>
      <c r="T225" s="1115"/>
      <c r="U225" s="1115"/>
      <c r="V225" s="1115"/>
      <c r="W225" s="1115"/>
      <c r="X225" s="1115"/>
      <c r="Y225" s="1115"/>
      <c r="Z225" s="1115"/>
      <c r="AA225" s="1115"/>
      <c r="AB225" s="1115"/>
      <c r="AC225" s="1115"/>
      <c r="AD225" s="1115"/>
      <c r="AE225" s="1115"/>
      <c r="AF225" s="1115"/>
      <c r="AG225" s="1115"/>
      <c r="AH225" s="1115"/>
      <c r="AI225" s="1115"/>
      <c r="AJ225" s="1115"/>
      <c r="AK225" s="1115"/>
      <c r="AL225" s="1115"/>
      <c r="AM225" s="1115"/>
      <c r="AN225" s="1115"/>
      <c r="AO225" s="1115"/>
      <c r="AP225" s="1115"/>
      <c r="AQ225" s="1115"/>
      <c r="AR225" s="1115"/>
      <c r="AS225" s="1115"/>
      <c r="AT225" s="1115"/>
      <c r="AU225" s="1115"/>
      <c r="AV225" s="1115"/>
      <c r="AW225" s="1115"/>
      <c r="AX225" s="1115"/>
      <c r="AY225" s="1115"/>
      <c r="AZ225" s="1115"/>
      <c r="BA225" s="1115"/>
      <c r="BB225" s="1115"/>
      <c r="BC225" s="1115"/>
      <c r="BD225" s="1115"/>
      <c r="BE225" s="1115"/>
      <c r="BF225" s="1115"/>
      <c r="BG225" s="1115"/>
      <c r="BH225" s="1115"/>
      <c r="BI225" s="1115"/>
      <c r="BJ225" s="1115"/>
      <c r="BK225" s="1115"/>
      <c r="BL225" s="1115"/>
      <c r="BM225" s="1115"/>
      <c r="BN225" s="1115"/>
      <c r="BO225" s="1115"/>
      <c r="BP225" s="1115"/>
      <c r="BQ225" s="1115"/>
      <c r="BR225" s="1115"/>
      <c r="BS225" s="1115"/>
      <c r="BT225" s="1115"/>
      <c r="BU225" s="1115"/>
      <c r="BV225" s="1115"/>
      <c r="BW225" s="1115"/>
      <c r="BX225" s="1115"/>
      <c r="BY225" s="1115"/>
      <c r="BZ225" s="1115"/>
      <c r="CA225" s="1115"/>
      <c r="CB225" s="1115"/>
      <c r="CC225" s="1115"/>
      <c r="CD225" s="1115"/>
      <c r="CE225" s="1115"/>
      <c r="CF225" s="1115"/>
      <c r="CG225" s="1115"/>
      <c r="CH225" s="1115"/>
      <c r="CI225" s="1115"/>
      <c r="CJ225" s="1115"/>
      <c r="CK225" s="1115"/>
      <c r="CL225" s="1115"/>
    </row>
    <row r="226" spans="1:90" ht="14.4">
      <c r="A226" s="1115"/>
      <c r="B226" s="1116" t="s">
        <v>2898</v>
      </c>
      <c r="C226" s="1134">
        <v>317024.05</v>
      </c>
      <c r="D226" s="1134">
        <v>330297.34000000003</v>
      </c>
      <c r="E226" s="1134">
        <v>299748.90000000002</v>
      </c>
      <c r="F226" s="1134">
        <v>332088.78000000003</v>
      </c>
      <c r="G226" s="1134">
        <v>321538.77</v>
      </c>
      <c r="H226" s="1134">
        <v>333096.46999999997</v>
      </c>
      <c r="I226" s="1134">
        <v>323922.55</v>
      </c>
      <c r="J226" s="1234">
        <v>333264.42000000004</v>
      </c>
      <c r="K226" s="1234">
        <v>0</v>
      </c>
      <c r="L226" s="1115"/>
      <c r="M226" s="1115"/>
      <c r="N226" s="1115"/>
      <c r="O226" s="1115"/>
      <c r="P226" s="1115"/>
      <c r="Q226" s="1115"/>
      <c r="R226" s="1115"/>
      <c r="S226" s="1115"/>
      <c r="T226" s="1115"/>
      <c r="U226" s="1115"/>
      <c r="V226" s="1115"/>
      <c r="W226" s="1115"/>
      <c r="X226" s="1115"/>
      <c r="Y226" s="1115"/>
      <c r="Z226" s="1115"/>
      <c r="AA226" s="1115"/>
      <c r="AB226" s="1115"/>
      <c r="AC226" s="1115"/>
      <c r="AD226" s="1115"/>
      <c r="AE226" s="1115"/>
      <c r="AF226" s="1115"/>
      <c r="AG226" s="1115"/>
      <c r="AH226" s="1115"/>
      <c r="AI226" s="1115"/>
      <c r="AJ226" s="1115"/>
      <c r="AK226" s="1115"/>
      <c r="AL226" s="1115"/>
      <c r="AM226" s="1115"/>
      <c r="AN226" s="1115"/>
      <c r="AO226" s="1115"/>
      <c r="AP226" s="1115"/>
      <c r="AQ226" s="1115"/>
      <c r="AR226" s="1115"/>
      <c r="AS226" s="1115"/>
      <c r="AT226" s="1115"/>
      <c r="AU226" s="1115"/>
      <c r="AV226" s="1115"/>
      <c r="AW226" s="1115"/>
      <c r="AX226" s="1115"/>
      <c r="AY226" s="1115"/>
      <c r="AZ226" s="1115"/>
      <c r="BA226" s="1115"/>
      <c r="BB226" s="1115"/>
      <c r="BC226" s="1115"/>
      <c r="BD226" s="1115"/>
      <c r="BE226" s="1115"/>
      <c r="BF226" s="1115"/>
      <c r="BG226" s="1115"/>
      <c r="BH226" s="1115"/>
      <c r="BI226" s="1115"/>
      <c r="BJ226" s="1115"/>
      <c r="BK226" s="1115"/>
      <c r="BL226" s="1115"/>
      <c r="BM226" s="1115"/>
      <c r="BN226" s="1115"/>
      <c r="BO226" s="1115"/>
      <c r="BP226" s="1115"/>
      <c r="BQ226" s="1115"/>
      <c r="BR226" s="1115"/>
      <c r="BS226" s="1115"/>
      <c r="BT226" s="1115"/>
      <c r="BU226" s="1115"/>
      <c r="BV226" s="1115"/>
      <c r="BW226" s="1115"/>
      <c r="BX226" s="1115"/>
      <c r="BY226" s="1115"/>
      <c r="BZ226" s="1115"/>
      <c r="CA226" s="1115"/>
      <c r="CB226" s="1115"/>
      <c r="CC226" s="1115"/>
      <c r="CD226" s="1115"/>
      <c r="CE226" s="1115"/>
      <c r="CF226" s="1115"/>
      <c r="CG226" s="1115"/>
      <c r="CH226" s="1115"/>
      <c r="CI226" s="1115"/>
      <c r="CJ226" s="1115"/>
      <c r="CK226" s="1115"/>
      <c r="CL226" s="1115"/>
    </row>
    <row r="227" spans="1:90" ht="14.4">
      <c r="A227" s="1115"/>
      <c r="B227" s="963"/>
      <c r="C227" s="963"/>
      <c r="D227" s="963"/>
      <c r="E227" s="963"/>
      <c r="F227" s="963"/>
      <c r="G227" s="963"/>
      <c r="H227" s="963"/>
      <c r="I227" s="963"/>
      <c r="L227" s="1115"/>
      <c r="M227" s="1115"/>
      <c r="N227" s="1115"/>
      <c r="O227" s="1115"/>
      <c r="P227" s="1115"/>
      <c r="Q227" s="1115"/>
      <c r="R227" s="1115"/>
      <c r="S227" s="1115"/>
      <c r="T227" s="1115"/>
      <c r="U227" s="1115"/>
      <c r="V227" s="1115"/>
      <c r="W227" s="1115"/>
      <c r="X227" s="1115"/>
      <c r="Y227" s="1115"/>
      <c r="Z227" s="1115"/>
      <c r="AA227" s="1115"/>
      <c r="AB227" s="1115"/>
      <c r="AC227" s="1115"/>
      <c r="AD227" s="1115"/>
      <c r="AE227" s="1115"/>
      <c r="AF227" s="1115"/>
      <c r="AG227" s="1115"/>
      <c r="AH227" s="1115"/>
      <c r="AI227" s="1115"/>
      <c r="AJ227" s="1115"/>
      <c r="AK227" s="1115"/>
      <c r="AL227" s="1115"/>
      <c r="AM227" s="1115"/>
      <c r="AN227" s="1115"/>
      <c r="AO227" s="1115"/>
      <c r="AP227" s="1115"/>
      <c r="AQ227" s="1115"/>
      <c r="AR227" s="1115"/>
      <c r="AS227" s="1115"/>
      <c r="AT227" s="1115"/>
      <c r="AU227" s="1115"/>
      <c r="AV227" s="1115"/>
      <c r="AW227" s="1115"/>
      <c r="AX227" s="1115"/>
      <c r="AY227" s="1115"/>
      <c r="AZ227" s="1115"/>
      <c r="BA227" s="1115"/>
      <c r="BB227" s="1115"/>
      <c r="BC227" s="1115"/>
      <c r="BD227" s="1115"/>
      <c r="BE227" s="1115"/>
      <c r="BF227" s="1115"/>
      <c r="BG227" s="1115"/>
      <c r="BH227" s="1115"/>
      <c r="BI227" s="1115"/>
      <c r="BJ227" s="1115"/>
      <c r="BK227" s="1115"/>
      <c r="BL227" s="1115"/>
      <c r="BM227" s="1115"/>
      <c r="BN227" s="1115"/>
      <c r="BO227" s="1115"/>
      <c r="BP227" s="1115"/>
      <c r="BQ227" s="1115"/>
      <c r="BR227" s="1115"/>
      <c r="BS227" s="1115"/>
      <c r="BT227" s="1115"/>
      <c r="BU227" s="1115"/>
      <c r="BV227" s="1115"/>
      <c r="BW227" s="1115"/>
      <c r="BX227" s="1115"/>
      <c r="BY227" s="1115"/>
      <c r="BZ227" s="1115"/>
      <c r="CA227" s="1115"/>
      <c r="CB227" s="1115"/>
      <c r="CC227" s="1115"/>
      <c r="CD227" s="1115"/>
      <c r="CE227" s="1115"/>
      <c r="CF227" s="1115"/>
      <c r="CG227" s="1115"/>
      <c r="CH227" s="1115"/>
      <c r="CI227" s="1115"/>
      <c r="CJ227" s="1115"/>
      <c r="CK227" s="1115"/>
      <c r="CL227" s="1115"/>
    </row>
    <row r="228" spans="1:90" ht="14.4">
      <c r="A228" s="1116" t="s">
        <v>2901</v>
      </c>
      <c r="B228" s="1064"/>
      <c r="C228" s="963"/>
      <c r="D228" s="963"/>
      <c r="E228" s="963"/>
      <c r="F228" s="963"/>
      <c r="G228" s="963"/>
      <c r="H228" s="963"/>
      <c r="I228" s="963"/>
      <c r="J228" s="1235"/>
      <c r="K228" s="1235"/>
      <c r="L228" s="1115"/>
      <c r="M228" s="1115"/>
      <c r="N228" s="1115"/>
      <c r="O228" s="1115"/>
      <c r="P228" s="1115"/>
      <c r="Q228" s="1115"/>
      <c r="R228" s="1115"/>
      <c r="S228" s="1115"/>
      <c r="T228" s="1115"/>
      <c r="U228" s="1115"/>
      <c r="V228" s="1115"/>
      <c r="W228" s="1115"/>
      <c r="X228" s="1115"/>
      <c r="Y228" s="1115"/>
      <c r="Z228" s="1115"/>
      <c r="AA228" s="1115"/>
      <c r="AB228" s="1115"/>
      <c r="AC228" s="1115"/>
      <c r="AD228" s="1115"/>
      <c r="AE228" s="1115"/>
      <c r="AF228" s="1115"/>
      <c r="AG228" s="1115"/>
      <c r="AH228" s="1115"/>
      <c r="AI228" s="1115"/>
      <c r="AJ228" s="1115"/>
      <c r="AK228" s="1115"/>
      <c r="AL228" s="1115"/>
      <c r="AM228" s="1115"/>
      <c r="AN228" s="1115"/>
      <c r="AO228" s="1115"/>
      <c r="AP228" s="1115"/>
      <c r="AQ228" s="1115"/>
      <c r="AR228" s="1115"/>
      <c r="AS228" s="1115"/>
      <c r="AT228" s="1115"/>
      <c r="AU228" s="1115"/>
      <c r="AV228" s="1115"/>
      <c r="AW228" s="1115"/>
      <c r="AX228" s="1115"/>
      <c r="AY228" s="1115"/>
      <c r="AZ228" s="1115"/>
      <c r="BA228" s="1115"/>
      <c r="BB228" s="1115"/>
      <c r="BC228" s="1115"/>
      <c r="BD228" s="1115"/>
      <c r="BE228" s="1115"/>
      <c r="BF228" s="1115"/>
      <c r="BG228" s="1115"/>
      <c r="BH228" s="1115"/>
      <c r="BI228" s="1115"/>
      <c r="BJ228" s="1115"/>
      <c r="BK228" s="1115"/>
      <c r="BL228" s="1115"/>
      <c r="BM228" s="1115"/>
      <c r="BN228" s="1115"/>
      <c r="BO228" s="1115"/>
      <c r="BP228" s="1115"/>
      <c r="BQ228" s="1115"/>
      <c r="BR228" s="1115"/>
      <c r="BS228" s="1115"/>
      <c r="BT228" s="1115"/>
      <c r="BU228" s="1115"/>
      <c r="BV228" s="1115"/>
      <c r="BW228" s="1115"/>
      <c r="BX228" s="1115"/>
      <c r="BY228" s="1115"/>
      <c r="BZ228" s="1115"/>
      <c r="CA228" s="1115"/>
      <c r="CB228" s="1115"/>
      <c r="CC228" s="1115"/>
      <c r="CD228" s="1115"/>
      <c r="CE228" s="1115"/>
      <c r="CF228" s="1115"/>
      <c r="CG228" s="1115"/>
      <c r="CH228" s="1115"/>
      <c r="CI228" s="1115"/>
      <c r="CJ228" s="1115"/>
      <c r="CK228" s="1115"/>
      <c r="CL228" s="1115"/>
    </row>
    <row r="229" spans="1:90" ht="14.4">
      <c r="A229" s="963">
        <v>9760</v>
      </c>
      <c r="B229" s="963" t="s">
        <v>2902</v>
      </c>
      <c r="C229" s="963">
        <v>-157.34</v>
      </c>
      <c r="D229" s="963">
        <v>0</v>
      </c>
      <c r="E229" s="963">
        <v>0</v>
      </c>
      <c r="F229" s="963">
        <v>0</v>
      </c>
      <c r="G229" s="963">
        <v>0</v>
      </c>
      <c r="H229" s="963">
        <v>0</v>
      </c>
      <c r="I229" s="963">
        <v>0</v>
      </c>
      <c r="J229" s="1233">
        <v>0</v>
      </c>
      <c r="K229" s="1233">
        <v>0</v>
      </c>
      <c r="L229" s="1115"/>
      <c r="M229" s="1115"/>
      <c r="N229" s="1115"/>
      <c r="O229" s="1115"/>
      <c r="P229" s="1115"/>
      <c r="Q229" s="1115"/>
      <c r="R229" s="1115"/>
      <c r="S229" s="1115"/>
      <c r="T229" s="1115"/>
      <c r="U229" s="1115"/>
      <c r="V229" s="1115"/>
      <c r="W229" s="1115"/>
      <c r="X229" s="1115"/>
      <c r="Y229" s="1115"/>
      <c r="Z229" s="1115"/>
      <c r="AA229" s="1115"/>
      <c r="AB229" s="1115"/>
      <c r="AC229" s="1115"/>
      <c r="AD229" s="1115"/>
      <c r="AE229" s="1115"/>
      <c r="AF229" s="1115"/>
      <c r="AG229" s="1115"/>
      <c r="AH229" s="1115"/>
      <c r="AI229" s="1115"/>
      <c r="AJ229" s="1115"/>
      <c r="AK229" s="1115"/>
      <c r="AL229" s="1115"/>
      <c r="AM229" s="1115"/>
      <c r="AN229" s="1115"/>
      <c r="AO229" s="1115"/>
      <c r="AP229" s="1115"/>
      <c r="AQ229" s="1115"/>
      <c r="AR229" s="1115"/>
      <c r="AS229" s="1115"/>
      <c r="AT229" s="1115"/>
      <c r="AU229" s="1115"/>
      <c r="AV229" s="1115"/>
      <c r="AW229" s="1115"/>
      <c r="AX229" s="1115"/>
      <c r="AY229" s="1115"/>
      <c r="AZ229" s="1115"/>
      <c r="BA229" s="1115"/>
      <c r="BB229" s="1115"/>
      <c r="BC229" s="1115"/>
      <c r="BD229" s="1115"/>
      <c r="BE229" s="1115"/>
      <c r="BF229" s="1115"/>
      <c r="BG229" s="1115"/>
      <c r="BH229" s="1115"/>
      <c r="BI229" s="1115"/>
      <c r="BJ229" s="1115"/>
      <c r="BK229" s="1115"/>
      <c r="BL229" s="1115"/>
      <c r="BM229" s="1115"/>
      <c r="BN229" s="1115"/>
      <c r="BO229" s="1115"/>
      <c r="BP229" s="1115"/>
      <c r="BQ229" s="1115"/>
      <c r="BR229" s="1115"/>
      <c r="BS229" s="1115"/>
      <c r="BT229" s="1115"/>
      <c r="BU229" s="1115"/>
      <c r="BV229" s="1115"/>
      <c r="BW229" s="1115"/>
      <c r="BX229" s="1115"/>
      <c r="BY229" s="1115"/>
      <c r="BZ229" s="1115"/>
      <c r="CA229" s="1115"/>
      <c r="CB229" s="1115"/>
      <c r="CC229" s="1115"/>
      <c r="CD229" s="1115"/>
      <c r="CE229" s="1115"/>
      <c r="CF229" s="1115"/>
      <c r="CG229" s="1115"/>
      <c r="CH229" s="1115"/>
      <c r="CI229" s="1115"/>
      <c r="CJ229" s="1115"/>
      <c r="CK229" s="1115"/>
      <c r="CL229" s="1115"/>
    </row>
    <row r="230" spans="1:90" ht="14.4">
      <c r="A230" s="963">
        <v>9765</v>
      </c>
      <c r="B230" s="963" t="s">
        <v>2903</v>
      </c>
      <c r="C230" s="963">
        <v>0</v>
      </c>
      <c r="D230" s="963">
        <v>0</v>
      </c>
      <c r="E230" s="965">
        <v>2000</v>
      </c>
      <c r="F230" s="965">
        <v>2000</v>
      </c>
      <c r="G230" s="965">
        <v>2000</v>
      </c>
      <c r="H230" s="965">
        <v>6000</v>
      </c>
      <c r="I230" s="965">
        <v>6000</v>
      </c>
      <c r="J230" s="1233">
        <v>4500</v>
      </c>
      <c r="K230" s="1233">
        <v>0</v>
      </c>
      <c r="L230" s="1115"/>
      <c r="M230" s="1115"/>
      <c r="N230" s="1115"/>
      <c r="O230" s="1115"/>
      <c r="P230" s="1115"/>
      <c r="Q230" s="1115"/>
      <c r="R230" s="1115"/>
      <c r="S230" s="1115"/>
      <c r="T230" s="1115"/>
      <c r="U230" s="1115"/>
      <c r="V230" s="1115"/>
      <c r="W230" s="1115"/>
      <c r="X230" s="1115"/>
      <c r="Y230" s="1115"/>
      <c r="Z230" s="1115"/>
      <c r="AA230" s="1115"/>
      <c r="AB230" s="1115"/>
      <c r="AC230" s="1115"/>
      <c r="AD230" s="1115"/>
      <c r="AE230" s="1115"/>
      <c r="AF230" s="1115"/>
      <c r="AG230" s="1115"/>
      <c r="AH230" s="1115"/>
      <c r="AI230" s="1115"/>
      <c r="AJ230" s="1115"/>
      <c r="AK230" s="1115"/>
      <c r="AL230" s="1115"/>
      <c r="AM230" s="1115"/>
      <c r="AN230" s="1115"/>
      <c r="AO230" s="1115"/>
      <c r="AP230" s="1115"/>
      <c r="AQ230" s="1115"/>
      <c r="AR230" s="1115"/>
      <c r="AS230" s="1115"/>
      <c r="AT230" s="1115"/>
      <c r="AU230" s="1115"/>
      <c r="AV230" s="1115"/>
      <c r="AW230" s="1115"/>
      <c r="AX230" s="1115"/>
      <c r="AY230" s="1115"/>
      <c r="AZ230" s="1115"/>
      <c r="BA230" s="1115"/>
      <c r="BB230" s="1115"/>
      <c r="BC230" s="1115"/>
      <c r="BD230" s="1115"/>
      <c r="BE230" s="1115"/>
      <c r="BF230" s="1115"/>
      <c r="BG230" s="1115"/>
      <c r="BH230" s="1115"/>
      <c r="BI230" s="1115"/>
      <c r="BJ230" s="1115"/>
      <c r="BK230" s="1115"/>
      <c r="BL230" s="1115"/>
      <c r="BM230" s="1115"/>
      <c r="BN230" s="1115"/>
      <c r="BO230" s="1115"/>
      <c r="BP230" s="1115"/>
      <c r="BQ230" s="1115"/>
      <c r="BR230" s="1115"/>
      <c r="BS230" s="1115"/>
      <c r="BT230" s="1115"/>
      <c r="BU230" s="1115"/>
      <c r="BV230" s="1115"/>
      <c r="BW230" s="1115"/>
      <c r="BX230" s="1115"/>
      <c r="BY230" s="1115"/>
      <c r="BZ230" s="1115"/>
      <c r="CA230" s="1115"/>
      <c r="CB230" s="1115"/>
      <c r="CC230" s="1115"/>
      <c r="CD230" s="1115"/>
      <c r="CE230" s="1115"/>
      <c r="CF230" s="1115"/>
      <c r="CG230" s="1115"/>
      <c r="CH230" s="1115"/>
      <c r="CI230" s="1115"/>
      <c r="CJ230" s="1115"/>
      <c r="CK230" s="1115"/>
      <c r="CL230" s="1115"/>
    </row>
    <row r="231" spans="1:90" ht="14.4">
      <c r="A231" s="963">
        <v>9779</v>
      </c>
      <c r="B231" s="963" t="s">
        <v>2904</v>
      </c>
      <c r="C231" s="965">
        <v>22868.43</v>
      </c>
      <c r="D231" s="963">
        <v>0</v>
      </c>
      <c r="E231" s="965">
        <v>43436.480000000003</v>
      </c>
      <c r="F231" s="963">
        <v>0</v>
      </c>
      <c r="G231" s="963">
        <v>0</v>
      </c>
      <c r="H231" s="965">
        <v>1098.1199999999999</v>
      </c>
      <c r="I231" s="963">
        <v>0</v>
      </c>
      <c r="J231" s="1233">
        <v>0</v>
      </c>
      <c r="K231" s="1233">
        <v>0</v>
      </c>
      <c r="L231" s="1115"/>
      <c r="M231" s="1115"/>
      <c r="N231" s="1115"/>
      <c r="O231" s="1115"/>
      <c r="P231" s="1115"/>
      <c r="Q231" s="1115"/>
      <c r="R231" s="1115"/>
      <c r="S231" s="1115"/>
      <c r="T231" s="1115"/>
      <c r="U231" s="1115"/>
      <c r="V231" s="1115"/>
      <c r="W231" s="1115"/>
      <c r="X231" s="1115"/>
      <c r="Y231" s="1115"/>
      <c r="Z231" s="1115"/>
      <c r="AA231" s="1115"/>
      <c r="AB231" s="1115"/>
      <c r="AC231" s="1115"/>
      <c r="AD231" s="1115"/>
      <c r="AE231" s="1115"/>
      <c r="AF231" s="1115"/>
      <c r="AG231" s="1115"/>
      <c r="AH231" s="1115"/>
      <c r="AI231" s="1115"/>
      <c r="AJ231" s="1115"/>
      <c r="AK231" s="1115"/>
      <c r="AL231" s="1115"/>
      <c r="AM231" s="1115"/>
      <c r="AN231" s="1115"/>
      <c r="AO231" s="1115"/>
      <c r="AP231" s="1115"/>
      <c r="AQ231" s="1115"/>
      <c r="AR231" s="1115"/>
      <c r="AS231" s="1115"/>
      <c r="AT231" s="1115"/>
      <c r="AU231" s="1115"/>
      <c r="AV231" s="1115"/>
      <c r="AW231" s="1115"/>
      <c r="AX231" s="1115"/>
      <c r="AY231" s="1115"/>
      <c r="AZ231" s="1115"/>
      <c r="BA231" s="1115"/>
      <c r="BB231" s="1115"/>
      <c r="BC231" s="1115"/>
      <c r="BD231" s="1115"/>
      <c r="BE231" s="1115"/>
      <c r="BF231" s="1115"/>
      <c r="BG231" s="1115"/>
      <c r="BH231" s="1115"/>
      <c r="BI231" s="1115"/>
      <c r="BJ231" s="1115"/>
      <c r="BK231" s="1115"/>
      <c r="BL231" s="1115"/>
      <c r="BM231" s="1115"/>
      <c r="BN231" s="1115"/>
      <c r="BO231" s="1115"/>
      <c r="BP231" s="1115"/>
      <c r="BQ231" s="1115"/>
      <c r="BR231" s="1115"/>
      <c r="BS231" s="1115"/>
      <c r="BT231" s="1115"/>
      <c r="BU231" s="1115"/>
      <c r="BV231" s="1115"/>
      <c r="BW231" s="1115"/>
      <c r="BX231" s="1115"/>
      <c r="BY231" s="1115"/>
      <c r="BZ231" s="1115"/>
      <c r="CA231" s="1115"/>
      <c r="CB231" s="1115"/>
      <c r="CC231" s="1115"/>
      <c r="CD231" s="1115"/>
      <c r="CE231" s="1115"/>
      <c r="CF231" s="1115"/>
      <c r="CG231" s="1115"/>
      <c r="CH231" s="1115"/>
      <c r="CI231" s="1115"/>
      <c r="CJ231" s="1115"/>
      <c r="CK231" s="1115"/>
      <c r="CL231" s="1115"/>
    </row>
    <row r="232" spans="1:90" ht="14.4">
      <c r="A232" s="963">
        <v>9780</v>
      </c>
      <c r="B232" s="963" t="s">
        <v>2905</v>
      </c>
      <c r="C232" s="963">
        <v>176</v>
      </c>
      <c r="D232" s="965">
        <v>5668.2</v>
      </c>
      <c r="E232" s="965">
        <v>7059.53</v>
      </c>
      <c r="F232" s="965">
        <v>44324.959999999999</v>
      </c>
      <c r="G232" s="965">
        <v>33175</v>
      </c>
      <c r="H232" s="965">
        <v>29659.15</v>
      </c>
      <c r="I232" s="965">
        <v>10000</v>
      </c>
      <c r="J232" s="1233">
        <v>19969.32</v>
      </c>
      <c r="K232" s="1233">
        <v>2109.09</v>
      </c>
      <c r="L232" s="1115"/>
      <c r="M232" s="1115"/>
      <c r="N232" s="1115"/>
      <c r="O232" s="1115"/>
      <c r="P232" s="1115"/>
      <c r="Q232" s="1115"/>
      <c r="R232" s="1115"/>
      <c r="S232" s="1115"/>
      <c r="T232" s="1115"/>
      <c r="U232" s="1115"/>
      <c r="V232" s="1115"/>
      <c r="W232" s="1115"/>
      <c r="X232" s="1115"/>
      <c r="Y232" s="1115"/>
      <c r="Z232" s="1115"/>
      <c r="AA232" s="1115"/>
      <c r="AB232" s="1115"/>
      <c r="AC232" s="1115"/>
      <c r="AD232" s="1115"/>
      <c r="AE232" s="1115"/>
      <c r="AF232" s="1115"/>
      <c r="AG232" s="1115"/>
      <c r="AH232" s="1115"/>
      <c r="AI232" s="1115"/>
      <c r="AJ232" s="1115"/>
      <c r="AK232" s="1115"/>
      <c r="AL232" s="1115"/>
      <c r="AM232" s="1115"/>
      <c r="AN232" s="1115"/>
      <c r="AO232" s="1115"/>
      <c r="AP232" s="1115"/>
      <c r="AQ232" s="1115"/>
      <c r="AR232" s="1115"/>
      <c r="AS232" s="1115"/>
      <c r="AT232" s="1115"/>
      <c r="AU232" s="1115"/>
      <c r="AV232" s="1115"/>
      <c r="AW232" s="1115"/>
      <c r="AX232" s="1115"/>
      <c r="AY232" s="1115"/>
      <c r="AZ232" s="1115"/>
      <c r="BA232" s="1115"/>
      <c r="BB232" s="1115"/>
      <c r="BC232" s="1115"/>
      <c r="BD232" s="1115"/>
      <c r="BE232" s="1115"/>
      <c r="BF232" s="1115"/>
      <c r="BG232" s="1115"/>
      <c r="BH232" s="1115"/>
      <c r="BI232" s="1115"/>
      <c r="BJ232" s="1115"/>
      <c r="BK232" s="1115"/>
      <c r="BL232" s="1115"/>
      <c r="BM232" s="1115"/>
      <c r="BN232" s="1115"/>
      <c r="BO232" s="1115"/>
      <c r="BP232" s="1115"/>
      <c r="BQ232" s="1115"/>
      <c r="BR232" s="1115"/>
      <c r="BS232" s="1115"/>
      <c r="BT232" s="1115"/>
      <c r="BU232" s="1115"/>
      <c r="BV232" s="1115"/>
      <c r="BW232" s="1115"/>
      <c r="BX232" s="1115"/>
      <c r="BY232" s="1115"/>
      <c r="BZ232" s="1115"/>
      <c r="CA232" s="1115"/>
      <c r="CB232" s="1115"/>
      <c r="CC232" s="1115"/>
      <c r="CD232" s="1115"/>
      <c r="CE232" s="1115"/>
      <c r="CF232" s="1115"/>
      <c r="CG232" s="1115"/>
      <c r="CH232" s="1115"/>
      <c r="CI232" s="1115"/>
      <c r="CJ232" s="1115"/>
      <c r="CK232" s="1115"/>
      <c r="CL232" s="1115"/>
    </row>
    <row r="233" spans="1:90" ht="14.4">
      <c r="A233" s="963">
        <v>9782</v>
      </c>
      <c r="B233" s="963" t="s">
        <v>2906</v>
      </c>
      <c r="C233" s="965">
        <v>8011.6</v>
      </c>
      <c r="D233" s="963">
        <v>0</v>
      </c>
      <c r="E233" s="963">
        <v>0</v>
      </c>
      <c r="F233" s="965">
        <v>12660</v>
      </c>
      <c r="G233" s="963">
        <v>549</v>
      </c>
      <c r="H233" s="963">
        <v>549</v>
      </c>
      <c r="I233" s="963">
        <v>867.98</v>
      </c>
      <c r="J233" s="1233">
        <v>6874.47</v>
      </c>
      <c r="K233" s="1233">
        <v>0</v>
      </c>
      <c r="L233" s="1115"/>
      <c r="M233" s="1115"/>
      <c r="N233" s="1115"/>
      <c r="O233" s="1115"/>
      <c r="P233" s="1115"/>
      <c r="Q233" s="1115"/>
      <c r="R233" s="1115"/>
      <c r="S233" s="1115"/>
      <c r="T233" s="1115"/>
      <c r="U233" s="1115"/>
      <c r="V233" s="1115"/>
      <c r="W233" s="1115"/>
      <c r="X233" s="1115"/>
      <c r="Y233" s="1115"/>
      <c r="Z233" s="1115"/>
      <c r="AA233" s="1115"/>
      <c r="AB233" s="1115"/>
      <c r="AC233" s="1115"/>
      <c r="AD233" s="1115"/>
      <c r="AE233" s="1115"/>
      <c r="AF233" s="1115"/>
      <c r="AG233" s="1115"/>
      <c r="AH233" s="1115"/>
      <c r="AI233" s="1115"/>
      <c r="AJ233" s="1115"/>
      <c r="AK233" s="1115"/>
      <c r="AL233" s="1115"/>
      <c r="AM233" s="1115"/>
      <c r="AN233" s="1115"/>
      <c r="AO233" s="1115"/>
      <c r="AP233" s="1115"/>
      <c r="AQ233" s="1115"/>
      <c r="AR233" s="1115"/>
      <c r="AS233" s="1115"/>
      <c r="AT233" s="1115"/>
      <c r="AU233" s="1115"/>
      <c r="AV233" s="1115"/>
      <c r="AW233" s="1115"/>
      <c r="AX233" s="1115"/>
      <c r="AY233" s="1115"/>
      <c r="AZ233" s="1115"/>
      <c r="BA233" s="1115"/>
      <c r="BB233" s="1115"/>
      <c r="BC233" s="1115"/>
      <c r="BD233" s="1115"/>
      <c r="BE233" s="1115"/>
      <c r="BF233" s="1115"/>
      <c r="BG233" s="1115"/>
      <c r="BH233" s="1115"/>
      <c r="BI233" s="1115"/>
      <c r="BJ233" s="1115"/>
      <c r="BK233" s="1115"/>
      <c r="BL233" s="1115"/>
      <c r="BM233" s="1115"/>
      <c r="BN233" s="1115"/>
      <c r="BO233" s="1115"/>
      <c r="BP233" s="1115"/>
      <c r="BQ233" s="1115"/>
      <c r="BR233" s="1115"/>
      <c r="BS233" s="1115"/>
      <c r="BT233" s="1115"/>
      <c r="BU233" s="1115"/>
      <c r="BV233" s="1115"/>
      <c r="BW233" s="1115"/>
      <c r="BX233" s="1115"/>
      <c r="BY233" s="1115"/>
      <c r="BZ233" s="1115"/>
      <c r="CA233" s="1115"/>
      <c r="CB233" s="1115"/>
      <c r="CC233" s="1115"/>
      <c r="CD233" s="1115"/>
      <c r="CE233" s="1115"/>
      <c r="CF233" s="1115"/>
      <c r="CG233" s="1115"/>
      <c r="CH233" s="1115"/>
      <c r="CI233" s="1115"/>
      <c r="CJ233" s="1115"/>
      <c r="CK233" s="1115"/>
      <c r="CL233" s="1115"/>
    </row>
    <row r="234" spans="1:90" ht="14.4">
      <c r="A234" s="963">
        <v>9784</v>
      </c>
      <c r="B234" s="963" t="s">
        <v>2907</v>
      </c>
      <c r="C234" s="965">
        <v>12602.35</v>
      </c>
      <c r="D234" s="965">
        <v>12873.43</v>
      </c>
      <c r="E234" s="965">
        <v>12065.44</v>
      </c>
      <c r="F234" s="965">
        <v>12860.19</v>
      </c>
      <c r="G234" s="965">
        <v>10297.76</v>
      </c>
      <c r="H234" s="965">
        <v>9949.43</v>
      </c>
      <c r="I234" s="965">
        <v>11414.94</v>
      </c>
      <c r="J234" s="1233">
        <v>11160.06</v>
      </c>
      <c r="K234" s="1233">
        <v>-11160.06</v>
      </c>
      <c r="L234" s="1115"/>
      <c r="M234" s="1115"/>
      <c r="N234" s="1115"/>
      <c r="O234" s="1115"/>
      <c r="P234" s="1115"/>
      <c r="Q234" s="1115"/>
      <c r="R234" s="1115"/>
      <c r="S234" s="1115"/>
      <c r="T234" s="1115"/>
      <c r="U234" s="1115"/>
      <c r="V234" s="1115"/>
      <c r="W234" s="1115"/>
      <c r="X234" s="1115"/>
      <c r="Y234" s="1115"/>
      <c r="Z234" s="1115"/>
      <c r="AA234" s="1115"/>
      <c r="AB234" s="1115"/>
      <c r="AC234" s="1115"/>
      <c r="AD234" s="1115"/>
      <c r="AE234" s="1115"/>
      <c r="AF234" s="1115"/>
      <c r="AG234" s="1115"/>
      <c r="AH234" s="1115"/>
      <c r="AI234" s="1115"/>
      <c r="AJ234" s="1115"/>
      <c r="AK234" s="1115"/>
      <c r="AL234" s="1115"/>
      <c r="AM234" s="1115"/>
      <c r="AN234" s="1115"/>
      <c r="AO234" s="1115"/>
      <c r="AP234" s="1115"/>
      <c r="AQ234" s="1115"/>
      <c r="AR234" s="1115"/>
      <c r="AS234" s="1115"/>
      <c r="AT234" s="1115"/>
      <c r="AU234" s="1115"/>
      <c r="AV234" s="1115"/>
      <c r="AW234" s="1115"/>
      <c r="AX234" s="1115"/>
      <c r="AY234" s="1115"/>
      <c r="AZ234" s="1115"/>
      <c r="BA234" s="1115"/>
      <c r="BB234" s="1115"/>
      <c r="BC234" s="1115"/>
      <c r="BD234" s="1115"/>
      <c r="BE234" s="1115"/>
      <c r="BF234" s="1115"/>
      <c r="BG234" s="1115"/>
      <c r="BH234" s="1115"/>
      <c r="BI234" s="1115"/>
      <c r="BJ234" s="1115"/>
      <c r="BK234" s="1115"/>
      <c r="BL234" s="1115"/>
      <c r="BM234" s="1115"/>
      <c r="BN234" s="1115"/>
      <c r="BO234" s="1115"/>
      <c r="BP234" s="1115"/>
      <c r="BQ234" s="1115"/>
      <c r="BR234" s="1115"/>
      <c r="BS234" s="1115"/>
      <c r="BT234" s="1115"/>
      <c r="BU234" s="1115"/>
      <c r="BV234" s="1115"/>
      <c r="BW234" s="1115"/>
      <c r="BX234" s="1115"/>
      <c r="BY234" s="1115"/>
      <c r="BZ234" s="1115"/>
      <c r="CA234" s="1115"/>
      <c r="CB234" s="1115"/>
      <c r="CC234" s="1115"/>
      <c r="CD234" s="1115"/>
      <c r="CE234" s="1115"/>
      <c r="CF234" s="1115"/>
      <c r="CG234" s="1115"/>
      <c r="CH234" s="1115"/>
      <c r="CI234" s="1115"/>
      <c r="CJ234" s="1115"/>
      <c r="CK234" s="1115"/>
      <c r="CL234" s="1115"/>
    </row>
    <row r="235" spans="1:90" ht="14.4">
      <c r="A235" s="963">
        <v>9790</v>
      </c>
      <c r="B235" s="963" t="s">
        <v>2908</v>
      </c>
      <c r="C235" s="965">
        <v>169856.09</v>
      </c>
      <c r="D235" s="965">
        <v>169856.09</v>
      </c>
      <c r="E235" s="965">
        <v>169856.09</v>
      </c>
      <c r="F235" s="965">
        <v>169856.09</v>
      </c>
      <c r="G235" s="965">
        <v>169856.09</v>
      </c>
      <c r="H235" s="965">
        <v>169856.09</v>
      </c>
      <c r="I235" s="965">
        <v>169856.09</v>
      </c>
      <c r="J235" s="1233">
        <v>169856.09</v>
      </c>
      <c r="K235" s="1233">
        <v>169856.09</v>
      </c>
      <c r="L235" s="1115"/>
      <c r="M235" s="1115"/>
      <c r="N235" s="1115"/>
      <c r="O235" s="1115"/>
      <c r="P235" s="1115"/>
      <c r="Q235" s="1115"/>
      <c r="R235" s="1115"/>
      <c r="S235" s="1115"/>
      <c r="T235" s="1115"/>
      <c r="U235" s="1115"/>
      <c r="V235" s="1115"/>
      <c r="W235" s="1115"/>
      <c r="X235" s="1115"/>
      <c r="Y235" s="1115"/>
      <c r="Z235" s="1115"/>
      <c r="AA235" s="1115"/>
      <c r="AB235" s="1115"/>
      <c r="AC235" s="1115"/>
      <c r="AD235" s="1115"/>
      <c r="AE235" s="1115"/>
      <c r="AF235" s="1115"/>
      <c r="AG235" s="1115"/>
      <c r="AH235" s="1115"/>
      <c r="AI235" s="1115"/>
      <c r="AJ235" s="1115"/>
      <c r="AK235" s="1115"/>
      <c r="AL235" s="1115"/>
      <c r="AM235" s="1115"/>
      <c r="AN235" s="1115"/>
      <c r="AO235" s="1115"/>
      <c r="AP235" s="1115"/>
      <c r="AQ235" s="1115"/>
      <c r="AR235" s="1115"/>
      <c r="AS235" s="1115"/>
      <c r="AT235" s="1115"/>
      <c r="AU235" s="1115"/>
      <c r="AV235" s="1115"/>
      <c r="AW235" s="1115"/>
      <c r="AX235" s="1115"/>
      <c r="AY235" s="1115"/>
      <c r="AZ235" s="1115"/>
      <c r="BA235" s="1115"/>
      <c r="BB235" s="1115"/>
      <c r="BC235" s="1115"/>
      <c r="BD235" s="1115"/>
      <c r="BE235" s="1115"/>
      <c r="BF235" s="1115"/>
      <c r="BG235" s="1115"/>
      <c r="BH235" s="1115"/>
      <c r="BI235" s="1115"/>
      <c r="BJ235" s="1115"/>
      <c r="BK235" s="1115"/>
      <c r="BL235" s="1115"/>
      <c r="BM235" s="1115"/>
      <c r="BN235" s="1115"/>
      <c r="BO235" s="1115"/>
      <c r="BP235" s="1115"/>
      <c r="BQ235" s="1115"/>
      <c r="BR235" s="1115"/>
      <c r="BS235" s="1115"/>
      <c r="BT235" s="1115"/>
      <c r="BU235" s="1115"/>
      <c r="BV235" s="1115"/>
      <c r="BW235" s="1115"/>
      <c r="BX235" s="1115"/>
      <c r="BY235" s="1115"/>
      <c r="BZ235" s="1115"/>
      <c r="CA235" s="1115"/>
      <c r="CB235" s="1115"/>
      <c r="CC235" s="1115"/>
      <c r="CD235" s="1115"/>
      <c r="CE235" s="1115"/>
      <c r="CF235" s="1115"/>
      <c r="CG235" s="1115"/>
      <c r="CH235" s="1115"/>
      <c r="CI235" s="1115"/>
      <c r="CJ235" s="1115"/>
      <c r="CK235" s="1115"/>
      <c r="CL235" s="1115"/>
    </row>
    <row r="236" spans="1:90" ht="14.4">
      <c r="A236" s="963">
        <v>9798</v>
      </c>
      <c r="B236" s="963" t="s">
        <v>2909</v>
      </c>
      <c r="C236" s="963">
        <v>0</v>
      </c>
      <c r="D236" s="963">
        <v>0</v>
      </c>
      <c r="E236" s="963">
        <v>0</v>
      </c>
      <c r="F236" s="963">
        <v>0</v>
      </c>
      <c r="G236" s="963">
        <v>0</v>
      </c>
      <c r="H236" s="965">
        <v>-212813.1</v>
      </c>
      <c r="I236" s="963">
        <v>0</v>
      </c>
      <c r="J236" s="1233">
        <v>0</v>
      </c>
      <c r="K236" s="1233">
        <v>0</v>
      </c>
      <c r="L236" s="1115"/>
      <c r="M236" s="1115"/>
      <c r="N236" s="1115"/>
      <c r="O236" s="1115"/>
      <c r="P236" s="1115"/>
      <c r="Q236" s="1115"/>
      <c r="R236" s="1115"/>
      <c r="S236" s="1115"/>
      <c r="T236" s="1115"/>
      <c r="U236" s="1115"/>
      <c r="V236" s="1115"/>
      <c r="W236" s="1115"/>
      <c r="X236" s="1115"/>
      <c r="Y236" s="1115"/>
      <c r="Z236" s="1115"/>
      <c r="AA236" s="1115"/>
      <c r="AB236" s="1115"/>
      <c r="AC236" s="1115"/>
      <c r="AD236" s="1115"/>
      <c r="AE236" s="1115"/>
      <c r="AF236" s="1115"/>
      <c r="AG236" s="1115"/>
      <c r="AH236" s="1115"/>
      <c r="AI236" s="1115"/>
      <c r="AJ236" s="1115"/>
      <c r="AK236" s="1115"/>
      <c r="AL236" s="1115"/>
      <c r="AM236" s="1115"/>
      <c r="AN236" s="1115"/>
      <c r="AO236" s="1115"/>
      <c r="AP236" s="1115"/>
      <c r="AQ236" s="1115"/>
      <c r="AR236" s="1115"/>
      <c r="AS236" s="1115"/>
      <c r="AT236" s="1115"/>
      <c r="AU236" s="1115"/>
      <c r="AV236" s="1115"/>
      <c r="AW236" s="1115"/>
      <c r="AX236" s="1115"/>
      <c r="AY236" s="1115"/>
      <c r="AZ236" s="1115"/>
      <c r="BA236" s="1115"/>
      <c r="BB236" s="1115"/>
      <c r="BC236" s="1115"/>
      <c r="BD236" s="1115"/>
      <c r="BE236" s="1115"/>
      <c r="BF236" s="1115"/>
      <c r="BG236" s="1115"/>
      <c r="BH236" s="1115"/>
      <c r="BI236" s="1115"/>
      <c r="BJ236" s="1115"/>
      <c r="BK236" s="1115"/>
      <c r="BL236" s="1115"/>
      <c r="BM236" s="1115"/>
      <c r="BN236" s="1115"/>
      <c r="BO236" s="1115"/>
      <c r="BP236" s="1115"/>
      <c r="BQ236" s="1115"/>
      <c r="BR236" s="1115"/>
      <c r="BS236" s="1115"/>
      <c r="BT236" s="1115"/>
      <c r="BU236" s="1115"/>
      <c r="BV236" s="1115"/>
      <c r="BW236" s="1115"/>
      <c r="BX236" s="1115"/>
      <c r="BY236" s="1115"/>
      <c r="BZ236" s="1115"/>
      <c r="CA236" s="1115"/>
      <c r="CB236" s="1115"/>
      <c r="CC236" s="1115"/>
      <c r="CD236" s="1115"/>
      <c r="CE236" s="1115"/>
      <c r="CF236" s="1115"/>
      <c r="CG236" s="1115"/>
      <c r="CH236" s="1115"/>
      <c r="CI236" s="1115"/>
      <c r="CJ236" s="1115"/>
      <c r="CK236" s="1115"/>
      <c r="CL236" s="1115"/>
    </row>
    <row r="237" spans="1:90" ht="14.4">
      <c r="A237" s="1115"/>
      <c r="B237" s="1116" t="s">
        <v>2901</v>
      </c>
      <c r="C237" s="1134">
        <v>213357.13</v>
      </c>
      <c r="D237" s="1134">
        <v>188397.72</v>
      </c>
      <c r="E237" s="1134">
        <v>234417.54</v>
      </c>
      <c r="F237" s="1134">
        <v>241701.24</v>
      </c>
      <c r="G237" s="1134">
        <v>215877.85</v>
      </c>
      <c r="H237" s="1134">
        <v>4298.6899999999996</v>
      </c>
      <c r="I237" s="1134">
        <v>198139.01</v>
      </c>
      <c r="J237" s="1234">
        <v>212359.94</v>
      </c>
      <c r="K237" s="1234">
        <v>160805.12</v>
      </c>
      <c r="L237" s="1115"/>
      <c r="M237" s="1115"/>
      <c r="N237" s="1115"/>
      <c r="O237" s="1115"/>
      <c r="P237" s="1115"/>
      <c r="Q237" s="1115"/>
      <c r="R237" s="1115"/>
      <c r="S237" s="1115"/>
      <c r="T237" s="1115"/>
      <c r="U237" s="1115"/>
      <c r="V237" s="1115"/>
      <c r="W237" s="1115"/>
      <c r="X237" s="1115"/>
      <c r="Y237" s="1115"/>
      <c r="Z237" s="1115"/>
      <c r="AA237" s="1115"/>
      <c r="AB237" s="1115"/>
      <c r="AC237" s="1115"/>
      <c r="AD237" s="1115"/>
      <c r="AE237" s="1115"/>
      <c r="AF237" s="1115"/>
      <c r="AG237" s="1115"/>
      <c r="AH237" s="1115"/>
      <c r="AI237" s="1115"/>
      <c r="AJ237" s="1115"/>
      <c r="AK237" s="1115"/>
      <c r="AL237" s="1115"/>
      <c r="AM237" s="1115"/>
      <c r="AN237" s="1115"/>
      <c r="AO237" s="1115"/>
      <c r="AP237" s="1115"/>
      <c r="AQ237" s="1115"/>
      <c r="AR237" s="1115"/>
      <c r="AS237" s="1115"/>
      <c r="AT237" s="1115"/>
      <c r="AU237" s="1115"/>
      <c r="AV237" s="1115"/>
      <c r="AW237" s="1115"/>
      <c r="AX237" s="1115"/>
      <c r="AY237" s="1115"/>
      <c r="AZ237" s="1115"/>
      <c r="BA237" s="1115"/>
      <c r="BB237" s="1115"/>
      <c r="BC237" s="1115"/>
      <c r="BD237" s="1115"/>
      <c r="BE237" s="1115"/>
      <c r="BF237" s="1115"/>
      <c r="BG237" s="1115"/>
      <c r="BH237" s="1115"/>
      <c r="BI237" s="1115"/>
      <c r="BJ237" s="1115"/>
      <c r="BK237" s="1115"/>
      <c r="BL237" s="1115"/>
      <c r="BM237" s="1115"/>
      <c r="BN237" s="1115"/>
      <c r="BO237" s="1115"/>
      <c r="BP237" s="1115"/>
      <c r="BQ237" s="1115"/>
      <c r="BR237" s="1115"/>
      <c r="BS237" s="1115"/>
      <c r="BT237" s="1115"/>
      <c r="BU237" s="1115"/>
      <c r="BV237" s="1115"/>
      <c r="BW237" s="1115"/>
      <c r="BX237" s="1115"/>
      <c r="BY237" s="1115"/>
      <c r="BZ237" s="1115"/>
      <c r="CA237" s="1115"/>
      <c r="CB237" s="1115"/>
      <c r="CC237" s="1115"/>
      <c r="CD237" s="1115"/>
      <c r="CE237" s="1115"/>
      <c r="CF237" s="1115"/>
      <c r="CG237" s="1115"/>
      <c r="CH237" s="1115"/>
      <c r="CI237" s="1115"/>
      <c r="CJ237" s="1115"/>
      <c r="CK237" s="1115"/>
      <c r="CL237" s="1115"/>
    </row>
    <row r="238" spans="1:90" ht="14.4">
      <c r="A238" s="1115"/>
      <c r="B238" s="1115"/>
      <c r="C238" s="1115"/>
      <c r="D238" s="1115"/>
      <c r="E238" s="1115"/>
      <c r="F238" s="1115"/>
      <c r="G238" s="1115"/>
      <c r="H238" s="1115"/>
      <c r="I238" s="1115"/>
      <c r="L238" s="1115"/>
      <c r="M238" s="1115"/>
      <c r="N238" s="1115"/>
      <c r="O238" s="1115"/>
      <c r="P238" s="1115"/>
      <c r="Q238" s="1115"/>
      <c r="R238" s="1115"/>
      <c r="S238" s="1115"/>
      <c r="T238" s="1115"/>
      <c r="U238" s="1115"/>
      <c r="V238" s="1115"/>
      <c r="W238" s="1115"/>
      <c r="X238" s="1115"/>
      <c r="Y238" s="1115"/>
      <c r="Z238" s="1115"/>
      <c r="AA238" s="1115"/>
      <c r="AB238" s="1115"/>
      <c r="AC238" s="1115"/>
      <c r="AD238" s="1115"/>
      <c r="AE238" s="1115"/>
      <c r="AF238" s="1115"/>
      <c r="AG238" s="1115"/>
      <c r="AH238" s="1115"/>
      <c r="AI238" s="1115"/>
      <c r="AJ238" s="1115"/>
      <c r="AK238" s="1115"/>
      <c r="AL238" s="1115"/>
      <c r="AM238" s="1115"/>
      <c r="AN238" s="1115"/>
      <c r="AO238" s="1115"/>
      <c r="AP238" s="1115"/>
      <c r="AQ238" s="1115"/>
      <c r="AR238" s="1115"/>
      <c r="AS238" s="1115"/>
      <c r="AT238" s="1115"/>
      <c r="AU238" s="1115"/>
      <c r="AV238" s="1115"/>
      <c r="AW238" s="1115"/>
      <c r="AX238" s="1115"/>
      <c r="AY238" s="1115"/>
      <c r="AZ238" s="1115"/>
      <c r="BA238" s="1115"/>
      <c r="BB238" s="1115"/>
      <c r="BC238" s="1115"/>
      <c r="BD238" s="1115"/>
      <c r="BE238" s="1115"/>
      <c r="BF238" s="1115"/>
      <c r="BG238" s="1115"/>
      <c r="BH238" s="1115"/>
      <c r="BI238" s="1115"/>
      <c r="BJ238" s="1115"/>
      <c r="BK238" s="1115"/>
      <c r="BL238" s="1115"/>
      <c r="BM238" s="1115"/>
      <c r="BN238" s="1115"/>
      <c r="BO238" s="1115"/>
      <c r="BP238" s="1115"/>
      <c r="BQ238" s="1115"/>
      <c r="BR238" s="1115"/>
      <c r="BS238" s="1115"/>
      <c r="BT238" s="1115"/>
      <c r="BU238" s="1115"/>
      <c r="BV238" s="1115"/>
      <c r="BW238" s="1115"/>
      <c r="BX238" s="1115"/>
      <c r="BY238" s="1115"/>
      <c r="BZ238" s="1115"/>
      <c r="CA238" s="1115"/>
      <c r="CB238" s="1115"/>
      <c r="CC238" s="1115"/>
      <c r="CD238" s="1115"/>
      <c r="CE238" s="1115"/>
      <c r="CF238" s="1115"/>
      <c r="CG238" s="1115"/>
      <c r="CH238" s="1115"/>
      <c r="CI238" s="1115"/>
      <c r="CJ238" s="1115"/>
      <c r="CK238" s="1115"/>
      <c r="CL238" s="1115"/>
    </row>
    <row r="239" spans="1:90" ht="14.4">
      <c r="A239" s="1115"/>
      <c r="B239" s="1116" t="s">
        <v>2869</v>
      </c>
      <c r="C239" s="1134">
        <v>441631.09</v>
      </c>
      <c r="D239" s="1134">
        <v>518695.06</v>
      </c>
      <c r="E239" s="1134">
        <v>534166.43999999994</v>
      </c>
      <c r="F239" s="1134">
        <v>573790.02</v>
      </c>
      <c r="G239" s="1134">
        <v>537416.62</v>
      </c>
      <c r="H239" s="1134">
        <v>337395.16</v>
      </c>
      <c r="I239" s="1134">
        <v>522061.56</v>
      </c>
      <c r="J239" s="1234">
        <v>635030.93000000005</v>
      </c>
      <c r="K239" s="1234">
        <v>149817.32999999999</v>
      </c>
      <c r="L239" s="1115"/>
      <c r="M239" s="1115"/>
      <c r="N239" s="1115"/>
      <c r="O239" s="1115"/>
      <c r="P239" s="1115"/>
      <c r="Q239" s="1115"/>
      <c r="R239" s="1115"/>
      <c r="S239" s="1115"/>
      <c r="T239" s="1115"/>
      <c r="U239" s="1115"/>
      <c r="V239" s="1115"/>
      <c r="W239" s="1115"/>
      <c r="X239" s="1115"/>
      <c r="Y239" s="1115"/>
      <c r="Z239" s="1115"/>
      <c r="AA239" s="1115"/>
      <c r="AB239" s="1115"/>
      <c r="AC239" s="1115"/>
      <c r="AD239" s="1115"/>
      <c r="AE239" s="1115"/>
      <c r="AF239" s="1115"/>
      <c r="AG239" s="1115"/>
      <c r="AH239" s="1115"/>
      <c r="AI239" s="1115"/>
      <c r="AJ239" s="1115"/>
      <c r="AK239" s="1115"/>
      <c r="AL239" s="1115"/>
      <c r="AM239" s="1115"/>
      <c r="AN239" s="1115"/>
      <c r="AO239" s="1115"/>
      <c r="AP239" s="1115"/>
      <c r="AQ239" s="1115"/>
      <c r="AR239" s="1115"/>
      <c r="AS239" s="1115"/>
      <c r="AT239" s="1115"/>
      <c r="AU239" s="1115"/>
      <c r="AV239" s="1115"/>
      <c r="AW239" s="1115"/>
      <c r="AX239" s="1115"/>
      <c r="AY239" s="1115"/>
      <c r="AZ239" s="1115"/>
      <c r="BA239" s="1115"/>
      <c r="BB239" s="1115"/>
      <c r="BC239" s="1115"/>
      <c r="BD239" s="1115"/>
      <c r="BE239" s="1115"/>
      <c r="BF239" s="1115"/>
      <c r="BG239" s="1115"/>
      <c r="BH239" s="1115"/>
      <c r="BI239" s="1115"/>
      <c r="BJ239" s="1115"/>
      <c r="BK239" s="1115"/>
      <c r="BL239" s="1115"/>
      <c r="BM239" s="1115"/>
      <c r="BN239" s="1115"/>
      <c r="BO239" s="1115"/>
      <c r="BP239" s="1115"/>
      <c r="BQ239" s="1115"/>
      <c r="BR239" s="1115"/>
      <c r="BS239" s="1115"/>
      <c r="BT239" s="1115"/>
      <c r="BU239" s="1115"/>
      <c r="BV239" s="1115"/>
      <c r="BW239" s="1115"/>
      <c r="BX239" s="1115"/>
      <c r="BY239" s="1115"/>
      <c r="BZ239" s="1115"/>
      <c r="CA239" s="1115"/>
      <c r="CB239" s="1115"/>
      <c r="CC239" s="1115"/>
      <c r="CD239" s="1115"/>
      <c r="CE239" s="1115"/>
      <c r="CF239" s="1115"/>
      <c r="CG239" s="1115"/>
      <c r="CH239" s="1115"/>
      <c r="CI239" s="1115"/>
      <c r="CJ239" s="1115"/>
      <c r="CK239" s="1115"/>
      <c r="CL239" s="1115"/>
    </row>
    <row r="240" spans="1:90" ht="14.4">
      <c r="A240" s="1115"/>
      <c r="B240" s="1115"/>
      <c r="C240" s="1115"/>
      <c r="D240" s="1115"/>
      <c r="E240" s="1115"/>
      <c r="F240" s="1115"/>
      <c r="G240" s="1115"/>
      <c r="H240" s="1115"/>
      <c r="I240" s="1115"/>
      <c r="L240" s="1115"/>
      <c r="M240" s="1115"/>
      <c r="N240" s="1115"/>
      <c r="O240" s="1115"/>
      <c r="P240" s="1115"/>
      <c r="Q240" s="1115"/>
      <c r="R240" s="1115"/>
      <c r="S240" s="1115"/>
      <c r="T240" s="1115"/>
      <c r="U240" s="1115"/>
      <c r="V240" s="1115"/>
      <c r="W240" s="1115"/>
      <c r="X240" s="1115"/>
      <c r="Y240" s="1115"/>
      <c r="Z240" s="1115"/>
      <c r="AA240" s="1115"/>
      <c r="AB240" s="1115"/>
      <c r="AC240" s="1115"/>
      <c r="AD240" s="1115"/>
      <c r="AE240" s="1115"/>
      <c r="AF240" s="1115"/>
      <c r="AG240" s="1115"/>
      <c r="AH240" s="1115"/>
      <c r="AI240" s="1115"/>
      <c r="AJ240" s="1115"/>
      <c r="AK240" s="1115"/>
      <c r="AL240" s="1115"/>
      <c r="AM240" s="1115"/>
      <c r="AN240" s="1115"/>
      <c r="AO240" s="1115"/>
      <c r="AP240" s="1115"/>
      <c r="AQ240" s="1115"/>
      <c r="AR240" s="1115"/>
      <c r="AS240" s="1115"/>
      <c r="AT240" s="1115"/>
      <c r="AU240" s="1115"/>
      <c r="AV240" s="1115"/>
      <c r="AW240" s="1115"/>
      <c r="AX240" s="1115"/>
      <c r="AY240" s="1115"/>
      <c r="AZ240" s="1115"/>
      <c r="BA240" s="1115"/>
      <c r="BB240" s="1115"/>
      <c r="BC240" s="1115"/>
      <c r="BD240" s="1115"/>
      <c r="BE240" s="1115"/>
      <c r="BF240" s="1115"/>
      <c r="BG240" s="1115"/>
      <c r="BH240" s="1115"/>
      <c r="BI240" s="1115"/>
      <c r="BJ240" s="1115"/>
      <c r="BK240" s="1115"/>
      <c r="BL240" s="1115"/>
      <c r="BM240" s="1115"/>
      <c r="BN240" s="1115"/>
      <c r="BO240" s="1115"/>
      <c r="BP240" s="1115"/>
      <c r="BQ240" s="1115"/>
      <c r="BR240" s="1115"/>
      <c r="BS240" s="1115"/>
      <c r="BT240" s="1115"/>
      <c r="BU240" s="1115"/>
      <c r="BV240" s="1115"/>
      <c r="BW240" s="1115"/>
      <c r="BX240" s="1115"/>
      <c r="BY240" s="1115"/>
      <c r="BZ240" s="1115"/>
      <c r="CA240" s="1115"/>
      <c r="CB240" s="1115"/>
      <c r="CC240" s="1115"/>
      <c r="CD240" s="1115"/>
      <c r="CE240" s="1115"/>
      <c r="CF240" s="1115"/>
      <c r="CG240" s="1115"/>
      <c r="CH240" s="1115"/>
      <c r="CI240" s="1115"/>
      <c r="CJ240" s="1115"/>
      <c r="CK240" s="1115"/>
      <c r="CL240" s="1115"/>
    </row>
    <row r="241" spans="1:90" s="30" customFormat="1" ht="14.4">
      <c r="A241" s="1115"/>
      <c r="B241" s="1116" t="s">
        <v>2910</v>
      </c>
      <c r="C241" s="1134">
        <v>82408.81</v>
      </c>
      <c r="D241" s="1134">
        <v>-252791.99</v>
      </c>
      <c r="E241" s="1134">
        <v>-390212.2</v>
      </c>
      <c r="F241" s="1134">
        <v>-476067.71</v>
      </c>
      <c r="G241" s="1134">
        <v>-523824.1</v>
      </c>
      <c r="H241" s="1134">
        <v>-306404.32</v>
      </c>
      <c r="I241" s="1208">
        <v>-415496.44</v>
      </c>
      <c r="J241" s="1238">
        <v>-622386.89999999979</v>
      </c>
      <c r="K241" s="1238">
        <v>510213.91000000003</v>
      </c>
      <c r="L241" s="1115"/>
      <c r="M241" s="1115"/>
      <c r="N241" s="1115"/>
      <c r="O241" s="1115"/>
      <c r="P241" s="1115"/>
      <c r="Q241" s="1115"/>
      <c r="R241" s="1115"/>
      <c r="S241" s="1115"/>
      <c r="T241" s="1115"/>
      <c r="U241" s="1115"/>
      <c r="V241" s="1115"/>
      <c r="W241" s="1115"/>
      <c r="X241" s="1115"/>
      <c r="Y241" s="1115"/>
      <c r="Z241" s="1115"/>
      <c r="AA241" s="1115"/>
      <c r="AB241" s="1115"/>
      <c r="AC241" s="1115"/>
      <c r="AD241" s="1115"/>
      <c r="AE241" s="1115"/>
      <c r="AF241" s="1115"/>
      <c r="AG241" s="1115"/>
      <c r="AH241" s="1115"/>
      <c r="AI241" s="1115"/>
      <c r="AJ241" s="1115"/>
      <c r="AK241" s="1115"/>
      <c r="AL241" s="1115"/>
      <c r="AM241" s="1115"/>
      <c r="AN241" s="1115"/>
      <c r="AO241" s="1115"/>
      <c r="AP241" s="1115"/>
      <c r="AQ241" s="1115"/>
      <c r="AR241" s="1115"/>
      <c r="AS241" s="1115"/>
      <c r="AT241" s="1115"/>
      <c r="AU241" s="1115"/>
      <c r="AV241" s="1115"/>
      <c r="AW241" s="1115"/>
      <c r="AX241" s="1115"/>
      <c r="AY241" s="1115"/>
      <c r="AZ241" s="1115"/>
      <c r="BA241" s="1115"/>
      <c r="BB241" s="1115"/>
      <c r="BC241" s="1115"/>
      <c r="BD241" s="1115"/>
      <c r="BE241" s="1115"/>
      <c r="BF241" s="1115"/>
      <c r="BG241" s="1115"/>
      <c r="BH241" s="1115"/>
      <c r="BI241" s="1115"/>
      <c r="BJ241" s="1115"/>
      <c r="BK241" s="1115"/>
      <c r="BL241" s="1115"/>
      <c r="BM241" s="1115"/>
      <c r="BN241" s="1115"/>
      <c r="BO241" s="1115"/>
      <c r="BP241" s="1115"/>
      <c r="BQ241" s="1115"/>
      <c r="BR241" s="1115"/>
      <c r="BS241" s="1115"/>
      <c r="BT241" s="1115"/>
      <c r="BU241" s="1115"/>
      <c r="BV241" s="1115"/>
      <c r="BW241" s="1115"/>
      <c r="BX241" s="1115"/>
      <c r="BY241" s="1115"/>
      <c r="BZ241" s="1115"/>
      <c r="CA241" s="1115"/>
      <c r="CB241" s="1115"/>
      <c r="CC241" s="1115"/>
      <c r="CD241" s="1115"/>
      <c r="CE241" s="1115"/>
      <c r="CF241" s="1115"/>
      <c r="CG241" s="1115"/>
      <c r="CH241" s="1115"/>
      <c r="CI241" s="1115"/>
      <c r="CJ241" s="1115"/>
      <c r="CK241" s="1115"/>
      <c r="CL241" s="1115"/>
    </row>
    <row r="242" spans="1:90" s="30" customFormat="1" ht="14.4">
      <c r="A242" s="1115"/>
      <c r="B242" s="1116"/>
      <c r="C242" s="1135"/>
      <c r="D242" s="1135"/>
      <c r="E242" s="1135"/>
      <c r="F242" s="1135"/>
      <c r="G242" s="1135"/>
      <c r="H242" s="1135"/>
      <c r="I242" s="1135"/>
      <c r="J242" s="1115"/>
      <c r="K242" s="1115"/>
    </row>
    <row r="243" spans="1:90" s="30" customFormat="1" ht="14.4">
      <c r="A243" s="1115"/>
      <c r="B243" s="1115"/>
      <c r="C243" s="1115"/>
      <c r="D243" s="1115"/>
      <c r="E243" s="1115"/>
      <c r="F243" s="1115"/>
      <c r="G243" s="1115"/>
      <c r="H243" s="1115"/>
      <c r="I243" s="1115"/>
      <c r="J243" s="1115"/>
      <c r="K243" s="1115"/>
    </row>
    <row r="244" spans="1:90" s="30" customFormat="1" ht="14.4">
      <c r="A244" s="1115"/>
      <c r="B244" s="1116"/>
      <c r="C244" s="1135"/>
      <c r="D244" s="1135"/>
      <c r="E244" s="1135"/>
      <c r="F244" s="1135"/>
      <c r="G244" s="1135"/>
      <c r="H244" s="1135"/>
      <c r="I244" s="1135"/>
      <c r="J244" s="1135"/>
      <c r="K244" s="1135"/>
    </row>
    <row r="245" spans="1:90" s="30" customFormat="1" ht="14.4"/>
    <row r="246" spans="1:90" s="30" customFormat="1" ht="14.4"/>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7029-494B-4D61-B3C8-B5498F5E20E7}">
  <sheetPr codeName="Sheet17">
    <tabColor theme="4" tint="0.59999389629810485"/>
  </sheetPr>
  <dimension ref="A1:AA109"/>
  <sheetViews>
    <sheetView topLeftCell="A95" workbookViewId="0">
      <selection activeCell="G113" sqref="G113"/>
    </sheetView>
  </sheetViews>
  <sheetFormatPr defaultRowHeight="14.4"/>
  <cols>
    <col min="6" max="6" width="21" bestFit="1" customWidth="1"/>
  </cols>
  <sheetData>
    <row r="1" spans="1:27">
      <c r="A1" t="s">
        <v>2911</v>
      </c>
      <c r="B1" t="s">
        <v>2231</v>
      </c>
      <c r="C1" t="s">
        <v>1760</v>
      </c>
      <c r="D1" t="s">
        <v>2912</v>
      </c>
      <c r="E1" t="s">
        <v>2913</v>
      </c>
      <c r="F1" t="s">
        <v>2914</v>
      </c>
      <c r="G1" t="s">
        <v>2915</v>
      </c>
      <c r="H1" t="s">
        <v>2916</v>
      </c>
      <c r="I1" t="s">
        <v>2917</v>
      </c>
      <c r="J1" t="s">
        <v>2918</v>
      </c>
      <c r="K1" t="s">
        <v>2919</v>
      </c>
      <c r="L1" t="s">
        <v>2920</v>
      </c>
      <c r="M1" t="s">
        <v>2921</v>
      </c>
      <c r="N1" t="s">
        <v>2922</v>
      </c>
      <c r="O1" t="s">
        <v>2923</v>
      </c>
      <c r="P1" t="s">
        <v>2924</v>
      </c>
      <c r="Q1" t="s">
        <v>2925</v>
      </c>
      <c r="R1" t="s">
        <v>2926</v>
      </c>
      <c r="S1" t="s">
        <v>2927</v>
      </c>
      <c r="T1" t="s">
        <v>2928</v>
      </c>
      <c r="U1" t="s">
        <v>2929</v>
      </c>
      <c r="V1" t="s">
        <v>2930</v>
      </c>
      <c r="W1" t="s">
        <v>2931</v>
      </c>
      <c r="X1" t="s">
        <v>2932</v>
      </c>
      <c r="Y1" t="s">
        <v>2933</v>
      </c>
      <c r="Z1" t="s">
        <v>2934</v>
      </c>
      <c r="AA1" t="s">
        <v>2935</v>
      </c>
    </row>
    <row r="2" spans="1:27">
      <c r="B2" t="s">
        <v>2258</v>
      </c>
      <c r="C2" t="s">
        <v>2936</v>
      </c>
      <c r="D2">
        <v>505</v>
      </c>
      <c r="E2">
        <v>0</v>
      </c>
      <c r="F2" s="455">
        <v>46199</v>
      </c>
      <c r="G2" t="s">
        <v>2937</v>
      </c>
      <c r="H2" t="s">
        <v>2937</v>
      </c>
      <c r="I2" t="s">
        <v>2938</v>
      </c>
      <c r="J2">
        <v>12</v>
      </c>
      <c r="K2">
        <v>12</v>
      </c>
      <c r="L2">
        <v>12</v>
      </c>
      <c r="M2">
        <v>743</v>
      </c>
      <c r="N2">
        <v>1.47</v>
      </c>
      <c r="O2">
        <v>743</v>
      </c>
      <c r="P2">
        <v>1.47</v>
      </c>
      <c r="Q2">
        <v>743</v>
      </c>
      <c r="R2">
        <v>1.47</v>
      </c>
      <c r="S2">
        <v>0</v>
      </c>
      <c r="T2">
        <v>0</v>
      </c>
      <c r="U2">
        <v>743</v>
      </c>
      <c r="V2">
        <v>1.47</v>
      </c>
      <c r="W2">
        <v>743</v>
      </c>
      <c r="X2">
        <v>0</v>
      </c>
      <c r="Y2">
        <v>0</v>
      </c>
      <c r="Z2">
        <v>0</v>
      </c>
      <c r="AA2">
        <v>0</v>
      </c>
    </row>
    <row r="3" spans="1:27">
      <c r="B3" t="s">
        <v>2258</v>
      </c>
      <c r="C3" t="s">
        <v>2417</v>
      </c>
      <c r="D3">
        <v>505</v>
      </c>
      <c r="E3">
        <v>27</v>
      </c>
      <c r="F3" s="455">
        <v>46226</v>
      </c>
      <c r="G3" t="s">
        <v>2418</v>
      </c>
      <c r="H3" t="s">
        <v>2939</v>
      </c>
      <c r="I3" t="s">
        <v>2940</v>
      </c>
      <c r="J3">
        <v>12</v>
      </c>
      <c r="K3">
        <v>12</v>
      </c>
      <c r="L3">
        <v>12</v>
      </c>
      <c r="M3">
        <v>896</v>
      </c>
      <c r="N3">
        <v>1.77</v>
      </c>
      <c r="O3">
        <v>896</v>
      </c>
      <c r="P3">
        <v>1.77</v>
      </c>
      <c r="Q3">
        <v>772</v>
      </c>
      <c r="R3">
        <v>1.53</v>
      </c>
      <c r="S3">
        <v>0</v>
      </c>
      <c r="T3">
        <v>0</v>
      </c>
      <c r="U3">
        <v>772</v>
      </c>
      <c r="V3">
        <v>1.53</v>
      </c>
      <c r="W3">
        <v>772</v>
      </c>
      <c r="X3">
        <v>-124</v>
      </c>
      <c r="Y3">
        <v>-0.1384</v>
      </c>
      <c r="Z3">
        <v>-124</v>
      </c>
      <c r="AA3">
        <v>-0.1384</v>
      </c>
    </row>
    <row r="4" spans="1:27">
      <c r="B4" t="s">
        <v>2258</v>
      </c>
      <c r="C4" t="s">
        <v>2941</v>
      </c>
      <c r="D4">
        <v>505</v>
      </c>
      <c r="E4">
        <v>92</v>
      </c>
      <c r="F4" s="455">
        <v>46226</v>
      </c>
      <c r="G4" t="s">
        <v>2942</v>
      </c>
      <c r="H4" t="s">
        <v>2943</v>
      </c>
      <c r="I4" t="s">
        <v>2940</v>
      </c>
      <c r="J4">
        <v>12</v>
      </c>
      <c r="K4">
        <v>12</v>
      </c>
      <c r="L4">
        <v>12</v>
      </c>
      <c r="M4">
        <v>940</v>
      </c>
      <c r="N4">
        <v>1.86</v>
      </c>
      <c r="O4">
        <v>923.5</v>
      </c>
      <c r="P4">
        <v>1.83</v>
      </c>
      <c r="Q4">
        <v>772</v>
      </c>
      <c r="R4">
        <v>1.53</v>
      </c>
      <c r="S4">
        <v>0</v>
      </c>
      <c r="T4">
        <v>0</v>
      </c>
      <c r="U4">
        <v>772</v>
      </c>
      <c r="V4">
        <v>1.53</v>
      </c>
      <c r="W4">
        <v>772</v>
      </c>
      <c r="X4">
        <v>-168</v>
      </c>
      <c r="Y4">
        <v>-0.1787</v>
      </c>
      <c r="Z4">
        <v>-151.5</v>
      </c>
      <c r="AA4">
        <v>-0.16400000000000001</v>
      </c>
    </row>
    <row r="5" spans="1:27">
      <c r="B5" t="s">
        <v>2258</v>
      </c>
      <c r="C5" t="s">
        <v>2439</v>
      </c>
      <c r="D5">
        <v>505</v>
      </c>
      <c r="E5">
        <v>0</v>
      </c>
      <c r="F5" s="455">
        <v>46203</v>
      </c>
      <c r="G5" t="s">
        <v>2440</v>
      </c>
      <c r="H5" t="s">
        <v>2440</v>
      </c>
      <c r="I5" t="s">
        <v>2938</v>
      </c>
      <c r="J5">
        <v>12</v>
      </c>
      <c r="K5">
        <v>12</v>
      </c>
      <c r="L5">
        <v>12</v>
      </c>
      <c r="M5">
        <v>940</v>
      </c>
      <c r="N5">
        <v>1.86</v>
      </c>
      <c r="O5">
        <v>940</v>
      </c>
      <c r="P5">
        <v>1.86</v>
      </c>
      <c r="Q5">
        <v>940</v>
      </c>
      <c r="R5">
        <v>1.86</v>
      </c>
      <c r="S5">
        <v>0</v>
      </c>
      <c r="T5">
        <v>0</v>
      </c>
      <c r="U5">
        <v>940</v>
      </c>
      <c r="V5">
        <v>1.86</v>
      </c>
      <c r="W5">
        <v>937.5</v>
      </c>
      <c r="X5">
        <v>0</v>
      </c>
      <c r="Y5">
        <v>0</v>
      </c>
      <c r="Z5">
        <v>0</v>
      </c>
      <c r="AA5">
        <v>0</v>
      </c>
    </row>
    <row r="6" spans="1:27">
      <c r="B6" t="s">
        <v>2258</v>
      </c>
      <c r="C6" t="s">
        <v>2944</v>
      </c>
      <c r="D6">
        <v>505</v>
      </c>
      <c r="E6">
        <v>129</v>
      </c>
      <c r="F6" s="455">
        <v>46210</v>
      </c>
      <c r="G6" t="s">
        <v>2945</v>
      </c>
      <c r="H6" t="s">
        <v>2946</v>
      </c>
      <c r="I6" t="s">
        <v>2940</v>
      </c>
      <c r="J6">
        <v>12</v>
      </c>
      <c r="K6">
        <v>12</v>
      </c>
      <c r="L6">
        <v>12</v>
      </c>
      <c r="M6" s="456">
        <v>1055</v>
      </c>
      <c r="N6">
        <v>2.09</v>
      </c>
      <c r="O6" s="456">
        <v>1055</v>
      </c>
      <c r="P6">
        <v>2.09</v>
      </c>
      <c r="Q6">
        <v>877</v>
      </c>
      <c r="R6">
        <v>1.74</v>
      </c>
      <c r="S6">
        <v>0</v>
      </c>
      <c r="T6">
        <v>0</v>
      </c>
      <c r="U6">
        <v>877</v>
      </c>
      <c r="V6">
        <v>1.74</v>
      </c>
      <c r="W6">
        <v>877.17</v>
      </c>
      <c r="X6">
        <v>-178</v>
      </c>
      <c r="Y6">
        <v>-0.16869999999999999</v>
      </c>
      <c r="Z6">
        <v>-178</v>
      </c>
      <c r="AA6">
        <v>-0.16869999999999999</v>
      </c>
    </row>
    <row r="7" spans="1:27">
      <c r="B7" t="s">
        <v>2267</v>
      </c>
      <c r="C7" t="s">
        <v>2947</v>
      </c>
      <c r="D7">
        <v>800</v>
      </c>
      <c r="E7">
        <v>0</v>
      </c>
      <c r="F7" s="455">
        <v>46167</v>
      </c>
      <c r="G7" t="s">
        <v>2948</v>
      </c>
      <c r="H7" t="s">
        <v>2948</v>
      </c>
      <c r="I7" t="s">
        <v>2938</v>
      </c>
      <c r="J7">
        <v>12</v>
      </c>
      <c r="K7">
        <v>12</v>
      </c>
      <c r="L7">
        <v>12</v>
      </c>
      <c r="M7" s="456">
        <v>1139</v>
      </c>
      <c r="N7">
        <v>1.42</v>
      </c>
      <c r="O7" s="456">
        <v>1139</v>
      </c>
      <c r="P7">
        <v>1.42</v>
      </c>
      <c r="Q7" s="456">
        <v>1104</v>
      </c>
      <c r="R7">
        <v>1.38</v>
      </c>
      <c r="S7">
        <v>0</v>
      </c>
      <c r="T7">
        <v>0</v>
      </c>
      <c r="U7" s="456">
        <v>1104</v>
      </c>
      <c r="V7">
        <v>1.38</v>
      </c>
      <c r="W7" s="456">
        <v>1104</v>
      </c>
      <c r="X7">
        <v>-35</v>
      </c>
      <c r="Y7">
        <v>-3.0700000000000002E-2</v>
      </c>
      <c r="Z7">
        <v>-35</v>
      </c>
      <c r="AA7">
        <v>-3.0700000000000002E-2</v>
      </c>
    </row>
    <row r="8" spans="1:27">
      <c r="B8" t="s">
        <v>2267</v>
      </c>
      <c r="C8" t="s">
        <v>2650</v>
      </c>
      <c r="D8">
        <v>800</v>
      </c>
      <c r="E8">
        <v>17</v>
      </c>
      <c r="F8" s="455">
        <v>46174</v>
      </c>
      <c r="G8" t="s">
        <v>2949</v>
      </c>
      <c r="H8" t="s">
        <v>2950</v>
      </c>
      <c r="I8" t="s">
        <v>2940</v>
      </c>
      <c r="J8">
        <v>12</v>
      </c>
      <c r="K8">
        <v>12</v>
      </c>
      <c r="L8">
        <v>12</v>
      </c>
      <c r="M8" s="456">
        <v>1135</v>
      </c>
      <c r="N8">
        <v>1.42</v>
      </c>
      <c r="O8" s="456">
        <v>1135</v>
      </c>
      <c r="P8">
        <v>1.42</v>
      </c>
      <c r="Q8">
        <v>927</v>
      </c>
      <c r="R8">
        <v>1.1599999999999999</v>
      </c>
      <c r="S8">
        <v>0</v>
      </c>
      <c r="T8">
        <v>0</v>
      </c>
      <c r="U8">
        <v>927</v>
      </c>
      <c r="V8">
        <v>1.1599999999999999</v>
      </c>
      <c r="W8">
        <v>927.25</v>
      </c>
      <c r="X8">
        <v>-208</v>
      </c>
      <c r="Y8">
        <v>-0.18329999999999999</v>
      </c>
      <c r="Z8">
        <v>-208</v>
      </c>
      <c r="AA8">
        <v>-0.18329999999999999</v>
      </c>
    </row>
    <row r="9" spans="1:27">
      <c r="B9" t="s">
        <v>2267</v>
      </c>
      <c r="C9" t="s">
        <v>2652</v>
      </c>
      <c r="D9">
        <v>800</v>
      </c>
      <c r="E9">
        <v>42</v>
      </c>
      <c r="F9" s="455">
        <v>46191</v>
      </c>
      <c r="G9" t="s">
        <v>2653</v>
      </c>
      <c r="H9" t="s">
        <v>2951</v>
      </c>
      <c r="I9" t="s">
        <v>2940</v>
      </c>
      <c r="J9">
        <v>12</v>
      </c>
      <c r="K9">
        <v>12</v>
      </c>
      <c r="L9">
        <v>12</v>
      </c>
      <c r="M9" s="456">
        <v>1190</v>
      </c>
      <c r="N9">
        <v>1.49</v>
      </c>
      <c r="O9" s="456">
        <v>1190</v>
      </c>
      <c r="P9">
        <v>1.49</v>
      </c>
      <c r="Q9">
        <v>927</v>
      </c>
      <c r="R9">
        <v>1.1599999999999999</v>
      </c>
      <c r="S9">
        <v>0</v>
      </c>
      <c r="T9">
        <v>0</v>
      </c>
      <c r="U9">
        <v>927</v>
      </c>
      <c r="V9">
        <v>1.1599999999999999</v>
      </c>
      <c r="W9">
        <v>927.25</v>
      </c>
      <c r="X9">
        <v>-263</v>
      </c>
      <c r="Y9">
        <v>-0.221</v>
      </c>
      <c r="Z9">
        <v>-263</v>
      </c>
      <c r="AA9">
        <v>-0.221</v>
      </c>
    </row>
    <row r="10" spans="1:27">
      <c r="B10" t="s">
        <v>2267</v>
      </c>
      <c r="C10" t="s">
        <v>2952</v>
      </c>
      <c r="D10">
        <v>800</v>
      </c>
      <c r="E10">
        <v>102</v>
      </c>
      <c r="F10" s="455">
        <v>46221</v>
      </c>
      <c r="G10" t="s">
        <v>2953</v>
      </c>
      <c r="H10" t="s">
        <v>2954</v>
      </c>
      <c r="I10" t="s">
        <v>2940</v>
      </c>
      <c r="J10">
        <v>12</v>
      </c>
      <c r="K10">
        <v>12</v>
      </c>
      <c r="L10">
        <v>12</v>
      </c>
      <c r="M10" s="456">
        <v>1180</v>
      </c>
      <c r="N10">
        <v>1.48</v>
      </c>
      <c r="O10" s="456">
        <v>1162.96</v>
      </c>
      <c r="P10">
        <v>1.45</v>
      </c>
      <c r="Q10">
        <v>912</v>
      </c>
      <c r="R10">
        <v>1.1399999999999999</v>
      </c>
      <c r="S10">
        <v>0</v>
      </c>
      <c r="T10">
        <v>0</v>
      </c>
      <c r="U10">
        <v>912</v>
      </c>
      <c r="V10">
        <v>1.1399999999999999</v>
      </c>
      <c r="W10">
        <v>912.25</v>
      </c>
      <c r="X10">
        <v>-268</v>
      </c>
      <c r="Y10">
        <v>-0.2271</v>
      </c>
      <c r="Z10">
        <v>-250.96</v>
      </c>
      <c r="AA10">
        <v>-0.21579999999999999</v>
      </c>
    </row>
    <row r="11" spans="1:27">
      <c r="B11" t="s">
        <v>2267</v>
      </c>
      <c r="C11" t="s">
        <v>2955</v>
      </c>
      <c r="D11">
        <v>800</v>
      </c>
      <c r="E11">
        <v>0</v>
      </c>
      <c r="F11" s="455">
        <v>46169</v>
      </c>
      <c r="G11" t="s">
        <v>2956</v>
      </c>
      <c r="H11" t="s">
        <v>2956</v>
      </c>
      <c r="I11" t="s">
        <v>2938</v>
      </c>
      <c r="J11">
        <v>12</v>
      </c>
      <c r="K11">
        <v>12</v>
      </c>
      <c r="L11">
        <v>12</v>
      </c>
      <c r="M11" s="456">
        <v>1160</v>
      </c>
      <c r="N11">
        <v>1.45</v>
      </c>
      <c r="O11" s="456">
        <v>1160</v>
      </c>
      <c r="P11">
        <v>1.45</v>
      </c>
      <c r="Q11" s="456">
        <v>1125</v>
      </c>
      <c r="R11">
        <v>1.41</v>
      </c>
      <c r="S11">
        <v>0</v>
      </c>
      <c r="T11">
        <v>0</v>
      </c>
      <c r="U11" s="456">
        <v>1125</v>
      </c>
      <c r="V11">
        <v>1.41</v>
      </c>
      <c r="W11" s="456">
        <v>1125</v>
      </c>
      <c r="X11">
        <v>-35</v>
      </c>
      <c r="Y11">
        <v>-3.0200000000000001E-2</v>
      </c>
      <c r="Z11">
        <v>-35</v>
      </c>
      <c r="AA11">
        <v>-3.0200000000000001E-2</v>
      </c>
    </row>
    <row r="12" spans="1:27">
      <c r="B12" t="s">
        <v>2267</v>
      </c>
      <c r="C12" t="s">
        <v>2702</v>
      </c>
      <c r="D12">
        <v>800</v>
      </c>
      <c r="E12">
        <v>0</v>
      </c>
      <c r="F12" s="455">
        <v>46206</v>
      </c>
      <c r="G12" t="s">
        <v>2703</v>
      </c>
      <c r="H12" t="s">
        <v>2703</v>
      </c>
      <c r="I12" t="s">
        <v>2938</v>
      </c>
      <c r="J12">
        <v>12</v>
      </c>
      <c r="K12">
        <v>12</v>
      </c>
      <c r="L12">
        <v>12</v>
      </c>
      <c r="M12" s="456">
        <v>1185</v>
      </c>
      <c r="N12">
        <v>1.48</v>
      </c>
      <c r="O12" s="456">
        <v>1185</v>
      </c>
      <c r="P12">
        <v>1.48</v>
      </c>
      <c r="Q12" s="456">
        <v>1185</v>
      </c>
      <c r="R12">
        <v>1.48</v>
      </c>
      <c r="S12">
        <v>0</v>
      </c>
      <c r="T12">
        <v>0</v>
      </c>
      <c r="U12" s="456">
        <v>1185</v>
      </c>
      <c r="V12">
        <v>1.48</v>
      </c>
      <c r="W12" s="456">
        <v>1182</v>
      </c>
      <c r="X12">
        <v>0</v>
      </c>
      <c r="Y12">
        <v>0</v>
      </c>
      <c r="Z12">
        <v>0</v>
      </c>
      <c r="AA12">
        <v>0</v>
      </c>
    </row>
    <row r="13" spans="1:27">
      <c r="B13" t="s">
        <v>2267</v>
      </c>
      <c r="C13" t="s">
        <v>2957</v>
      </c>
      <c r="D13">
        <v>800</v>
      </c>
      <c r="E13">
        <v>0</v>
      </c>
      <c r="F13" s="455">
        <v>46167</v>
      </c>
      <c r="G13" t="s">
        <v>2958</v>
      </c>
      <c r="H13" t="s">
        <v>2958</v>
      </c>
      <c r="I13" t="s">
        <v>2938</v>
      </c>
      <c r="J13">
        <v>12</v>
      </c>
      <c r="K13">
        <v>12</v>
      </c>
      <c r="L13">
        <v>12</v>
      </c>
      <c r="M13" s="456">
        <v>1190</v>
      </c>
      <c r="N13">
        <v>1.49</v>
      </c>
      <c r="O13" s="456">
        <v>1190</v>
      </c>
      <c r="P13">
        <v>1.49</v>
      </c>
      <c r="Q13" s="456">
        <v>1155</v>
      </c>
      <c r="R13">
        <v>1.44</v>
      </c>
      <c r="S13">
        <v>0</v>
      </c>
      <c r="T13">
        <v>0</v>
      </c>
      <c r="U13" s="456">
        <v>1155</v>
      </c>
      <c r="V13">
        <v>1.44</v>
      </c>
      <c r="W13" s="456">
        <v>1155.08</v>
      </c>
      <c r="X13">
        <v>-35</v>
      </c>
      <c r="Y13">
        <v>-2.9399999999999999E-2</v>
      </c>
      <c r="Z13">
        <v>-35</v>
      </c>
      <c r="AA13">
        <v>-2.9399999999999999E-2</v>
      </c>
    </row>
    <row r="14" spans="1:27">
      <c r="B14" t="s">
        <v>2267</v>
      </c>
      <c r="C14" t="s">
        <v>2704</v>
      </c>
      <c r="D14">
        <v>800</v>
      </c>
      <c r="E14">
        <v>32</v>
      </c>
      <c r="F14" s="455">
        <v>46189</v>
      </c>
      <c r="G14" t="s">
        <v>2705</v>
      </c>
      <c r="H14" t="s">
        <v>2959</v>
      </c>
      <c r="I14" t="s">
        <v>2940</v>
      </c>
      <c r="J14">
        <v>12</v>
      </c>
      <c r="K14">
        <v>12</v>
      </c>
      <c r="L14">
        <v>12</v>
      </c>
      <c r="M14" s="456">
        <v>1160</v>
      </c>
      <c r="N14">
        <v>1.45</v>
      </c>
      <c r="O14" s="456">
        <v>1160</v>
      </c>
      <c r="P14">
        <v>1.45</v>
      </c>
      <c r="Q14">
        <v>952</v>
      </c>
      <c r="R14">
        <v>1.19</v>
      </c>
      <c r="S14">
        <v>0</v>
      </c>
      <c r="T14">
        <v>0</v>
      </c>
      <c r="U14">
        <v>952</v>
      </c>
      <c r="V14">
        <v>1.19</v>
      </c>
      <c r="W14">
        <v>952.08</v>
      </c>
      <c r="X14">
        <v>-208</v>
      </c>
      <c r="Y14">
        <v>-0.17929999999999999</v>
      </c>
      <c r="Z14">
        <v>-208</v>
      </c>
      <c r="AA14">
        <v>-0.17929999999999999</v>
      </c>
    </row>
    <row r="15" spans="1:27">
      <c r="B15" t="s">
        <v>2268</v>
      </c>
      <c r="C15" t="s">
        <v>2960</v>
      </c>
      <c r="D15">
        <v>841</v>
      </c>
      <c r="E15">
        <v>0</v>
      </c>
      <c r="F15" s="455">
        <v>46232</v>
      </c>
      <c r="G15" t="s">
        <v>2961</v>
      </c>
      <c r="H15" t="s">
        <v>2961</v>
      </c>
      <c r="I15" t="s">
        <v>2938</v>
      </c>
      <c r="J15">
        <v>12</v>
      </c>
      <c r="K15">
        <v>12</v>
      </c>
      <c r="L15">
        <v>12</v>
      </c>
      <c r="M15" s="456">
        <v>1174</v>
      </c>
      <c r="N15">
        <v>1.4</v>
      </c>
      <c r="O15" s="456">
        <v>1174</v>
      </c>
      <c r="P15">
        <v>1.4</v>
      </c>
      <c r="Q15" s="456">
        <v>1174</v>
      </c>
      <c r="R15">
        <v>1.4</v>
      </c>
      <c r="S15">
        <v>0</v>
      </c>
      <c r="T15">
        <v>0</v>
      </c>
      <c r="U15" s="456">
        <v>1174</v>
      </c>
      <c r="V15">
        <v>1.4</v>
      </c>
      <c r="W15" s="456">
        <v>1174</v>
      </c>
      <c r="X15">
        <v>0</v>
      </c>
      <c r="Y15">
        <v>0</v>
      </c>
      <c r="Z15">
        <v>0</v>
      </c>
      <c r="AA15">
        <v>0</v>
      </c>
    </row>
    <row r="16" spans="1:27">
      <c r="B16" t="s">
        <v>2268</v>
      </c>
      <c r="C16" t="s">
        <v>2962</v>
      </c>
      <c r="D16">
        <v>841</v>
      </c>
      <c r="E16">
        <v>0</v>
      </c>
      <c r="F16" s="455">
        <v>46162</v>
      </c>
      <c r="G16" t="s">
        <v>2963</v>
      </c>
      <c r="H16" t="s">
        <v>2963</v>
      </c>
      <c r="I16" t="s">
        <v>2938</v>
      </c>
      <c r="J16">
        <v>12</v>
      </c>
      <c r="K16">
        <v>12</v>
      </c>
      <c r="L16">
        <v>12</v>
      </c>
      <c r="M16" s="456">
        <v>1315</v>
      </c>
      <c r="N16">
        <v>1.56</v>
      </c>
      <c r="O16" s="456">
        <v>1315</v>
      </c>
      <c r="P16">
        <v>1.56</v>
      </c>
      <c r="Q16" s="456">
        <v>1260</v>
      </c>
      <c r="R16">
        <v>1.5</v>
      </c>
      <c r="S16">
        <v>0</v>
      </c>
      <c r="T16">
        <v>0</v>
      </c>
      <c r="U16" s="456">
        <v>1260</v>
      </c>
      <c r="V16">
        <v>1.5</v>
      </c>
      <c r="W16" s="456">
        <v>1260.08</v>
      </c>
      <c r="X16">
        <v>-55</v>
      </c>
      <c r="Y16">
        <v>-4.1799999999999997E-2</v>
      </c>
      <c r="Z16">
        <v>-55</v>
      </c>
      <c r="AA16">
        <v>-4.1799999999999997E-2</v>
      </c>
    </row>
    <row r="17" spans="2:27">
      <c r="B17" t="s">
        <v>2268</v>
      </c>
      <c r="C17" t="s">
        <v>2964</v>
      </c>
      <c r="D17">
        <v>841</v>
      </c>
      <c r="E17">
        <v>69</v>
      </c>
      <c r="F17" s="455">
        <v>46200</v>
      </c>
      <c r="G17" t="s">
        <v>2965</v>
      </c>
      <c r="H17" t="s">
        <v>1115</v>
      </c>
      <c r="I17" t="s">
        <v>2940</v>
      </c>
      <c r="J17">
        <v>12</v>
      </c>
      <c r="K17">
        <v>12</v>
      </c>
      <c r="L17">
        <v>12</v>
      </c>
      <c r="M17" s="456">
        <v>1405</v>
      </c>
      <c r="N17">
        <v>1.67</v>
      </c>
      <c r="O17" s="456">
        <v>1405</v>
      </c>
      <c r="P17">
        <v>1.67</v>
      </c>
      <c r="Q17" s="456">
        <v>1089</v>
      </c>
      <c r="R17">
        <v>1.29</v>
      </c>
      <c r="S17">
        <v>0</v>
      </c>
      <c r="T17">
        <v>0</v>
      </c>
      <c r="U17" s="456">
        <v>1089</v>
      </c>
      <c r="V17">
        <v>1.29</v>
      </c>
      <c r="W17" s="456">
        <v>1089.08</v>
      </c>
      <c r="X17">
        <v>-316</v>
      </c>
      <c r="Y17">
        <v>-0.22489999999999999</v>
      </c>
      <c r="Z17">
        <v>-316</v>
      </c>
      <c r="AA17">
        <v>-0.22489999999999999</v>
      </c>
    </row>
    <row r="18" spans="2:27">
      <c r="B18" t="s">
        <v>2268</v>
      </c>
      <c r="C18" t="s">
        <v>2966</v>
      </c>
      <c r="D18">
        <v>841</v>
      </c>
      <c r="E18">
        <v>0</v>
      </c>
      <c r="F18" s="455">
        <v>46183</v>
      </c>
      <c r="G18" t="s">
        <v>2967</v>
      </c>
      <c r="H18" t="s">
        <v>2967</v>
      </c>
      <c r="I18" t="s">
        <v>2938</v>
      </c>
      <c r="J18">
        <v>12</v>
      </c>
      <c r="K18">
        <v>12</v>
      </c>
      <c r="L18">
        <v>12</v>
      </c>
      <c r="M18" s="456">
        <v>1266</v>
      </c>
      <c r="N18">
        <v>1.51</v>
      </c>
      <c r="O18" s="456">
        <v>1266</v>
      </c>
      <c r="P18">
        <v>1.51</v>
      </c>
      <c r="Q18" s="456">
        <v>1266</v>
      </c>
      <c r="R18">
        <v>1.51</v>
      </c>
      <c r="S18">
        <v>0</v>
      </c>
      <c r="T18">
        <v>0</v>
      </c>
      <c r="U18" s="456">
        <v>1266</v>
      </c>
      <c r="V18">
        <v>1.51</v>
      </c>
      <c r="W18" s="456">
        <v>1266</v>
      </c>
      <c r="X18">
        <v>0</v>
      </c>
      <c r="Y18">
        <v>0</v>
      </c>
      <c r="Z18">
        <v>0</v>
      </c>
      <c r="AA18">
        <v>0</v>
      </c>
    </row>
    <row r="19" spans="2:27">
      <c r="B19" t="s">
        <v>2259</v>
      </c>
      <c r="C19" t="s">
        <v>2688</v>
      </c>
      <c r="D19">
        <v>560</v>
      </c>
      <c r="E19">
        <v>0</v>
      </c>
      <c r="F19" s="455">
        <v>46199</v>
      </c>
      <c r="G19" t="s">
        <v>2689</v>
      </c>
      <c r="H19" t="s">
        <v>2689</v>
      </c>
      <c r="I19" t="s">
        <v>2938</v>
      </c>
      <c r="J19">
        <v>12</v>
      </c>
      <c r="K19">
        <v>12</v>
      </c>
      <c r="L19">
        <v>12</v>
      </c>
      <c r="M19">
        <v>925</v>
      </c>
      <c r="N19">
        <v>1.65</v>
      </c>
      <c r="O19">
        <v>925</v>
      </c>
      <c r="P19">
        <v>1.65</v>
      </c>
      <c r="Q19">
        <v>925</v>
      </c>
      <c r="R19">
        <v>1.65</v>
      </c>
      <c r="S19">
        <v>0</v>
      </c>
      <c r="T19">
        <v>0</v>
      </c>
      <c r="U19">
        <v>925</v>
      </c>
      <c r="V19">
        <v>1.65</v>
      </c>
      <c r="W19">
        <v>925.17</v>
      </c>
      <c r="X19">
        <v>0</v>
      </c>
      <c r="Y19">
        <v>0</v>
      </c>
      <c r="Z19">
        <v>0</v>
      </c>
      <c r="AA19">
        <v>0</v>
      </c>
    </row>
    <row r="20" spans="2:27">
      <c r="B20" t="s">
        <v>2259</v>
      </c>
      <c r="C20" t="s">
        <v>1587</v>
      </c>
      <c r="D20">
        <v>560</v>
      </c>
      <c r="E20">
        <v>101</v>
      </c>
      <c r="F20" s="455">
        <v>46210</v>
      </c>
      <c r="G20" t="s">
        <v>2968</v>
      </c>
      <c r="H20" t="s">
        <v>2969</v>
      </c>
      <c r="I20" t="s">
        <v>2940</v>
      </c>
      <c r="J20">
        <v>12</v>
      </c>
      <c r="K20">
        <v>12</v>
      </c>
      <c r="L20">
        <v>12</v>
      </c>
      <c r="M20">
        <v>949</v>
      </c>
      <c r="N20">
        <v>1.69</v>
      </c>
      <c r="O20">
        <v>926.49</v>
      </c>
      <c r="P20">
        <v>1.65</v>
      </c>
      <c r="Q20">
        <v>833</v>
      </c>
      <c r="R20">
        <v>1.49</v>
      </c>
      <c r="S20">
        <v>0</v>
      </c>
      <c r="T20">
        <v>0</v>
      </c>
      <c r="U20">
        <v>833</v>
      </c>
      <c r="V20">
        <v>1.49</v>
      </c>
      <c r="W20">
        <v>833.08</v>
      </c>
      <c r="X20">
        <v>-116</v>
      </c>
      <c r="Y20">
        <v>-0.1222</v>
      </c>
      <c r="Z20">
        <v>-93.49</v>
      </c>
      <c r="AA20">
        <v>-0.1009</v>
      </c>
    </row>
    <row r="21" spans="2:27">
      <c r="B21" t="s">
        <v>2260</v>
      </c>
      <c r="C21" t="s">
        <v>2970</v>
      </c>
      <c r="D21">
        <v>594</v>
      </c>
      <c r="E21">
        <v>0</v>
      </c>
      <c r="F21" s="455">
        <v>46195</v>
      </c>
      <c r="G21" t="s">
        <v>2971</v>
      </c>
      <c r="H21" t="s">
        <v>2971</v>
      </c>
      <c r="I21" t="s">
        <v>2938</v>
      </c>
      <c r="J21">
        <v>12</v>
      </c>
      <c r="K21">
        <v>12</v>
      </c>
      <c r="L21">
        <v>12</v>
      </c>
      <c r="M21">
        <v>960</v>
      </c>
      <c r="N21">
        <v>1.62</v>
      </c>
      <c r="O21">
        <v>960</v>
      </c>
      <c r="P21">
        <v>1.62</v>
      </c>
      <c r="Q21">
        <v>960</v>
      </c>
      <c r="R21">
        <v>1.62</v>
      </c>
      <c r="S21">
        <v>0</v>
      </c>
      <c r="T21">
        <v>0</v>
      </c>
      <c r="U21">
        <v>960</v>
      </c>
      <c r="V21">
        <v>1.62</v>
      </c>
      <c r="W21">
        <v>960.25</v>
      </c>
      <c r="X21">
        <v>0</v>
      </c>
      <c r="Y21">
        <v>0</v>
      </c>
      <c r="Z21">
        <v>0</v>
      </c>
      <c r="AA21">
        <v>0</v>
      </c>
    </row>
    <row r="22" spans="2:27">
      <c r="B22" t="s">
        <v>2260</v>
      </c>
      <c r="C22" t="s">
        <v>1963</v>
      </c>
      <c r="D22">
        <v>594</v>
      </c>
      <c r="E22">
        <v>173</v>
      </c>
      <c r="F22" s="455">
        <v>46200</v>
      </c>
      <c r="G22" t="s">
        <v>2156</v>
      </c>
      <c r="H22" t="s">
        <v>2972</v>
      </c>
      <c r="I22" t="s">
        <v>2940</v>
      </c>
      <c r="J22">
        <v>12</v>
      </c>
      <c r="K22">
        <v>12</v>
      </c>
      <c r="L22">
        <v>12</v>
      </c>
      <c r="M22">
        <v>975</v>
      </c>
      <c r="N22">
        <v>1.64</v>
      </c>
      <c r="O22">
        <v>356.58</v>
      </c>
      <c r="P22">
        <v>0.6</v>
      </c>
      <c r="Q22">
        <v>861</v>
      </c>
      <c r="R22">
        <v>1.45</v>
      </c>
      <c r="S22">
        <v>0</v>
      </c>
      <c r="T22">
        <v>0</v>
      </c>
      <c r="U22">
        <v>861</v>
      </c>
      <c r="V22">
        <v>1.45</v>
      </c>
      <c r="W22">
        <v>861.25</v>
      </c>
      <c r="X22">
        <v>-114</v>
      </c>
      <c r="Y22">
        <v>-0.1169</v>
      </c>
      <c r="Z22">
        <v>504.42</v>
      </c>
      <c r="AA22">
        <v>1.4146000000000001</v>
      </c>
    </row>
    <row r="23" spans="2:27">
      <c r="B23" t="s">
        <v>2260</v>
      </c>
      <c r="C23" t="s">
        <v>2973</v>
      </c>
      <c r="D23">
        <v>594</v>
      </c>
      <c r="E23">
        <v>0</v>
      </c>
      <c r="F23" s="455">
        <v>46198</v>
      </c>
      <c r="G23" t="s">
        <v>2974</v>
      </c>
      <c r="H23" t="s">
        <v>2974</v>
      </c>
      <c r="I23" t="s">
        <v>2938</v>
      </c>
      <c r="J23">
        <v>12</v>
      </c>
      <c r="K23">
        <v>12</v>
      </c>
      <c r="L23">
        <v>12</v>
      </c>
      <c r="M23">
        <v>960</v>
      </c>
      <c r="N23">
        <v>1.62</v>
      </c>
      <c r="O23">
        <v>960</v>
      </c>
      <c r="P23">
        <v>1.62</v>
      </c>
      <c r="Q23">
        <v>960</v>
      </c>
      <c r="R23">
        <v>1.62</v>
      </c>
      <c r="S23">
        <v>0</v>
      </c>
      <c r="T23">
        <v>0</v>
      </c>
      <c r="U23">
        <v>960</v>
      </c>
      <c r="V23">
        <v>1.62</v>
      </c>
      <c r="W23">
        <v>957.58</v>
      </c>
      <c r="X23">
        <v>0</v>
      </c>
      <c r="Y23">
        <v>0</v>
      </c>
      <c r="Z23">
        <v>0</v>
      </c>
      <c r="AA23">
        <v>0</v>
      </c>
    </row>
    <row r="24" spans="2:27">
      <c r="B24" t="s">
        <v>2260</v>
      </c>
      <c r="C24" t="s">
        <v>2975</v>
      </c>
      <c r="D24">
        <v>594</v>
      </c>
      <c r="E24">
        <v>0</v>
      </c>
      <c r="F24" s="455">
        <v>46198</v>
      </c>
      <c r="G24" t="s">
        <v>2976</v>
      </c>
      <c r="H24" t="s">
        <v>2976</v>
      </c>
      <c r="I24" t="s">
        <v>2938</v>
      </c>
      <c r="J24">
        <v>12</v>
      </c>
      <c r="K24">
        <v>12</v>
      </c>
      <c r="L24">
        <v>12</v>
      </c>
      <c r="M24" s="456">
        <v>1013</v>
      </c>
      <c r="N24">
        <v>1.71</v>
      </c>
      <c r="O24" s="456">
        <v>1013</v>
      </c>
      <c r="P24">
        <v>1.71</v>
      </c>
      <c r="Q24" s="456">
        <v>1013</v>
      </c>
      <c r="R24">
        <v>1.71</v>
      </c>
      <c r="S24">
        <v>0</v>
      </c>
      <c r="T24">
        <v>0</v>
      </c>
      <c r="U24" s="456">
        <v>1013</v>
      </c>
      <c r="V24">
        <v>1.71</v>
      </c>
      <c r="X24">
        <v>0</v>
      </c>
      <c r="Y24">
        <v>0</v>
      </c>
      <c r="Z24">
        <v>0</v>
      </c>
      <c r="AA24">
        <v>0</v>
      </c>
    </row>
    <row r="25" spans="2:27">
      <c r="B25" t="s">
        <v>2260</v>
      </c>
      <c r="C25" t="s">
        <v>2977</v>
      </c>
      <c r="D25">
        <v>594</v>
      </c>
      <c r="E25">
        <v>0</v>
      </c>
      <c r="F25" s="455">
        <v>46181</v>
      </c>
      <c r="G25" t="s">
        <v>2978</v>
      </c>
      <c r="H25" t="s">
        <v>2978</v>
      </c>
      <c r="I25" t="s">
        <v>2938</v>
      </c>
      <c r="J25">
        <v>12</v>
      </c>
      <c r="K25">
        <v>12</v>
      </c>
      <c r="L25">
        <v>12</v>
      </c>
      <c r="M25" s="456">
        <v>1180</v>
      </c>
      <c r="N25">
        <v>1.99</v>
      </c>
      <c r="O25" s="456">
        <v>1180</v>
      </c>
      <c r="P25">
        <v>1.99</v>
      </c>
      <c r="Q25" s="456">
        <v>1125</v>
      </c>
      <c r="R25">
        <v>1.89</v>
      </c>
      <c r="S25">
        <v>0</v>
      </c>
      <c r="T25">
        <v>0</v>
      </c>
      <c r="U25" s="456">
        <v>1125</v>
      </c>
      <c r="V25">
        <v>1.89</v>
      </c>
      <c r="W25" s="456">
        <v>1125</v>
      </c>
      <c r="X25">
        <v>-55</v>
      </c>
      <c r="Y25">
        <v>-4.6600000000000003E-2</v>
      </c>
      <c r="Z25">
        <v>-55</v>
      </c>
      <c r="AA25">
        <v>-4.6600000000000003E-2</v>
      </c>
    </row>
    <row r="26" spans="2:27">
      <c r="B26" t="s">
        <v>2260</v>
      </c>
      <c r="C26" t="s">
        <v>1580</v>
      </c>
      <c r="D26">
        <v>594</v>
      </c>
      <c r="E26">
        <v>189</v>
      </c>
      <c r="F26" s="455">
        <v>46238</v>
      </c>
      <c r="G26" t="s">
        <v>2979</v>
      </c>
      <c r="H26" t="s">
        <v>2980</v>
      </c>
      <c r="I26" t="s">
        <v>2940</v>
      </c>
      <c r="J26">
        <v>12</v>
      </c>
      <c r="K26">
        <v>12</v>
      </c>
      <c r="L26">
        <v>12</v>
      </c>
      <c r="M26">
        <v>840</v>
      </c>
      <c r="N26">
        <v>1.41</v>
      </c>
      <c r="O26">
        <v>840</v>
      </c>
      <c r="P26">
        <v>1.41</v>
      </c>
      <c r="Q26">
        <v>846</v>
      </c>
      <c r="R26">
        <v>1.42</v>
      </c>
      <c r="S26">
        <v>0</v>
      </c>
      <c r="T26">
        <v>0</v>
      </c>
      <c r="U26">
        <v>846</v>
      </c>
      <c r="V26">
        <v>1.42</v>
      </c>
      <c r="W26">
        <v>846.17</v>
      </c>
      <c r="X26">
        <v>6</v>
      </c>
      <c r="Y26">
        <v>7.1000000000000004E-3</v>
      </c>
      <c r="Z26">
        <v>6</v>
      </c>
      <c r="AA26">
        <v>7.1000000000000004E-3</v>
      </c>
    </row>
    <row r="27" spans="2:27">
      <c r="B27" t="s">
        <v>2260</v>
      </c>
      <c r="C27" t="s">
        <v>2981</v>
      </c>
      <c r="D27">
        <v>594</v>
      </c>
      <c r="E27">
        <v>0</v>
      </c>
      <c r="F27" s="455">
        <v>46174</v>
      </c>
      <c r="G27" t="s">
        <v>2982</v>
      </c>
      <c r="H27" t="s">
        <v>2982</v>
      </c>
      <c r="I27" t="s">
        <v>2938</v>
      </c>
      <c r="J27">
        <v>12</v>
      </c>
      <c r="K27">
        <v>12</v>
      </c>
      <c r="L27">
        <v>12</v>
      </c>
      <c r="M27">
        <v>873</v>
      </c>
      <c r="N27">
        <v>1.47</v>
      </c>
      <c r="O27">
        <v>873</v>
      </c>
      <c r="P27">
        <v>1.47</v>
      </c>
      <c r="Q27">
        <v>873</v>
      </c>
      <c r="R27">
        <v>1.47</v>
      </c>
      <c r="S27">
        <v>0</v>
      </c>
      <c r="T27">
        <v>0</v>
      </c>
      <c r="U27">
        <v>873</v>
      </c>
      <c r="V27">
        <v>1.47</v>
      </c>
      <c r="W27">
        <v>873</v>
      </c>
      <c r="X27">
        <v>0</v>
      </c>
      <c r="Y27">
        <v>0</v>
      </c>
      <c r="Z27">
        <v>0</v>
      </c>
      <c r="AA27">
        <v>0</v>
      </c>
    </row>
    <row r="28" spans="2:27">
      <c r="B28" t="s">
        <v>2260</v>
      </c>
      <c r="C28" t="s">
        <v>1577</v>
      </c>
      <c r="D28">
        <v>594</v>
      </c>
      <c r="E28">
        <v>180</v>
      </c>
      <c r="F28" s="455">
        <v>46221</v>
      </c>
      <c r="G28" t="s">
        <v>2161</v>
      </c>
      <c r="H28" t="s">
        <v>2644</v>
      </c>
      <c r="I28" t="s">
        <v>2940</v>
      </c>
      <c r="J28">
        <v>12</v>
      </c>
      <c r="K28">
        <v>12</v>
      </c>
      <c r="L28">
        <v>12</v>
      </c>
      <c r="M28">
        <v>982</v>
      </c>
      <c r="N28">
        <v>1.65</v>
      </c>
      <c r="O28">
        <v>982</v>
      </c>
      <c r="P28">
        <v>1.65</v>
      </c>
      <c r="Q28">
        <v>836</v>
      </c>
      <c r="R28">
        <v>1.41</v>
      </c>
      <c r="S28">
        <v>0</v>
      </c>
      <c r="T28">
        <v>0</v>
      </c>
      <c r="U28">
        <v>836</v>
      </c>
      <c r="V28">
        <v>1.41</v>
      </c>
      <c r="W28">
        <v>836.08</v>
      </c>
      <c r="X28">
        <v>-146</v>
      </c>
      <c r="Y28">
        <v>-0.1487</v>
      </c>
      <c r="Z28">
        <v>-146</v>
      </c>
      <c r="AA28">
        <v>-0.1487</v>
      </c>
    </row>
    <row r="29" spans="2:27">
      <c r="B29" t="s">
        <v>2260</v>
      </c>
      <c r="C29" t="s">
        <v>2645</v>
      </c>
      <c r="D29">
        <v>594</v>
      </c>
      <c r="E29">
        <v>93</v>
      </c>
      <c r="F29" s="455">
        <v>46224</v>
      </c>
      <c r="G29" t="s">
        <v>1117</v>
      </c>
      <c r="H29" t="s">
        <v>2983</v>
      </c>
      <c r="I29" t="s">
        <v>2940</v>
      </c>
      <c r="J29">
        <v>12</v>
      </c>
      <c r="K29">
        <v>12</v>
      </c>
      <c r="L29">
        <v>12</v>
      </c>
      <c r="M29">
        <v>975</v>
      </c>
      <c r="N29">
        <v>1.64</v>
      </c>
      <c r="O29">
        <v>975</v>
      </c>
      <c r="P29">
        <v>1.64</v>
      </c>
      <c r="Q29">
        <v>861</v>
      </c>
      <c r="R29">
        <v>1.45</v>
      </c>
      <c r="S29">
        <v>0</v>
      </c>
      <c r="T29">
        <v>0</v>
      </c>
      <c r="U29">
        <v>861</v>
      </c>
      <c r="V29">
        <v>1.45</v>
      </c>
      <c r="W29">
        <v>861.25</v>
      </c>
      <c r="X29">
        <v>-114</v>
      </c>
      <c r="Y29">
        <v>-0.1169</v>
      </c>
      <c r="Z29">
        <v>-114</v>
      </c>
      <c r="AA29">
        <v>-0.1169</v>
      </c>
    </row>
    <row r="30" spans="2:27">
      <c r="B30" t="s">
        <v>2261</v>
      </c>
      <c r="C30" t="s">
        <v>2984</v>
      </c>
      <c r="D30">
        <v>650</v>
      </c>
      <c r="E30">
        <v>0</v>
      </c>
      <c r="F30" s="455">
        <v>46199</v>
      </c>
      <c r="G30" t="s">
        <v>2985</v>
      </c>
      <c r="H30" t="s">
        <v>2985</v>
      </c>
      <c r="I30" t="s">
        <v>2938</v>
      </c>
      <c r="J30">
        <v>12</v>
      </c>
      <c r="K30">
        <v>12</v>
      </c>
      <c r="L30">
        <v>12</v>
      </c>
      <c r="M30">
        <v>988</v>
      </c>
      <c r="N30">
        <v>1.52</v>
      </c>
      <c r="O30">
        <v>988</v>
      </c>
      <c r="P30">
        <v>1.52</v>
      </c>
      <c r="Q30">
        <v>988</v>
      </c>
      <c r="R30">
        <v>1.52</v>
      </c>
      <c r="S30">
        <v>0</v>
      </c>
      <c r="T30">
        <v>0</v>
      </c>
      <c r="U30">
        <v>988</v>
      </c>
      <c r="V30">
        <v>1.52</v>
      </c>
      <c r="W30">
        <v>988.25</v>
      </c>
      <c r="X30">
        <v>0</v>
      </c>
      <c r="Y30">
        <v>0</v>
      </c>
      <c r="Z30">
        <v>0</v>
      </c>
      <c r="AA30">
        <v>0</v>
      </c>
    </row>
    <row r="31" spans="2:27">
      <c r="B31" t="s">
        <v>2261</v>
      </c>
      <c r="C31" t="s">
        <v>2986</v>
      </c>
      <c r="D31">
        <v>650</v>
      </c>
      <c r="E31">
        <v>53</v>
      </c>
      <c r="F31" s="455">
        <v>46210</v>
      </c>
      <c r="G31" t="s">
        <v>2987</v>
      </c>
      <c r="H31" t="s">
        <v>2988</v>
      </c>
      <c r="I31" t="s">
        <v>2940</v>
      </c>
      <c r="J31">
        <v>12</v>
      </c>
      <c r="K31">
        <v>12</v>
      </c>
      <c r="L31">
        <v>12</v>
      </c>
      <c r="M31">
        <v>885</v>
      </c>
      <c r="N31">
        <v>1.36</v>
      </c>
      <c r="O31">
        <v>477.46</v>
      </c>
      <c r="P31">
        <v>0.73</v>
      </c>
      <c r="Q31">
        <v>785</v>
      </c>
      <c r="R31">
        <v>1.21</v>
      </c>
      <c r="S31">
        <v>0</v>
      </c>
      <c r="T31">
        <v>0</v>
      </c>
      <c r="U31">
        <v>785</v>
      </c>
      <c r="V31">
        <v>1.21</v>
      </c>
      <c r="W31">
        <v>785.17</v>
      </c>
      <c r="X31">
        <v>-100</v>
      </c>
      <c r="Y31">
        <v>-0.113</v>
      </c>
      <c r="Z31">
        <v>307.54000000000002</v>
      </c>
      <c r="AA31">
        <v>0.64410000000000001</v>
      </c>
    </row>
    <row r="32" spans="2:27">
      <c r="B32" t="s">
        <v>2261</v>
      </c>
      <c r="C32" t="s">
        <v>1834</v>
      </c>
      <c r="D32">
        <v>650</v>
      </c>
      <c r="E32">
        <v>22</v>
      </c>
      <c r="F32" s="455">
        <v>46233</v>
      </c>
      <c r="G32" t="s">
        <v>2402</v>
      </c>
      <c r="H32" t="s">
        <v>2989</v>
      </c>
      <c r="I32" t="s">
        <v>2940</v>
      </c>
      <c r="J32">
        <v>12</v>
      </c>
      <c r="K32">
        <v>12</v>
      </c>
      <c r="L32">
        <v>12</v>
      </c>
      <c r="M32">
        <v>785</v>
      </c>
      <c r="N32">
        <v>1.21</v>
      </c>
      <c r="O32">
        <v>785</v>
      </c>
      <c r="P32">
        <v>1.21</v>
      </c>
      <c r="Q32">
        <v>785</v>
      </c>
      <c r="R32">
        <v>1.21</v>
      </c>
      <c r="S32">
        <v>0</v>
      </c>
      <c r="T32">
        <v>0</v>
      </c>
      <c r="U32">
        <v>785</v>
      </c>
      <c r="V32">
        <v>1.21</v>
      </c>
      <c r="X32">
        <v>0</v>
      </c>
      <c r="Y32">
        <v>0</v>
      </c>
      <c r="Z32">
        <v>0</v>
      </c>
      <c r="AA32">
        <v>0</v>
      </c>
    </row>
    <row r="33" spans="2:27">
      <c r="B33" t="s">
        <v>2261</v>
      </c>
      <c r="C33" t="s">
        <v>2990</v>
      </c>
      <c r="D33">
        <v>650</v>
      </c>
      <c r="E33">
        <v>0</v>
      </c>
      <c r="F33" s="455">
        <v>46199</v>
      </c>
      <c r="G33" t="s">
        <v>2991</v>
      </c>
      <c r="H33" t="s">
        <v>2991</v>
      </c>
      <c r="I33" t="s">
        <v>2938</v>
      </c>
      <c r="J33">
        <v>12</v>
      </c>
      <c r="K33">
        <v>12</v>
      </c>
      <c r="L33">
        <v>12</v>
      </c>
      <c r="M33">
        <v>988</v>
      </c>
      <c r="N33">
        <v>1.52</v>
      </c>
      <c r="O33">
        <v>988</v>
      </c>
      <c r="P33">
        <v>1.52</v>
      </c>
      <c r="Q33">
        <v>988</v>
      </c>
      <c r="R33">
        <v>1.52</v>
      </c>
      <c r="S33">
        <v>0</v>
      </c>
      <c r="T33">
        <v>0</v>
      </c>
      <c r="U33">
        <v>988</v>
      </c>
      <c r="V33">
        <v>1.52</v>
      </c>
      <c r="W33">
        <v>988.08</v>
      </c>
      <c r="X33">
        <v>0</v>
      </c>
      <c r="Y33">
        <v>0</v>
      </c>
      <c r="Z33">
        <v>0</v>
      </c>
      <c r="AA33">
        <v>0</v>
      </c>
    </row>
    <row r="34" spans="2:27">
      <c r="B34" t="s">
        <v>2261</v>
      </c>
      <c r="C34" t="s">
        <v>2405</v>
      </c>
      <c r="D34">
        <v>650</v>
      </c>
      <c r="E34">
        <v>188</v>
      </c>
      <c r="F34" s="455">
        <v>46218</v>
      </c>
      <c r="G34" t="s">
        <v>2992</v>
      </c>
      <c r="H34" t="s">
        <v>2406</v>
      </c>
      <c r="I34" t="s">
        <v>2940</v>
      </c>
      <c r="J34">
        <v>12</v>
      </c>
      <c r="K34">
        <v>12</v>
      </c>
      <c r="L34">
        <v>12</v>
      </c>
      <c r="M34">
        <v>955</v>
      </c>
      <c r="N34">
        <v>1.47</v>
      </c>
      <c r="O34">
        <v>396.16</v>
      </c>
      <c r="P34">
        <v>0.61</v>
      </c>
      <c r="Q34">
        <v>805</v>
      </c>
      <c r="R34">
        <v>1.24</v>
      </c>
      <c r="S34">
        <v>0</v>
      </c>
      <c r="T34">
        <v>0</v>
      </c>
      <c r="U34">
        <v>805</v>
      </c>
      <c r="V34">
        <v>1.24</v>
      </c>
      <c r="W34">
        <v>805.08</v>
      </c>
      <c r="X34">
        <v>-150</v>
      </c>
      <c r="Y34">
        <v>-0.15709999999999999</v>
      </c>
      <c r="Z34">
        <v>408.84</v>
      </c>
      <c r="AA34">
        <v>1.032</v>
      </c>
    </row>
    <row r="35" spans="2:27">
      <c r="B35" t="s">
        <v>2261</v>
      </c>
      <c r="C35" t="s">
        <v>1565</v>
      </c>
      <c r="D35">
        <v>650</v>
      </c>
      <c r="E35">
        <v>104</v>
      </c>
      <c r="F35" s="455">
        <v>46211</v>
      </c>
      <c r="G35" t="s">
        <v>2144</v>
      </c>
      <c r="H35" t="s">
        <v>2993</v>
      </c>
      <c r="I35" t="s">
        <v>2940</v>
      </c>
      <c r="J35">
        <v>12</v>
      </c>
      <c r="K35">
        <v>12</v>
      </c>
      <c r="L35">
        <v>12</v>
      </c>
      <c r="M35">
        <v>910</v>
      </c>
      <c r="N35">
        <v>1.4</v>
      </c>
      <c r="O35">
        <v>123.39</v>
      </c>
      <c r="P35">
        <v>0.19</v>
      </c>
      <c r="Q35">
        <v>760</v>
      </c>
      <c r="R35">
        <v>1.17</v>
      </c>
      <c r="S35">
        <v>0</v>
      </c>
      <c r="T35">
        <v>0</v>
      </c>
      <c r="U35">
        <v>760</v>
      </c>
      <c r="V35">
        <v>1.17</v>
      </c>
      <c r="W35">
        <v>760</v>
      </c>
      <c r="X35">
        <v>-150</v>
      </c>
      <c r="Y35">
        <v>-0.1648</v>
      </c>
      <c r="Z35">
        <v>636.61</v>
      </c>
      <c r="AA35">
        <v>5.1595000000000004</v>
      </c>
    </row>
    <row r="36" spans="2:27">
      <c r="B36" t="s">
        <v>2261</v>
      </c>
      <c r="C36" t="s">
        <v>2466</v>
      </c>
      <c r="D36">
        <v>650</v>
      </c>
      <c r="E36">
        <v>152</v>
      </c>
      <c r="F36" s="455">
        <v>46187</v>
      </c>
      <c r="G36" t="s">
        <v>2467</v>
      </c>
      <c r="H36" t="s">
        <v>2994</v>
      </c>
      <c r="I36" t="s">
        <v>2940</v>
      </c>
      <c r="J36">
        <v>12</v>
      </c>
      <c r="K36">
        <v>12</v>
      </c>
      <c r="L36">
        <v>12</v>
      </c>
      <c r="M36">
        <v>931</v>
      </c>
      <c r="N36">
        <v>1.43</v>
      </c>
      <c r="O36">
        <v>931</v>
      </c>
      <c r="P36">
        <v>1.43</v>
      </c>
      <c r="Q36">
        <v>830</v>
      </c>
      <c r="R36">
        <v>1.28</v>
      </c>
      <c r="S36">
        <v>0</v>
      </c>
      <c r="T36">
        <v>0</v>
      </c>
      <c r="U36">
        <v>830</v>
      </c>
      <c r="V36">
        <v>1.28</v>
      </c>
      <c r="W36">
        <v>830.25</v>
      </c>
      <c r="X36">
        <v>-101</v>
      </c>
      <c r="Y36">
        <v>-0.1085</v>
      </c>
      <c r="Z36">
        <v>-101</v>
      </c>
      <c r="AA36">
        <v>-0.1085</v>
      </c>
    </row>
    <row r="37" spans="2:27">
      <c r="B37" t="s">
        <v>2261</v>
      </c>
      <c r="C37" t="s">
        <v>2470</v>
      </c>
      <c r="D37">
        <v>650</v>
      </c>
      <c r="E37">
        <v>9</v>
      </c>
      <c r="F37" s="455">
        <v>46193</v>
      </c>
      <c r="G37" t="s">
        <v>2471</v>
      </c>
      <c r="H37" t="s">
        <v>2995</v>
      </c>
      <c r="I37" t="s">
        <v>2940</v>
      </c>
      <c r="J37">
        <v>12</v>
      </c>
      <c r="K37">
        <v>12</v>
      </c>
      <c r="L37">
        <v>12</v>
      </c>
      <c r="M37">
        <v>935</v>
      </c>
      <c r="N37">
        <v>1.44</v>
      </c>
      <c r="O37">
        <v>935</v>
      </c>
      <c r="P37">
        <v>1.44</v>
      </c>
      <c r="Q37">
        <v>760</v>
      </c>
      <c r="R37">
        <v>1.17</v>
      </c>
      <c r="S37">
        <v>0</v>
      </c>
      <c r="T37">
        <v>0</v>
      </c>
      <c r="U37">
        <v>760</v>
      </c>
      <c r="V37">
        <v>1.17</v>
      </c>
      <c r="W37">
        <v>760</v>
      </c>
      <c r="X37">
        <v>-175</v>
      </c>
      <c r="Y37">
        <v>-0.18720000000000001</v>
      </c>
      <c r="Z37">
        <v>-175</v>
      </c>
      <c r="AA37">
        <v>-0.18720000000000001</v>
      </c>
    </row>
    <row r="38" spans="2:27">
      <c r="B38" t="s">
        <v>2261</v>
      </c>
      <c r="C38" t="s">
        <v>2472</v>
      </c>
      <c r="D38">
        <v>650</v>
      </c>
      <c r="E38">
        <v>44</v>
      </c>
      <c r="F38" s="455">
        <v>46203</v>
      </c>
      <c r="G38" t="s">
        <v>2473</v>
      </c>
      <c r="H38" t="s">
        <v>2996</v>
      </c>
      <c r="I38" t="s">
        <v>2940</v>
      </c>
      <c r="J38">
        <v>12</v>
      </c>
      <c r="K38">
        <v>12</v>
      </c>
      <c r="L38">
        <v>12</v>
      </c>
      <c r="M38">
        <v>784</v>
      </c>
      <c r="N38">
        <v>1.21</v>
      </c>
      <c r="O38">
        <v>784</v>
      </c>
      <c r="P38">
        <v>1.21</v>
      </c>
      <c r="Q38">
        <v>760</v>
      </c>
      <c r="R38">
        <v>1.17</v>
      </c>
      <c r="S38">
        <v>0</v>
      </c>
      <c r="T38">
        <v>0</v>
      </c>
      <c r="U38">
        <v>760</v>
      </c>
      <c r="V38">
        <v>1.17</v>
      </c>
      <c r="W38">
        <v>760</v>
      </c>
      <c r="X38">
        <v>-24</v>
      </c>
      <c r="Y38">
        <v>-3.0599999999999999E-2</v>
      </c>
      <c r="Z38">
        <v>-24</v>
      </c>
      <c r="AA38">
        <v>-3.0599999999999999E-2</v>
      </c>
    </row>
    <row r="39" spans="2:27">
      <c r="B39" t="s">
        <v>2262</v>
      </c>
      <c r="C39" t="s">
        <v>2545</v>
      </c>
      <c r="D39">
        <v>667</v>
      </c>
      <c r="E39">
        <v>69</v>
      </c>
      <c r="F39" s="455">
        <v>46230</v>
      </c>
      <c r="G39" t="s">
        <v>2546</v>
      </c>
      <c r="H39" t="s">
        <v>2997</v>
      </c>
      <c r="I39" t="s">
        <v>2940</v>
      </c>
      <c r="J39">
        <v>12</v>
      </c>
      <c r="K39">
        <v>12</v>
      </c>
      <c r="L39">
        <v>12</v>
      </c>
      <c r="M39" s="456">
        <v>1035</v>
      </c>
      <c r="N39">
        <v>1.55</v>
      </c>
      <c r="O39" s="456">
        <v>1035</v>
      </c>
      <c r="P39">
        <v>1.55</v>
      </c>
      <c r="Q39">
        <v>973</v>
      </c>
      <c r="R39">
        <v>1.46</v>
      </c>
      <c r="S39">
        <v>0</v>
      </c>
      <c r="T39">
        <v>0</v>
      </c>
      <c r="U39">
        <v>973</v>
      </c>
      <c r="V39">
        <v>1.46</v>
      </c>
      <c r="W39">
        <v>973.08</v>
      </c>
      <c r="X39">
        <v>-62</v>
      </c>
      <c r="Y39">
        <v>-5.9900000000000002E-2</v>
      </c>
      <c r="Z39">
        <v>-62</v>
      </c>
      <c r="AA39">
        <v>-5.9900000000000002E-2</v>
      </c>
    </row>
    <row r="40" spans="2:27">
      <c r="B40" t="s">
        <v>2262</v>
      </c>
      <c r="C40" t="s">
        <v>2550</v>
      </c>
      <c r="D40">
        <v>667</v>
      </c>
      <c r="E40">
        <v>111</v>
      </c>
      <c r="F40" s="455">
        <v>46238</v>
      </c>
      <c r="G40" t="s">
        <v>2551</v>
      </c>
      <c r="H40" t="s">
        <v>2998</v>
      </c>
      <c r="I40" t="s">
        <v>2940</v>
      </c>
      <c r="J40">
        <v>12</v>
      </c>
      <c r="K40">
        <v>12</v>
      </c>
      <c r="L40">
        <v>12</v>
      </c>
      <c r="M40" s="456">
        <v>1125</v>
      </c>
      <c r="N40">
        <v>1.69</v>
      </c>
      <c r="O40" s="456">
        <v>1125</v>
      </c>
      <c r="P40">
        <v>1.69</v>
      </c>
      <c r="Q40">
        <v>973</v>
      </c>
      <c r="R40">
        <v>1.46</v>
      </c>
      <c r="S40">
        <v>0</v>
      </c>
      <c r="T40">
        <v>0</v>
      </c>
      <c r="U40">
        <v>973</v>
      </c>
      <c r="V40">
        <v>1.46</v>
      </c>
      <c r="W40">
        <v>973.08</v>
      </c>
      <c r="X40">
        <v>-152</v>
      </c>
      <c r="Y40">
        <v>-0.1351</v>
      </c>
      <c r="Z40">
        <v>-152</v>
      </c>
      <c r="AA40">
        <v>-0.1351</v>
      </c>
    </row>
    <row r="41" spans="2:27">
      <c r="B41" t="s">
        <v>2262</v>
      </c>
      <c r="C41" t="s">
        <v>1552</v>
      </c>
      <c r="D41">
        <v>667</v>
      </c>
      <c r="E41">
        <v>221</v>
      </c>
      <c r="F41" s="455">
        <v>46242</v>
      </c>
      <c r="G41" t="s">
        <v>2999</v>
      </c>
      <c r="H41" t="s">
        <v>3000</v>
      </c>
      <c r="I41" t="s">
        <v>2940</v>
      </c>
      <c r="J41">
        <v>12</v>
      </c>
      <c r="K41">
        <v>12</v>
      </c>
      <c r="L41">
        <v>12</v>
      </c>
      <c r="M41">
        <v>848</v>
      </c>
      <c r="N41">
        <v>1.27</v>
      </c>
      <c r="O41">
        <v>812.2</v>
      </c>
      <c r="P41">
        <v>1.22</v>
      </c>
      <c r="Q41">
        <v>933</v>
      </c>
      <c r="R41">
        <v>1.4</v>
      </c>
      <c r="S41">
        <v>0</v>
      </c>
      <c r="T41">
        <v>0</v>
      </c>
      <c r="U41">
        <v>933</v>
      </c>
      <c r="V41">
        <v>1.4</v>
      </c>
      <c r="W41">
        <v>933.17</v>
      </c>
      <c r="X41">
        <v>85</v>
      </c>
      <c r="Y41">
        <v>0.1002</v>
      </c>
      <c r="Z41">
        <v>120.8</v>
      </c>
      <c r="AA41">
        <v>0.1487</v>
      </c>
    </row>
    <row r="42" spans="2:27">
      <c r="B42" t="s">
        <v>2262</v>
      </c>
      <c r="C42" t="s">
        <v>3001</v>
      </c>
      <c r="D42">
        <v>667</v>
      </c>
      <c r="E42">
        <v>0</v>
      </c>
      <c r="F42" s="455">
        <v>46175</v>
      </c>
      <c r="G42" t="s">
        <v>3002</v>
      </c>
      <c r="H42" t="s">
        <v>3002</v>
      </c>
      <c r="I42" t="s">
        <v>2938</v>
      </c>
      <c r="J42">
        <v>12</v>
      </c>
      <c r="K42">
        <v>12</v>
      </c>
      <c r="L42">
        <v>12</v>
      </c>
      <c r="M42">
        <v>912</v>
      </c>
      <c r="N42">
        <v>1.37</v>
      </c>
      <c r="O42">
        <v>912</v>
      </c>
      <c r="P42">
        <v>1.37</v>
      </c>
      <c r="Q42">
        <v>912</v>
      </c>
      <c r="R42">
        <v>1.37</v>
      </c>
      <c r="S42">
        <v>0</v>
      </c>
      <c r="T42">
        <v>0</v>
      </c>
      <c r="U42">
        <v>912</v>
      </c>
      <c r="V42">
        <v>1.37</v>
      </c>
      <c r="W42">
        <v>912</v>
      </c>
      <c r="X42">
        <v>0</v>
      </c>
      <c r="Y42">
        <v>0</v>
      </c>
      <c r="Z42">
        <v>0</v>
      </c>
      <c r="AA42">
        <v>0</v>
      </c>
    </row>
    <row r="43" spans="2:27">
      <c r="B43" t="s">
        <v>2262</v>
      </c>
      <c r="C43" t="s">
        <v>3003</v>
      </c>
      <c r="D43">
        <v>667</v>
      </c>
      <c r="E43">
        <v>0</v>
      </c>
      <c r="F43" s="455">
        <v>46199</v>
      </c>
      <c r="G43" t="s">
        <v>3004</v>
      </c>
      <c r="H43" t="s">
        <v>3004</v>
      </c>
      <c r="I43" t="s">
        <v>2938</v>
      </c>
      <c r="J43">
        <v>12</v>
      </c>
      <c r="K43">
        <v>12</v>
      </c>
      <c r="L43">
        <v>12</v>
      </c>
      <c r="M43">
        <v>960</v>
      </c>
      <c r="N43">
        <v>1.44</v>
      </c>
      <c r="O43">
        <v>960</v>
      </c>
      <c r="P43">
        <v>1.44</v>
      </c>
      <c r="Q43">
        <v>960</v>
      </c>
      <c r="R43">
        <v>1.44</v>
      </c>
      <c r="S43">
        <v>0</v>
      </c>
      <c r="T43">
        <v>0</v>
      </c>
      <c r="U43">
        <v>960</v>
      </c>
      <c r="V43">
        <v>1.44</v>
      </c>
      <c r="W43">
        <v>960.08</v>
      </c>
      <c r="X43">
        <v>0</v>
      </c>
      <c r="Y43">
        <v>0</v>
      </c>
      <c r="Z43">
        <v>0</v>
      </c>
      <c r="AA43">
        <v>0</v>
      </c>
    </row>
    <row r="44" spans="2:27">
      <c r="B44" t="s">
        <v>2262</v>
      </c>
      <c r="C44" t="s">
        <v>1801</v>
      </c>
      <c r="D44">
        <v>667</v>
      </c>
      <c r="E44">
        <v>183</v>
      </c>
      <c r="F44" s="455">
        <v>46171</v>
      </c>
      <c r="G44" t="s">
        <v>3005</v>
      </c>
      <c r="H44" t="s">
        <v>3006</v>
      </c>
      <c r="I44" t="s">
        <v>2940</v>
      </c>
      <c r="J44">
        <v>12</v>
      </c>
      <c r="K44">
        <v>12</v>
      </c>
      <c r="L44">
        <v>12</v>
      </c>
      <c r="M44" s="456">
        <v>1140</v>
      </c>
      <c r="N44">
        <v>1.71</v>
      </c>
      <c r="O44" s="456">
        <v>1140</v>
      </c>
      <c r="P44">
        <v>1.71</v>
      </c>
      <c r="Q44">
        <v>973</v>
      </c>
      <c r="R44">
        <v>1.46</v>
      </c>
      <c r="S44">
        <v>0</v>
      </c>
      <c r="T44">
        <v>0</v>
      </c>
      <c r="U44">
        <v>973</v>
      </c>
      <c r="V44">
        <v>1.46</v>
      </c>
      <c r="W44">
        <v>973.08</v>
      </c>
      <c r="X44">
        <v>-167</v>
      </c>
      <c r="Y44">
        <v>-0.14649999999999999</v>
      </c>
      <c r="Z44">
        <v>-167</v>
      </c>
      <c r="AA44">
        <v>-0.14649999999999999</v>
      </c>
    </row>
    <row r="45" spans="2:27">
      <c r="B45" t="s">
        <v>2262</v>
      </c>
      <c r="C45" t="s">
        <v>3007</v>
      </c>
      <c r="D45">
        <v>667</v>
      </c>
      <c r="E45">
        <v>0</v>
      </c>
      <c r="F45" s="455">
        <v>46234</v>
      </c>
      <c r="G45" t="s">
        <v>3008</v>
      </c>
      <c r="H45" t="s">
        <v>3008</v>
      </c>
      <c r="I45" t="s">
        <v>2938</v>
      </c>
      <c r="J45">
        <v>12</v>
      </c>
      <c r="K45">
        <v>12</v>
      </c>
      <c r="L45">
        <v>12</v>
      </c>
      <c r="M45">
        <v>976</v>
      </c>
      <c r="N45">
        <v>1.46</v>
      </c>
      <c r="O45">
        <v>976</v>
      </c>
      <c r="P45">
        <v>1.46</v>
      </c>
      <c r="Q45">
        <v>976</v>
      </c>
      <c r="R45">
        <v>1.46</v>
      </c>
      <c r="S45">
        <v>0</v>
      </c>
      <c r="T45">
        <v>0</v>
      </c>
      <c r="U45">
        <v>976</v>
      </c>
      <c r="V45">
        <v>1.46</v>
      </c>
      <c r="W45">
        <v>976</v>
      </c>
      <c r="X45">
        <v>0</v>
      </c>
      <c r="Y45">
        <v>0</v>
      </c>
      <c r="Z45">
        <v>0</v>
      </c>
      <c r="AA45">
        <v>0</v>
      </c>
    </row>
    <row r="46" spans="2:27">
      <c r="B46" t="s">
        <v>2262</v>
      </c>
      <c r="C46" t="s">
        <v>3009</v>
      </c>
      <c r="D46">
        <v>667</v>
      </c>
      <c r="E46">
        <v>0</v>
      </c>
      <c r="F46" s="455">
        <v>46164</v>
      </c>
      <c r="G46" t="s">
        <v>3010</v>
      </c>
      <c r="H46" t="s">
        <v>3010</v>
      </c>
      <c r="I46" t="s">
        <v>2938</v>
      </c>
      <c r="J46">
        <v>12</v>
      </c>
      <c r="K46">
        <v>12</v>
      </c>
      <c r="L46">
        <v>12</v>
      </c>
      <c r="M46">
        <v>884</v>
      </c>
      <c r="N46">
        <v>1.33</v>
      </c>
      <c r="O46">
        <v>884</v>
      </c>
      <c r="P46">
        <v>1.33</v>
      </c>
      <c r="Q46">
        <v>884</v>
      </c>
      <c r="R46">
        <v>1.33</v>
      </c>
      <c r="S46">
        <v>0</v>
      </c>
      <c r="T46">
        <v>0</v>
      </c>
      <c r="U46">
        <v>884</v>
      </c>
      <c r="V46">
        <v>1.33</v>
      </c>
      <c r="W46">
        <v>884</v>
      </c>
      <c r="X46">
        <v>0</v>
      </c>
      <c r="Y46">
        <v>0</v>
      </c>
      <c r="Z46">
        <v>0</v>
      </c>
      <c r="AA46">
        <v>0</v>
      </c>
    </row>
    <row r="47" spans="2:27">
      <c r="B47" t="s">
        <v>2262</v>
      </c>
      <c r="C47" t="s">
        <v>3011</v>
      </c>
      <c r="D47">
        <v>667</v>
      </c>
      <c r="E47">
        <v>0</v>
      </c>
      <c r="F47" s="455">
        <v>46167</v>
      </c>
      <c r="G47" t="s">
        <v>3012</v>
      </c>
      <c r="H47" t="s">
        <v>3012</v>
      </c>
      <c r="I47" t="s">
        <v>2938</v>
      </c>
      <c r="J47">
        <v>12</v>
      </c>
      <c r="K47">
        <v>12</v>
      </c>
      <c r="L47">
        <v>12</v>
      </c>
      <c r="M47">
        <v>882</v>
      </c>
      <c r="N47">
        <v>1.32</v>
      </c>
      <c r="O47">
        <v>882</v>
      </c>
      <c r="P47">
        <v>1.32</v>
      </c>
      <c r="Q47">
        <v>882</v>
      </c>
      <c r="R47">
        <v>1.32</v>
      </c>
      <c r="S47">
        <v>0</v>
      </c>
      <c r="T47">
        <v>0</v>
      </c>
      <c r="U47">
        <v>882</v>
      </c>
      <c r="V47">
        <v>1.32</v>
      </c>
      <c r="W47">
        <v>882</v>
      </c>
      <c r="X47">
        <v>0</v>
      </c>
      <c r="Y47">
        <v>0</v>
      </c>
      <c r="Z47">
        <v>0</v>
      </c>
      <c r="AA47">
        <v>0</v>
      </c>
    </row>
    <row r="48" spans="2:27">
      <c r="B48" t="s">
        <v>2262</v>
      </c>
      <c r="C48" t="s">
        <v>3013</v>
      </c>
      <c r="D48">
        <v>667</v>
      </c>
      <c r="E48">
        <v>37</v>
      </c>
      <c r="F48" s="455">
        <v>46162</v>
      </c>
      <c r="G48" t="s">
        <v>3014</v>
      </c>
      <c r="H48" t="s">
        <v>3015</v>
      </c>
      <c r="I48" t="s">
        <v>2940</v>
      </c>
      <c r="J48">
        <v>12</v>
      </c>
      <c r="K48">
        <v>12</v>
      </c>
      <c r="L48">
        <v>12</v>
      </c>
      <c r="M48" s="456">
        <v>1065</v>
      </c>
      <c r="N48">
        <v>1.6</v>
      </c>
      <c r="O48" s="456">
        <v>1065</v>
      </c>
      <c r="P48">
        <v>1.6</v>
      </c>
      <c r="Q48">
        <v>973</v>
      </c>
      <c r="R48">
        <v>1.46</v>
      </c>
      <c r="S48">
        <v>0</v>
      </c>
      <c r="T48">
        <v>0</v>
      </c>
      <c r="U48">
        <v>973</v>
      </c>
      <c r="V48">
        <v>1.46</v>
      </c>
      <c r="W48">
        <v>973.08</v>
      </c>
      <c r="X48">
        <v>-92</v>
      </c>
      <c r="Y48">
        <v>-8.6400000000000005E-2</v>
      </c>
      <c r="Z48">
        <v>-92</v>
      </c>
      <c r="AA48">
        <v>-8.6400000000000005E-2</v>
      </c>
    </row>
    <row r="49" spans="2:27">
      <c r="B49" t="s">
        <v>2262</v>
      </c>
      <c r="C49" t="s">
        <v>3016</v>
      </c>
      <c r="D49">
        <v>667</v>
      </c>
      <c r="E49">
        <v>0</v>
      </c>
      <c r="F49" s="455">
        <v>46161</v>
      </c>
      <c r="G49" t="s">
        <v>3017</v>
      </c>
      <c r="H49" t="s">
        <v>3017</v>
      </c>
      <c r="I49" t="s">
        <v>2938</v>
      </c>
      <c r="J49">
        <v>12</v>
      </c>
      <c r="K49">
        <v>12</v>
      </c>
      <c r="L49">
        <v>12</v>
      </c>
      <c r="M49" s="456">
        <v>1060</v>
      </c>
      <c r="N49">
        <v>1.59</v>
      </c>
      <c r="O49" s="456">
        <v>1060</v>
      </c>
      <c r="P49">
        <v>1.59</v>
      </c>
      <c r="Q49" s="456">
        <v>1060</v>
      </c>
      <c r="R49">
        <v>1.59</v>
      </c>
      <c r="S49">
        <v>0</v>
      </c>
      <c r="T49">
        <v>0</v>
      </c>
      <c r="U49" s="456">
        <v>1060</v>
      </c>
      <c r="V49">
        <v>1.59</v>
      </c>
      <c r="W49" s="456">
        <v>1060</v>
      </c>
      <c r="X49">
        <v>0</v>
      </c>
      <c r="Y49">
        <v>0</v>
      </c>
      <c r="Z49">
        <v>0</v>
      </c>
      <c r="AA49">
        <v>0</v>
      </c>
    </row>
    <row r="50" spans="2:27">
      <c r="B50" t="s">
        <v>2262</v>
      </c>
      <c r="C50" t="s">
        <v>2623</v>
      </c>
      <c r="D50">
        <v>667</v>
      </c>
      <c r="E50">
        <v>62</v>
      </c>
      <c r="F50" s="455">
        <v>46225</v>
      </c>
      <c r="G50" t="s">
        <v>2624</v>
      </c>
      <c r="H50" t="s">
        <v>3018</v>
      </c>
      <c r="I50" t="s">
        <v>2940</v>
      </c>
      <c r="J50">
        <v>12</v>
      </c>
      <c r="K50">
        <v>12</v>
      </c>
      <c r="L50">
        <v>12</v>
      </c>
      <c r="M50" s="456">
        <v>1075</v>
      </c>
      <c r="N50">
        <v>1.61</v>
      </c>
      <c r="O50" s="456">
        <v>1075</v>
      </c>
      <c r="P50">
        <v>1.61</v>
      </c>
      <c r="Q50">
        <v>983</v>
      </c>
      <c r="R50">
        <v>1.47</v>
      </c>
      <c r="S50">
        <v>0</v>
      </c>
      <c r="T50">
        <v>0</v>
      </c>
      <c r="U50">
        <v>983</v>
      </c>
      <c r="V50">
        <v>1.47</v>
      </c>
      <c r="W50">
        <v>983</v>
      </c>
      <c r="X50">
        <v>-92</v>
      </c>
      <c r="Y50">
        <v>-8.5599999999999996E-2</v>
      </c>
      <c r="Z50">
        <v>-92</v>
      </c>
      <c r="AA50">
        <v>-8.5599999999999996E-2</v>
      </c>
    </row>
    <row r="51" spans="2:27">
      <c r="B51" t="s">
        <v>2263</v>
      </c>
      <c r="C51" t="s">
        <v>3019</v>
      </c>
      <c r="D51">
        <v>670</v>
      </c>
      <c r="E51">
        <v>170</v>
      </c>
      <c r="F51" s="455">
        <v>46214</v>
      </c>
      <c r="G51" t="s">
        <v>3020</v>
      </c>
      <c r="H51" t="s">
        <v>3021</v>
      </c>
      <c r="I51" t="s">
        <v>2940</v>
      </c>
      <c r="J51">
        <v>12</v>
      </c>
      <c r="K51">
        <v>12</v>
      </c>
      <c r="L51">
        <v>12</v>
      </c>
      <c r="M51">
        <v>880</v>
      </c>
      <c r="N51">
        <v>1.31</v>
      </c>
      <c r="O51">
        <v>874.54</v>
      </c>
      <c r="P51">
        <v>1.31</v>
      </c>
      <c r="Q51">
        <v>907</v>
      </c>
      <c r="R51">
        <v>1.35</v>
      </c>
      <c r="S51">
        <v>0</v>
      </c>
      <c r="T51">
        <v>0</v>
      </c>
      <c r="U51">
        <v>907</v>
      </c>
      <c r="V51">
        <v>1.35</v>
      </c>
      <c r="W51">
        <v>907.17</v>
      </c>
      <c r="X51">
        <v>27</v>
      </c>
      <c r="Y51">
        <v>3.0700000000000002E-2</v>
      </c>
      <c r="Z51">
        <v>32.46</v>
      </c>
      <c r="AA51">
        <v>3.7100000000000001E-2</v>
      </c>
    </row>
    <row r="52" spans="2:27">
      <c r="B52" t="s">
        <v>2263</v>
      </c>
      <c r="C52" t="s">
        <v>1529</v>
      </c>
      <c r="D52">
        <v>670</v>
      </c>
      <c r="E52">
        <v>126</v>
      </c>
      <c r="F52" s="455">
        <v>46202</v>
      </c>
      <c r="G52" t="s">
        <v>2155</v>
      </c>
      <c r="H52" t="s">
        <v>3022</v>
      </c>
      <c r="I52" t="s">
        <v>2940</v>
      </c>
      <c r="J52">
        <v>12</v>
      </c>
      <c r="K52">
        <v>12</v>
      </c>
      <c r="L52">
        <v>12</v>
      </c>
      <c r="M52" s="456">
        <v>1100</v>
      </c>
      <c r="N52">
        <v>1.64</v>
      </c>
      <c r="O52">
        <v>781.93</v>
      </c>
      <c r="P52">
        <v>1.17</v>
      </c>
      <c r="Q52" s="456">
        <v>1002</v>
      </c>
      <c r="R52">
        <v>1.5</v>
      </c>
      <c r="S52">
        <v>0</v>
      </c>
      <c r="T52">
        <v>0</v>
      </c>
      <c r="U52" s="456">
        <v>1002</v>
      </c>
      <c r="V52">
        <v>1.5</v>
      </c>
      <c r="W52" s="456">
        <v>1002.25</v>
      </c>
      <c r="X52">
        <v>-98</v>
      </c>
      <c r="Y52">
        <v>-8.9099999999999999E-2</v>
      </c>
      <c r="Z52">
        <v>220.07</v>
      </c>
      <c r="AA52">
        <v>0.28139999999999998</v>
      </c>
    </row>
    <row r="53" spans="2:27">
      <c r="B53" t="s">
        <v>2263</v>
      </c>
      <c r="C53" t="s">
        <v>3023</v>
      </c>
      <c r="D53">
        <v>670</v>
      </c>
      <c r="E53">
        <v>0</v>
      </c>
      <c r="F53" s="455">
        <v>46216</v>
      </c>
      <c r="G53" t="s">
        <v>3024</v>
      </c>
      <c r="H53" t="s">
        <v>3024</v>
      </c>
      <c r="I53" t="s">
        <v>2938</v>
      </c>
      <c r="J53">
        <v>12</v>
      </c>
      <c r="K53">
        <v>12</v>
      </c>
      <c r="L53">
        <v>12</v>
      </c>
      <c r="M53" s="456">
        <v>1075</v>
      </c>
      <c r="N53">
        <v>1.6</v>
      </c>
      <c r="O53" s="456">
        <v>1075</v>
      </c>
      <c r="P53">
        <v>1.6</v>
      </c>
      <c r="Q53" s="456">
        <v>1030</v>
      </c>
      <c r="R53">
        <v>1.54</v>
      </c>
      <c r="S53">
        <v>0</v>
      </c>
      <c r="T53">
        <v>0</v>
      </c>
      <c r="U53" s="456">
        <v>1030</v>
      </c>
      <c r="V53">
        <v>1.54</v>
      </c>
      <c r="W53" s="456">
        <v>1030.08</v>
      </c>
      <c r="X53">
        <v>-45</v>
      </c>
      <c r="Y53">
        <v>-4.19E-2</v>
      </c>
      <c r="Z53">
        <v>-45</v>
      </c>
      <c r="AA53">
        <v>-4.19E-2</v>
      </c>
    </row>
    <row r="54" spans="2:27">
      <c r="B54" t="s">
        <v>2263</v>
      </c>
      <c r="C54" t="s">
        <v>3025</v>
      </c>
      <c r="D54">
        <v>670</v>
      </c>
      <c r="E54">
        <v>0</v>
      </c>
      <c r="F54" s="455">
        <v>46204</v>
      </c>
      <c r="G54" t="s">
        <v>3026</v>
      </c>
      <c r="H54" t="s">
        <v>3026</v>
      </c>
      <c r="I54" t="s">
        <v>2938</v>
      </c>
      <c r="J54">
        <v>12</v>
      </c>
      <c r="K54">
        <v>12</v>
      </c>
      <c r="L54">
        <v>12</v>
      </c>
      <c r="M54" s="456">
        <v>1010</v>
      </c>
      <c r="N54">
        <v>1.51</v>
      </c>
      <c r="O54" s="456">
        <v>1010</v>
      </c>
      <c r="P54">
        <v>1.51</v>
      </c>
      <c r="Q54" s="456">
        <v>1010</v>
      </c>
      <c r="R54">
        <v>1.51</v>
      </c>
      <c r="S54">
        <v>0</v>
      </c>
      <c r="T54">
        <v>0</v>
      </c>
      <c r="U54" s="456">
        <v>1010</v>
      </c>
      <c r="V54">
        <v>1.51</v>
      </c>
      <c r="W54" s="456">
        <v>1007.5</v>
      </c>
      <c r="X54">
        <v>0</v>
      </c>
      <c r="Y54">
        <v>0</v>
      </c>
      <c r="Z54">
        <v>0</v>
      </c>
      <c r="AA54">
        <v>0</v>
      </c>
    </row>
    <row r="55" spans="2:27">
      <c r="B55" t="s">
        <v>2263</v>
      </c>
      <c r="C55" t="s">
        <v>3027</v>
      </c>
      <c r="D55">
        <v>670</v>
      </c>
      <c r="E55">
        <v>0</v>
      </c>
      <c r="F55" s="455">
        <v>46196</v>
      </c>
      <c r="G55" t="s">
        <v>3028</v>
      </c>
      <c r="H55" t="s">
        <v>3028</v>
      </c>
      <c r="I55" t="s">
        <v>2938</v>
      </c>
      <c r="J55">
        <v>12</v>
      </c>
      <c r="K55">
        <v>12</v>
      </c>
      <c r="L55">
        <v>12</v>
      </c>
      <c r="M55" s="456">
        <v>1125</v>
      </c>
      <c r="N55">
        <v>1.68</v>
      </c>
      <c r="O55" s="456">
        <v>1125</v>
      </c>
      <c r="P55">
        <v>1.68</v>
      </c>
      <c r="Q55" s="456">
        <v>1070</v>
      </c>
      <c r="R55">
        <v>1.6</v>
      </c>
      <c r="S55">
        <v>0</v>
      </c>
      <c r="T55">
        <v>0</v>
      </c>
      <c r="U55" s="456">
        <v>1070</v>
      </c>
      <c r="V55">
        <v>1.6</v>
      </c>
      <c r="W55" s="456">
        <v>1070.25</v>
      </c>
      <c r="X55">
        <v>-55</v>
      </c>
      <c r="Y55">
        <v>-4.8899999999999999E-2</v>
      </c>
      <c r="Z55">
        <v>-55</v>
      </c>
      <c r="AA55">
        <v>-4.8899999999999999E-2</v>
      </c>
    </row>
    <row r="56" spans="2:27">
      <c r="B56" t="s">
        <v>2263</v>
      </c>
      <c r="C56" t="s">
        <v>3029</v>
      </c>
      <c r="D56">
        <v>670</v>
      </c>
      <c r="E56">
        <v>0</v>
      </c>
      <c r="F56" s="455">
        <v>46191</v>
      </c>
      <c r="G56" t="s">
        <v>3030</v>
      </c>
      <c r="H56" t="s">
        <v>3030</v>
      </c>
      <c r="I56" t="s">
        <v>2938</v>
      </c>
      <c r="J56">
        <v>12</v>
      </c>
      <c r="K56">
        <v>12</v>
      </c>
      <c r="L56">
        <v>12</v>
      </c>
      <c r="M56" s="456">
        <v>1075</v>
      </c>
      <c r="N56">
        <v>1.6</v>
      </c>
      <c r="O56" s="456">
        <v>1075</v>
      </c>
      <c r="P56">
        <v>1.6</v>
      </c>
      <c r="Q56" s="456">
        <v>1075</v>
      </c>
      <c r="R56">
        <v>1.6</v>
      </c>
      <c r="S56">
        <v>0</v>
      </c>
      <c r="T56">
        <v>0</v>
      </c>
      <c r="U56" s="456">
        <v>1075</v>
      </c>
      <c r="V56">
        <v>1.6</v>
      </c>
      <c r="W56" s="456">
        <v>1075.08</v>
      </c>
      <c r="X56">
        <v>0</v>
      </c>
      <c r="Y56">
        <v>0</v>
      </c>
      <c r="Z56">
        <v>0</v>
      </c>
      <c r="AA56">
        <v>0</v>
      </c>
    </row>
    <row r="57" spans="2:27">
      <c r="B57" t="s">
        <v>2263</v>
      </c>
      <c r="C57" t="s">
        <v>3031</v>
      </c>
      <c r="D57">
        <v>670</v>
      </c>
      <c r="E57">
        <v>0</v>
      </c>
      <c r="F57" s="455">
        <v>46168</v>
      </c>
      <c r="G57" t="s">
        <v>3032</v>
      </c>
      <c r="H57" t="s">
        <v>3032</v>
      </c>
      <c r="I57" t="s">
        <v>2938</v>
      </c>
      <c r="J57">
        <v>12</v>
      </c>
      <c r="K57">
        <v>12</v>
      </c>
      <c r="L57">
        <v>12</v>
      </c>
      <c r="M57">
        <v>976</v>
      </c>
      <c r="N57">
        <v>1.46</v>
      </c>
      <c r="O57">
        <v>976</v>
      </c>
      <c r="P57">
        <v>1.46</v>
      </c>
      <c r="Q57">
        <v>976</v>
      </c>
      <c r="R57">
        <v>1.46</v>
      </c>
      <c r="S57">
        <v>0</v>
      </c>
      <c r="T57">
        <v>0</v>
      </c>
      <c r="U57">
        <v>976</v>
      </c>
      <c r="V57">
        <v>1.46</v>
      </c>
      <c r="W57">
        <v>976</v>
      </c>
      <c r="X57">
        <v>0</v>
      </c>
      <c r="Y57">
        <v>0</v>
      </c>
      <c r="Z57">
        <v>0</v>
      </c>
      <c r="AA57">
        <v>0</v>
      </c>
    </row>
    <row r="58" spans="2:27">
      <c r="B58" t="s">
        <v>2264</v>
      </c>
      <c r="C58" t="s">
        <v>2698</v>
      </c>
      <c r="D58">
        <v>700</v>
      </c>
      <c r="E58">
        <v>65</v>
      </c>
      <c r="F58" s="455">
        <v>46227</v>
      </c>
      <c r="G58" t="s">
        <v>2699</v>
      </c>
      <c r="H58" t="s">
        <v>3033</v>
      </c>
      <c r="I58" t="s">
        <v>2940</v>
      </c>
      <c r="J58">
        <v>12</v>
      </c>
      <c r="K58">
        <v>12</v>
      </c>
      <c r="L58">
        <v>12</v>
      </c>
      <c r="M58" s="456">
        <v>1135</v>
      </c>
      <c r="N58">
        <v>1.62</v>
      </c>
      <c r="O58" s="456">
        <v>1135</v>
      </c>
      <c r="P58">
        <v>1.62</v>
      </c>
      <c r="Q58">
        <v>897</v>
      </c>
      <c r="R58">
        <v>1.28</v>
      </c>
      <c r="S58">
        <v>0</v>
      </c>
      <c r="T58">
        <v>0</v>
      </c>
      <c r="U58">
        <v>897</v>
      </c>
      <c r="V58">
        <v>1.28</v>
      </c>
      <c r="W58">
        <v>897.25</v>
      </c>
      <c r="X58">
        <v>-238</v>
      </c>
      <c r="Y58">
        <v>-0.2097</v>
      </c>
      <c r="Z58">
        <v>-238</v>
      </c>
      <c r="AA58">
        <v>-0.2097</v>
      </c>
    </row>
    <row r="59" spans="2:27">
      <c r="B59" t="s">
        <v>2264</v>
      </c>
      <c r="C59" t="s">
        <v>3034</v>
      </c>
      <c r="D59">
        <v>700</v>
      </c>
      <c r="E59">
        <v>0</v>
      </c>
      <c r="F59" s="455">
        <v>46196</v>
      </c>
      <c r="G59" t="s">
        <v>3035</v>
      </c>
      <c r="H59" t="s">
        <v>3035</v>
      </c>
      <c r="I59" t="s">
        <v>2938</v>
      </c>
      <c r="J59">
        <v>12</v>
      </c>
      <c r="K59">
        <v>12</v>
      </c>
      <c r="L59">
        <v>12</v>
      </c>
      <c r="M59">
        <v>835</v>
      </c>
      <c r="N59">
        <v>1.19</v>
      </c>
      <c r="O59">
        <v>835</v>
      </c>
      <c r="P59">
        <v>1.19</v>
      </c>
      <c r="Q59">
        <v>835</v>
      </c>
      <c r="R59">
        <v>1.19</v>
      </c>
      <c r="S59">
        <v>0</v>
      </c>
      <c r="T59">
        <v>0</v>
      </c>
      <c r="U59">
        <v>835</v>
      </c>
      <c r="V59">
        <v>1.19</v>
      </c>
      <c r="W59">
        <v>835.08</v>
      </c>
      <c r="X59">
        <v>0</v>
      </c>
      <c r="Y59">
        <v>0</v>
      </c>
      <c r="Z59">
        <v>0</v>
      </c>
      <c r="AA59">
        <v>0</v>
      </c>
    </row>
    <row r="60" spans="2:27">
      <c r="B60" t="s">
        <v>2264</v>
      </c>
      <c r="C60" t="s">
        <v>3036</v>
      </c>
      <c r="D60">
        <v>700</v>
      </c>
      <c r="E60">
        <v>0</v>
      </c>
      <c r="F60" s="455">
        <v>46143</v>
      </c>
      <c r="G60" t="s">
        <v>3037</v>
      </c>
      <c r="H60" t="s">
        <v>3037</v>
      </c>
      <c r="I60" t="s">
        <v>2938</v>
      </c>
      <c r="J60">
        <v>12</v>
      </c>
      <c r="K60">
        <v>12</v>
      </c>
      <c r="L60">
        <v>12</v>
      </c>
      <c r="M60" s="456">
        <v>1000</v>
      </c>
      <c r="N60">
        <v>1.43</v>
      </c>
      <c r="O60" s="456">
        <v>1000</v>
      </c>
      <c r="P60">
        <v>1.43</v>
      </c>
      <c r="Q60" s="456">
        <v>1000</v>
      </c>
      <c r="R60">
        <v>1.43</v>
      </c>
      <c r="S60">
        <v>0</v>
      </c>
      <c r="T60">
        <v>0</v>
      </c>
      <c r="U60" s="456">
        <v>1000</v>
      </c>
      <c r="V60">
        <v>1.43</v>
      </c>
      <c r="W60" s="456">
        <v>1000</v>
      </c>
      <c r="X60">
        <v>0</v>
      </c>
      <c r="Y60">
        <v>0</v>
      </c>
      <c r="Z60">
        <v>0</v>
      </c>
      <c r="AA60">
        <v>0</v>
      </c>
    </row>
    <row r="61" spans="2:27">
      <c r="B61" t="s">
        <v>2264</v>
      </c>
      <c r="C61" t="s">
        <v>2710</v>
      </c>
      <c r="D61">
        <v>700</v>
      </c>
      <c r="E61">
        <v>33</v>
      </c>
      <c r="F61" s="455">
        <v>46201</v>
      </c>
      <c r="G61" t="s">
        <v>2711</v>
      </c>
      <c r="H61" t="s">
        <v>3038</v>
      </c>
      <c r="I61" t="s">
        <v>2940</v>
      </c>
      <c r="J61">
        <v>12</v>
      </c>
      <c r="K61">
        <v>12</v>
      </c>
      <c r="L61">
        <v>12</v>
      </c>
      <c r="M61" s="456">
        <v>1080</v>
      </c>
      <c r="N61">
        <v>1.54</v>
      </c>
      <c r="O61" s="456">
        <v>1080</v>
      </c>
      <c r="P61">
        <v>1.54</v>
      </c>
      <c r="Q61">
        <v>872</v>
      </c>
      <c r="R61">
        <v>1.25</v>
      </c>
      <c r="S61">
        <v>0</v>
      </c>
      <c r="T61">
        <v>0</v>
      </c>
      <c r="U61">
        <v>872</v>
      </c>
      <c r="V61">
        <v>1.25</v>
      </c>
      <c r="W61">
        <v>872.08</v>
      </c>
      <c r="X61">
        <v>-208</v>
      </c>
      <c r="Y61">
        <v>-0.19259999999999999</v>
      </c>
      <c r="Z61">
        <v>-208</v>
      </c>
      <c r="AA61">
        <v>-0.19259999999999999</v>
      </c>
    </row>
    <row r="62" spans="2:27">
      <c r="B62" t="s">
        <v>2264</v>
      </c>
      <c r="C62" t="s">
        <v>3039</v>
      </c>
      <c r="D62">
        <v>700</v>
      </c>
      <c r="E62">
        <v>129</v>
      </c>
      <c r="F62" s="455">
        <v>46215</v>
      </c>
      <c r="G62" t="s">
        <v>3040</v>
      </c>
      <c r="H62" t="s">
        <v>3041</v>
      </c>
      <c r="I62" t="s">
        <v>2940</v>
      </c>
      <c r="J62">
        <v>12</v>
      </c>
      <c r="K62">
        <v>12</v>
      </c>
      <c r="L62">
        <v>12</v>
      </c>
      <c r="M62" s="456">
        <v>1204</v>
      </c>
      <c r="N62">
        <v>1.72</v>
      </c>
      <c r="O62" s="456">
        <v>1204</v>
      </c>
      <c r="P62">
        <v>1.72</v>
      </c>
      <c r="Q62">
        <v>897</v>
      </c>
      <c r="R62">
        <v>1.28</v>
      </c>
      <c r="S62">
        <v>0</v>
      </c>
      <c r="T62">
        <v>0</v>
      </c>
      <c r="U62">
        <v>897</v>
      </c>
      <c r="V62">
        <v>1.28</v>
      </c>
      <c r="W62">
        <v>897.25</v>
      </c>
      <c r="X62">
        <v>-307</v>
      </c>
      <c r="Y62">
        <v>-0.255</v>
      </c>
      <c r="Z62">
        <v>-307</v>
      </c>
      <c r="AA62">
        <v>-0.255</v>
      </c>
    </row>
    <row r="63" spans="2:27">
      <c r="B63" t="s">
        <v>2264</v>
      </c>
      <c r="C63" t="s">
        <v>3042</v>
      </c>
      <c r="D63">
        <v>700</v>
      </c>
      <c r="E63">
        <v>169</v>
      </c>
      <c r="F63" s="455">
        <v>46216</v>
      </c>
      <c r="G63" t="s">
        <v>3043</v>
      </c>
      <c r="H63" t="s">
        <v>3044</v>
      </c>
      <c r="I63" t="s">
        <v>2940</v>
      </c>
      <c r="J63">
        <v>12</v>
      </c>
      <c r="K63">
        <v>12</v>
      </c>
      <c r="L63">
        <v>12</v>
      </c>
      <c r="M63">
        <v>958</v>
      </c>
      <c r="N63">
        <v>1.37</v>
      </c>
      <c r="O63">
        <v>958</v>
      </c>
      <c r="P63">
        <v>1.37</v>
      </c>
      <c r="Q63">
        <v>802</v>
      </c>
      <c r="R63">
        <v>1.1499999999999999</v>
      </c>
      <c r="S63">
        <v>0</v>
      </c>
      <c r="T63">
        <v>0</v>
      </c>
      <c r="U63">
        <v>802</v>
      </c>
      <c r="V63">
        <v>1.1499999999999999</v>
      </c>
      <c r="W63">
        <v>802.17</v>
      </c>
      <c r="X63">
        <v>-156</v>
      </c>
      <c r="Y63">
        <v>-0.1628</v>
      </c>
      <c r="Z63">
        <v>-156</v>
      </c>
      <c r="AA63">
        <v>-0.1628</v>
      </c>
    </row>
    <row r="64" spans="2:27">
      <c r="B64" t="s">
        <v>2264</v>
      </c>
      <c r="C64" t="s">
        <v>3045</v>
      </c>
      <c r="D64">
        <v>700</v>
      </c>
      <c r="E64">
        <v>0</v>
      </c>
      <c r="F64" s="455">
        <v>46183</v>
      </c>
      <c r="G64" t="s">
        <v>3046</v>
      </c>
      <c r="H64" t="s">
        <v>3046</v>
      </c>
      <c r="I64" t="s">
        <v>2938</v>
      </c>
      <c r="J64">
        <v>12</v>
      </c>
      <c r="K64">
        <v>12</v>
      </c>
      <c r="L64">
        <v>12</v>
      </c>
      <c r="M64">
        <v>930</v>
      </c>
      <c r="N64">
        <v>1.33</v>
      </c>
      <c r="O64">
        <v>930</v>
      </c>
      <c r="P64">
        <v>1.33</v>
      </c>
      <c r="Q64">
        <v>930</v>
      </c>
      <c r="R64">
        <v>1.33</v>
      </c>
      <c r="S64">
        <v>0</v>
      </c>
      <c r="T64">
        <v>0</v>
      </c>
      <c r="U64">
        <v>930</v>
      </c>
      <c r="V64">
        <v>1.33</v>
      </c>
      <c r="W64">
        <v>930</v>
      </c>
      <c r="X64">
        <v>0</v>
      </c>
      <c r="Y64">
        <v>0</v>
      </c>
      <c r="Z64">
        <v>0</v>
      </c>
      <c r="AA64">
        <v>0</v>
      </c>
    </row>
    <row r="65" spans="2:27">
      <c r="B65" t="s">
        <v>2264</v>
      </c>
      <c r="C65" t="s">
        <v>3047</v>
      </c>
      <c r="D65">
        <v>700</v>
      </c>
      <c r="E65">
        <v>0</v>
      </c>
      <c r="F65" s="455">
        <v>46198</v>
      </c>
      <c r="G65" t="s">
        <v>3048</v>
      </c>
      <c r="H65" t="s">
        <v>3048</v>
      </c>
      <c r="I65" t="s">
        <v>2938</v>
      </c>
      <c r="J65">
        <v>12</v>
      </c>
      <c r="K65">
        <v>12</v>
      </c>
      <c r="L65">
        <v>12</v>
      </c>
      <c r="M65" s="456">
        <v>1080</v>
      </c>
      <c r="N65">
        <v>1.54</v>
      </c>
      <c r="O65" s="456">
        <v>1080</v>
      </c>
      <c r="P65">
        <v>1.54</v>
      </c>
      <c r="Q65" s="456">
        <v>1025</v>
      </c>
      <c r="R65">
        <v>1.46</v>
      </c>
      <c r="S65">
        <v>0</v>
      </c>
      <c r="T65">
        <v>0</v>
      </c>
      <c r="U65" s="456">
        <v>1025</v>
      </c>
      <c r="V65">
        <v>1.46</v>
      </c>
      <c r="W65" s="456">
        <v>1022.33</v>
      </c>
      <c r="X65">
        <v>-55</v>
      </c>
      <c r="Y65">
        <v>-5.0900000000000001E-2</v>
      </c>
      <c r="Z65">
        <v>-55</v>
      </c>
      <c r="AA65">
        <v>-5.0900000000000001E-2</v>
      </c>
    </row>
    <row r="66" spans="2:27">
      <c r="B66" t="s">
        <v>2265</v>
      </c>
      <c r="C66" t="s">
        <v>3049</v>
      </c>
      <c r="D66">
        <v>746</v>
      </c>
      <c r="E66">
        <v>0</v>
      </c>
      <c r="F66" s="455">
        <v>46202</v>
      </c>
      <c r="G66" t="s">
        <v>3050</v>
      </c>
      <c r="H66" t="s">
        <v>3050</v>
      </c>
      <c r="I66" t="s">
        <v>2938</v>
      </c>
      <c r="J66">
        <v>12</v>
      </c>
      <c r="K66">
        <v>12</v>
      </c>
      <c r="L66">
        <v>12</v>
      </c>
      <c r="M66" s="456">
        <v>1133</v>
      </c>
      <c r="N66">
        <v>1.52</v>
      </c>
      <c r="O66" s="456">
        <v>1133</v>
      </c>
      <c r="P66">
        <v>1.52</v>
      </c>
      <c r="Q66" s="456">
        <v>1113</v>
      </c>
      <c r="R66">
        <v>1.49</v>
      </c>
      <c r="S66">
        <v>0</v>
      </c>
      <c r="T66">
        <v>0</v>
      </c>
      <c r="U66" s="456">
        <v>1113</v>
      </c>
      <c r="V66">
        <v>1.49</v>
      </c>
      <c r="W66" s="456">
        <v>1113</v>
      </c>
      <c r="X66">
        <v>-20</v>
      </c>
      <c r="Y66">
        <v>-1.77E-2</v>
      </c>
      <c r="Z66">
        <v>-20</v>
      </c>
      <c r="AA66">
        <v>-1.77E-2</v>
      </c>
    </row>
    <row r="67" spans="2:27">
      <c r="B67" t="s">
        <v>2265</v>
      </c>
      <c r="C67" t="s">
        <v>3051</v>
      </c>
      <c r="D67">
        <v>746</v>
      </c>
      <c r="E67">
        <v>0</v>
      </c>
      <c r="F67" s="455">
        <v>46198</v>
      </c>
      <c r="G67" t="s">
        <v>3052</v>
      </c>
      <c r="H67" t="s">
        <v>3052</v>
      </c>
      <c r="I67" t="s">
        <v>2938</v>
      </c>
      <c r="J67">
        <v>12</v>
      </c>
      <c r="K67">
        <v>12</v>
      </c>
      <c r="L67">
        <v>12</v>
      </c>
      <c r="M67" s="456">
        <v>1155</v>
      </c>
      <c r="N67">
        <v>1.55</v>
      </c>
      <c r="O67" s="456">
        <v>1155</v>
      </c>
      <c r="P67">
        <v>1.55</v>
      </c>
      <c r="Q67" s="456">
        <v>1155</v>
      </c>
      <c r="R67">
        <v>1.55</v>
      </c>
      <c r="S67">
        <v>0</v>
      </c>
      <c r="T67">
        <v>0</v>
      </c>
      <c r="U67" s="456">
        <v>1155</v>
      </c>
      <c r="V67">
        <v>1.55</v>
      </c>
      <c r="W67" s="456">
        <v>1155.17</v>
      </c>
      <c r="X67">
        <v>0</v>
      </c>
      <c r="Y67">
        <v>0</v>
      </c>
      <c r="Z67">
        <v>0</v>
      </c>
      <c r="AA67">
        <v>0</v>
      </c>
    </row>
    <row r="68" spans="2:27">
      <c r="B68" t="s">
        <v>2266</v>
      </c>
      <c r="C68" t="s">
        <v>3053</v>
      </c>
      <c r="D68">
        <v>753</v>
      </c>
      <c r="E68">
        <v>0</v>
      </c>
      <c r="F68" s="455">
        <v>46167</v>
      </c>
      <c r="G68" t="s">
        <v>3054</v>
      </c>
      <c r="H68" t="s">
        <v>3054</v>
      </c>
      <c r="I68" t="s">
        <v>2938</v>
      </c>
      <c r="J68">
        <v>12</v>
      </c>
      <c r="K68">
        <v>12</v>
      </c>
      <c r="L68">
        <v>12</v>
      </c>
      <c r="M68" s="456">
        <v>1331</v>
      </c>
      <c r="N68">
        <v>1.77</v>
      </c>
      <c r="O68" s="456">
        <v>1331</v>
      </c>
      <c r="P68">
        <v>1.77</v>
      </c>
      <c r="Q68" s="456">
        <v>1276</v>
      </c>
      <c r="R68">
        <v>1.69</v>
      </c>
      <c r="S68">
        <v>0</v>
      </c>
      <c r="T68">
        <v>0</v>
      </c>
      <c r="U68" s="456">
        <v>1276</v>
      </c>
      <c r="V68">
        <v>1.69</v>
      </c>
      <c r="W68" s="456">
        <v>1276.17</v>
      </c>
      <c r="X68">
        <v>-55</v>
      </c>
      <c r="Y68">
        <v>-4.1300000000000003E-2</v>
      </c>
      <c r="Z68">
        <v>-55</v>
      </c>
      <c r="AA68">
        <v>-4.1300000000000003E-2</v>
      </c>
    </row>
    <row r="69" spans="2:27">
      <c r="B69" t="s">
        <v>2266</v>
      </c>
      <c r="C69" t="s">
        <v>3055</v>
      </c>
      <c r="D69">
        <v>753</v>
      </c>
      <c r="E69">
        <v>210</v>
      </c>
      <c r="F69" s="455">
        <v>46214</v>
      </c>
      <c r="G69" t="s">
        <v>3056</v>
      </c>
      <c r="H69" t="s">
        <v>3057</v>
      </c>
      <c r="I69" t="s">
        <v>2940</v>
      </c>
      <c r="J69">
        <v>12</v>
      </c>
      <c r="K69">
        <v>12</v>
      </c>
      <c r="L69">
        <v>12</v>
      </c>
      <c r="M69" s="456">
        <v>1145</v>
      </c>
      <c r="N69">
        <v>1.52</v>
      </c>
      <c r="O69" s="456">
        <v>1038.69</v>
      </c>
      <c r="P69">
        <v>1.38</v>
      </c>
      <c r="Q69">
        <v>982</v>
      </c>
      <c r="R69">
        <v>1.3</v>
      </c>
      <c r="S69">
        <v>0</v>
      </c>
      <c r="T69">
        <v>0</v>
      </c>
      <c r="U69">
        <v>982</v>
      </c>
      <c r="V69">
        <v>1.3</v>
      </c>
      <c r="W69">
        <v>982.08</v>
      </c>
      <c r="X69">
        <v>-163</v>
      </c>
      <c r="Y69">
        <v>-0.1424</v>
      </c>
      <c r="Z69">
        <v>-56.69</v>
      </c>
      <c r="AA69">
        <v>-5.4600000000000003E-2</v>
      </c>
    </row>
    <row r="70" spans="2:27">
      <c r="B70" t="s">
        <v>2266</v>
      </c>
      <c r="C70" t="s">
        <v>1525</v>
      </c>
      <c r="D70">
        <v>753</v>
      </c>
      <c r="E70">
        <v>164</v>
      </c>
      <c r="F70" s="455">
        <v>46200</v>
      </c>
      <c r="G70" t="s">
        <v>2152</v>
      </c>
      <c r="H70" t="s">
        <v>3058</v>
      </c>
      <c r="I70" t="s">
        <v>2940</v>
      </c>
      <c r="J70">
        <v>12</v>
      </c>
      <c r="K70">
        <v>12</v>
      </c>
      <c r="L70">
        <v>12</v>
      </c>
      <c r="M70" s="456">
        <v>1267</v>
      </c>
      <c r="N70">
        <v>1.68</v>
      </c>
      <c r="O70">
        <v>888.72</v>
      </c>
      <c r="P70">
        <v>1.18</v>
      </c>
      <c r="Q70" s="456">
        <v>1077</v>
      </c>
      <c r="R70">
        <v>1.43</v>
      </c>
      <c r="S70">
        <v>0</v>
      </c>
      <c r="T70">
        <v>0</v>
      </c>
      <c r="U70" s="456">
        <v>1077</v>
      </c>
      <c r="V70">
        <v>1.43</v>
      </c>
      <c r="W70" s="456">
        <v>1077.17</v>
      </c>
      <c r="X70">
        <v>-190</v>
      </c>
      <c r="Y70">
        <v>-0.15</v>
      </c>
      <c r="Z70">
        <v>188.28</v>
      </c>
      <c r="AA70">
        <v>0.21179999999999999</v>
      </c>
    </row>
    <row r="71" spans="2:27">
      <c r="B71" t="s">
        <v>2269</v>
      </c>
      <c r="C71" t="s">
        <v>2148</v>
      </c>
      <c r="D71">
        <v>845</v>
      </c>
      <c r="E71">
        <v>185</v>
      </c>
      <c r="F71" s="455">
        <v>46221</v>
      </c>
      <c r="G71" t="s">
        <v>2147</v>
      </c>
      <c r="H71" t="s">
        <v>3059</v>
      </c>
      <c r="I71" t="s">
        <v>2940</v>
      </c>
      <c r="J71">
        <v>12</v>
      </c>
      <c r="K71">
        <v>12</v>
      </c>
      <c r="L71">
        <v>12</v>
      </c>
      <c r="M71" s="456">
        <v>1560</v>
      </c>
      <c r="N71">
        <v>1.85</v>
      </c>
      <c r="O71" s="456">
        <v>1560</v>
      </c>
      <c r="P71">
        <v>1.85</v>
      </c>
      <c r="Q71" s="456">
        <v>1313</v>
      </c>
      <c r="R71">
        <v>1.55</v>
      </c>
      <c r="S71">
        <v>0</v>
      </c>
      <c r="T71">
        <v>0</v>
      </c>
      <c r="U71" s="456">
        <v>1313</v>
      </c>
      <c r="V71">
        <v>1.55</v>
      </c>
      <c r="W71" s="456">
        <v>1313.08</v>
      </c>
      <c r="X71">
        <v>-247</v>
      </c>
      <c r="Y71">
        <v>-0.1583</v>
      </c>
      <c r="Z71">
        <v>-247</v>
      </c>
      <c r="AA71">
        <v>-0.1583</v>
      </c>
    </row>
    <row r="72" spans="2:27">
      <c r="B72" t="s">
        <v>2269</v>
      </c>
      <c r="C72" t="s">
        <v>3060</v>
      </c>
      <c r="D72">
        <v>845</v>
      </c>
      <c r="E72">
        <v>0</v>
      </c>
      <c r="F72" s="455">
        <v>46178</v>
      </c>
      <c r="G72" t="s">
        <v>3061</v>
      </c>
      <c r="H72" t="s">
        <v>3061</v>
      </c>
      <c r="I72" t="s">
        <v>2938</v>
      </c>
      <c r="J72">
        <v>12</v>
      </c>
      <c r="K72">
        <v>12</v>
      </c>
      <c r="L72">
        <v>12</v>
      </c>
      <c r="M72" s="456">
        <v>1485</v>
      </c>
      <c r="N72">
        <v>1.76</v>
      </c>
      <c r="O72" s="456">
        <v>1485</v>
      </c>
      <c r="P72">
        <v>1.76</v>
      </c>
      <c r="Q72" s="456">
        <v>1485</v>
      </c>
      <c r="R72">
        <v>1.76</v>
      </c>
      <c r="S72">
        <v>0</v>
      </c>
      <c r="T72">
        <v>0</v>
      </c>
      <c r="U72" s="456">
        <v>1485</v>
      </c>
      <c r="V72">
        <v>1.76</v>
      </c>
      <c r="W72" s="456">
        <v>1485</v>
      </c>
      <c r="X72">
        <v>0</v>
      </c>
      <c r="Y72">
        <v>0</v>
      </c>
      <c r="Z72">
        <v>0</v>
      </c>
      <c r="AA72">
        <v>0</v>
      </c>
    </row>
    <row r="73" spans="2:27">
      <c r="B73" t="s">
        <v>2270</v>
      </c>
      <c r="C73" t="s">
        <v>2676</v>
      </c>
      <c r="D73">
        <v>900</v>
      </c>
      <c r="E73">
        <v>58</v>
      </c>
      <c r="F73" s="455">
        <v>46203</v>
      </c>
      <c r="G73" t="s">
        <v>2677</v>
      </c>
      <c r="H73" t="s">
        <v>3062</v>
      </c>
      <c r="I73" t="s">
        <v>2940</v>
      </c>
      <c r="J73">
        <v>12</v>
      </c>
      <c r="K73">
        <v>12</v>
      </c>
      <c r="L73">
        <v>12</v>
      </c>
      <c r="M73" s="456">
        <v>1470</v>
      </c>
      <c r="N73">
        <v>1.63</v>
      </c>
      <c r="O73" s="456">
        <v>1470</v>
      </c>
      <c r="P73">
        <v>1.63</v>
      </c>
      <c r="Q73" s="456">
        <v>1152</v>
      </c>
      <c r="R73">
        <v>1.28</v>
      </c>
      <c r="S73">
        <v>0</v>
      </c>
      <c r="T73">
        <v>0</v>
      </c>
      <c r="U73" s="456">
        <v>1152</v>
      </c>
      <c r="V73">
        <v>1.28</v>
      </c>
      <c r="W73" s="456">
        <v>1152.08</v>
      </c>
      <c r="X73">
        <v>-318</v>
      </c>
      <c r="Y73">
        <v>-0.21629999999999999</v>
      </c>
      <c r="Z73">
        <v>-318</v>
      </c>
      <c r="AA73">
        <v>-0.21629999999999999</v>
      </c>
    </row>
    <row r="74" spans="2:27">
      <c r="B74" t="s">
        <v>2270</v>
      </c>
      <c r="C74" t="s">
        <v>2678</v>
      </c>
      <c r="D74">
        <v>900</v>
      </c>
      <c r="E74">
        <v>37</v>
      </c>
      <c r="F74" s="455">
        <v>46214</v>
      </c>
      <c r="G74" t="s">
        <v>2679</v>
      </c>
      <c r="H74" t="s">
        <v>3063</v>
      </c>
      <c r="I74" t="s">
        <v>2940</v>
      </c>
      <c r="J74">
        <v>12</v>
      </c>
      <c r="K74">
        <v>12</v>
      </c>
      <c r="L74">
        <v>12</v>
      </c>
      <c r="M74" s="456">
        <v>1380</v>
      </c>
      <c r="N74">
        <v>1.53</v>
      </c>
      <c r="O74" s="456">
        <v>1380</v>
      </c>
      <c r="P74">
        <v>1.53</v>
      </c>
      <c r="Q74" s="456">
        <v>1137</v>
      </c>
      <c r="R74">
        <v>1.26</v>
      </c>
      <c r="S74">
        <v>0</v>
      </c>
      <c r="T74">
        <v>0</v>
      </c>
      <c r="U74" s="456">
        <v>1137</v>
      </c>
      <c r="V74">
        <v>1.26</v>
      </c>
      <c r="W74" s="456">
        <v>1137</v>
      </c>
      <c r="X74">
        <v>-243</v>
      </c>
      <c r="Y74">
        <v>-0.17610000000000001</v>
      </c>
      <c r="Z74">
        <v>-243</v>
      </c>
      <c r="AA74">
        <v>-0.17610000000000001</v>
      </c>
    </row>
    <row r="75" spans="2:27">
      <c r="B75" t="s">
        <v>2271</v>
      </c>
      <c r="C75" t="s">
        <v>2554</v>
      </c>
      <c r="D75">
        <v>909</v>
      </c>
      <c r="E75">
        <v>0</v>
      </c>
      <c r="F75" s="455">
        <v>46185</v>
      </c>
      <c r="G75" t="s">
        <v>2555</v>
      </c>
      <c r="H75" t="s">
        <v>2555</v>
      </c>
      <c r="I75" t="s">
        <v>2938</v>
      </c>
      <c r="J75">
        <v>12</v>
      </c>
      <c r="K75">
        <v>12</v>
      </c>
      <c r="L75">
        <v>12</v>
      </c>
      <c r="M75" s="456">
        <v>1321</v>
      </c>
      <c r="N75">
        <v>1.45</v>
      </c>
      <c r="O75" s="456">
        <v>1321</v>
      </c>
      <c r="P75">
        <v>1.45</v>
      </c>
      <c r="Q75" s="456">
        <v>1321</v>
      </c>
      <c r="R75">
        <v>1.45</v>
      </c>
      <c r="S75">
        <v>0</v>
      </c>
      <c r="T75">
        <v>0</v>
      </c>
      <c r="U75" s="456">
        <v>1321</v>
      </c>
      <c r="V75">
        <v>1.45</v>
      </c>
      <c r="W75" s="456">
        <v>1321</v>
      </c>
      <c r="X75">
        <v>0</v>
      </c>
      <c r="Y75">
        <v>0</v>
      </c>
      <c r="Z75">
        <v>0</v>
      </c>
      <c r="AA75">
        <v>0</v>
      </c>
    </row>
    <row r="76" spans="2:27">
      <c r="B76" t="s">
        <v>2271</v>
      </c>
      <c r="C76" t="s">
        <v>2562</v>
      </c>
      <c r="D76">
        <v>909</v>
      </c>
      <c r="E76">
        <v>61</v>
      </c>
      <c r="F76" s="455">
        <v>46212</v>
      </c>
      <c r="G76" t="s">
        <v>2563</v>
      </c>
      <c r="H76" t="s">
        <v>1111</v>
      </c>
      <c r="I76" t="s">
        <v>2940</v>
      </c>
      <c r="J76">
        <v>12</v>
      </c>
      <c r="K76">
        <v>12</v>
      </c>
      <c r="L76">
        <v>12</v>
      </c>
      <c r="M76" s="456">
        <v>1485</v>
      </c>
      <c r="N76">
        <v>1.63</v>
      </c>
      <c r="O76" s="456">
        <v>1485</v>
      </c>
      <c r="P76">
        <v>1.63</v>
      </c>
      <c r="Q76" s="456">
        <v>1213</v>
      </c>
      <c r="R76">
        <v>1.33</v>
      </c>
      <c r="S76">
        <v>0</v>
      </c>
      <c r="T76">
        <v>0</v>
      </c>
      <c r="U76" s="456">
        <v>1213</v>
      </c>
      <c r="V76">
        <v>1.33</v>
      </c>
      <c r="W76" s="456">
        <v>1213.08</v>
      </c>
      <c r="X76">
        <v>-272</v>
      </c>
      <c r="Y76">
        <v>-0.1832</v>
      </c>
      <c r="Z76">
        <v>-272</v>
      </c>
      <c r="AA76">
        <v>-0.1832</v>
      </c>
    </row>
    <row r="77" spans="2:27">
      <c r="B77" t="s">
        <v>2271</v>
      </c>
      <c r="C77" t="s">
        <v>2627</v>
      </c>
      <c r="D77">
        <v>909</v>
      </c>
      <c r="E77">
        <v>253</v>
      </c>
      <c r="F77" s="455">
        <v>46227</v>
      </c>
      <c r="G77" t="s">
        <v>2628</v>
      </c>
      <c r="H77" t="s">
        <v>3064</v>
      </c>
      <c r="I77" t="s">
        <v>2940</v>
      </c>
      <c r="J77">
        <v>12</v>
      </c>
      <c r="K77">
        <v>12</v>
      </c>
      <c r="L77">
        <v>12</v>
      </c>
      <c r="M77" s="456">
        <v>1490</v>
      </c>
      <c r="N77">
        <v>1.64</v>
      </c>
      <c r="O77" s="456">
        <v>1490</v>
      </c>
      <c r="P77">
        <v>1.64</v>
      </c>
      <c r="Q77" s="456">
        <v>1213</v>
      </c>
      <c r="R77">
        <v>1.33</v>
      </c>
      <c r="S77">
        <v>0</v>
      </c>
      <c r="T77">
        <v>0</v>
      </c>
      <c r="U77" s="456">
        <v>1213</v>
      </c>
      <c r="V77">
        <v>1.33</v>
      </c>
      <c r="W77" s="456">
        <v>1213.08</v>
      </c>
      <c r="X77">
        <v>-277</v>
      </c>
      <c r="Y77">
        <v>-0.18590000000000001</v>
      </c>
      <c r="Z77">
        <v>-277</v>
      </c>
      <c r="AA77">
        <v>-0.18590000000000001</v>
      </c>
    </row>
    <row r="78" spans="2:27">
      <c r="B78" t="s">
        <v>2271</v>
      </c>
      <c r="C78" t="s">
        <v>3065</v>
      </c>
      <c r="D78">
        <v>909</v>
      </c>
      <c r="E78">
        <v>0</v>
      </c>
      <c r="F78" s="455">
        <v>46202</v>
      </c>
      <c r="G78" t="s">
        <v>3066</v>
      </c>
      <c r="H78" t="s">
        <v>3066</v>
      </c>
      <c r="I78" t="s">
        <v>2938</v>
      </c>
      <c r="J78">
        <v>12</v>
      </c>
      <c r="K78">
        <v>12</v>
      </c>
      <c r="L78">
        <v>12</v>
      </c>
      <c r="M78" s="456">
        <v>1486</v>
      </c>
      <c r="N78">
        <v>1.63</v>
      </c>
      <c r="O78" s="456">
        <v>1486</v>
      </c>
      <c r="P78">
        <v>1.63</v>
      </c>
      <c r="Q78" s="456">
        <v>1486</v>
      </c>
      <c r="R78">
        <v>1.63</v>
      </c>
      <c r="S78">
        <v>0</v>
      </c>
      <c r="T78">
        <v>0</v>
      </c>
      <c r="U78" s="456">
        <v>1486</v>
      </c>
      <c r="V78">
        <v>1.63</v>
      </c>
      <c r="W78" s="456">
        <v>1486</v>
      </c>
      <c r="X78">
        <v>0</v>
      </c>
      <c r="Y78">
        <v>0</v>
      </c>
      <c r="Z78">
        <v>0</v>
      </c>
      <c r="AA78">
        <v>0</v>
      </c>
    </row>
    <row r="79" spans="2:27">
      <c r="B79" t="s">
        <v>2271</v>
      </c>
      <c r="C79" t="s">
        <v>2629</v>
      </c>
      <c r="D79">
        <v>909</v>
      </c>
      <c r="E79">
        <v>38</v>
      </c>
      <c r="F79" s="455">
        <v>46213</v>
      </c>
      <c r="G79" t="s">
        <v>1134</v>
      </c>
      <c r="H79" t="s">
        <v>3067</v>
      </c>
      <c r="I79" t="s">
        <v>2940</v>
      </c>
      <c r="J79">
        <v>12</v>
      </c>
      <c r="K79">
        <v>12</v>
      </c>
      <c r="L79">
        <v>12</v>
      </c>
      <c r="M79" s="456">
        <v>1475</v>
      </c>
      <c r="N79">
        <v>1.62</v>
      </c>
      <c r="O79" s="456">
        <v>1475</v>
      </c>
      <c r="P79">
        <v>1.62</v>
      </c>
      <c r="Q79" s="456">
        <v>1213</v>
      </c>
      <c r="R79">
        <v>1.33</v>
      </c>
      <c r="S79">
        <v>0</v>
      </c>
      <c r="T79">
        <v>0</v>
      </c>
      <c r="U79" s="456">
        <v>1213</v>
      </c>
      <c r="V79">
        <v>1.33</v>
      </c>
      <c r="W79" s="456">
        <v>1213.08</v>
      </c>
      <c r="X79">
        <v>-262</v>
      </c>
      <c r="Y79">
        <v>-0.17760000000000001</v>
      </c>
      <c r="Z79">
        <v>-262</v>
      </c>
      <c r="AA79">
        <v>-0.17760000000000001</v>
      </c>
    </row>
    <row r="80" spans="2:27">
      <c r="B80" t="s">
        <v>2271</v>
      </c>
      <c r="C80" t="s">
        <v>1527</v>
      </c>
      <c r="D80">
        <v>909</v>
      </c>
      <c r="E80">
        <v>177</v>
      </c>
      <c r="F80" s="455">
        <v>46241</v>
      </c>
      <c r="G80" t="s">
        <v>2165</v>
      </c>
      <c r="H80" t="s">
        <v>3068</v>
      </c>
      <c r="I80" t="s">
        <v>2940</v>
      </c>
      <c r="J80">
        <v>12</v>
      </c>
      <c r="K80">
        <v>12</v>
      </c>
      <c r="L80">
        <v>12</v>
      </c>
      <c r="M80" s="456">
        <v>1380</v>
      </c>
      <c r="N80">
        <v>1.52</v>
      </c>
      <c r="O80">
        <v>936.32</v>
      </c>
      <c r="P80">
        <v>1.03</v>
      </c>
      <c r="Q80" s="456">
        <v>1173</v>
      </c>
      <c r="R80">
        <v>1.29</v>
      </c>
      <c r="S80">
        <v>0</v>
      </c>
      <c r="T80">
        <v>0</v>
      </c>
      <c r="U80" s="456">
        <v>1173</v>
      </c>
      <c r="V80">
        <v>1.29</v>
      </c>
      <c r="W80" s="456">
        <v>1173.17</v>
      </c>
      <c r="X80">
        <v>-207</v>
      </c>
      <c r="Y80">
        <v>-0.15</v>
      </c>
      <c r="Z80">
        <v>236.68</v>
      </c>
      <c r="AA80">
        <v>0.25280000000000002</v>
      </c>
    </row>
    <row r="81" spans="2:27">
      <c r="B81" t="s">
        <v>2271</v>
      </c>
      <c r="C81" t="s">
        <v>3069</v>
      </c>
      <c r="D81">
        <v>909</v>
      </c>
      <c r="E81">
        <v>0</v>
      </c>
      <c r="F81" s="455">
        <v>46145</v>
      </c>
      <c r="G81" t="s">
        <v>3070</v>
      </c>
      <c r="H81" t="s">
        <v>3070</v>
      </c>
      <c r="I81" t="s">
        <v>2938</v>
      </c>
      <c r="J81">
        <v>12</v>
      </c>
      <c r="K81">
        <v>12</v>
      </c>
      <c r="L81">
        <v>12</v>
      </c>
      <c r="M81" s="456">
        <v>1136</v>
      </c>
      <c r="N81">
        <v>1.25</v>
      </c>
      <c r="O81" s="456">
        <v>1136</v>
      </c>
      <c r="P81">
        <v>1.25</v>
      </c>
      <c r="Q81" s="456">
        <v>1136</v>
      </c>
      <c r="R81">
        <v>1.25</v>
      </c>
      <c r="S81">
        <v>0</v>
      </c>
      <c r="T81">
        <v>0</v>
      </c>
      <c r="U81" s="456">
        <v>1136</v>
      </c>
      <c r="V81">
        <v>1.25</v>
      </c>
      <c r="W81" s="456">
        <v>1136</v>
      </c>
      <c r="X81">
        <v>0</v>
      </c>
      <c r="Y81">
        <v>0</v>
      </c>
      <c r="Z81">
        <v>0</v>
      </c>
      <c r="AA81">
        <v>0</v>
      </c>
    </row>
    <row r="82" spans="2:27">
      <c r="B82" t="s">
        <v>2271</v>
      </c>
      <c r="C82" t="s">
        <v>2640</v>
      </c>
      <c r="D82">
        <v>909</v>
      </c>
      <c r="E82">
        <v>106</v>
      </c>
      <c r="F82" s="455">
        <v>46240</v>
      </c>
      <c r="G82" t="s">
        <v>2641</v>
      </c>
      <c r="H82" t="s">
        <v>3071</v>
      </c>
      <c r="I82" t="s">
        <v>2940</v>
      </c>
      <c r="J82">
        <v>12</v>
      </c>
      <c r="K82">
        <v>12</v>
      </c>
      <c r="L82">
        <v>12</v>
      </c>
      <c r="M82" s="456">
        <v>1500</v>
      </c>
      <c r="N82">
        <v>1.65</v>
      </c>
      <c r="O82" s="456">
        <v>1500</v>
      </c>
      <c r="P82">
        <v>1.65</v>
      </c>
      <c r="Q82" s="456">
        <v>1238</v>
      </c>
      <c r="R82">
        <v>1.36</v>
      </c>
      <c r="S82">
        <v>0</v>
      </c>
      <c r="T82">
        <v>0</v>
      </c>
      <c r="U82" s="456">
        <v>1238</v>
      </c>
      <c r="V82">
        <v>1.36</v>
      </c>
      <c r="W82" s="456">
        <v>1238.25</v>
      </c>
      <c r="X82">
        <v>-262</v>
      </c>
      <c r="Y82">
        <v>-0.17469999999999999</v>
      </c>
      <c r="Z82">
        <v>-262</v>
      </c>
      <c r="AA82">
        <v>-0.17469999999999999</v>
      </c>
    </row>
    <row r="83" spans="2:27">
      <c r="B83" t="s">
        <v>2271</v>
      </c>
      <c r="C83" t="s">
        <v>3072</v>
      </c>
      <c r="D83">
        <v>909</v>
      </c>
      <c r="E83">
        <v>0</v>
      </c>
      <c r="F83" s="455">
        <v>46174</v>
      </c>
      <c r="G83" t="s">
        <v>3073</v>
      </c>
      <c r="H83" t="s">
        <v>3073</v>
      </c>
      <c r="I83" t="s">
        <v>2938</v>
      </c>
      <c r="J83">
        <v>12</v>
      </c>
      <c r="K83">
        <v>12</v>
      </c>
      <c r="L83">
        <v>12</v>
      </c>
      <c r="M83" s="456">
        <v>1350</v>
      </c>
      <c r="N83">
        <v>1.49</v>
      </c>
      <c r="O83" s="456">
        <v>1350</v>
      </c>
      <c r="P83">
        <v>1.49</v>
      </c>
      <c r="Q83" s="456">
        <v>1350</v>
      </c>
      <c r="R83">
        <v>1.49</v>
      </c>
      <c r="S83">
        <v>0</v>
      </c>
      <c r="T83">
        <v>0</v>
      </c>
      <c r="U83" s="456">
        <v>1350</v>
      </c>
      <c r="V83">
        <v>1.49</v>
      </c>
      <c r="W83" s="456">
        <v>1350</v>
      </c>
      <c r="X83">
        <v>0</v>
      </c>
      <c r="Y83">
        <v>0</v>
      </c>
      <c r="Z83">
        <v>0</v>
      </c>
      <c r="AA83">
        <v>0</v>
      </c>
    </row>
    <row r="84" spans="2:27">
      <c r="B84" t="s">
        <v>2272</v>
      </c>
      <c r="C84" t="s">
        <v>2517</v>
      </c>
      <c r="D84">
        <v>921</v>
      </c>
      <c r="E84">
        <v>48</v>
      </c>
      <c r="F84" s="455">
        <v>46174</v>
      </c>
      <c r="G84" t="s">
        <v>2518</v>
      </c>
      <c r="H84" t="s">
        <v>3074</v>
      </c>
      <c r="I84" t="s">
        <v>2940</v>
      </c>
      <c r="J84">
        <v>12</v>
      </c>
      <c r="K84">
        <v>12</v>
      </c>
      <c r="L84">
        <v>12</v>
      </c>
      <c r="M84" s="456">
        <v>1685</v>
      </c>
      <c r="N84">
        <v>1.83</v>
      </c>
      <c r="O84" s="456">
        <v>1685</v>
      </c>
      <c r="P84">
        <v>1.83</v>
      </c>
      <c r="Q84" s="456">
        <v>1096</v>
      </c>
      <c r="R84">
        <v>1.19</v>
      </c>
      <c r="S84">
        <v>0</v>
      </c>
      <c r="T84">
        <v>0</v>
      </c>
      <c r="U84" s="456">
        <v>1096</v>
      </c>
      <c r="V84">
        <v>1.19</v>
      </c>
      <c r="W84" s="456">
        <v>1096.25</v>
      </c>
      <c r="X84">
        <v>-589</v>
      </c>
      <c r="Y84">
        <v>-0.34960000000000002</v>
      </c>
      <c r="Z84">
        <v>-589</v>
      </c>
      <c r="AA84">
        <v>-0.34960000000000002</v>
      </c>
    </row>
    <row r="85" spans="2:27">
      <c r="B85" t="s">
        <v>2272</v>
      </c>
      <c r="C85" t="s">
        <v>2527</v>
      </c>
      <c r="D85">
        <v>921</v>
      </c>
      <c r="E85">
        <v>13</v>
      </c>
      <c r="F85" s="455">
        <v>46158</v>
      </c>
      <c r="G85" t="s">
        <v>2528</v>
      </c>
      <c r="H85" t="s">
        <v>3075</v>
      </c>
      <c r="I85" t="s">
        <v>2940</v>
      </c>
      <c r="J85">
        <v>12</v>
      </c>
      <c r="K85">
        <v>12</v>
      </c>
      <c r="L85">
        <v>12</v>
      </c>
      <c r="M85" s="456">
        <v>1652</v>
      </c>
      <c r="N85">
        <v>1.79</v>
      </c>
      <c r="O85" s="456">
        <v>1652</v>
      </c>
      <c r="P85">
        <v>1.79</v>
      </c>
      <c r="Q85" s="456">
        <v>1096</v>
      </c>
      <c r="R85">
        <v>1.19</v>
      </c>
      <c r="S85">
        <v>0</v>
      </c>
      <c r="T85">
        <v>0</v>
      </c>
      <c r="U85" s="456">
        <v>1096</v>
      </c>
      <c r="V85">
        <v>1.19</v>
      </c>
      <c r="W85" s="456">
        <v>1096.25</v>
      </c>
      <c r="X85">
        <v>-556</v>
      </c>
      <c r="Y85">
        <v>-0.33660000000000001</v>
      </c>
      <c r="Z85">
        <v>-556</v>
      </c>
      <c r="AA85">
        <v>-0.33660000000000001</v>
      </c>
    </row>
    <row r="86" spans="2:27">
      <c r="B86" t="s">
        <v>2272</v>
      </c>
      <c r="C86" t="s">
        <v>3076</v>
      </c>
      <c r="D86">
        <v>921</v>
      </c>
      <c r="E86">
        <v>0</v>
      </c>
      <c r="F86" s="455">
        <v>46143</v>
      </c>
      <c r="G86" t="s">
        <v>3077</v>
      </c>
      <c r="H86" t="s">
        <v>3077</v>
      </c>
      <c r="I86" t="s">
        <v>2938</v>
      </c>
      <c r="J86">
        <v>12</v>
      </c>
      <c r="K86">
        <v>12</v>
      </c>
      <c r="L86">
        <v>12</v>
      </c>
      <c r="M86" s="456">
        <v>1539</v>
      </c>
      <c r="N86">
        <v>1.67</v>
      </c>
      <c r="O86" s="456">
        <v>1539</v>
      </c>
      <c r="P86">
        <v>1.67</v>
      </c>
      <c r="Q86" s="456">
        <v>1484</v>
      </c>
      <c r="R86">
        <v>1.61</v>
      </c>
      <c r="S86">
        <v>0</v>
      </c>
      <c r="T86">
        <v>0</v>
      </c>
      <c r="U86" s="456">
        <v>1484</v>
      </c>
      <c r="V86">
        <v>1.61</v>
      </c>
      <c r="W86" s="456">
        <v>1484</v>
      </c>
      <c r="X86">
        <v>-55</v>
      </c>
      <c r="Y86">
        <v>-3.5700000000000003E-2</v>
      </c>
      <c r="Z86">
        <v>-55</v>
      </c>
      <c r="AA86">
        <v>-3.5700000000000003E-2</v>
      </c>
    </row>
    <row r="87" spans="2:27">
      <c r="B87" t="s">
        <v>2272</v>
      </c>
      <c r="C87" t="s">
        <v>2529</v>
      </c>
      <c r="D87">
        <v>921</v>
      </c>
      <c r="E87">
        <v>67</v>
      </c>
      <c r="F87" s="455">
        <v>46122</v>
      </c>
      <c r="G87" t="s">
        <v>2530</v>
      </c>
      <c r="H87" t="s">
        <v>3078</v>
      </c>
      <c r="I87" t="s">
        <v>2940</v>
      </c>
      <c r="J87">
        <v>12</v>
      </c>
      <c r="K87">
        <v>12</v>
      </c>
      <c r="L87">
        <v>12</v>
      </c>
      <c r="M87" s="456">
        <v>1628</v>
      </c>
      <c r="N87">
        <v>1.77</v>
      </c>
      <c r="O87" s="456">
        <v>1628</v>
      </c>
      <c r="P87">
        <v>1.77</v>
      </c>
      <c r="Q87" s="456">
        <v>1096</v>
      </c>
      <c r="R87">
        <v>1.19</v>
      </c>
      <c r="S87">
        <v>0</v>
      </c>
      <c r="T87">
        <v>0</v>
      </c>
      <c r="U87" s="456">
        <v>1096</v>
      </c>
      <c r="V87">
        <v>1.19</v>
      </c>
      <c r="W87" s="456">
        <v>1096.25</v>
      </c>
      <c r="X87">
        <v>-532</v>
      </c>
      <c r="Y87">
        <v>-0.32679999999999998</v>
      </c>
      <c r="Z87">
        <v>-532</v>
      </c>
      <c r="AA87">
        <v>-0.32679999999999998</v>
      </c>
    </row>
    <row r="88" spans="2:27">
      <c r="B88" t="s">
        <v>2272</v>
      </c>
      <c r="C88" t="s">
        <v>2531</v>
      </c>
      <c r="D88">
        <v>921</v>
      </c>
      <c r="E88">
        <v>84</v>
      </c>
      <c r="F88" s="455">
        <v>46176</v>
      </c>
      <c r="G88" t="s">
        <v>2532</v>
      </c>
      <c r="H88" t="s">
        <v>3079</v>
      </c>
      <c r="I88" t="s">
        <v>2940</v>
      </c>
      <c r="J88">
        <v>12</v>
      </c>
      <c r="K88">
        <v>12</v>
      </c>
      <c r="L88">
        <v>12</v>
      </c>
      <c r="M88" s="456">
        <v>1614</v>
      </c>
      <c r="N88">
        <v>1.75</v>
      </c>
      <c r="O88" s="456">
        <v>1614</v>
      </c>
      <c r="P88">
        <v>1.75</v>
      </c>
      <c r="Q88" s="456">
        <v>1071</v>
      </c>
      <c r="R88">
        <v>1.1599999999999999</v>
      </c>
      <c r="S88">
        <v>0</v>
      </c>
      <c r="T88">
        <v>0</v>
      </c>
      <c r="U88" s="456">
        <v>1071</v>
      </c>
      <c r="V88">
        <v>1.1599999999999999</v>
      </c>
      <c r="W88" s="456">
        <v>1071.08</v>
      </c>
      <c r="X88">
        <v>-543</v>
      </c>
      <c r="Y88">
        <v>-0.33639999999999998</v>
      </c>
      <c r="Z88">
        <v>-543</v>
      </c>
      <c r="AA88">
        <v>-0.33639999999999998</v>
      </c>
    </row>
    <row r="89" spans="2:27">
      <c r="B89" t="s">
        <v>2273</v>
      </c>
      <c r="C89" t="s">
        <v>2413</v>
      </c>
      <c r="D89">
        <v>988</v>
      </c>
      <c r="E89">
        <v>10</v>
      </c>
      <c r="F89" s="455">
        <v>46197</v>
      </c>
      <c r="G89" t="s">
        <v>2414</v>
      </c>
      <c r="H89" t="s">
        <v>3080</v>
      </c>
      <c r="I89" t="s">
        <v>2940</v>
      </c>
      <c r="J89">
        <v>12</v>
      </c>
      <c r="K89">
        <v>12</v>
      </c>
      <c r="L89">
        <v>12</v>
      </c>
      <c r="M89" s="456">
        <v>1626</v>
      </c>
      <c r="N89">
        <v>1.65</v>
      </c>
      <c r="O89" s="456">
        <v>1626</v>
      </c>
      <c r="P89">
        <v>1.65</v>
      </c>
      <c r="Q89" s="456">
        <v>1149</v>
      </c>
      <c r="R89">
        <v>1.1599999999999999</v>
      </c>
      <c r="S89">
        <v>0</v>
      </c>
      <c r="T89">
        <v>0</v>
      </c>
      <c r="U89" s="456">
        <v>1149</v>
      </c>
      <c r="V89">
        <v>1.1599999999999999</v>
      </c>
      <c r="W89" s="456">
        <v>1149.25</v>
      </c>
      <c r="X89">
        <v>-477</v>
      </c>
      <c r="Y89">
        <v>-0.29339999999999999</v>
      </c>
      <c r="Z89">
        <v>-477</v>
      </c>
      <c r="AA89">
        <v>-0.29339999999999999</v>
      </c>
    </row>
    <row r="90" spans="2:27">
      <c r="B90" t="s">
        <v>2273</v>
      </c>
      <c r="C90" t="s">
        <v>3081</v>
      </c>
      <c r="D90">
        <v>988</v>
      </c>
      <c r="E90">
        <v>0</v>
      </c>
      <c r="F90" s="455">
        <v>46197</v>
      </c>
      <c r="G90" t="s">
        <v>3082</v>
      </c>
      <c r="H90" t="s">
        <v>3082</v>
      </c>
      <c r="I90" t="s">
        <v>2938</v>
      </c>
      <c r="J90">
        <v>12</v>
      </c>
      <c r="K90">
        <v>12</v>
      </c>
      <c r="L90">
        <v>12</v>
      </c>
      <c r="M90" s="456">
        <v>1616</v>
      </c>
      <c r="N90">
        <v>1.64</v>
      </c>
      <c r="O90" s="456">
        <v>1616</v>
      </c>
      <c r="P90">
        <v>1.64</v>
      </c>
      <c r="Q90" s="456">
        <v>1581</v>
      </c>
      <c r="R90">
        <v>1.6</v>
      </c>
      <c r="S90">
        <v>0</v>
      </c>
      <c r="T90">
        <v>0</v>
      </c>
      <c r="U90" s="456">
        <v>1581</v>
      </c>
      <c r="V90">
        <v>1.6</v>
      </c>
      <c r="W90" s="456">
        <v>1581</v>
      </c>
      <c r="X90">
        <v>-35</v>
      </c>
      <c r="Y90">
        <v>-2.1700000000000001E-2</v>
      </c>
      <c r="Z90">
        <v>-35</v>
      </c>
      <c r="AA90">
        <v>-2.1700000000000001E-2</v>
      </c>
    </row>
    <row r="91" spans="2:27">
      <c r="B91" t="s">
        <v>2273</v>
      </c>
      <c r="C91" t="s">
        <v>2443</v>
      </c>
      <c r="D91">
        <v>988</v>
      </c>
      <c r="E91">
        <v>6</v>
      </c>
      <c r="F91" s="455">
        <v>46156</v>
      </c>
      <c r="G91" t="s">
        <v>2444</v>
      </c>
      <c r="H91" t="s">
        <v>3083</v>
      </c>
      <c r="I91" t="s">
        <v>2940</v>
      </c>
      <c r="J91">
        <v>12</v>
      </c>
      <c r="K91">
        <v>12</v>
      </c>
      <c r="L91">
        <v>12</v>
      </c>
      <c r="M91" s="456">
        <v>1580</v>
      </c>
      <c r="N91">
        <v>1.6</v>
      </c>
      <c r="O91" s="456">
        <v>1580</v>
      </c>
      <c r="P91">
        <v>1.6</v>
      </c>
      <c r="Q91" s="456">
        <v>1184</v>
      </c>
      <c r="R91">
        <v>1.2</v>
      </c>
      <c r="S91">
        <v>0</v>
      </c>
      <c r="T91">
        <v>0</v>
      </c>
      <c r="U91" s="456">
        <v>1184</v>
      </c>
      <c r="V91">
        <v>1.2</v>
      </c>
      <c r="W91" s="456">
        <v>1184.33</v>
      </c>
      <c r="X91">
        <v>-396</v>
      </c>
      <c r="Y91">
        <v>-0.25059999999999999</v>
      </c>
      <c r="Z91">
        <v>-396</v>
      </c>
      <c r="AA91">
        <v>-0.25059999999999999</v>
      </c>
    </row>
    <row r="92" spans="2:27">
      <c r="B92" t="s">
        <v>2273</v>
      </c>
      <c r="C92" t="s">
        <v>2448</v>
      </c>
      <c r="D92">
        <v>988</v>
      </c>
      <c r="E92">
        <v>31</v>
      </c>
      <c r="F92" s="455">
        <v>46209</v>
      </c>
      <c r="G92" t="s">
        <v>1126</v>
      </c>
      <c r="H92" t="s">
        <v>3084</v>
      </c>
      <c r="I92" t="s">
        <v>2940</v>
      </c>
      <c r="J92">
        <v>12</v>
      </c>
      <c r="K92">
        <v>12</v>
      </c>
      <c r="L92">
        <v>12</v>
      </c>
      <c r="M92" s="456">
        <v>1653</v>
      </c>
      <c r="N92">
        <v>1.67</v>
      </c>
      <c r="O92" s="456">
        <v>1653</v>
      </c>
      <c r="P92">
        <v>1.67</v>
      </c>
      <c r="Q92" s="456">
        <v>1149</v>
      </c>
      <c r="R92">
        <v>1.1599999999999999</v>
      </c>
      <c r="S92">
        <v>0</v>
      </c>
      <c r="T92">
        <v>0</v>
      </c>
      <c r="U92" s="456">
        <v>1149</v>
      </c>
      <c r="V92">
        <v>1.1599999999999999</v>
      </c>
      <c r="W92" s="456">
        <v>1149.25</v>
      </c>
      <c r="X92">
        <v>-504</v>
      </c>
      <c r="Y92">
        <v>-0.3049</v>
      </c>
      <c r="Z92">
        <v>-504</v>
      </c>
      <c r="AA92">
        <v>-0.3049</v>
      </c>
    </row>
    <row r="93" spans="2:27">
      <c r="B93" t="s">
        <v>2273</v>
      </c>
      <c r="C93" t="s">
        <v>2449</v>
      </c>
      <c r="D93">
        <v>988</v>
      </c>
      <c r="E93">
        <v>183</v>
      </c>
      <c r="F93" s="455">
        <v>46233</v>
      </c>
      <c r="G93" t="s">
        <v>2450</v>
      </c>
      <c r="H93" t="s">
        <v>3085</v>
      </c>
      <c r="I93" t="s">
        <v>2940</v>
      </c>
      <c r="J93">
        <v>12</v>
      </c>
      <c r="K93">
        <v>12</v>
      </c>
      <c r="L93">
        <v>12</v>
      </c>
      <c r="M93" s="456">
        <v>1625</v>
      </c>
      <c r="N93">
        <v>1.64</v>
      </c>
      <c r="O93" s="456">
        <v>1625</v>
      </c>
      <c r="P93">
        <v>1.64</v>
      </c>
      <c r="Q93" s="456">
        <v>1124</v>
      </c>
      <c r="R93">
        <v>1.1399999999999999</v>
      </c>
      <c r="S93">
        <v>0</v>
      </c>
      <c r="T93">
        <v>0</v>
      </c>
      <c r="U93" s="456">
        <v>1124</v>
      </c>
      <c r="V93">
        <v>1.1399999999999999</v>
      </c>
      <c r="W93" s="456">
        <v>1124.08</v>
      </c>
      <c r="X93">
        <v>-501</v>
      </c>
      <c r="Y93">
        <v>-0.30830000000000002</v>
      </c>
      <c r="Z93">
        <v>-501</v>
      </c>
      <c r="AA93">
        <v>-0.30830000000000002</v>
      </c>
    </row>
    <row r="94" spans="2:27">
      <c r="B94" t="s">
        <v>2273</v>
      </c>
      <c r="C94" t="s">
        <v>2480</v>
      </c>
      <c r="D94">
        <v>988</v>
      </c>
      <c r="E94">
        <v>215</v>
      </c>
      <c r="F94" s="455">
        <v>46227</v>
      </c>
      <c r="G94" t="s">
        <v>2481</v>
      </c>
      <c r="H94" t="s">
        <v>3086</v>
      </c>
      <c r="I94" t="s">
        <v>2940</v>
      </c>
      <c r="J94">
        <v>12</v>
      </c>
      <c r="K94">
        <v>12</v>
      </c>
      <c r="L94">
        <v>12</v>
      </c>
      <c r="M94" s="456">
        <v>1651</v>
      </c>
      <c r="N94">
        <v>1.67</v>
      </c>
      <c r="O94" s="456">
        <v>1651</v>
      </c>
      <c r="P94">
        <v>1.67</v>
      </c>
      <c r="Q94" s="456">
        <v>1149</v>
      </c>
      <c r="R94">
        <v>1.1599999999999999</v>
      </c>
      <c r="S94">
        <v>0</v>
      </c>
      <c r="T94">
        <v>0</v>
      </c>
      <c r="U94" s="456">
        <v>1149</v>
      </c>
      <c r="V94">
        <v>1.1599999999999999</v>
      </c>
      <c r="W94" s="456">
        <v>1149.25</v>
      </c>
      <c r="X94">
        <v>-502</v>
      </c>
      <c r="Y94">
        <v>-0.30409999999999998</v>
      </c>
      <c r="Z94">
        <v>-502</v>
      </c>
      <c r="AA94">
        <v>-0.30409999999999998</v>
      </c>
    </row>
    <row r="95" spans="2:27">
      <c r="B95" t="s">
        <v>2273</v>
      </c>
      <c r="C95" t="s">
        <v>2482</v>
      </c>
      <c r="D95">
        <v>988</v>
      </c>
      <c r="E95">
        <v>13</v>
      </c>
      <c r="F95" s="455">
        <v>46169</v>
      </c>
      <c r="G95" t="s">
        <v>2483</v>
      </c>
      <c r="H95" t="s">
        <v>3087</v>
      </c>
      <c r="I95" t="s">
        <v>2940</v>
      </c>
      <c r="J95">
        <v>12</v>
      </c>
      <c r="K95">
        <v>12</v>
      </c>
      <c r="L95">
        <v>12</v>
      </c>
      <c r="M95" s="456">
        <v>1485</v>
      </c>
      <c r="N95">
        <v>1.5</v>
      </c>
      <c r="O95" s="456">
        <v>1485</v>
      </c>
      <c r="P95">
        <v>1.5</v>
      </c>
      <c r="Q95" s="456">
        <v>1074</v>
      </c>
      <c r="R95">
        <v>1.0900000000000001</v>
      </c>
      <c r="S95">
        <v>0</v>
      </c>
      <c r="T95">
        <v>0</v>
      </c>
      <c r="U95" s="456">
        <v>1074</v>
      </c>
      <c r="V95">
        <v>1.0900000000000001</v>
      </c>
      <c r="W95" s="456">
        <v>1074.08</v>
      </c>
      <c r="X95">
        <v>-411</v>
      </c>
      <c r="Y95">
        <v>-0.27679999999999999</v>
      </c>
      <c r="Z95">
        <v>-411</v>
      </c>
      <c r="AA95">
        <v>-0.27679999999999999</v>
      </c>
    </row>
    <row r="96" spans="2:27">
      <c r="B96" t="s">
        <v>2273</v>
      </c>
      <c r="C96" t="s">
        <v>2484</v>
      </c>
      <c r="D96">
        <v>988</v>
      </c>
      <c r="E96">
        <v>13</v>
      </c>
      <c r="F96" s="455">
        <v>46170</v>
      </c>
      <c r="G96" t="s">
        <v>2485</v>
      </c>
      <c r="H96" t="s">
        <v>3088</v>
      </c>
      <c r="I96" t="s">
        <v>2940</v>
      </c>
      <c r="J96">
        <v>12</v>
      </c>
      <c r="K96">
        <v>12</v>
      </c>
      <c r="L96">
        <v>12</v>
      </c>
      <c r="M96" s="456">
        <v>1536</v>
      </c>
      <c r="N96">
        <v>1.55</v>
      </c>
      <c r="O96" s="456">
        <v>1536</v>
      </c>
      <c r="P96">
        <v>1.55</v>
      </c>
      <c r="Q96" s="456">
        <v>1099</v>
      </c>
      <c r="R96">
        <v>1.1100000000000001</v>
      </c>
      <c r="S96">
        <v>0</v>
      </c>
      <c r="T96">
        <v>0</v>
      </c>
      <c r="U96" s="456">
        <v>1099</v>
      </c>
      <c r="V96">
        <v>1.1100000000000001</v>
      </c>
      <c r="W96" s="456">
        <v>1099.25</v>
      </c>
      <c r="X96">
        <v>-437</v>
      </c>
      <c r="Y96">
        <v>-0.28449999999999998</v>
      </c>
      <c r="Z96">
        <v>-437</v>
      </c>
      <c r="AA96">
        <v>-0.28449999999999998</v>
      </c>
    </row>
    <row r="97" spans="2:27">
      <c r="B97" t="s">
        <v>2273</v>
      </c>
      <c r="C97" t="s">
        <v>2487</v>
      </c>
      <c r="D97">
        <v>988</v>
      </c>
      <c r="E97">
        <v>44</v>
      </c>
      <c r="F97" s="455">
        <v>46197</v>
      </c>
      <c r="G97" t="s">
        <v>1130</v>
      </c>
      <c r="H97" t="s">
        <v>3089</v>
      </c>
      <c r="I97" t="s">
        <v>2940</v>
      </c>
      <c r="J97">
        <v>12</v>
      </c>
      <c r="K97">
        <v>12</v>
      </c>
      <c r="L97">
        <v>12</v>
      </c>
      <c r="M97" s="456">
        <v>1351</v>
      </c>
      <c r="N97">
        <v>1.37</v>
      </c>
      <c r="O97" s="456">
        <v>1351</v>
      </c>
      <c r="P97">
        <v>1.37</v>
      </c>
      <c r="Q97" s="456">
        <v>1074</v>
      </c>
      <c r="R97">
        <v>1.0900000000000001</v>
      </c>
      <c r="S97">
        <v>0</v>
      </c>
      <c r="T97">
        <v>0</v>
      </c>
      <c r="U97" s="456">
        <v>1074</v>
      </c>
      <c r="V97">
        <v>1.0900000000000001</v>
      </c>
      <c r="W97" s="456">
        <v>1074</v>
      </c>
      <c r="X97">
        <v>-277</v>
      </c>
      <c r="Y97">
        <v>-0.20499999999999999</v>
      </c>
      <c r="Z97">
        <v>-277</v>
      </c>
      <c r="AA97">
        <v>-0.20499999999999999</v>
      </c>
    </row>
    <row r="98" spans="2:27">
      <c r="B98" t="s">
        <v>2275</v>
      </c>
      <c r="C98" t="s">
        <v>2520</v>
      </c>
      <c r="D98">
        <v>1066</v>
      </c>
      <c r="E98">
        <v>61</v>
      </c>
      <c r="F98" s="455">
        <v>46206</v>
      </c>
      <c r="G98" t="s">
        <v>2521</v>
      </c>
      <c r="H98" t="s">
        <v>3090</v>
      </c>
      <c r="I98" t="s">
        <v>2940</v>
      </c>
      <c r="J98">
        <v>12</v>
      </c>
      <c r="K98">
        <v>12</v>
      </c>
      <c r="L98">
        <v>12</v>
      </c>
      <c r="M98" s="456">
        <v>1389</v>
      </c>
      <c r="N98">
        <v>1.3</v>
      </c>
      <c r="O98" s="456">
        <v>1389</v>
      </c>
      <c r="P98">
        <v>1.3</v>
      </c>
      <c r="Q98" s="456">
        <v>1137</v>
      </c>
      <c r="R98">
        <v>1.07</v>
      </c>
      <c r="S98">
        <v>0</v>
      </c>
      <c r="T98">
        <v>0</v>
      </c>
      <c r="U98" s="456">
        <v>1137</v>
      </c>
      <c r="V98">
        <v>1.07</v>
      </c>
      <c r="W98" s="456">
        <v>1137</v>
      </c>
      <c r="X98">
        <v>-252</v>
      </c>
      <c r="Y98">
        <v>-0.18140000000000001</v>
      </c>
      <c r="Z98">
        <v>-252</v>
      </c>
      <c r="AA98">
        <v>-0.18140000000000001</v>
      </c>
    </row>
    <row r="99" spans="2:27">
      <c r="B99" t="s">
        <v>2276</v>
      </c>
      <c r="C99" t="s">
        <v>3091</v>
      </c>
      <c r="D99">
        <v>1100</v>
      </c>
      <c r="E99">
        <v>0</v>
      </c>
      <c r="F99" s="455">
        <v>46206</v>
      </c>
      <c r="G99" t="s">
        <v>3092</v>
      </c>
      <c r="H99" t="s">
        <v>3092</v>
      </c>
      <c r="I99" t="s">
        <v>2938</v>
      </c>
      <c r="J99">
        <v>12</v>
      </c>
      <c r="K99">
        <v>12</v>
      </c>
      <c r="L99">
        <v>12</v>
      </c>
      <c r="M99" s="456">
        <v>1469</v>
      </c>
      <c r="N99">
        <v>1.34</v>
      </c>
      <c r="O99" s="456">
        <v>1469</v>
      </c>
      <c r="P99">
        <v>1.34</v>
      </c>
      <c r="Q99" s="456">
        <v>1469</v>
      </c>
      <c r="R99">
        <v>1.34</v>
      </c>
      <c r="S99">
        <v>0</v>
      </c>
      <c r="T99">
        <v>0</v>
      </c>
      <c r="U99" s="456">
        <v>1469</v>
      </c>
      <c r="V99">
        <v>1.34</v>
      </c>
      <c r="W99" s="456">
        <v>1465.17</v>
      </c>
      <c r="X99">
        <v>0</v>
      </c>
      <c r="Y99">
        <v>0</v>
      </c>
      <c r="Z99">
        <v>0</v>
      </c>
      <c r="AA99">
        <v>0</v>
      </c>
    </row>
    <row r="100" spans="2:27">
      <c r="B100" t="s">
        <v>1029</v>
      </c>
      <c r="C100" t="s">
        <v>3093</v>
      </c>
      <c r="D100">
        <v>1109</v>
      </c>
      <c r="E100">
        <v>0</v>
      </c>
      <c r="F100" s="455">
        <v>46197</v>
      </c>
      <c r="G100" t="s">
        <v>3094</v>
      </c>
      <c r="H100" t="s">
        <v>3094</v>
      </c>
      <c r="I100" t="s">
        <v>2938</v>
      </c>
      <c r="J100">
        <v>12</v>
      </c>
      <c r="K100">
        <v>12</v>
      </c>
      <c r="L100">
        <v>12</v>
      </c>
      <c r="M100" s="456">
        <v>2048</v>
      </c>
      <c r="N100">
        <v>1.85</v>
      </c>
      <c r="O100" s="456">
        <v>2048</v>
      </c>
      <c r="P100">
        <v>1.85</v>
      </c>
      <c r="Q100" s="456">
        <v>2013</v>
      </c>
      <c r="R100">
        <v>1.82</v>
      </c>
      <c r="S100">
        <v>0</v>
      </c>
      <c r="T100">
        <v>0</v>
      </c>
      <c r="U100" s="456">
        <v>2013</v>
      </c>
      <c r="V100">
        <v>1.82</v>
      </c>
      <c r="W100" s="456">
        <v>2007.92</v>
      </c>
      <c r="X100">
        <v>-35</v>
      </c>
      <c r="Y100">
        <v>-1.7100000000000001E-2</v>
      </c>
      <c r="Z100">
        <v>-35</v>
      </c>
      <c r="AA100">
        <v>-1.7100000000000001E-2</v>
      </c>
    </row>
    <row r="101" spans="2:27">
      <c r="B101" t="s">
        <v>1029</v>
      </c>
      <c r="C101" t="s">
        <v>2537</v>
      </c>
      <c r="D101">
        <v>1109</v>
      </c>
      <c r="E101">
        <v>136</v>
      </c>
      <c r="F101" s="455">
        <v>46238</v>
      </c>
      <c r="G101" t="s">
        <v>2538</v>
      </c>
      <c r="H101" t="s">
        <v>3095</v>
      </c>
      <c r="I101" t="s">
        <v>2940</v>
      </c>
      <c r="J101">
        <v>12</v>
      </c>
      <c r="K101">
        <v>12</v>
      </c>
      <c r="L101">
        <v>12</v>
      </c>
      <c r="M101" s="456">
        <v>1895</v>
      </c>
      <c r="N101">
        <v>1.71</v>
      </c>
      <c r="O101" s="456">
        <v>1895</v>
      </c>
      <c r="P101">
        <v>1.71</v>
      </c>
      <c r="Q101" s="456">
        <v>1705</v>
      </c>
      <c r="R101">
        <v>1.54</v>
      </c>
      <c r="S101">
        <v>0</v>
      </c>
      <c r="T101">
        <v>0</v>
      </c>
      <c r="U101" s="456">
        <v>1705</v>
      </c>
      <c r="V101">
        <v>1.54</v>
      </c>
      <c r="W101" s="456">
        <v>1705.25</v>
      </c>
      <c r="X101">
        <v>-190</v>
      </c>
      <c r="Y101">
        <v>-0.1003</v>
      </c>
      <c r="Z101">
        <v>-190</v>
      </c>
      <c r="AA101">
        <v>-0.1003</v>
      </c>
    </row>
    <row r="102" spans="2:27">
      <c r="B102" t="s">
        <v>1029</v>
      </c>
      <c r="C102" t="s">
        <v>3096</v>
      </c>
      <c r="D102">
        <v>1109</v>
      </c>
      <c r="E102">
        <v>0</v>
      </c>
      <c r="F102" s="455">
        <v>46204</v>
      </c>
      <c r="G102" t="s">
        <v>3097</v>
      </c>
      <c r="H102" t="s">
        <v>3097</v>
      </c>
      <c r="I102" t="s">
        <v>2938</v>
      </c>
      <c r="J102">
        <v>12</v>
      </c>
      <c r="K102">
        <v>12</v>
      </c>
      <c r="L102">
        <v>12</v>
      </c>
      <c r="M102" s="456">
        <v>1970</v>
      </c>
      <c r="N102">
        <v>1.78</v>
      </c>
      <c r="O102" s="456">
        <v>1970</v>
      </c>
      <c r="P102">
        <v>1.78</v>
      </c>
      <c r="Q102" s="456">
        <v>1935</v>
      </c>
      <c r="R102">
        <v>1.74</v>
      </c>
      <c r="S102">
        <v>0</v>
      </c>
      <c r="T102">
        <v>0</v>
      </c>
      <c r="U102" s="456">
        <v>1935</v>
      </c>
      <c r="V102">
        <v>1.74</v>
      </c>
      <c r="W102" s="456">
        <v>1935</v>
      </c>
      <c r="X102">
        <v>-35</v>
      </c>
      <c r="Y102">
        <v>-1.78E-2</v>
      </c>
      <c r="Z102">
        <v>-35</v>
      </c>
      <c r="AA102">
        <v>-1.78E-2</v>
      </c>
    </row>
    <row r="103" spans="2:27">
      <c r="B103" t="s">
        <v>1029</v>
      </c>
      <c r="C103" t="s">
        <v>3098</v>
      </c>
      <c r="D103">
        <v>1109</v>
      </c>
      <c r="E103">
        <v>0</v>
      </c>
      <c r="F103" s="455">
        <v>46219</v>
      </c>
      <c r="G103" t="s">
        <v>3099</v>
      </c>
      <c r="H103" t="s">
        <v>3099</v>
      </c>
      <c r="I103" t="s">
        <v>2938</v>
      </c>
      <c r="J103">
        <v>12</v>
      </c>
      <c r="K103">
        <v>12</v>
      </c>
      <c r="L103">
        <v>12</v>
      </c>
      <c r="M103" s="456">
        <v>2048</v>
      </c>
      <c r="N103">
        <v>1.85</v>
      </c>
      <c r="O103" s="456">
        <v>2048</v>
      </c>
      <c r="P103">
        <v>1.85</v>
      </c>
      <c r="Q103" s="456">
        <v>2013</v>
      </c>
      <c r="R103">
        <v>1.82</v>
      </c>
      <c r="S103">
        <v>0</v>
      </c>
      <c r="T103">
        <v>0</v>
      </c>
      <c r="U103" s="456">
        <v>2013</v>
      </c>
      <c r="V103">
        <v>1.82</v>
      </c>
      <c r="W103" s="456">
        <v>2013.25</v>
      </c>
      <c r="X103">
        <v>-35</v>
      </c>
      <c r="Y103">
        <v>-1.7100000000000001E-2</v>
      </c>
      <c r="Z103">
        <v>-35</v>
      </c>
      <c r="AA103">
        <v>-1.7100000000000001E-2</v>
      </c>
    </row>
    <row r="104" spans="2:27">
      <c r="B104" t="s">
        <v>1029</v>
      </c>
      <c r="C104" t="s">
        <v>2539</v>
      </c>
      <c r="D104">
        <v>1109</v>
      </c>
      <c r="E104">
        <v>25</v>
      </c>
      <c r="F104" s="455">
        <v>46190</v>
      </c>
      <c r="G104" t="s">
        <v>2540</v>
      </c>
      <c r="H104" t="s">
        <v>3100</v>
      </c>
      <c r="I104" t="s">
        <v>2940</v>
      </c>
      <c r="J104">
        <v>12</v>
      </c>
      <c r="K104">
        <v>12</v>
      </c>
      <c r="L104">
        <v>12</v>
      </c>
      <c r="M104" s="456">
        <v>1738</v>
      </c>
      <c r="N104">
        <v>1.57</v>
      </c>
      <c r="O104" s="456">
        <v>1738</v>
      </c>
      <c r="P104">
        <v>1.57</v>
      </c>
      <c r="Q104" s="456">
        <v>1585</v>
      </c>
      <c r="R104">
        <v>1.43</v>
      </c>
      <c r="S104">
        <v>0</v>
      </c>
      <c r="T104">
        <v>0</v>
      </c>
      <c r="U104" s="456">
        <v>1585</v>
      </c>
      <c r="V104">
        <v>1.43</v>
      </c>
      <c r="W104" s="456">
        <v>1585</v>
      </c>
      <c r="X104">
        <v>-153</v>
      </c>
      <c r="Y104">
        <v>-8.7999999999999995E-2</v>
      </c>
      <c r="Z104">
        <v>-153</v>
      </c>
      <c r="AA104">
        <v>-8.7999999999999995E-2</v>
      </c>
    </row>
    <row r="105" spans="2:27">
      <c r="B105" t="s">
        <v>1023</v>
      </c>
      <c r="C105" t="s">
        <v>1575</v>
      </c>
      <c r="D105">
        <v>420</v>
      </c>
      <c r="E105">
        <v>195</v>
      </c>
      <c r="F105" s="455">
        <v>46230</v>
      </c>
      <c r="G105" t="s">
        <v>2166</v>
      </c>
      <c r="H105" t="s">
        <v>3101</v>
      </c>
      <c r="I105" t="s">
        <v>2940</v>
      </c>
      <c r="J105">
        <v>12</v>
      </c>
      <c r="K105">
        <v>12</v>
      </c>
      <c r="L105">
        <v>12</v>
      </c>
      <c r="M105">
        <v>751</v>
      </c>
      <c r="N105">
        <v>1.79</v>
      </c>
      <c r="O105">
        <v>751</v>
      </c>
      <c r="P105">
        <v>1.79</v>
      </c>
      <c r="Q105">
        <v>753</v>
      </c>
      <c r="R105">
        <v>1.79</v>
      </c>
      <c r="S105">
        <v>0</v>
      </c>
      <c r="T105">
        <v>0</v>
      </c>
      <c r="U105">
        <v>753</v>
      </c>
      <c r="V105">
        <v>1.79</v>
      </c>
      <c r="W105">
        <v>753.08</v>
      </c>
      <c r="X105">
        <v>2</v>
      </c>
      <c r="Y105">
        <v>2.7000000000000001E-3</v>
      </c>
      <c r="Z105">
        <v>2</v>
      </c>
      <c r="AA105">
        <v>2.7000000000000001E-3</v>
      </c>
    </row>
    <row r="106" spans="2:27">
      <c r="B106" t="s">
        <v>1023</v>
      </c>
      <c r="C106" t="s">
        <v>1582</v>
      </c>
      <c r="D106">
        <v>420</v>
      </c>
      <c r="E106">
        <v>187</v>
      </c>
      <c r="F106" s="455">
        <v>46220</v>
      </c>
      <c r="G106" t="s">
        <v>3102</v>
      </c>
      <c r="H106" t="s">
        <v>3103</v>
      </c>
      <c r="I106" t="s">
        <v>2940</v>
      </c>
      <c r="J106">
        <v>12</v>
      </c>
      <c r="K106">
        <v>12</v>
      </c>
      <c r="L106">
        <v>12</v>
      </c>
      <c r="M106">
        <v>816</v>
      </c>
      <c r="N106">
        <v>1.94</v>
      </c>
      <c r="O106">
        <v>816</v>
      </c>
      <c r="P106">
        <v>1.94</v>
      </c>
      <c r="Q106">
        <v>743</v>
      </c>
      <c r="R106">
        <v>1.77</v>
      </c>
      <c r="S106">
        <v>0</v>
      </c>
      <c r="T106">
        <v>0</v>
      </c>
      <c r="U106">
        <v>743</v>
      </c>
      <c r="V106">
        <v>1.77</v>
      </c>
      <c r="W106">
        <v>743</v>
      </c>
      <c r="X106">
        <v>-73</v>
      </c>
      <c r="Y106">
        <v>-8.9499999999999996E-2</v>
      </c>
      <c r="Z106">
        <v>-73</v>
      </c>
      <c r="AA106">
        <v>-8.9499999999999996E-2</v>
      </c>
    </row>
    <row r="107" spans="2:27">
      <c r="B107" t="s">
        <v>1023</v>
      </c>
      <c r="C107" t="s">
        <v>1540</v>
      </c>
      <c r="D107">
        <v>420</v>
      </c>
      <c r="E107">
        <v>205</v>
      </c>
      <c r="F107" s="455">
        <v>46216</v>
      </c>
      <c r="G107" t="s">
        <v>2180</v>
      </c>
      <c r="H107" t="s">
        <v>3104</v>
      </c>
      <c r="I107" t="s">
        <v>2940</v>
      </c>
      <c r="J107">
        <v>12</v>
      </c>
      <c r="K107">
        <v>12</v>
      </c>
      <c r="L107">
        <v>12</v>
      </c>
      <c r="M107">
        <v>855</v>
      </c>
      <c r="N107">
        <v>2.04</v>
      </c>
      <c r="O107">
        <v>855</v>
      </c>
      <c r="P107">
        <v>2.04</v>
      </c>
      <c r="Q107">
        <v>743</v>
      </c>
      <c r="R107">
        <v>1.77</v>
      </c>
      <c r="S107">
        <v>0</v>
      </c>
      <c r="T107">
        <v>0</v>
      </c>
      <c r="U107">
        <v>743</v>
      </c>
      <c r="V107">
        <v>1.77</v>
      </c>
      <c r="W107">
        <v>743</v>
      </c>
      <c r="X107">
        <v>-112</v>
      </c>
      <c r="Y107">
        <v>-0.13100000000000001</v>
      </c>
      <c r="Z107">
        <v>-112</v>
      </c>
      <c r="AA107">
        <v>-0.13100000000000001</v>
      </c>
    </row>
    <row r="108" spans="2:27">
      <c r="B108" t="s">
        <v>1023</v>
      </c>
      <c r="C108" t="s">
        <v>3105</v>
      </c>
      <c r="D108">
        <v>420</v>
      </c>
      <c r="E108">
        <v>187</v>
      </c>
      <c r="F108" s="455">
        <v>46182</v>
      </c>
      <c r="G108" t="s">
        <v>3106</v>
      </c>
      <c r="H108" t="s">
        <v>3107</v>
      </c>
      <c r="I108" t="s">
        <v>2940</v>
      </c>
      <c r="J108">
        <v>12</v>
      </c>
      <c r="K108">
        <v>12</v>
      </c>
      <c r="L108">
        <v>12</v>
      </c>
      <c r="M108">
        <v>828</v>
      </c>
      <c r="N108">
        <v>1.97</v>
      </c>
      <c r="O108">
        <v>807.33</v>
      </c>
      <c r="P108">
        <v>1.92</v>
      </c>
      <c r="Q108">
        <v>798</v>
      </c>
      <c r="R108">
        <v>1.9</v>
      </c>
      <c r="S108">
        <v>0</v>
      </c>
      <c r="T108">
        <v>0</v>
      </c>
      <c r="U108">
        <v>798</v>
      </c>
      <c r="V108">
        <v>1.9</v>
      </c>
      <c r="W108">
        <v>798.17</v>
      </c>
      <c r="X108">
        <v>-30</v>
      </c>
      <c r="Y108">
        <v>-3.6200000000000003E-2</v>
      </c>
      <c r="Z108">
        <v>-9.33</v>
      </c>
      <c r="AA108">
        <v>-1.1599999999999999E-2</v>
      </c>
    </row>
    <row r="109" spans="2:27">
      <c r="B109" t="s">
        <v>1023</v>
      </c>
      <c r="C109" t="s">
        <v>1588</v>
      </c>
      <c r="D109">
        <v>420</v>
      </c>
      <c r="E109">
        <v>190</v>
      </c>
      <c r="F109" s="455">
        <v>46212</v>
      </c>
      <c r="G109" t="s">
        <v>3108</v>
      </c>
      <c r="H109" t="s">
        <v>3109</v>
      </c>
      <c r="I109" t="s">
        <v>2940</v>
      </c>
      <c r="J109">
        <v>12</v>
      </c>
      <c r="K109">
        <v>12</v>
      </c>
      <c r="L109">
        <v>12</v>
      </c>
      <c r="M109" s="456">
        <v>1015</v>
      </c>
      <c r="N109">
        <v>2.42</v>
      </c>
      <c r="O109" s="456">
        <v>1015</v>
      </c>
      <c r="P109">
        <v>2.42</v>
      </c>
      <c r="Q109">
        <v>863</v>
      </c>
      <c r="R109">
        <v>2.0499999999999998</v>
      </c>
      <c r="S109">
        <v>0</v>
      </c>
      <c r="T109">
        <v>0</v>
      </c>
      <c r="U109">
        <v>863</v>
      </c>
      <c r="V109">
        <v>2.0499999999999998</v>
      </c>
      <c r="W109">
        <v>863.25</v>
      </c>
      <c r="X109">
        <v>-152</v>
      </c>
      <c r="Y109">
        <v>-0.14979999999999999</v>
      </c>
      <c r="Z109">
        <v>-152</v>
      </c>
      <c r="AA109">
        <v>-0.14979999999999999</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133866-79D5-4907-9501-240C413B5FFB}">
  <sheetPr codeName="Sheet18">
    <tabColor theme="4" tint="0.59999389629810485"/>
  </sheetPr>
  <dimension ref="A1:H16"/>
  <sheetViews>
    <sheetView workbookViewId="0">
      <selection activeCell="E16" sqref="E16"/>
    </sheetView>
  </sheetViews>
  <sheetFormatPr defaultRowHeight="14.4"/>
  <cols>
    <col min="1" max="1" width="12.5546875" customWidth="1"/>
    <col min="2" max="2" width="20" customWidth="1"/>
    <col min="3" max="3" width="24.109375" customWidth="1"/>
    <col min="4" max="4" width="21.109375" customWidth="1"/>
    <col min="5" max="5" width="20.44140625" customWidth="1"/>
  </cols>
  <sheetData>
    <row r="1" spans="1:8">
      <c r="A1" t="s">
        <v>1760</v>
      </c>
      <c r="B1" t="s">
        <v>1138</v>
      </c>
      <c r="C1" t="s">
        <v>3110</v>
      </c>
      <c r="D1" t="s">
        <v>3111</v>
      </c>
      <c r="E1" t="s">
        <v>3112</v>
      </c>
      <c r="F1" t="s">
        <v>1475</v>
      </c>
      <c r="G1" t="s">
        <v>3113</v>
      </c>
      <c r="H1" s="90"/>
    </row>
    <row r="2" spans="1:8">
      <c r="A2" t="s">
        <v>3114</v>
      </c>
      <c r="B2" t="s">
        <v>3115</v>
      </c>
      <c r="C2">
        <v>1709993387</v>
      </c>
      <c r="D2" t="s">
        <v>3116</v>
      </c>
      <c r="E2" s="455">
        <v>46239</v>
      </c>
      <c r="F2" s="456">
        <v>1178.4000000000001</v>
      </c>
      <c r="G2">
        <v>50</v>
      </c>
      <c r="H2" s="90"/>
    </row>
    <row r="3" spans="1:8">
      <c r="A3" t="s">
        <v>2636</v>
      </c>
      <c r="B3" t="s">
        <v>2637</v>
      </c>
      <c r="C3">
        <v>1708929474</v>
      </c>
      <c r="D3" t="s">
        <v>3116</v>
      </c>
      <c r="E3" s="455">
        <v>46238</v>
      </c>
      <c r="F3">
        <v>103.28</v>
      </c>
      <c r="G3">
        <v>50</v>
      </c>
      <c r="H3" s="90"/>
    </row>
    <row r="4" spans="1:8">
      <c r="A4" s="90"/>
      <c r="B4" s="90"/>
      <c r="C4" s="90"/>
      <c r="D4" s="90"/>
      <c r="E4" s="92"/>
      <c r="F4" s="91"/>
      <c r="G4" s="90"/>
      <c r="H4" s="90"/>
    </row>
    <row r="5" spans="1:8">
      <c r="A5" s="90"/>
      <c r="B5" s="90"/>
      <c r="C5" s="90"/>
      <c r="D5" s="90"/>
      <c r="E5" s="92"/>
      <c r="F5" s="90"/>
      <c r="G5" s="90"/>
      <c r="H5" s="90"/>
    </row>
    <row r="6" spans="1:8">
      <c r="A6" s="90"/>
      <c r="B6" s="90"/>
      <c r="C6" s="90"/>
      <c r="D6" s="90"/>
      <c r="E6" s="92"/>
      <c r="F6" s="90"/>
      <c r="G6" s="90"/>
      <c r="H6" s="90"/>
    </row>
    <row r="7" spans="1:8">
      <c r="A7" s="90"/>
      <c r="B7" s="90"/>
      <c r="C7" s="90"/>
      <c r="D7" s="90"/>
      <c r="E7" s="92"/>
      <c r="F7" s="91"/>
      <c r="G7" s="90"/>
      <c r="H7" s="90"/>
    </row>
    <row r="8" spans="1:8">
      <c r="A8" s="90"/>
      <c r="B8" s="90"/>
      <c r="C8" s="90"/>
      <c r="D8" s="90"/>
      <c r="E8" s="92"/>
      <c r="F8" s="91"/>
      <c r="G8" s="90"/>
      <c r="H8" s="90"/>
    </row>
    <row r="9" spans="1:8">
      <c r="A9" s="90"/>
      <c r="B9" s="90"/>
      <c r="C9" s="90"/>
      <c r="D9" s="90"/>
      <c r="E9" s="92"/>
      <c r="F9" s="91"/>
      <c r="G9" s="90"/>
      <c r="H9" s="90"/>
    </row>
    <row r="10" spans="1:8">
      <c r="A10" s="90"/>
      <c r="B10" s="90"/>
      <c r="C10" s="90"/>
      <c r="D10" s="90"/>
      <c r="E10" s="92"/>
      <c r="F10" s="90"/>
      <c r="G10" s="90"/>
      <c r="H10" s="90"/>
    </row>
    <row r="11" spans="1:8">
      <c r="A11" s="90"/>
      <c r="B11" s="90"/>
      <c r="C11" s="90"/>
      <c r="D11" s="90"/>
      <c r="E11" s="92"/>
      <c r="F11" s="91"/>
      <c r="G11" s="90"/>
      <c r="H11" s="90"/>
    </row>
    <row r="12" spans="1:8">
      <c r="A12" s="90"/>
      <c r="B12" s="90"/>
      <c r="C12" s="90"/>
      <c r="D12" s="90"/>
      <c r="E12" s="92"/>
      <c r="F12" s="90"/>
      <c r="G12" s="90"/>
      <c r="H12" s="90"/>
    </row>
    <row r="13" spans="1:8">
      <c r="A13" s="90"/>
      <c r="B13" s="90"/>
      <c r="C13" s="90"/>
      <c r="D13" s="90"/>
      <c r="E13" s="90"/>
      <c r="F13" s="90"/>
      <c r="G13" s="90"/>
    </row>
    <row r="14" spans="1:8">
      <c r="A14" s="453"/>
      <c r="B14" s="453"/>
      <c r="C14" s="453"/>
      <c r="D14" s="453"/>
      <c r="E14" s="855"/>
      <c r="F14" s="862"/>
      <c r="G14" s="453"/>
    </row>
    <row r="15" spans="1:8">
      <c r="A15" s="453"/>
      <c r="B15" s="453"/>
      <c r="C15" s="453"/>
      <c r="D15" s="453"/>
      <c r="E15" s="855"/>
      <c r="F15" s="453"/>
      <c r="G15" s="453"/>
    </row>
    <row r="16" spans="1:8">
      <c r="A16" s="453"/>
      <c r="B16" s="453"/>
      <c r="C16" s="453"/>
      <c r="D16" s="453"/>
      <c r="E16" s="855"/>
      <c r="F16" s="453"/>
      <c r="G16" s="453"/>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FD5F01-3C18-48D6-A653-5F5D732B916C}">
  <sheetPr>
    <tabColor theme="6" tint="-0.499984740745262"/>
  </sheetPr>
  <dimension ref="A1:U1277"/>
  <sheetViews>
    <sheetView workbookViewId="0">
      <selection sqref="A1:XFD1048576"/>
    </sheetView>
  </sheetViews>
  <sheetFormatPr defaultRowHeight="14.4"/>
  <sheetData>
    <row r="1" spans="1:21">
      <c r="A1" t="s">
        <v>3117</v>
      </c>
      <c r="B1" t="s">
        <v>1761</v>
      </c>
      <c r="C1" t="s">
        <v>2301</v>
      </c>
      <c r="D1" t="s">
        <v>3118</v>
      </c>
      <c r="E1" t="s">
        <v>929</v>
      </c>
      <c r="F1" t="s">
        <v>1233</v>
      </c>
      <c r="G1" t="s">
        <v>3119</v>
      </c>
      <c r="H1" t="s">
        <v>1216</v>
      </c>
      <c r="I1" t="s">
        <v>1760</v>
      </c>
      <c r="J1" t="s">
        <v>3120</v>
      </c>
      <c r="K1" t="s">
        <v>3121</v>
      </c>
      <c r="L1" t="s">
        <v>2292</v>
      </c>
      <c r="M1" t="s">
        <v>2296</v>
      </c>
      <c r="N1" t="s">
        <v>3122</v>
      </c>
      <c r="O1" t="s">
        <v>3123</v>
      </c>
      <c r="P1" t="s">
        <v>2298</v>
      </c>
      <c r="Q1" t="s">
        <v>2300</v>
      </c>
      <c r="R1" t="s">
        <v>3124</v>
      </c>
      <c r="S1" t="s">
        <v>3125</v>
      </c>
      <c r="T1" t="s">
        <v>3126</v>
      </c>
      <c r="U1" t="s">
        <v>2383</v>
      </c>
    </row>
    <row r="2" spans="1:21">
      <c r="A2" t="s">
        <v>1751</v>
      </c>
      <c r="B2" t="s">
        <v>3127</v>
      </c>
      <c r="C2" t="s">
        <v>1751</v>
      </c>
      <c r="D2">
        <v>20559713</v>
      </c>
      <c r="E2" t="s">
        <v>3128</v>
      </c>
      <c r="F2" t="s">
        <v>1782</v>
      </c>
      <c r="G2" t="s">
        <v>3129</v>
      </c>
      <c r="H2" t="s">
        <v>1253</v>
      </c>
      <c r="J2" s="455">
        <v>46191</v>
      </c>
      <c r="U2" s="455">
        <v>46191</v>
      </c>
    </row>
    <row r="3" spans="1:21">
      <c r="A3" t="s">
        <v>1751</v>
      </c>
      <c r="B3" t="s">
        <v>3130</v>
      </c>
      <c r="C3" t="s">
        <v>1751</v>
      </c>
      <c r="D3">
        <v>20559072</v>
      </c>
      <c r="E3" t="s">
        <v>3128</v>
      </c>
      <c r="F3" t="s">
        <v>1241</v>
      </c>
      <c r="G3" t="s">
        <v>3129</v>
      </c>
      <c r="H3" t="s">
        <v>3131</v>
      </c>
      <c r="J3" s="455">
        <v>46190</v>
      </c>
      <c r="U3" s="455">
        <v>46190</v>
      </c>
    </row>
    <row r="4" spans="1:21">
      <c r="A4" t="s">
        <v>1751</v>
      </c>
      <c r="B4" t="s">
        <v>3132</v>
      </c>
      <c r="C4" t="s">
        <v>1751</v>
      </c>
      <c r="D4">
        <v>20505207</v>
      </c>
      <c r="E4" t="s">
        <v>3133</v>
      </c>
      <c r="F4" t="s">
        <v>1782</v>
      </c>
      <c r="G4" t="s">
        <v>3134</v>
      </c>
      <c r="H4" t="s">
        <v>1247</v>
      </c>
      <c r="I4" t="s">
        <v>2131</v>
      </c>
      <c r="J4" s="455">
        <v>46133</v>
      </c>
      <c r="K4" s="455">
        <v>46133</v>
      </c>
      <c r="R4" s="455">
        <v>46189</v>
      </c>
      <c r="U4" s="455">
        <v>46152</v>
      </c>
    </row>
    <row r="5" spans="1:21">
      <c r="A5" t="s">
        <v>1751</v>
      </c>
      <c r="B5" t="s">
        <v>3135</v>
      </c>
      <c r="C5" t="s">
        <v>1751</v>
      </c>
      <c r="D5">
        <v>20492177</v>
      </c>
      <c r="E5" t="s">
        <v>3133</v>
      </c>
      <c r="F5" t="s">
        <v>1912</v>
      </c>
      <c r="G5" t="s">
        <v>3134</v>
      </c>
      <c r="H5" t="s">
        <v>1247</v>
      </c>
      <c r="J5" s="455">
        <v>46122</v>
      </c>
      <c r="K5" s="455">
        <v>46122</v>
      </c>
      <c r="R5" s="455">
        <v>46181</v>
      </c>
      <c r="U5" s="455">
        <v>46122</v>
      </c>
    </row>
    <row r="6" spans="1:21">
      <c r="A6" t="s">
        <v>1751</v>
      </c>
      <c r="B6" t="s">
        <v>3136</v>
      </c>
      <c r="C6" t="s">
        <v>1751</v>
      </c>
      <c r="D6">
        <v>20562315</v>
      </c>
      <c r="E6" t="s">
        <v>3128</v>
      </c>
      <c r="F6" t="s">
        <v>1239</v>
      </c>
      <c r="G6" t="s">
        <v>3137</v>
      </c>
      <c r="H6" t="s">
        <v>1248</v>
      </c>
      <c r="J6" s="455">
        <v>46195</v>
      </c>
      <c r="U6" s="455">
        <v>46195</v>
      </c>
    </row>
    <row r="7" spans="1:21">
      <c r="A7" t="s">
        <v>1751</v>
      </c>
      <c r="B7" t="s">
        <v>3138</v>
      </c>
      <c r="C7" t="s">
        <v>1751</v>
      </c>
      <c r="D7">
        <v>20564783</v>
      </c>
      <c r="E7" t="s">
        <v>3128</v>
      </c>
      <c r="F7" t="s">
        <v>1243</v>
      </c>
      <c r="G7" t="s">
        <v>3137</v>
      </c>
      <c r="H7" t="s">
        <v>1252</v>
      </c>
      <c r="I7" t="s">
        <v>1529</v>
      </c>
      <c r="J7" s="455">
        <v>46197</v>
      </c>
      <c r="U7" s="455">
        <v>46205</v>
      </c>
    </row>
    <row r="8" spans="1:21">
      <c r="A8" t="s">
        <v>1751</v>
      </c>
      <c r="B8" t="s">
        <v>3139</v>
      </c>
      <c r="C8" t="s">
        <v>1751</v>
      </c>
      <c r="D8">
        <v>20552864</v>
      </c>
      <c r="E8" t="s">
        <v>3133</v>
      </c>
      <c r="F8" t="s">
        <v>1241</v>
      </c>
      <c r="G8" t="s">
        <v>3134</v>
      </c>
      <c r="H8" t="s">
        <v>1247</v>
      </c>
      <c r="I8" t="s">
        <v>2171</v>
      </c>
      <c r="J8" s="455">
        <v>46185</v>
      </c>
      <c r="K8" s="455">
        <v>46185</v>
      </c>
      <c r="R8" s="455">
        <v>46190</v>
      </c>
      <c r="U8" s="455">
        <v>46204</v>
      </c>
    </row>
    <row r="9" spans="1:21">
      <c r="A9" t="s">
        <v>1751</v>
      </c>
      <c r="B9" t="s">
        <v>3139</v>
      </c>
      <c r="C9" t="s">
        <v>1751</v>
      </c>
      <c r="D9">
        <v>20552832</v>
      </c>
      <c r="E9" t="s">
        <v>3128</v>
      </c>
      <c r="F9" t="s">
        <v>1782</v>
      </c>
      <c r="G9" t="s">
        <v>3129</v>
      </c>
      <c r="H9" t="s">
        <v>1252</v>
      </c>
      <c r="J9" s="455">
        <v>46185</v>
      </c>
      <c r="U9" s="455">
        <v>46185</v>
      </c>
    </row>
    <row r="10" spans="1:21">
      <c r="A10" t="s">
        <v>1751</v>
      </c>
      <c r="B10" t="s">
        <v>3140</v>
      </c>
      <c r="C10" t="s">
        <v>1751</v>
      </c>
      <c r="D10">
        <v>20562492</v>
      </c>
      <c r="E10" t="s">
        <v>3128</v>
      </c>
      <c r="F10" t="s">
        <v>1241</v>
      </c>
      <c r="G10" t="s">
        <v>3141</v>
      </c>
      <c r="H10" t="s">
        <v>1252</v>
      </c>
      <c r="J10" s="455">
        <v>46195</v>
      </c>
      <c r="U10" s="455">
        <v>46255</v>
      </c>
    </row>
    <row r="11" spans="1:21">
      <c r="A11" t="s">
        <v>1751</v>
      </c>
      <c r="B11" t="s">
        <v>3015</v>
      </c>
      <c r="C11" t="s">
        <v>1751</v>
      </c>
      <c r="D11">
        <v>20521716</v>
      </c>
      <c r="E11" t="s">
        <v>3133</v>
      </c>
      <c r="F11" t="s">
        <v>1912</v>
      </c>
      <c r="G11" t="s">
        <v>3134</v>
      </c>
      <c r="H11" t="s">
        <v>1247</v>
      </c>
      <c r="J11" s="455">
        <v>46152</v>
      </c>
      <c r="K11" s="455">
        <v>46152</v>
      </c>
      <c r="R11" s="455">
        <v>46189</v>
      </c>
      <c r="U11" s="455">
        <v>46231</v>
      </c>
    </row>
    <row r="12" spans="1:21">
      <c r="A12" t="s">
        <v>1751</v>
      </c>
      <c r="B12" t="s">
        <v>3015</v>
      </c>
      <c r="C12" t="s">
        <v>1751</v>
      </c>
      <c r="D12">
        <v>20520423</v>
      </c>
      <c r="E12" t="s">
        <v>3142</v>
      </c>
      <c r="F12" t="s">
        <v>1237</v>
      </c>
      <c r="G12" t="s">
        <v>3143</v>
      </c>
      <c r="H12" t="s">
        <v>1248</v>
      </c>
      <c r="I12" t="s">
        <v>3013</v>
      </c>
      <c r="J12" s="455">
        <v>46150</v>
      </c>
      <c r="K12" s="455">
        <v>46152</v>
      </c>
      <c r="L12" s="455">
        <v>46162</v>
      </c>
      <c r="M12" s="455">
        <v>46176</v>
      </c>
      <c r="N12" s="455">
        <v>46177</v>
      </c>
      <c r="P12" s="455">
        <v>46177</v>
      </c>
      <c r="Q12" s="455">
        <v>46177</v>
      </c>
      <c r="U12" s="455">
        <v>46231</v>
      </c>
    </row>
    <row r="13" spans="1:21">
      <c r="A13" t="s">
        <v>1751</v>
      </c>
      <c r="B13" t="s">
        <v>3144</v>
      </c>
      <c r="C13" t="s">
        <v>1751</v>
      </c>
      <c r="D13">
        <v>20536158</v>
      </c>
      <c r="E13" t="s">
        <v>3142</v>
      </c>
      <c r="F13" t="s">
        <v>1242</v>
      </c>
      <c r="G13" t="s">
        <v>3143</v>
      </c>
      <c r="H13" t="s">
        <v>1252</v>
      </c>
      <c r="I13" t="s">
        <v>3145</v>
      </c>
      <c r="J13" s="455">
        <v>46168</v>
      </c>
      <c r="K13" s="455">
        <v>46168</v>
      </c>
      <c r="L13" s="455">
        <v>46169</v>
      </c>
      <c r="M13" s="455">
        <v>46175</v>
      </c>
      <c r="N13" s="455">
        <v>46175</v>
      </c>
      <c r="P13" s="455">
        <v>46175</v>
      </c>
      <c r="Q13" s="455">
        <v>46176</v>
      </c>
      <c r="U13" s="455">
        <v>46242</v>
      </c>
    </row>
    <row r="14" spans="1:21">
      <c r="A14" t="s">
        <v>1751</v>
      </c>
      <c r="B14" t="s">
        <v>3146</v>
      </c>
      <c r="C14" t="s">
        <v>1751</v>
      </c>
      <c r="D14">
        <v>20559575</v>
      </c>
      <c r="E14" t="s">
        <v>3133</v>
      </c>
      <c r="F14" t="s">
        <v>1241</v>
      </c>
      <c r="G14" t="s">
        <v>3129</v>
      </c>
      <c r="H14" t="s">
        <v>1253</v>
      </c>
      <c r="J14" s="455">
        <v>46191</v>
      </c>
      <c r="K14" s="455">
        <v>46191</v>
      </c>
      <c r="R14" s="455">
        <v>46197</v>
      </c>
      <c r="U14" s="455">
        <v>46191</v>
      </c>
    </row>
    <row r="15" spans="1:21">
      <c r="A15" t="s">
        <v>1751</v>
      </c>
      <c r="B15" t="s">
        <v>3147</v>
      </c>
      <c r="C15" t="s">
        <v>1751</v>
      </c>
      <c r="D15">
        <v>20561651</v>
      </c>
      <c r="E15" t="s">
        <v>3128</v>
      </c>
      <c r="F15" t="s">
        <v>1241</v>
      </c>
      <c r="G15" t="s">
        <v>3141</v>
      </c>
      <c r="H15" t="s">
        <v>1252</v>
      </c>
      <c r="J15" s="455">
        <v>46194</v>
      </c>
      <c r="U15" s="455">
        <v>46195</v>
      </c>
    </row>
    <row r="16" spans="1:21">
      <c r="A16" t="s">
        <v>1751</v>
      </c>
      <c r="B16" t="s">
        <v>10989</v>
      </c>
      <c r="C16" t="s">
        <v>1751</v>
      </c>
      <c r="D16">
        <v>20559146</v>
      </c>
      <c r="E16" t="s">
        <v>3128</v>
      </c>
      <c r="F16" t="s">
        <v>1241</v>
      </c>
      <c r="G16" t="s">
        <v>3129</v>
      </c>
      <c r="H16" t="s">
        <v>3131</v>
      </c>
      <c r="J16" s="455">
        <v>46190</v>
      </c>
      <c r="U16" s="455">
        <v>46190</v>
      </c>
    </row>
    <row r="17" spans="1:21">
      <c r="A17" t="s">
        <v>1751</v>
      </c>
      <c r="B17" t="s">
        <v>3148</v>
      </c>
      <c r="C17" t="s">
        <v>1751</v>
      </c>
      <c r="D17">
        <v>20567416</v>
      </c>
      <c r="E17" t="s">
        <v>3128</v>
      </c>
      <c r="F17" t="s">
        <v>1241</v>
      </c>
      <c r="G17" t="s">
        <v>3134</v>
      </c>
      <c r="H17" t="s">
        <v>1252</v>
      </c>
      <c r="J17" s="455">
        <v>46200</v>
      </c>
      <c r="U17" s="455">
        <v>46209</v>
      </c>
    </row>
    <row r="18" spans="1:21">
      <c r="A18" t="s">
        <v>1751</v>
      </c>
      <c r="B18" t="s">
        <v>3148</v>
      </c>
      <c r="C18" t="s">
        <v>1751</v>
      </c>
      <c r="D18">
        <v>20567417</v>
      </c>
      <c r="E18" t="s">
        <v>3128</v>
      </c>
      <c r="F18" t="s">
        <v>1241</v>
      </c>
      <c r="G18" t="s">
        <v>2009</v>
      </c>
      <c r="H18" t="s">
        <v>1252</v>
      </c>
      <c r="J18" s="455">
        <v>46200</v>
      </c>
      <c r="U18" s="455">
        <v>46209</v>
      </c>
    </row>
    <row r="19" spans="1:21">
      <c r="A19" t="s">
        <v>1751</v>
      </c>
      <c r="B19" t="s">
        <v>3149</v>
      </c>
      <c r="C19" t="s">
        <v>1751</v>
      </c>
      <c r="D19">
        <v>20568615</v>
      </c>
      <c r="E19" t="s">
        <v>3128</v>
      </c>
      <c r="F19" t="s">
        <v>1239</v>
      </c>
      <c r="G19" t="s">
        <v>3143</v>
      </c>
      <c r="H19" t="s">
        <v>1248</v>
      </c>
      <c r="I19" t="s">
        <v>3150</v>
      </c>
      <c r="J19" s="455">
        <v>46202</v>
      </c>
      <c r="U19" s="455">
        <v>46202</v>
      </c>
    </row>
    <row r="20" spans="1:21">
      <c r="A20" t="s">
        <v>1751</v>
      </c>
      <c r="B20" t="s">
        <v>3151</v>
      </c>
      <c r="C20" t="s">
        <v>1751</v>
      </c>
      <c r="D20">
        <v>20547747</v>
      </c>
      <c r="E20" t="s">
        <v>3128</v>
      </c>
      <c r="F20" t="s">
        <v>1243</v>
      </c>
      <c r="G20" t="s">
        <v>3141</v>
      </c>
      <c r="H20" t="s">
        <v>1252</v>
      </c>
      <c r="J20" s="455">
        <v>46180</v>
      </c>
      <c r="U20" s="455">
        <v>46222</v>
      </c>
    </row>
    <row r="21" spans="1:21">
      <c r="A21" t="s">
        <v>1751</v>
      </c>
      <c r="B21" t="s">
        <v>3152</v>
      </c>
      <c r="C21" t="s">
        <v>1751</v>
      </c>
      <c r="D21">
        <v>20569594</v>
      </c>
      <c r="E21" t="s">
        <v>3128</v>
      </c>
      <c r="F21" t="s">
        <v>1241</v>
      </c>
      <c r="G21" t="s">
        <v>3137</v>
      </c>
      <c r="H21" t="s">
        <v>1252</v>
      </c>
      <c r="J21" s="455">
        <v>46203</v>
      </c>
      <c r="U21" s="455">
        <v>46234</v>
      </c>
    </row>
    <row r="22" spans="1:21">
      <c r="A22" t="s">
        <v>1751</v>
      </c>
      <c r="B22" t="s">
        <v>3153</v>
      </c>
      <c r="C22" t="s">
        <v>1751</v>
      </c>
      <c r="D22">
        <v>20555420</v>
      </c>
      <c r="E22" t="s">
        <v>3128</v>
      </c>
      <c r="F22" t="s">
        <v>1241</v>
      </c>
      <c r="G22" t="s">
        <v>3141</v>
      </c>
      <c r="H22" t="s">
        <v>1252</v>
      </c>
      <c r="J22" s="455">
        <v>46187</v>
      </c>
      <c r="U22" s="455">
        <v>46204</v>
      </c>
    </row>
    <row r="23" spans="1:21">
      <c r="A23" t="s">
        <v>1751</v>
      </c>
      <c r="B23" t="s">
        <v>3154</v>
      </c>
      <c r="C23" t="s">
        <v>1751</v>
      </c>
      <c r="D23">
        <v>20550020</v>
      </c>
      <c r="E23" t="s">
        <v>3133</v>
      </c>
      <c r="F23" t="s">
        <v>1241</v>
      </c>
      <c r="G23" t="s">
        <v>3134</v>
      </c>
      <c r="H23" t="s">
        <v>1252</v>
      </c>
      <c r="I23" t="s">
        <v>2435</v>
      </c>
      <c r="J23" s="455">
        <v>46182</v>
      </c>
      <c r="K23" s="455">
        <v>46182</v>
      </c>
      <c r="R23" s="455">
        <v>46196</v>
      </c>
      <c r="U23" s="455">
        <v>46235</v>
      </c>
    </row>
    <row r="24" spans="1:21">
      <c r="A24" t="s">
        <v>1751</v>
      </c>
      <c r="B24" t="s">
        <v>1930</v>
      </c>
      <c r="C24" t="s">
        <v>1751</v>
      </c>
      <c r="D24">
        <v>20457949</v>
      </c>
      <c r="E24" t="s">
        <v>3133</v>
      </c>
      <c r="F24" t="s">
        <v>1242</v>
      </c>
      <c r="G24" t="s">
        <v>3143</v>
      </c>
      <c r="H24" t="s">
        <v>1248</v>
      </c>
      <c r="I24" t="s">
        <v>1929</v>
      </c>
      <c r="J24" s="455">
        <v>46079</v>
      </c>
      <c r="K24" s="455">
        <v>46080</v>
      </c>
      <c r="R24" s="455">
        <v>46177</v>
      </c>
      <c r="U24" s="455">
        <v>46109</v>
      </c>
    </row>
    <row r="25" spans="1:21">
      <c r="A25" t="s">
        <v>1751</v>
      </c>
      <c r="B25" t="s">
        <v>3155</v>
      </c>
      <c r="C25" t="s">
        <v>1751</v>
      </c>
      <c r="D25">
        <v>20500681</v>
      </c>
      <c r="E25" t="s">
        <v>3133</v>
      </c>
      <c r="F25" t="s">
        <v>1799</v>
      </c>
      <c r="G25" t="s">
        <v>3134</v>
      </c>
      <c r="H25" t="s">
        <v>1247</v>
      </c>
      <c r="J25" s="455">
        <v>46130</v>
      </c>
      <c r="K25" s="455">
        <v>46130</v>
      </c>
      <c r="R25" s="455">
        <v>46181</v>
      </c>
      <c r="U25" s="455">
        <v>46130</v>
      </c>
    </row>
    <row r="26" spans="1:21">
      <c r="A26" t="s">
        <v>1751</v>
      </c>
      <c r="B26" t="s">
        <v>3156</v>
      </c>
      <c r="C26" t="s">
        <v>1751</v>
      </c>
      <c r="D26">
        <v>20549162</v>
      </c>
      <c r="E26" t="s">
        <v>3142</v>
      </c>
      <c r="F26" t="s">
        <v>1242</v>
      </c>
      <c r="G26" t="s">
        <v>3143</v>
      </c>
      <c r="H26" t="s">
        <v>1249</v>
      </c>
      <c r="I26" t="s">
        <v>1532</v>
      </c>
      <c r="J26" s="455">
        <v>46182</v>
      </c>
      <c r="K26" s="455">
        <v>46184</v>
      </c>
      <c r="L26" s="455">
        <v>46184</v>
      </c>
      <c r="M26" s="455">
        <v>46185</v>
      </c>
      <c r="N26" s="455">
        <v>46185</v>
      </c>
      <c r="P26" s="455">
        <v>46185</v>
      </c>
      <c r="Q26" s="455">
        <v>46185</v>
      </c>
      <c r="U26" s="455">
        <v>46200</v>
      </c>
    </row>
    <row r="27" spans="1:21">
      <c r="A27" t="s">
        <v>1751</v>
      </c>
      <c r="B27" t="s">
        <v>3157</v>
      </c>
      <c r="C27" t="s">
        <v>1751</v>
      </c>
      <c r="D27">
        <v>20497129</v>
      </c>
      <c r="E27" t="s">
        <v>3133</v>
      </c>
      <c r="F27" t="s">
        <v>3158</v>
      </c>
      <c r="G27" t="s">
        <v>3134</v>
      </c>
      <c r="H27" t="s">
        <v>1252</v>
      </c>
      <c r="I27" t="s">
        <v>1818</v>
      </c>
      <c r="J27" s="455">
        <v>46127</v>
      </c>
      <c r="K27" s="455">
        <v>46129</v>
      </c>
      <c r="R27" s="455">
        <v>46181</v>
      </c>
      <c r="U27" s="455">
        <v>46130</v>
      </c>
    </row>
    <row r="28" spans="1:21">
      <c r="A28" t="s">
        <v>1751</v>
      </c>
      <c r="B28" t="s">
        <v>3157</v>
      </c>
      <c r="C28" t="s">
        <v>1751</v>
      </c>
      <c r="D28">
        <v>20500235</v>
      </c>
      <c r="E28" t="s">
        <v>3133</v>
      </c>
      <c r="F28" t="s">
        <v>1799</v>
      </c>
      <c r="G28" t="s">
        <v>3134</v>
      </c>
      <c r="H28" t="s">
        <v>1247</v>
      </c>
      <c r="J28" s="455">
        <v>46129</v>
      </c>
      <c r="K28" s="455">
        <v>46129</v>
      </c>
      <c r="R28" s="455">
        <v>46181</v>
      </c>
      <c r="U28" s="455">
        <v>46129</v>
      </c>
    </row>
    <row r="29" spans="1:21">
      <c r="A29" t="s">
        <v>1751</v>
      </c>
      <c r="B29" t="s">
        <v>3159</v>
      </c>
      <c r="C29" t="s">
        <v>1751</v>
      </c>
      <c r="D29">
        <v>20563410</v>
      </c>
      <c r="E29" t="s">
        <v>3128</v>
      </c>
      <c r="F29" t="s">
        <v>1242</v>
      </c>
      <c r="G29" t="s">
        <v>3129</v>
      </c>
      <c r="H29" t="s">
        <v>1253</v>
      </c>
      <c r="I29" t="s">
        <v>2148</v>
      </c>
      <c r="J29" s="455">
        <v>46196</v>
      </c>
      <c r="U29" s="455">
        <v>46266</v>
      </c>
    </row>
    <row r="30" spans="1:21">
      <c r="A30" t="s">
        <v>1751</v>
      </c>
      <c r="B30" t="s">
        <v>3160</v>
      </c>
      <c r="C30" t="s">
        <v>1751</v>
      </c>
      <c r="D30">
        <v>20556319</v>
      </c>
      <c r="E30" t="s">
        <v>3133</v>
      </c>
      <c r="F30" t="s">
        <v>1241</v>
      </c>
      <c r="G30" t="s">
        <v>3134</v>
      </c>
      <c r="H30" t="s">
        <v>1247</v>
      </c>
      <c r="I30" t="s">
        <v>1539</v>
      </c>
      <c r="J30" s="455">
        <v>46188</v>
      </c>
      <c r="K30" s="455">
        <v>46188</v>
      </c>
      <c r="R30" s="455">
        <v>46197</v>
      </c>
      <c r="U30" s="455">
        <v>46188</v>
      </c>
    </row>
    <row r="31" spans="1:21">
      <c r="A31" t="s">
        <v>1751</v>
      </c>
      <c r="B31" t="s">
        <v>3161</v>
      </c>
      <c r="C31" t="s">
        <v>1751</v>
      </c>
      <c r="D31">
        <v>20521541</v>
      </c>
      <c r="E31" t="s">
        <v>3142</v>
      </c>
      <c r="F31" t="s">
        <v>1237</v>
      </c>
      <c r="G31" t="s">
        <v>3134</v>
      </c>
      <c r="H31" t="s">
        <v>1247</v>
      </c>
      <c r="I31" t="s">
        <v>3150</v>
      </c>
      <c r="J31" s="455">
        <v>46152</v>
      </c>
      <c r="K31" s="455">
        <v>46152</v>
      </c>
      <c r="L31" s="455">
        <v>46156</v>
      </c>
      <c r="M31" s="455">
        <v>46157</v>
      </c>
      <c r="N31" s="455">
        <v>46157</v>
      </c>
      <c r="P31" s="455">
        <v>46157</v>
      </c>
      <c r="Q31" s="455">
        <v>46157</v>
      </c>
      <c r="U31" s="455">
        <v>46190</v>
      </c>
    </row>
    <row r="32" spans="1:21">
      <c r="A32" t="s">
        <v>1751</v>
      </c>
      <c r="B32" t="s">
        <v>3162</v>
      </c>
      <c r="C32" t="s">
        <v>1751</v>
      </c>
      <c r="D32">
        <v>20545585</v>
      </c>
      <c r="E32" t="s">
        <v>3128</v>
      </c>
      <c r="F32" t="s">
        <v>1782</v>
      </c>
      <c r="G32" t="s">
        <v>3134</v>
      </c>
      <c r="H32" t="s">
        <v>1252</v>
      </c>
      <c r="J32" s="455">
        <v>46178</v>
      </c>
      <c r="U32" s="455">
        <v>46181</v>
      </c>
    </row>
    <row r="33" spans="1:21">
      <c r="A33" t="s">
        <v>1751</v>
      </c>
      <c r="B33" t="s">
        <v>3162</v>
      </c>
      <c r="C33" t="s">
        <v>1751</v>
      </c>
      <c r="D33">
        <v>20545583</v>
      </c>
      <c r="E33" t="s">
        <v>3128</v>
      </c>
      <c r="F33" t="s">
        <v>1782</v>
      </c>
      <c r="G33" t="s">
        <v>3141</v>
      </c>
      <c r="H33" t="s">
        <v>1252</v>
      </c>
      <c r="J33" s="455">
        <v>46178</v>
      </c>
      <c r="U33" s="455">
        <v>46181</v>
      </c>
    </row>
    <row r="34" spans="1:21">
      <c r="A34" t="s">
        <v>1751</v>
      </c>
      <c r="B34" t="s">
        <v>3163</v>
      </c>
      <c r="C34" t="s">
        <v>1751</v>
      </c>
      <c r="D34">
        <v>20551770</v>
      </c>
      <c r="E34" t="s">
        <v>3128</v>
      </c>
      <c r="F34" t="s">
        <v>1239</v>
      </c>
      <c r="G34" t="s">
        <v>3129</v>
      </c>
      <c r="H34" t="s">
        <v>3131</v>
      </c>
      <c r="J34" s="455">
        <v>46184</v>
      </c>
      <c r="U34" s="455">
        <v>46184</v>
      </c>
    </row>
    <row r="35" spans="1:21">
      <c r="A35" t="s">
        <v>1751</v>
      </c>
      <c r="B35" t="s">
        <v>3164</v>
      </c>
      <c r="C35" t="s">
        <v>1751</v>
      </c>
      <c r="D35">
        <v>20560684</v>
      </c>
      <c r="E35" t="s">
        <v>3128</v>
      </c>
      <c r="F35" t="s">
        <v>1782</v>
      </c>
      <c r="G35" t="s">
        <v>3134</v>
      </c>
      <c r="H35" t="s">
        <v>3165</v>
      </c>
      <c r="J35" s="455">
        <v>46192</v>
      </c>
      <c r="U35" s="455">
        <v>46214</v>
      </c>
    </row>
    <row r="36" spans="1:21">
      <c r="A36" t="s">
        <v>1751</v>
      </c>
      <c r="B36" t="s">
        <v>3166</v>
      </c>
      <c r="C36" t="s">
        <v>1751</v>
      </c>
      <c r="D36">
        <v>20541794</v>
      </c>
      <c r="E36" t="s">
        <v>3128</v>
      </c>
      <c r="F36" t="s">
        <v>1782</v>
      </c>
      <c r="G36" t="s">
        <v>3129</v>
      </c>
      <c r="H36" t="s">
        <v>3131</v>
      </c>
      <c r="I36" t="s">
        <v>2941</v>
      </c>
      <c r="J36" s="455">
        <v>46175</v>
      </c>
      <c r="U36" s="455">
        <v>46183</v>
      </c>
    </row>
    <row r="37" spans="1:21">
      <c r="A37" t="s">
        <v>1751</v>
      </c>
      <c r="B37" t="s">
        <v>3167</v>
      </c>
      <c r="C37" t="s">
        <v>1751</v>
      </c>
      <c r="D37">
        <v>20545843</v>
      </c>
      <c r="E37" t="s">
        <v>3128</v>
      </c>
      <c r="F37" t="s">
        <v>1238</v>
      </c>
      <c r="G37" t="s">
        <v>3143</v>
      </c>
      <c r="H37" t="s">
        <v>1249</v>
      </c>
      <c r="I37" t="s">
        <v>3168</v>
      </c>
      <c r="J37" s="455">
        <v>46178</v>
      </c>
      <c r="U37" s="455">
        <v>46200</v>
      </c>
    </row>
    <row r="38" spans="1:21">
      <c r="A38" t="s">
        <v>1751</v>
      </c>
      <c r="B38" t="s">
        <v>3169</v>
      </c>
      <c r="C38" t="s">
        <v>1751</v>
      </c>
      <c r="D38">
        <v>20560182</v>
      </c>
      <c r="E38" t="s">
        <v>3128</v>
      </c>
      <c r="F38" t="s">
        <v>1238</v>
      </c>
      <c r="G38" t="s">
        <v>3143</v>
      </c>
      <c r="H38" t="s">
        <v>1252</v>
      </c>
      <c r="I38" t="s">
        <v>3170</v>
      </c>
      <c r="J38" s="455">
        <v>46191</v>
      </c>
      <c r="U38" s="455">
        <v>46200</v>
      </c>
    </row>
    <row r="39" spans="1:21">
      <c r="A39" t="s">
        <v>1751</v>
      </c>
      <c r="B39" t="s">
        <v>3171</v>
      </c>
      <c r="C39" t="s">
        <v>1751</v>
      </c>
      <c r="D39">
        <v>20564396</v>
      </c>
      <c r="E39" t="s">
        <v>3128</v>
      </c>
      <c r="F39" t="s">
        <v>1241</v>
      </c>
      <c r="G39" t="s">
        <v>3129</v>
      </c>
      <c r="H39" t="s">
        <v>1252</v>
      </c>
      <c r="J39" s="455">
        <v>46197</v>
      </c>
      <c r="U39" s="455">
        <v>46197</v>
      </c>
    </row>
    <row r="40" spans="1:21">
      <c r="A40" t="s">
        <v>1751</v>
      </c>
      <c r="B40" t="s">
        <v>3172</v>
      </c>
      <c r="C40" t="s">
        <v>1751</v>
      </c>
      <c r="D40">
        <v>20537223</v>
      </c>
      <c r="E40" t="s">
        <v>3133</v>
      </c>
      <c r="F40" t="s">
        <v>1241</v>
      </c>
      <c r="G40" t="s">
        <v>3134</v>
      </c>
      <c r="H40" t="s">
        <v>1247</v>
      </c>
      <c r="J40" s="455">
        <v>46169</v>
      </c>
      <c r="K40" s="455">
        <v>46169</v>
      </c>
      <c r="R40" s="455">
        <v>46190</v>
      </c>
      <c r="U40" s="455">
        <v>46169</v>
      </c>
    </row>
    <row r="41" spans="1:21">
      <c r="A41" t="s">
        <v>1751</v>
      </c>
      <c r="B41" t="s">
        <v>3173</v>
      </c>
      <c r="C41" t="s">
        <v>1751</v>
      </c>
      <c r="D41">
        <v>20554421</v>
      </c>
      <c r="E41" t="s">
        <v>3128</v>
      </c>
      <c r="F41" t="s">
        <v>1242</v>
      </c>
      <c r="G41" t="s">
        <v>3143</v>
      </c>
      <c r="H41" t="s">
        <v>1248</v>
      </c>
      <c r="J41" s="455">
        <v>46186</v>
      </c>
      <c r="U41" s="455">
        <v>46206</v>
      </c>
    </row>
    <row r="42" spans="1:21">
      <c r="A42" t="s">
        <v>1751</v>
      </c>
      <c r="B42" t="s">
        <v>3174</v>
      </c>
      <c r="C42" t="s">
        <v>1751</v>
      </c>
      <c r="D42">
        <v>20551901</v>
      </c>
      <c r="E42" t="s">
        <v>3142</v>
      </c>
      <c r="F42" t="s">
        <v>1239</v>
      </c>
      <c r="G42" t="s">
        <v>3129</v>
      </c>
      <c r="H42" t="s">
        <v>1253</v>
      </c>
      <c r="I42" t="s">
        <v>2668</v>
      </c>
      <c r="J42" s="455">
        <v>46184</v>
      </c>
      <c r="K42" s="455">
        <v>46184</v>
      </c>
      <c r="L42" s="455">
        <v>46184</v>
      </c>
      <c r="M42" s="455">
        <v>46191</v>
      </c>
      <c r="N42" s="455">
        <v>46191</v>
      </c>
      <c r="O42" s="455">
        <v>46191</v>
      </c>
      <c r="P42" s="455">
        <v>46191</v>
      </c>
      <c r="Q42" s="455">
        <v>46191</v>
      </c>
      <c r="U42" s="455">
        <v>46244</v>
      </c>
    </row>
    <row r="43" spans="1:21">
      <c r="A43" t="s">
        <v>1751</v>
      </c>
      <c r="B43" t="s">
        <v>3175</v>
      </c>
      <c r="C43" t="s">
        <v>1751</v>
      </c>
      <c r="D43">
        <v>20554789</v>
      </c>
      <c r="E43" t="s">
        <v>3133</v>
      </c>
      <c r="F43" t="s">
        <v>1241</v>
      </c>
      <c r="G43" t="s">
        <v>3134</v>
      </c>
      <c r="H43" t="s">
        <v>1247</v>
      </c>
      <c r="I43" t="s">
        <v>2941</v>
      </c>
      <c r="J43" s="455">
        <v>46187</v>
      </c>
      <c r="K43" s="455">
        <v>46187</v>
      </c>
      <c r="R43" s="455">
        <v>46197</v>
      </c>
      <c r="U43" s="455">
        <v>46204</v>
      </c>
    </row>
    <row r="44" spans="1:21">
      <c r="A44" t="s">
        <v>1751</v>
      </c>
      <c r="B44" t="s">
        <v>3176</v>
      </c>
      <c r="C44" t="s">
        <v>1751</v>
      </c>
      <c r="D44">
        <v>20545537</v>
      </c>
      <c r="E44" t="s">
        <v>3133</v>
      </c>
      <c r="F44" t="s">
        <v>1243</v>
      </c>
      <c r="G44" t="s">
        <v>3134</v>
      </c>
      <c r="H44" t="s">
        <v>1247</v>
      </c>
      <c r="J44" s="455">
        <v>46178</v>
      </c>
      <c r="K44" s="455">
        <v>46178</v>
      </c>
      <c r="R44" s="455">
        <v>46190</v>
      </c>
      <c r="U44" s="455">
        <v>46242</v>
      </c>
    </row>
    <row r="45" spans="1:21">
      <c r="A45" t="s">
        <v>1751</v>
      </c>
      <c r="B45" t="s">
        <v>3177</v>
      </c>
      <c r="C45" t="s">
        <v>1751</v>
      </c>
      <c r="D45">
        <v>20561925</v>
      </c>
      <c r="E45" t="s">
        <v>3128</v>
      </c>
      <c r="F45" t="s">
        <v>1782</v>
      </c>
      <c r="G45" t="s">
        <v>3137</v>
      </c>
      <c r="H45" t="s">
        <v>1252</v>
      </c>
      <c r="J45" s="455">
        <v>46194</v>
      </c>
      <c r="U45" s="455">
        <v>46383</v>
      </c>
    </row>
    <row r="46" spans="1:21">
      <c r="A46" t="s">
        <v>1751</v>
      </c>
      <c r="B46" t="s">
        <v>3178</v>
      </c>
      <c r="C46" t="s">
        <v>1751</v>
      </c>
      <c r="D46">
        <v>20529989</v>
      </c>
      <c r="E46" t="s">
        <v>3133</v>
      </c>
      <c r="F46" t="s">
        <v>1241</v>
      </c>
      <c r="G46" t="s">
        <v>3134</v>
      </c>
      <c r="H46" t="s">
        <v>1249</v>
      </c>
      <c r="I46" t="s">
        <v>3179</v>
      </c>
      <c r="J46" s="455">
        <v>46160</v>
      </c>
      <c r="K46" s="455">
        <v>46160</v>
      </c>
      <c r="R46" s="455">
        <v>46190</v>
      </c>
      <c r="U46" s="455">
        <v>46165</v>
      </c>
    </row>
    <row r="47" spans="1:21">
      <c r="A47" t="s">
        <v>1751</v>
      </c>
      <c r="B47" t="s">
        <v>3178</v>
      </c>
      <c r="C47" t="s">
        <v>1751</v>
      </c>
      <c r="D47">
        <v>20548145</v>
      </c>
      <c r="E47" t="s">
        <v>3133</v>
      </c>
      <c r="F47" t="s">
        <v>1237</v>
      </c>
      <c r="G47" t="s">
        <v>3134</v>
      </c>
      <c r="H47" t="s">
        <v>1249</v>
      </c>
      <c r="I47" t="s">
        <v>2455</v>
      </c>
      <c r="J47" s="455">
        <v>46181</v>
      </c>
      <c r="K47" s="455">
        <v>46181</v>
      </c>
      <c r="L47" s="455">
        <v>46185</v>
      </c>
      <c r="S47" s="455">
        <v>46186</v>
      </c>
      <c r="U47" s="455">
        <v>46188</v>
      </c>
    </row>
    <row r="48" spans="1:21">
      <c r="A48" t="s">
        <v>1751</v>
      </c>
      <c r="B48" t="s">
        <v>3180</v>
      </c>
      <c r="C48" t="s">
        <v>1751</v>
      </c>
      <c r="D48">
        <v>20566368</v>
      </c>
      <c r="E48" t="s">
        <v>3128</v>
      </c>
      <c r="F48" t="s">
        <v>1241</v>
      </c>
      <c r="G48" t="s">
        <v>3134</v>
      </c>
      <c r="H48" t="s">
        <v>3165</v>
      </c>
      <c r="J48" s="455">
        <v>46199</v>
      </c>
      <c r="U48" s="455">
        <v>46200</v>
      </c>
    </row>
    <row r="49" spans="1:21">
      <c r="A49" t="s">
        <v>1751</v>
      </c>
      <c r="B49" t="s">
        <v>3181</v>
      </c>
      <c r="C49" t="s">
        <v>1751</v>
      </c>
      <c r="D49">
        <v>20544499</v>
      </c>
      <c r="E49" t="s">
        <v>3128</v>
      </c>
      <c r="F49" t="s">
        <v>1782</v>
      </c>
      <c r="G49" t="s">
        <v>3134</v>
      </c>
      <c r="H49" t="s">
        <v>3165</v>
      </c>
      <c r="J49" s="455">
        <v>46177</v>
      </c>
      <c r="U49" s="455">
        <v>46178</v>
      </c>
    </row>
    <row r="50" spans="1:21">
      <c r="A50" t="s">
        <v>1751</v>
      </c>
      <c r="B50" t="s">
        <v>3182</v>
      </c>
      <c r="C50" t="s">
        <v>1751</v>
      </c>
      <c r="D50">
        <v>20564665</v>
      </c>
      <c r="E50" t="s">
        <v>3128</v>
      </c>
      <c r="F50" t="s">
        <v>1241</v>
      </c>
      <c r="G50" t="s">
        <v>3141</v>
      </c>
      <c r="H50" t="s">
        <v>1251</v>
      </c>
      <c r="J50" s="455">
        <v>46197</v>
      </c>
      <c r="U50" s="455">
        <v>46214</v>
      </c>
    </row>
    <row r="51" spans="1:21">
      <c r="A51" t="s">
        <v>1751</v>
      </c>
      <c r="B51" t="s">
        <v>3183</v>
      </c>
      <c r="C51" t="s">
        <v>1751</v>
      </c>
      <c r="D51">
        <v>20543882</v>
      </c>
      <c r="E51" t="s">
        <v>3128</v>
      </c>
      <c r="F51" t="s">
        <v>1239</v>
      </c>
      <c r="G51" t="s">
        <v>3143</v>
      </c>
      <c r="H51" t="s">
        <v>1251</v>
      </c>
      <c r="I51" t="s">
        <v>1917</v>
      </c>
      <c r="J51" s="455">
        <v>46176</v>
      </c>
      <c r="U51" s="455">
        <v>46176</v>
      </c>
    </row>
    <row r="52" spans="1:21">
      <c r="A52" t="s">
        <v>1751</v>
      </c>
      <c r="B52" t="s">
        <v>3184</v>
      </c>
      <c r="C52" t="s">
        <v>1751</v>
      </c>
      <c r="D52">
        <v>20491456</v>
      </c>
      <c r="E52" t="s">
        <v>3133</v>
      </c>
      <c r="F52" t="s">
        <v>1241</v>
      </c>
      <c r="G52" t="s">
        <v>3134</v>
      </c>
      <c r="H52" t="s">
        <v>1247</v>
      </c>
      <c r="J52" s="455">
        <v>46122</v>
      </c>
      <c r="K52" s="455">
        <v>46122</v>
      </c>
      <c r="R52" s="455">
        <v>46181</v>
      </c>
      <c r="U52" s="455">
        <v>46122</v>
      </c>
    </row>
    <row r="53" spans="1:21">
      <c r="A53" t="s">
        <v>1751</v>
      </c>
      <c r="B53" t="s">
        <v>3185</v>
      </c>
      <c r="C53" t="s">
        <v>1751</v>
      </c>
      <c r="D53">
        <v>20549747</v>
      </c>
      <c r="E53" t="s">
        <v>3128</v>
      </c>
      <c r="F53" t="s">
        <v>1241</v>
      </c>
      <c r="G53" t="s">
        <v>3129</v>
      </c>
      <c r="H53" t="s">
        <v>1253</v>
      </c>
      <c r="J53" s="455">
        <v>46182</v>
      </c>
      <c r="U53" s="455">
        <v>46182</v>
      </c>
    </row>
    <row r="54" spans="1:21">
      <c r="A54" t="s">
        <v>1751</v>
      </c>
      <c r="B54" t="s">
        <v>3186</v>
      </c>
      <c r="C54" t="s">
        <v>1751</v>
      </c>
      <c r="D54">
        <v>20541053</v>
      </c>
      <c r="E54" t="s">
        <v>3128</v>
      </c>
      <c r="F54" t="s">
        <v>1782</v>
      </c>
      <c r="G54" t="s">
        <v>3129</v>
      </c>
      <c r="H54" t="s">
        <v>3131</v>
      </c>
      <c r="J54" s="455">
        <v>46174</v>
      </c>
      <c r="U54" s="455">
        <v>46174</v>
      </c>
    </row>
    <row r="55" spans="1:21">
      <c r="A55" t="s">
        <v>1751</v>
      </c>
      <c r="B55" t="s">
        <v>3187</v>
      </c>
      <c r="C55" t="s">
        <v>1751</v>
      </c>
      <c r="D55">
        <v>20549493</v>
      </c>
      <c r="E55" t="s">
        <v>1901</v>
      </c>
      <c r="F55" t="s">
        <v>1241</v>
      </c>
      <c r="G55" t="s">
        <v>3134</v>
      </c>
      <c r="H55" t="s">
        <v>1247</v>
      </c>
      <c r="I55" t="s">
        <v>2476</v>
      </c>
      <c r="J55" s="455">
        <v>46182</v>
      </c>
      <c r="K55" s="455">
        <v>46182</v>
      </c>
      <c r="L55" s="455">
        <v>46182</v>
      </c>
      <c r="U55" s="455">
        <v>46206</v>
      </c>
    </row>
    <row r="56" spans="1:21">
      <c r="A56" t="s">
        <v>1751</v>
      </c>
      <c r="B56" t="s">
        <v>3188</v>
      </c>
      <c r="C56" t="s">
        <v>1751</v>
      </c>
      <c r="D56">
        <v>20545232</v>
      </c>
      <c r="E56" t="s">
        <v>3128</v>
      </c>
      <c r="F56" t="s">
        <v>1782</v>
      </c>
      <c r="G56" t="s">
        <v>3137</v>
      </c>
      <c r="H56" t="s">
        <v>1252</v>
      </c>
      <c r="J56" s="455">
        <v>46177</v>
      </c>
      <c r="U56" s="455">
        <v>46203</v>
      </c>
    </row>
    <row r="57" spans="1:21">
      <c r="A57" t="s">
        <v>1751</v>
      </c>
      <c r="B57" t="s">
        <v>3189</v>
      </c>
      <c r="C57" t="s">
        <v>1751</v>
      </c>
      <c r="D57">
        <v>20550160</v>
      </c>
      <c r="E57" t="s">
        <v>3142</v>
      </c>
      <c r="F57" t="s">
        <v>1242</v>
      </c>
      <c r="G57" t="s">
        <v>3134</v>
      </c>
      <c r="H57" t="s">
        <v>1247</v>
      </c>
      <c r="I57" t="s">
        <v>2417</v>
      </c>
      <c r="J57" s="455">
        <v>46183</v>
      </c>
      <c r="K57" s="455">
        <v>46183</v>
      </c>
      <c r="L57" s="455">
        <v>46190</v>
      </c>
      <c r="M57" s="455">
        <v>46198</v>
      </c>
      <c r="N57" s="455">
        <v>46199</v>
      </c>
      <c r="P57" s="455">
        <v>46200</v>
      </c>
      <c r="Q57" s="455">
        <v>46202</v>
      </c>
      <c r="U57" s="455">
        <v>46241</v>
      </c>
    </row>
    <row r="58" spans="1:21">
      <c r="A58" t="s">
        <v>1751</v>
      </c>
      <c r="B58" t="s">
        <v>3189</v>
      </c>
      <c r="C58" t="s">
        <v>1751</v>
      </c>
      <c r="D58">
        <v>20549051</v>
      </c>
      <c r="E58" t="s">
        <v>3190</v>
      </c>
      <c r="F58" t="s">
        <v>1241</v>
      </c>
      <c r="G58" t="s">
        <v>3129</v>
      </c>
      <c r="H58" t="s">
        <v>1253</v>
      </c>
      <c r="J58" s="455">
        <v>46182</v>
      </c>
      <c r="R58" s="455">
        <v>46183</v>
      </c>
      <c r="U58" s="455">
        <v>46235</v>
      </c>
    </row>
    <row r="59" spans="1:21">
      <c r="A59" t="s">
        <v>1751</v>
      </c>
      <c r="B59" t="s">
        <v>3191</v>
      </c>
      <c r="C59" t="s">
        <v>1751</v>
      </c>
      <c r="D59">
        <v>20524977</v>
      </c>
      <c r="E59" t="s">
        <v>3133</v>
      </c>
      <c r="F59" t="s">
        <v>1238</v>
      </c>
      <c r="G59" t="s">
        <v>3141</v>
      </c>
      <c r="H59" t="s">
        <v>1249</v>
      </c>
      <c r="I59" t="s">
        <v>1808</v>
      </c>
      <c r="J59" s="455">
        <v>46155</v>
      </c>
      <c r="K59" s="455">
        <v>46177</v>
      </c>
      <c r="L59" s="455">
        <v>46179</v>
      </c>
      <c r="R59" s="455">
        <v>46182</v>
      </c>
      <c r="U59" s="455">
        <v>46213</v>
      </c>
    </row>
    <row r="60" spans="1:21">
      <c r="A60" t="s">
        <v>1751</v>
      </c>
      <c r="B60" t="s">
        <v>3192</v>
      </c>
      <c r="C60" t="s">
        <v>1751</v>
      </c>
      <c r="D60">
        <v>20494048</v>
      </c>
      <c r="E60" t="s">
        <v>3133</v>
      </c>
      <c r="F60" t="s">
        <v>3158</v>
      </c>
      <c r="G60" t="s">
        <v>3137</v>
      </c>
      <c r="H60" t="s">
        <v>1247</v>
      </c>
      <c r="J60" s="455">
        <v>46125</v>
      </c>
      <c r="K60" s="455">
        <v>46126</v>
      </c>
      <c r="R60" s="455">
        <v>46181</v>
      </c>
      <c r="U60" s="455">
        <v>46142</v>
      </c>
    </row>
    <row r="61" spans="1:21">
      <c r="A61" t="s">
        <v>1751</v>
      </c>
      <c r="B61" t="s">
        <v>1111</v>
      </c>
      <c r="C61" t="s">
        <v>1751</v>
      </c>
      <c r="D61">
        <v>20542245</v>
      </c>
      <c r="E61" t="s">
        <v>1901</v>
      </c>
      <c r="F61" t="s">
        <v>1241</v>
      </c>
      <c r="G61" t="s">
        <v>3134</v>
      </c>
      <c r="H61" t="s">
        <v>1247</v>
      </c>
      <c r="I61" t="s">
        <v>2562</v>
      </c>
      <c r="J61" s="455">
        <v>46175</v>
      </c>
      <c r="K61" s="455">
        <v>46175</v>
      </c>
      <c r="L61" s="455">
        <v>46197</v>
      </c>
      <c r="O61" s="455">
        <v>46234</v>
      </c>
      <c r="T61" s="455">
        <v>46197</v>
      </c>
      <c r="U61" s="455">
        <v>46200</v>
      </c>
    </row>
    <row r="62" spans="1:21">
      <c r="A62" t="s">
        <v>1751</v>
      </c>
      <c r="B62" t="s">
        <v>3193</v>
      </c>
      <c r="C62" t="s">
        <v>1751</v>
      </c>
      <c r="D62">
        <v>20563224</v>
      </c>
      <c r="E62" t="s">
        <v>3128</v>
      </c>
      <c r="F62" t="s">
        <v>1241</v>
      </c>
      <c r="G62" t="s">
        <v>3137</v>
      </c>
      <c r="H62" t="s">
        <v>1252</v>
      </c>
      <c r="J62" s="455">
        <v>46196</v>
      </c>
      <c r="U62" s="455">
        <v>46256</v>
      </c>
    </row>
    <row r="63" spans="1:21">
      <c r="A63" t="s">
        <v>1751</v>
      </c>
      <c r="B63" t="s">
        <v>3194</v>
      </c>
      <c r="C63" t="s">
        <v>1751</v>
      </c>
      <c r="D63">
        <v>20545036</v>
      </c>
      <c r="E63" t="s">
        <v>3128</v>
      </c>
      <c r="F63" t="s">
        <v>1241</v>
      </c>
      <c r="G63" t="s">
        <v>3137</v>
      </c>
      <c r="H63" t="s">
        <v>1252</v>
      </c>
      <c r="J63" s="455">
        <v>46177</v>
      </c>
      <c r="U63" s="455">
        <v>46390</v>
      </c>
    </row>
    <row r="64" spans="1:21">
      <c r="A64" t="s">
        <v>1751</v>
      </c>
      <c r="B64" t="s">
        <v>3195</v>
      </c>
      <c r="C64" t="s">
        <v>1751</v>
      </c>
      <c r="D64">
        <v>20567577</v>
      </c>
      <c r="E64" t="s">
        <v>3128</v>
      </c>
      <c r="F64" t="s">
        <v>1782</v>
      </c>
      <c r="G64" t="s">
        <v>3141</v>
      </c>
      <c r="H64" t="s">
        <v>1252</v>
      </c>
      <c r="J64" s="455">
        <v>46201</v>
      </c>
      <c r="U64" s="455">
        <v>46201</v>
      </c>
    </row>
    <row r="65" spans="1:21">
      <c r="A65" t="s">
        <v>1751</v>
      </c>
      <c r="B65" t="s">
        <v>7021</v>
      </c>
      <c r="C65" t="s">
        <v>1751</v>
      </c>
      <c r="D65">
        <v>20546643</v>
      </c>
      <c r="E65" t="s">
        <v>3142</v>
      </c>
      <c r="F65" t="s">
        <v>1238</v>
      </c>
      <c r="G65" t="s">
        <v>3134</v>
      </c>
      <c r="H65" t="s">
        <v>1247</v>
      </c>
      <c r="I65" t="s">
        <v>1808</v>
      </c>
      <c r="J65" s="455">
        <v>46179</v>
      </c>
      <c r="K65" s="455">
        <v>46179</v>
      </c>
      <c r="L65" s="455">
        <v>46183</v>
      </c>
      <c r="M65" s="455">
        <v>46186</v>
      </c>
      <c r="N65" s="455">
        <v>46186</v>
      </c>
      <c r="P65" s="455">
        <v>46186</v>
      </c>
      <c r="Q65" s="455">
        <v>46186</v>
      </c>
      <c r="U65" s="455">
        <v>46186</v>
      </c>
    </row>
    <row r="66" spans="1:21">
      <c r="A66" t="s">
        <v>1751</v>
      </c>
      <c r="B66" t="s">
        <v>3196</v>
      </c>
      <c r="C66" t="s">
        <v>1751</v>
      </c>
      <c r="D66">
        <v>20546923</v>
      </c>
      <c r="E66" t="s">
        <v>3133</v>
      </c>
      <c r="F66" t="s">
        <v>1241</v>
      </c>
      <c r="G66" t="s">
        <v>3134</v>
      </c>
      <c r="H66" t="s">
        <v>1252</v>
      </c>
      <c r="I66" t="s">
        <v>1908</v>
      </c>
      <c r="J66" s="455">
        <v>46179</v>
      </c>
      <c r="K66" s="455">
        <v>46179</v>
      </c>
      <c r="R66" s="455">
        <v>46196</v>
      </c>
      <c r="U66" s="455">
        <v>46195</v>
      </c>
    </row>
    <row r="67" spans="1:21">
      <c r="A67" t="s">
        <v>1751</v>
      </c>
      <c r="B67" t="s">
        <v>3197</v>
      </c>
      <c r="C67" t="s">
        <v>1751</v>
      </c>
      <c r="D67">
        <v>20528444</v>
      </c>
      <c r="E67" t="s">
        <v>3133</v>
      </c>
      <c r="F67" t="s">
        <v>1782</v>
      </c>
      <c r="G67" t="s">
        <v>3134</v>
      </c>
      <c r="H67" t="s">
        <v>1252</v>
      </c>
      <c r="I67" t="s">
        <v>3198</v>
      </c>
      <c r="J67" s="455">
        <v>46158</v>
      </c>
      <c r="K67" s="455">
        <v>46158</v>
      </c>
      <c r="R67" s="455">
        <v>46190</v>
      </c>
      <c r="U67" s="455">
        <v>46162</v>
      </c>
    </row>
    <row r="68" spans="1:21">
      <c r="A68" t="s">
        <v>1751</v>
      </c>
      <c r="B68" t="s">
        <v>3199</v>
      </c>
      <c r="C68" t="s">
        <v>1751</v>
      </c>
      <c r="D68">
        <v>20568103</v>
      </c>
      <c r="E68" t="s">
        <v>1907</v>
      </c>
      <c r="F68" t="s">
        <v>1239</v>
      </c>
      <c r="G68" t="s">
        <v>3143</v>
      </c>
      <c r="H68" t="s">
        <v>1251</v>
      </c>
      <c r="I68" t="s">
        <v>3200</v>
      </c>
      <c r="J68" s="455">
        <v>46202</v>
      </c>
      <c r="K68" s="455">
        <v>46203</v>
      </c>
      <c r="L68" s="455">
        <v>46203</v>
      </c>
      <c r="O68" s="455">
        <v>46210</v>
      </c>
      <c r="U68" s="455">
        <v>46221</v>
      </c>
    </row>
    <row r="69" spans="1:21">
      <c r="A69" t="s">
        <v>1751</v>
      </c>
      <c r="B69" t="s">
        <v>3201</v>
      </c>
      <c r="C69" t="s">
        <v>1751</v>
      </c>
      <c r="D69">
        <v>20535511</v>
      </c>
      <c r="E69" t="s">
        <v>3133</v>
      </c>
      <c r="F69" t="s">
        <v>1241</v>
      </c>
      <c r="G69" t="s">
        <v>3134</v>
      </c>
      <c r="H69" t="s">
        <v>1247</v>
      </c>
      <c r="I69" t="s">
        <v>3202</v>
      </c>
      <c r="J69" s="455">
        <v>46168</v>
      </c>
      <c r="K69" s="455">
        <v>46168</v>
      </c>
      <c r="R69" s="455">
        <v>46190</v>
      </c>
      <c r="U69" s="455">
        <v>46168</v>
      </c>
    </row>
    <row r="70" spans="1:21">
      <c r="A70" t="s">
        <v>1751</v>
      </c>
      <c r="B70" t="s">
        <v>3203</v>
      </c>
      <c r="C70" t="s">
        <v>1751</v>
      </c>
      <c r="D70">
        <v>20561732</v>
      </c>
      <c r="E70" t="s">
        <v>3128</v>
      </c>
      <c r="F70" t="s">
        <v>1241</v>
      </c>
      <c r="G70" t="s">
        <v>3134</v>
      </c>
      <c r="H70" t="s">
        <v>3165</v>
      </c>
      <c r="J70" s="455">
        <v>46194</v>
      </c>
      <c r="U70" s="455">
        <v>46280</v>
      </c>
    </row>
    <row r="71" spans="1:21">
      <c r="A71" t="s">
        <v>1751</v>
      </c>
      <c r="B71" t="s">
        <v>3204</v>
      </c>
      <c r="C71" t="s">
        <v>1751</v>
      </c>
      <c r="D71">
        <v>20460669</v>
      </c>
      <c r="E71" t="s">
        <v>3133</v>
      </c>
      <c r="F71" t="s">
        <v>1242</v>
      </c>
      <c r="G71" t="s">
        <v>3143</v>
      </c>
      <c r="H71" t="s">
        <v>1248</v>
      </c>
      <c r="I71" t="s">
        <v>1564</v>
      </c>
      <c r="J71" s="455">
        <v>46083</v>
      </c>
      <c r="K71" s="455">
        <v>46083</v>
      </c>
      <c r="R71" s="455">
        <v>46177</v>
      </c>
      <c r="U71" s="455">
        <v>46095</v>
      </c>
    </row>
    <row r="72" spans="1:21">
      <c r="A72" t="s">
        <v>1751</v>
      </c>
      <c r="B72" t="s">
        <v>3205</v>
      </c>
      <c r="C72" t="s">
        <v>1751</v>
      </c>
      <c r="D72">
        <v>20554193</v>
      </c>
      <c r="E72" t="s">
        <v>3128</v>
      </c>
      <c r="F72" t="s">
        <v>1782</v>
      </c>
      <c r="G72" t="s">
        <v>3141</v>
      </c>
      <c r="H72" t="s">
        <v>1252</v>
      </c>
      <c r="J72" s="455">
        <v>46186</v>
      </c>
      <c r="U72" s="455">
        <v>46304</v>
      </c>
    </row>
    <row r="73" spans="1:21">
      <c r="A73" t="s">
        <v>1751</v>
      </c>
      <c r="B73" t="s">
        <v>3206</v>
      </c>
      <c r="C73" t="s">
        <v>1751</v>
      </c>
      <c r="D73">
        <v>20488832</v>
      </c>
      <c r="E73" t="s">
        <v>3133</v>
      </c>
      <c r="F73" t="s">
        <v>1912</v>
      </c>
      <c r="G73" t="s">
        <v>3134</v>
      </c>
      <c r="H73" t="s">
        <v>1247</v>
      </c>
      <c r="I73" t="s">
        <v>1929</v>
      </c>
      <c r="J73" s="455">
        <v>46118</v>
      </c>
      <c r="K73" s="455">
        <v>46118</v>
      </c>
      <c r="R73" s="455">
        <v>46181</v>
      </c>
      <c r="U73" s="455">
        <v>46118</v>
      </c>
    </row>
    <row r="74" spans="1:21">
      <c r="A74" t="s">
        <v>1751</v>
      </c>
      <c r="B74" t="s">
        <v>3207</v>
      </c>
      <c r="C74" t="s">
        <v>1751</v>
      </c>
      <c r="D74">
        <v>20567105</v>
      </c>
      <c r="E74" t="s">
        <v>3128</v>
      </c>
      <c r="F74" t="s">
        <v>1782</v>
      </c>
      <c r="G74" t="s">
        <v>3129</v>
      </c>
      <c r="H74" t="s">
        <v>3131</v>
      </c>
      <c r="J74" s="455">
        <v>46200</v>
      </c>
      <c r="U74" s="455">
        <v>46234</v>
      </c>
    </row>
    <row r="75" spans="1:21">
      <c r="A75" t="s">
        <v>1751</v>
      </c>
      <c r="B75" t="s">
        <v>3208</v>
      </c>
      <c r="C75" t="s">
        <v>1751</v>
      </c>
      <c r="D75">
        <v>20569816</v>
      </c>
      <c r="E75" t="s">
        <v>3128</v>
      </c>
      <c r="F75" t="s">
        <v>1241</v>
      </c>
      <c r="G75" t="s">
        <v>3137</v>
      </c>
      <c r="H75" t="s">
        <v>1252</v>
      </c>
      <c r="J75" s="455">
        <v>46203</v>
      </c>
      <c r="U75" s="455">
        <v>46264</v>
      </c>
    </row>
    <row r="76" spans="1:21">
      <c r="A76" t="s">
        <v>1751</v>
      </c>
      <c r="B76" t="s">
        <v>3209</v>
      </c>
      <c r="C76" t="s">
        <v>1751</v>
      </c>
      <c r="D76">
        <v>20517956</v>
      </c>
      <c r="E76" t="s">
        <v>3133</v>
      </c>
      <c r="F76" t="s">
        <v>1912</v>
      </c>
      <c r="G76" t="s">
        <v>3134</v>
      </c>
      <c r="H76" t="s">
        <v>1247</v>
      </c>
      <c r="J76" s="455">
        <v>46147</v>
      </c>
      <c r="K76" s="455">
        <v>46147</v>
      </c>
      <c r="R76" s="455">
        <v>46189</v>
      </c>
      <c r="U76" s="455">
        <v>46147</v>
      </c>
    </row>
    <row r="77" spans="1:21">
      <c r="A77" t="s">
        <v>1751</v>
      </c>
      <c r="B77" t="s">
        <v>3209</v>
      </c>
      <c r="C77" t="s">
        <v>1751</v>
      </c>
      <c r="D77">
        <v>20532409</v>
      </c>
      <c r="E77" t="s">
        <v>3133</v>
      </c>
      <c r="F77" t="s">
        <v>1241</v>
      </c>
      <c r="G77" t="s">
        <v>3134</v>
      </c>
      <c r="H77" t="s">
        <v>1247</v>
      </c>
      <c r="J77" s="455">
        <v>46163</v>
      </c>
      <c r="K77" s="455">
        <v>46163</v>
      </c>
      <c r="R77" s="455">
        <v>46190</v>
      </c>
      <c r="U77" s="455">
        <v>46210</v>
      </c>
    </row>
    <row r="78" spans="1:21">
      <c r="A78" t="s">
        <v>1751</v>
      </c>
      <c r="B78" t="s">
        <v>3210</v>
      </c>
      <c r="C78" t="s">
        <v>1751</v>
      </c>
      <c r="D78">
        <v>20562343</v>
      </c>
      <c r="E78" t="s">
        <v>1897</v>
      </c>
      <c r="F78" t="s">
        <v>1237</v>
      </c>
      <c r="G78" t="s">
        <v>3134</v>
      </c>
      <c r="H78" t="s">
        <v>1247</v>
      </c>
      <c r="I78" t="s">
        <v>3179</v>
      </c>
      <c r="J78" s="455">
        <v>46195</v>
      </c>
      <c r="K78" s="455">
        <v>46195</v>
      </c>
      <c r="U78" s="455">
        <v>46204</v>
      </c>
    </row>
    <row r="79" spans="1:21">
      <c r="A79" t="s">
        <v>1751</v>
      </c>
      <c r="B79" t="s">
        <v>3211</v>
      </c>
      <c r="C79" t="s">
        <v>1751</v>
      </c>
      <c r="D79">
        <v>20566513</v>
      </c>
      <c r="E79" t="s">
        <v>1907</v>
      </c>
      <c r="F79" t="s">
        <v>1237</v>
      </c>
      <c r="G79" t="s">
        <v>3134</v>
      </c>
      <c r="H79" t="s">
        <v>1248</v>
      </c>
      <c r="I79" t="s">
        <v>2627</v>
      </c>
      <c r="J79" s="455">
        <v>46199</v>
      </c>
      <c r="K79" s="455">
        <v>46199</v>
      </c>
      <c r="L79" s="455">
        <v>46199</v>
      </c>
      <c r="U79" s="455">
        <v>46228</v>
      </c>
    </row>
    <row r="80" spans="1:21">
      <c r="A80" t="s">
        <v>1751</v>
      </c>
      <c r="B80" t="s">
        <v>3212</v>
      </c>
      <c r="C80" t="s">
        <v>1751</v>
      </c>
      <c r="D80">
        <v>20550880</v>
      </c>
      <c r="E80" t="s">
        <v>3128</v>
      </c>
      <c r="F80" t="s">
        <v>1241</v>
      </c>
      <c r="G80" t="s">
        <v>3129</v>
      </c>
      <c r="H80" t="s">
        <v>3131</v>
      </c>
      <c r="J80" s="455">
        <v>46183</v>
      </c>
      <c r="U80" s="455">
        <v>46183</v>
      </c>
    </row>
    <row r="81" spans="1:21">
      <c r="A81" t="s">
        <v>1751</v>
      </c>
      <c r="B81" t="s">
        <v>3213</v>
      </c>
      <c r="C81" t="s">
        <v>1751</v>
      </c>
      <c r="D81">
        <v>20563295</v>
      </c>
      <c r="E81" t="s">
        <v>3128</v>
      </c>
      <c r="F81" t="s">
        <v>1242</v>
      </c>
      <c r="G81" t="s">
        <v>3143</v>
      </c>
      <c r="H81" t="s">
        <v>1251</v>
      </c>
      <c r="I81" t="s">
        <v>3042</v>
      </c>
      <c r="J81" s="455">
        <v>46196</v>
      </c>
      <c r="U81" s="455">
        <v>46214</v>
      </c>
    </row>
    <row r="82" spans="1:21">
      <c r="A82" t="s">
        <v>1751</v>
      </c>
      <c r="B82" t="s">
        <v>3214</v>
      </c>
      <c r="C82" t="s">
        <v>1751</v>
      </c>
      <c r="D82">
        <v>20561869</v>
      </c>
      <c r="E82" t="s">
        <v>3128</v>
      </c>
      <c r="F82" t="s">
        <v>1241</v>
      </c>
      <c r="G82" t="s">
        <v>3141</v>
      </c>
      <c r="H82" t="s">
        <v>1252</v>
      </c>
      <c r="J82" s="455">
        <v>46194</v>
      </c>
      <c r="U82" s="455">
        <v>46207</v>
      </c>
    </row>
    <row r="83" spans="1:21">
      <c r="A83" t="s">
        <v>1751</v>
      </c>
      <c r="B83" t="s">
        <v>3215</v>
      </c>
      <c r="C83" t="s">
        <v>1751</v>
      </c>
      <c r="D83">
        <v>20554806</v>
      </c>
      <c r="E83" t="s">
        <v>3128</v>
      </c>
      <c r="F83" t="s">
        <v>1241</v>
      </c>
      <c r="G83" t="s">
        <v>3141</v>
      </c>
      <c r="H83" t="s">
        <v>1252</v>
      </c>
      <c r="J83" s="455">
        <v>46187</v>
      </c>
      <c r="U83" s="455">
        <v>46206</v>
      </c>
    </row>
    <row r="84" spans="1:21">
      <c r="A84" t="s">
        <v>1751</v>
      </c>
      <c r="B84" t="s">
        <v>3216</v>
      </c>
      <c r="C84" t="s">
        <v>1751</v>
      </c>
      <c r="D84">
        <v>20549007</v>
      </c>
      <c r="E84" t="s">
        <v>3128</v>
      </c>
      <c r="F84" t="s">
        <v>1912</v>
      </c>
      <c r="G84" t="s">
        <v>2009</v>
      </c>
      <c r="H84" t="s">
        <v>1252</v>
      </c>
      <c r="J84" s="455">
        <v>46182</v>
      </c>
      <c r="U84" s="455">
        <v>46182</v>
      </c>
    </row>
    <row r="85" spans="1:21">
      <c r="A85" t="s">
        <v>1751</v>
      </c>
      <c r="B85" t="s">
        <v>3217</v>
      </c>
      <c r="C85" t="s">
        <v>1751</v>
      </c>
      <c r="D85">
        <v>20544551</v>
      </c>
      <c r="E85" t="s">
        <v>3128</v>
      </c>
      <c r="F85" t="s">
        <v>1241</v>
      </c>
      <c r="G85" t="s">
        <v>3134</v>
      </c>
      <c r="H85" t="s">
        <v>3165</v>
      </c>
      <c r="J85" s="455">
        <v>46177</v>
      </c>
      <c r="U85" s="455">
        <v>46204</v>
      </c>
    </row>
    <row r="86" spans="1:21">
      <c r="A86" t="s">
        <v>1751</v>
      </c>
      <c r="B86" t="s">
        <v>3218</v>
      </c>
      <c r="C86" t="s">
        <v>1751</v>
      </c>
      <c r="D86">
        <v>20566072</v>
      </c>
      <c r="E86" t="s">
        <v>3128</v>
      </c>
      <c r="F86" t="s">
        <v>1241</v>
      </c>
      <c r="G86" t="s">
        <v>3137</v>
      </c>
      <c r="H86" t="s">
        <v>1252</v>
      </c>
      <c r="J86" s="455">
        <v>46199</v>
      </c>
      <c r="U86" s="455">
        <v>46238</v>
      </c>
    </row>
    <row r="87" spans="1:21">
      <c r="A87" t="s">
        <v>1751</v>
      </c>
      <c r="B87" t="s">
        <v>3107</v>
      </c>
      <c r="C87" t="s">
        <v>1751</v>
      </c>
      <c r="D87">
        <v>20548007</v>
      </c>
      <c r="E87" t="s">
        <v>3142</v>
      </c>
      <c r="F87" t="s">
        <v>1239</v>
      </c>
      <c r="G87" t="s">
        <v>3129</v>
      </c>
      <c r="H87" t="s">
        <v>1247</v>
      </c>
      <c r="I87" t="s">
        <v>3105</v>
      </c>
      <c r="J87" s="455">
        <v>46181</v>
      </c>
      <c r="K87" s="455">
        <v>46182</v>
      </c>
      <c r="L87" s="455">
        <v>46182</v>
      </c>
      <c r="M87" s="455">
        <v>46184</v>
      </c>
      <c r="N87" s="455">
        <v>46184</v>
      </c>
      <c r="P87" s="455">
        <v>46184</v>
      </c>
      <c r="Q87" s="455">
        <v>46184</v>
      </c>
      <c r="U87" s="455">
        <v>46212</v>
      </c>
    </row>
    <row r="88" spans="1:21">
      <c r="A88" t="s">
        <v>1751</v>
      </c>
      <c r="B88" t="s">
        <v>3219</v>
      </c>
      <c r="C88" t="s">
        <v>1751</v>
      </c>
      <c r="D88">
        <v>20512607</v>
      </c>
      <c r="E88" t="s">
        <v>3133</v>
      </c>
      <c r="F88" t="s">
        <v>1912</v>
      </c>
      <c r="G88" t="s">
        <v>3134</v>
      </c>
      <c r="H88" t="s">
        <v>3220</v>
      </c>
      <c r="J88" s="455">
        <v>46141</v>
      </c>
      <c r="K88" s="455">
        <v>46141</v>
      </c>
      <c r="R88" s="455">
        <v>46189</v>
      </c>
      <c r="U88" s="455">
        <v>46141</v>
      </c>
    </row>
    <row r="89" spans="1:21">
      <c r="A89" t="s">
        <v>1751</v>
      </c>
      <c r="B89" t="s">
        <v>3221</v>
      </c>
      <c r="C89" t="s">
        <v>1751</v>
      </c>
      <c r="D89">
        <v>20547938</v>
      </c>
      <c r="E89" t="s">
        <v>3128</v>
      </c>
      <c r="F89" t="s">
        <v>1241</v>
      </c>
      <c r="G89" t="s">
        <v>3129</v>
      </c>
      <c r="H89" t="s">
        <v>3131</v>
      </c>
      <c r="J89" s="455">
        <v>46181</v>
      </c>
      <c r="U89" s="455">
        <v>46181</v>
      </c>
    </row>
    <row r="90" spans="1:21">
      <c r="A90" t="s">
        <v>1751</v>
      </c>
      <c r="B90" t="s">
        <v>3222</v>
      </c>
      <c r="C90" t="s">
        <v>1751</v>
      </c>
      <c r="D90">
        <v>20512207</v>
      </c>
      <c r="E90" t="s">
        <v>3133</v>
      </c>
      <c r="F90" t="s">
        <v>1242</v>
      </c>
      <c r="G90" t="s">
        <v>3134</v>
      </c>
      <c r="H90" t="s">
        <v>1248</v>
      </c>
      <c r="J90" s="455">
        <v>46140</v>
      </c>
      <c r="K90" s="455">
        <v>46140</v>
      </c>
      <c r="R90" s="455">
        <v>46189</v>
      </c>
      <c r="U90" s="455">
        <v>46171</v>
      </c>
    </row>
    <row r="91" spans="1:21">
      <c r="A91" t="s">
        <v>1751</v>
      </c>
      <c r="B91" t="s">
        <v>3223</v>
      </c>
      <c r="C91" t="s">
        <v>1751</v>
      </c>
      <c r="D91">
        <v>20528771</v>
      </c>
      <c r="E91" t="s">
        <v>3133</v>
      </c>
      <c r="F91" t="s">
        <v>1243</v>
      </c>
      <c r="G91" t="s">
        <v>3134</v>
      </c>
      <c r="H91" t="s">
        <v>1247</v>
      </c>
      <c r="I91" t="s">
        <v>2543</v>
      </c>
      <c r="J91" s="455">
        <v>46159</v>
      </c>
      <c r="K91" s="455">
        <v>46159</v>
      </c>
      <c r="L91" s="455">
        <v>46170</v>
      </c>
      <c r="S91" s="455">
        <v>46178</v>
      </c>
      <c r="U91" s="455">
        <v>46183</v>
      </c>
    </row>
    <row r="92" spans="1:21">
      <c r="A92" t="s">
        <v>1751</v>
      </c>
      <c r="B92" t="s">
        <v>3224</v>
      </c>
      <c r="C92" t="s">
        <v>1751</v>
      </c>
      <c r="D92">
        <v>20565322</v>
      </c>
      <c r="E92" t="s">
        <v>3128</v>
      </c>
      <c r="F92" t="s">
        <v>1241</v>
      </c>
      <c r="G92" t="s">
        <v>3141</v>
      </c>
      <c r="H92" t="s">
        <v>1252</v>
      </c>
      <c r="J92" s="455">
        <v>46198</v>
      </c>
      <c r="U92" s="455">
        <v>46206</v>
      </c>
    </row>
    <row r="93" spans="1:21">
      <c r="A93" t="s">
        <v>1751</v>
      </c>
      <c r="B93" t="s">
        <v>3225</v>
      </c>
      <c r="C93" t="s">
        <v>1751</v>
      </c>
      <c r="D93">
        <v>20568001</v>
      </c>
      <c r="E93" t="s">
        <v>3128</v>
      </c>
      <c r="F93" t="s">
        <v>1782</v>
      </c>
      <c r="G93" t="s">
        <v>3129</v>
      </c>
      <c r="H93" t="s">
        <v>1252</v>
      </c>
      <c r="J93" s="455">
        <v>46202</v>
      </c>
      <c r="U93" s="455">
        <v>46218</v>
      </c>
    </row>
    <row r="94" spans="1:21">
      <c r="A94" t="s">
        <v>1751</v>
      </c>
      <c r="B94" t="s">
        <v>3226</v>
      </c>
      <c r="C94" t="s">
        <v>1751</v>
      </c>
      <c r="D94">
        <v>20549937</v>
      </c>
      <c r="E94" t="s">
        <v>3128</v>
      </c>
      <c r="F94" t="s">
        <v>1241</v>
      </c>
      <c r="G94" t="s">
        <v>3137</v>
      </c>
      <c r="H94" t="s">
        <v>1247</v>
      </c>
      <c r="J94" s="455">
        <v>46182</v>
      </c>
      <c r="U94" s="455">
        <v>46182</v>
      </c>
    </row>
    <row r="95" spans="1:21">
      <c r="A95" t="s">
        <v>1751</v>
      </c>
      <c r="B95" t="s">
        <v>3227</v>
      </c>
      <c r="C95" t="s">
        <v>1751</v>
      </c>
      <c r="D95">
        <v>20560249</v>
      </c>
      <c r="E95" t="s">
        <v>3128</v>
      </c>
      <c r="F95" t="s">
        <v>1241</v>
      </c>
      <c r="G95" t="s">
        <v>3134</v>
      </c>
      <c r="H95" t="s">
        <v>1252</v>
      </c>
      <c r="J95" s="455">
        <v>46191</v>
      </c>
      <c r="U95" s="455">
        <v>46568</v>
      </c>
    </row>
    <row r="96" spans="1:21">
      <c r="A96" t="s">
        <v>1751</v>
      </c>
      <c r="B96" t="s">
        <v>3228</v>
      </c>
      <c r="C96" t="s">
        <v>1751</v>
      </c>
      <c r="D96">
        <v>20545147</v>
      </c>
      <c r="E96" t="s">
        <v>3128</v>
      </c>
      <c r="F96" t="s">
        <v>1241</v>
      </c>
      <c r="G96" t="s">
        <v>3134</v>
      </c>
      <c r="H96" t="s">
        <v>1252</v>
      </c>
      <c r="J96" s="455">
        <v>46177</v>
      </c>
      <c r="U96" s="455">
        <v>46254</v>
      </c>
    </row>
    <row r="97" spans="1:21">
      <c r="A97" t="s">
        <v>1751</v>
      </c>
      <c r="B97" t="s">
        <v>3229</v>
      </c>
      <c r="C97" t="s">
        <v>1751</v>
      </c>
      <c r="D97">
        <v>20544311</v>
      </c>
      <c r="E97" t="s">
        <v>3128</v>
      </c>
      <c r="F97" t="s">
        <v>1782</v>
      </c>
      <c r="G97" t="s">
        <v>3137</v>
      </c>
      <c r="H97" t="s">
        <v>1252</v>
      </c>
      <c r="J97" s="455">
        <v>46176</v>
      </c>
      <c r="U97" s="455">
        <v>46235</v>
      </c>
    </row>
    <row r="98" spans="1:21">
      <c r="A98" t="s">
        <v>1751</v>
      </c>
      <c r="B98" t="s">
        <v>3230</v>
      </c>
      <c r="C98" t="s">
        <v>1751</v>
      </c>
      <c r="D98">
        <v>20531217</v>
      </c>
      <c r="E98" t="s">
        <v>3133</v>
      </c>
      <c r="F98" t="s">
        <v>1241</v>
      </c>
      <c r="G98" t="s">
        <v>3134</v>
      </c>
      <c r="H98" t="s">
        <v>1247</v>
      </c>
      <c r="I98" t="s">
        <v>1903</v>
      </c>
      <c r="J98" s="455">
        <v>46161</v>
      </c>
      <c r="K98" s="455">
        <v>46161</v>
      </c>
      <c r="R98" s="455">
        <v>46190</v>
      </c>
      <c r="U98" s="455">
        <v>46161</v>
      </c>
    </row>
    <row r="99" spans="1:21">
      <c r="A99" t="s">
        <v>1751</v>
      </c>
      <c r="B99" t="s">
        <v>3231</v>
      </c>
      <c r="C99" t="s">
        <v>1751</v>
      </c>
      <c r="D99">
        <v>20540526</v>
      </c>
      <c r="E99" t="s">
        <v>3128</v>
      </c>
      <c r="F99" t="s">
        <v>1782</v>
      </c>
      <c r="G99" t="s">
        <v>3134</v>
      </c>
      <c r="H99" t="s">
        <v>1252</v>
      </c>
      <c r="J99" s="455">
        <v>46174</v>
      </c>
      <c r="U99" s="455">
        <v>46175</v>
      </c>
    </row>
    <row r="100" spans="1:21">
      <c r="A100" t="s">
        <v>1751</v>
      </c>
      <c r="B100" t="s">
        <v>3232</v>
      </c>
      <c r="C100" t="s">
        <v>1751</v>
      </c>
      <c r="D100">
        <v>20561679</v>
      </c>
      <c r="E100" t="s">
        <v>1897</v>
      </c>
      <c r="F100" t="s">
        <v>1241</v>
      </c>
      <c r="G100" t="s">
        <v>3134</v>
      </c>
      <c r="H100" t="s">
        <v>1252</v>
      </c>
      <c r="I100" t="s">
        <v>1566</v>
      </c>
      <c r="J100" s="455">
        <v>46194</v>
      </c>
      <c r="K100" s="455">
        <v>46194</v>
      </c>
      <c r="U100" s="455">
        <v>46195</v>
      </c>
    </row>
    <row r="101" spans="1:21">
      <c r="A101" t="s">
        <v>1751</v>
      </c>
      <c r="B101" t="s">
        <v>3233</v>
      </c>
      <c r="C101" t="s">
        <v>1751</v>
      </c>
      <c r="D101">
        <v>20539106</v>
      </c>
      <c r="E101" t="s">
        <v>3133</v>
      </c>
      <c r="F101" t="s">
        <v>1241</v>
      </c>
      <c r="G101" t="s">
        <v>3134</v>
      </c>
      <c r="H101" t="s">
        <v>1251</v>
      </c>
      <c r="I101" t="s">
        <v>1921</v>
      </c>
      <c r="J101" s="455">
        <v>46171</v>
      </c>
      <c r="K101" s="455">
        <v>46171</v>
      </c>
      <c r="R101" s="455">
        <v>46190</v>
      </c>
      <c r="U101" s="455">
        <v>46171</v>
      </c>
    </row>
    <row r="102" spans="1:21">
      <c r="A102" t="s">
        <v>1751</v>
      </c>
      <c r="B102" t="s">
        <v>3234</v>
      </c>
      <c r="C102" t="s">
        <v>1751</v>
      </c>
      <c r="D102">
        <v>20567435</v>
      </c>
      <c r="E102" t="s">
        <v>3128</v>
      </c>
      <c r="F102" t="s">
        <v>1241</v>
      </c>
      <c r="G102" t="s">
        <v>2009</v>
      </c>
      <c r="H102" t="s">
        <v>1252</v>
      </c>
      <c r="J102" s="455">
        <v>46200</v>
      </c>
      <c r="U102" s="455">
        <v>46261</v>
      </c>
    </row>
    <row r="103" spans="1:21">
      <c r="A103" t="s">
        <v>1751</v>
      </c>
      <c r="B103" t="s">
        <v>3235</v>
      </c>
      <c r="C103" t="s">
        <v>1751</v>
      </c>
      <c r="D103">
        <v>20485396</v>
      </c>
      <c r="E103" t="s">
        <v>3133</v>
      </c>
      <c r="F103" t="s">
        <v>1241</v>
      </c>
      <c r="G103" t="s">
        <v>3134</v>
      </c>
      <c r="H103" t="s">
        <v>1247</v>
      </c>
      <c r="I103" t="s">
        <v>1230</v>
      </c>
      <c r="J103" s="455">
        <v>46113</v>
      </c>
      <c r="K103" s="455">
        <v>46113</v>
      </c>
      <c r="R103" s="455">
        <v>46177</v>
      </c>
      <c r="U103" s="455">
        <v>46125</v>
      </c>
    </row>
    <row r="104" spans="1:21">
      <c r="A104" t="s">
        <v>1751</v>
      </c>
      <c r="B104" t="s">
        <v>3236</v>
      </c>
      <c r="C104" t="s">
        <v>1751</v>
      </c>
      <c r="D104">
        <v>20542475</v>
      </c>
      <c r="E104" t="s">
        <v>3128</v>
      </c>
      <c r="F104" t="s">
        <v>1912</v>
      </c>
      <c r="G104" t="s">
        <v>2009</v>
      </c>
      <c r="H104" t="s">
        <v>1248</v>
      </c>
      <c r="J104" s="455">
        <v>46175</v>
      </c>
      <c r="U104" s="455">
        <v>46175</v>
      </c>
    </row>
    <row r="105" spans="1:21">
      <c r="A105" t="s">
        <v>1751</v>
      </c>
      <c r="B105" t="s">
        <v>2959</v>
      </c>
      <c r="C105" t="s">
        <v>1751</v>
      </c>
      <c r="D105">
        <v>20554501</v>
      </c>
      <c r="E105" t="s">
        <v>3142</v>
      </c>
      <c r="F105" t="s">
        <v>1243</v>
      </c>
      <c r="G105" t="s">
        <v>3134</v>
      </c>
      <c r="H105" t="s">
        <v>1252</v>
      </c>
      <c r="I105" t="s">
        <v>2704</v>
      </c>
      <c r="J105" s="455">
        <v>46186</v>
      </c>
      <c r="K105" s="455">
        <v>46186</v>
      </c>
      <c r="L105" s="455">
        <v>46186</v>
      </c>
      <c r="M105" s="455">
        <v>46193</v>
      </c>
      <c r="N105" s="455">
        <v>46193</v>
      </c>
      <c r="O105" s="455">
        <v>46193</v>
      </c>
      <c r="P105" s="455">
        <v>46194</v>
      </c>
      <c r="Q105" s="455">
        <v>46195</v>
      </c>
      <c r="U105" s="455">
        <v>46253</v>
      </c>
    </row>
    <row r="106" spans="1:21">
      <c r="A106" t="s">
        <v>1751</v>
      </c>
      <c r="B106" t="s">
        <v>2959</v>
      </c>
      <c r="C106" t="s">
        <v>1751</v>
      </c>
      <c r="D106">
        <v>20554217</v>
      </c>
      <c r="E106" t="s">
        <v>3133</v>
      </c>
      <c r="F106" t="s">
        <v>1243</v>
      </c>
      <c r="G106" t="s">
        <v>3129</v>
      </c>
      <c r="H106" t="s">
        <v>1251</v>
      </c>
      <c r="I106" t="s">
        <v>3168</v>
      </c>
      <c r="J106" s="455">
        <v>46186</v>
      </c>
      <c r="K106" s="455">
        <v>46186</v>
      </c>
      <c r="R106" s="455">
        <v>46190</v>
      </c>
      <c r="U106" s="455">
        <v>46186</v>
      </c>
    </row>
    <row r="107" spans="1:21">
      <c r="A107" t="s">
        <v>1751</v>
      </c>
      <c r="B107" t="s">
        <v>3237</v>
      </c>
      <c r="C107" t="s">
        <v>1751</v>
      </c>
      <c r="D107">
        <v>20529260</v>
      </c>
      <c r="E107" t="s">
        <v>3133</v>
      </c>
      <c r="F107" t="s">
        <v>1242</v>
      </c>
      <c r="G107" t="s">
        <v>3137</v>
      </c>
      <c r="H107" t="s">
        <v>1252</v>
      </c>
      <c r="I107" t="s">
        <v>1520</v>
      </c>
      <c r="J107" s="455">
        <v>46160</v>
      </c>
      <c r="K107" s="455">
        <v>46162</v>
      </c>
      <c r="L107" s="455">
        <v>46163</v>
      </c>
      <c r="R107" s="455">
        <v>46182</v>
      </c>
      <c r="U107" s="455">
        <v>46192</v>
      </c>
    </row>
    <row r="108" spans="1:21">
      <c r="A108" t="s">
        <v>1751</v>
      </c>
      <c r="B108" t="s">
        <v>3238</v>
      </c>
      <c r="C108" t="s">
        <v>1751</v>
      </c>
      <c r="D108">
        <v>20552156</v>
      </c>
      <c r="E108" t="s">
        <v>3133</v>
      </c>
      <c r="F108" t="s">
        <v>1241</v>
      </c>
      <c r="G108" t="s">
        <v>3134</v>
      </c>
      <c r="H108" t="s">
        <v>1247</v>
      </c>
      <c r="J108" s="455">
        <v>46184</v>
      </c>
      <c r="K108" s="455">
        <v>46184</v>
      </c>
      <c r="R108" s="455">
        <v>46190</v>
      </c>
      <c r="U108" s="455">
        <v>46184</v>
      </c>
    </row>
    <row r="109" spans="1:21">
      <c r="A109" t="s">
        <v>1751</v>
      </c>
      <c r="B109" t="s">
        <v>3238</v>
      </c>
      <c r="C109" t="s">
        <v>1751</v>
      </c>
      <c r="D109">
        <v>20541433</v>
      </c>
      <c r="E109" t="s">
        <v>3133</v>
      </c>
      <c r="F109" t="s">
        <v>1239</v>
      </c>
      <c r="G109" t="s">
        <v>3143</v>
      </c>
      <c r="H109" t="s">
        <v>1247</v>
      </c>
      <c r="I109" t="s">
        <v>3200</v>
      </c>
      <c r="J109" s="455">
        <v>46175</v>
      </c>
      <c r="K109" s="455">
        <v>46175</v>
      </c>
      <c r="L109" s="455">
        <v>46175</v>
      </c>
      <c r="S109" s="455">
        <v>46184</v>
      </c>
      <c r="U109" s="455">
        <v>46186</v>
      </c>
    </row>
    <row r="110" spans="1:21">
      <c r="A110" t="s">
        <v>1751</v>
      </c>
      <c r="B110" t="s">
        <v>3239</v>
      </c>
      <c r="C110" t="s">
        <v>1751</v>
      </c>
      <c r="D110">
        <v>20448448</v>
      </c>
      <c r="E110" t="s">
        <v>3142</v>
      </c>
      <c r="F110" t="s">
        <v>1242</v>
      </c>
      <c r="G110" t="s">
        <v>3134</v>
      </c>
      <c r="H110" t="s">
        <v>1247</v>
      </c>
      <c r="I110" t="s">
        <v>2131</v>
      </c>
      <c r="J110" s="455">
        <v>46066</v>
      </c>
      <c r="K110" s="455">
        <v>46066</v>
      </c>
      <c r="L110" s="455">
        <v>46077</v>
      </c>
      <c r="M110" s="455">
        <v>46164</v>
      </c>
      <c r="N110" s="455">
        <v>46164</v>
      </c>
      <c r="O110" s="455">
        <v>46164</v>
      </c>
      <c r="P110" s="455">
        <v>46164</v>
      </c>
      <c r="Q110" s="455">
        <v>46164</v>
      </c>
      <c r="U110" s="455">
        <v>46186</v>
      </c>
    </row>
    <row r="111" spans="1:21">
      <c r="A111" t="s">
        <v>1751</v>
      </c>
      <c r="B111" t="s">
        <v>3240</v>
      </c>
      <c r="C111" t="s">
        <v>1751</v>
      </c>
      <c r="D111">
        <v>20490963</v>
      </c>
      <c r="E111" t="s">
        <v>3133</v>
      </c>
      <c r="F111" t="s">
        <v>1782</v>
      </c>
      <c r="G111" t="s">
        <v>3134</v>
      </c>
      <c r="H111" t="s">
        <v>1247</v>
      </c>
      <c r="J111" s="455">
        <v>46121</v>
      </c>
      <c r="K111" s="455">
        <v>46121</v>
      </c>
      <c r="R111" s="455">
        <v>46184</v>
      </c>
      <c r="U111" s="455">
        <v>46176</v>
      </c>
    </row>
    <row r="112" spans="1:21">
      <c r="A112" t="s">
        <v>1751</v>
      </c>
      <c r="B112" t="s">
        <v>3241</v>
      </c>
      <c r="C112" t="s">
        <v>1751</v>
      </c>
      <c r="D112">
        <v>20541275</v>
      </c>
      <c r="E112" t="s">
        <v>3128</v>
      </c>
      <c r="F112" t="s">
        <v>1243</v>
      </c>
      <c r="G112" t="s">
        <v>2009</v>
      </c>
      <c r="H112" t="s">
        <v>1247</v>
      </c>
      <c r="J112" s="455">
        <v>46174</v>
      </c>
      <c r="U112" s="455">
        <v>46174</v>
      </c>
    </row>
    <row r="113" spans="1:21">
      <c r="A113" t="s">
        <v>1751</v>
      </c>
      <c r="B113" t="s">
        <v>3242</v>
      </c>
      <c r="C113" t="s">
        <v>1751</v>
      </c>
      <c r="D113">
        <v>20568226</v>
      </c>
      <c r="E113" t="s">
        <v>3128</v>
      </c>
      <c r="F113" t="s">
        <v>1782</v>
      </c>
      <c r="G113" t="s">
        <v>3141</v>
      </c>
      <c r="H113" t="s">
        <v>1252</v>
      </c>
      <c r="J113" s="455">
        <v>46202</v>
      </c>
      <c r="U113" s="455">
        <v>46388</v>
      </c>
    </row>
    <row r="114" spans="1:21">
      <c r="A114" t="s">
        <v>1751</v>
      </c>
      <c r="B114" t="s">
        <v>3243</v>
      </c>
      <c r="C114" t="s">
        <v>1751</v>
      </c>
      <c r="D114">
        <v>20556717</v>
      </c>
      <c r="E114" t="s">
        <v>3128</v>
      </c>
      <c r="F114" t="s">
        <v>1782</v>
      </c>
      <c r="G114" t="s">
        <v>3129</v>
      </c>
      <c r="H114" t="s">
        <v>1252</v>
      </c>
      <c r="J114" s="455">
        <v>46189</v>
      </c>
      <c r="U114" s="455">
        <v>46189</v>
      </c>
    </row>
    <row r="115" spans="1:21">
      <c r="A115" t="s">
        <v>1751</v>
      </c>
      <c r="B115" t="s">
        <v>3244</v>
      </c>
      <c r="C115" t="s">
        <v>1751</v>
      </c>
      <c r="D115">
        <v>20562092</v>
      </c>
      <c r="E115" t="s">
        <v>1897</v>
      </c>
      <c r="F115" t="s">
        <v>1241</v>
      </c>
      <c r="G115" t="s">
        <v>3141</v>
      </c>
      <c r="H115" t="s">
        <v>1252</v>
      </c>
      <c r="J115" s="455">
        <v>46195</v>
      </c>
      <c r="K115" s="455">
        <v>46196</v>
      </c>
      <c r="U115" s="455">
        <v>46296</v>
      </c>
    </row>
    <row r="116" spans="1:21">
      <c r="A116" t="s">
        <v>1751</v>
      </c>
      <c r="B116" t="s">
        <v>3245</v>
      </c>
      <c r="C116" t="s">
        <v>1751</v>
      </c>
      <c r="D116">
        <v>20548310</v>
      </c>
      <c r="E116" t="s">
        <v>3128</v>
      </c>
      <c r="F116" t="s">
        <v>1241</v>
      </c>
      <c r="G116" t="s">
        <v>3141</v>
      </c>
      <c r="H116" t="s">
        <v>1252</v>
      </c>
      <c r="J116" s="455">
        <v>46181</v>
      </c>
      <c r="U116" s="455">
        <v>46185</v>
      </c>
    </row>
    <row r="117" spans="1:21">
      <c r="A117" t="s">
        <v>1751</v>
      </c>
      <c r="B117" t="s">
        <v>3246</v>
      </c>
      <c r="C117" t="s">
        <v>1751</v>
      </c>
      <c r="D117">
        <v>20539217</v>
      </c>
      <c r="E117" t="s">
        <v>3133</v>
      </c>
      <c r="F117" t="s">
        <v>1241</v>
      </c>
      <c r="G117" t="s">
        <v>3134</v>
      </c>
      <c r="H117" t="s">
        <v>1247</v>
      </c>
      <c r="J117" s="455">
        <v>46172</v>
      </c>
      <c r="K117" s="455">
        <v>46172</v>
      </c>
      <c r="R117" s="455">
        <v>46190</v>
      </c>
      <c r="U117" s="455">
        <v>46295</v>
      </c>
    </row>
    <row r="118" spans="1:21">
      <c r="A118" t="s">
        <v>1751</v>
      </c>
      <c r="B118" t="s">
        <v>3247</v>
      </c>
      <c r="C118" t="s">
        <v>1751</v>
      </c>
      <c r="D118">
        <v>20564352</v>
      </c>
      <c r="E118" t="s">
        <v>3128</v>
      </c>
      <c r="F118" t="s">
        <v>1241</v>
      </c>
      <c r="G118" t="s">
        <v>2009</v>
      </c>
      <c r="H118" t="s">
        <v>1251</v>
      </c>
      <c r="J118" s="455">
        <v>46197</v>
      </c>
      <c r="U118" s="455">
        <v>46197</v>
      </c>
    </row>
    <row r="119" spans="1:21">
      <c r="A119" t="s">
        <v>1751</v>
      </c>
      <c r="B119" t="s">
        <v>3248</v>
      </c>
      <c r="C119" t="s">
        <v>1751</v>
      </c>
      <c r="D119">
        <v>20533880</v>
      </c>
      <c r="E119" t="s">
        <v>3133</v>
      </c>
      <c r="F119" t="s">
        <v>1241</v>
      </c>
      <c r="G119" t="s">
        <v>3134</v>
      </c>
      <c r="H119" t="s">
        <v>1247</v>
      </c>
      <c r="I119" t="s">
        <v>1808</v>
      </c>
      <c r="J119" s="455">
        <v>46164</v>
      </c>
      <c r="K119" s="455">
        <v>46164</v>
      </c>
      <c r="R119" s="455">
        <v>46190</v>
      </c>
      <c r="U119" s="455">
        <v>46183</v>
      </c>
    </row>
    <row r="120" spans="1:21">
      <c r="A120" t="s">
        <v>1751</v>
      </c>
      <c r="B120" t="s">
        <v>3249</v>
      </c>
      <c r="C120" t="s">
        <v>1751</v>
      </c>
      <c r="D120">
        <v>20544641</v>
      </c>
      <c r="E120" t="s">
        <v>3128</v>
      </c>
      <c r="F120" t="s">
        <v>1241</v>
      </c>
      <c r="G120" t="s">
        <v>3129</v>
      </c>
      <c r="H120" t="s">
        <v>1253</v>
      </c>
      <c r="J120" s="455">
        <v>46177</v>
      </c>
      <c r="U120" s="455">
        <v>46177</v>
      </c>
    </row>
    <row r="121" spans="1:21">
      <c r="A121" t="s">
        <v>1751</v>
      </c>
      <c r="B121" t="s">
        <v>3250</v>
      </c>
      <c r="C121" t="s">
        <v>1751</v>
      </c>
      <c r="D121">
        <v>20517159</v>
      </c>
      <c r="E121" t="s">
        <v>3133</v>
      </c>
      <c r="F121" t="s">
        <v>1912</v>
      </c>
      <c r="G121" t="s">
        <v>3134</v>
      </c>
      <c r="H121" t="s">
        <v>1247</v>
      </c>
      <c r="I121" t="s">
        <v>1532</v>
      </c>
      <c r="J121" s="455">
        <v>46147</v>
      </c>
      <c r="K121" s="455">
        <v>46147</v>
      </c>
      <c r="R121" s="455">
        <v>46189</v>
      </c>
      <c r="U121" s="455">
        <v>46147</v>
      </c>
    </row>
    <row r="122" spans="1:21">
      <c r="A122" t="s">
        <v>1751</v>
      </c>
      <c r="B122" t="s">
        <v>3251</v>
      </c>
      <c r="C122" t="s">
        <v>1751</v>
      </c>
      <c r="D122">
        <v>20569061</v>
      </c>
      <c r="E122" t="s">
        <v>3128</v>
      </c>
      <c r="F122" t="s">
        <v>1782</v>
      </c>
      <c r="G122" t="s">
        <v>3134</v>
      </c>
      <c r="H122" t="s">
        <v>3165</v>
      </c>
      <c r="J122" s="455">
        <v>46203</v>
      </c>
      <c r="U122" s="455">
        <v>46235</v>
      </c>
    </row>
    <row r="123" spans="1:21">
      <c r="A123" t="s">
        <v>1751</v>
      </c>
      <c r="B123" t="s">
        <v>3252</v>
      </c>
      <c r="C123" t="s">
        <v>1751</v>
      </c>
      <c r="D123">
        <v>20554882</v>
      </c>
      <c r="E123" t="s">
        <v>3133</v>
      </c>
      <c r="F123" t="s">
        <v>1238</v>
      </c>
      <c r="G123" t="s">
        <v>2009</v>
      </c>
      <c r="H123" t="s">
        <v>1251</v>
      </c>
      <c r="I123" t="s">
        <v>1899</v>
      </c>
      <c r="J123" s="455">
        <v>46187</v>
      </c>
      <c r="K123" s="455">
        <v>46187</v>
      </c>
      <c r="L123" s="455">
        <v>46195</v>
      </c>
      <c r="S123" s="455">
        <v>46195</v>
      </c>
      <c r="U123" s="455">
        <v>46213</v>
      </c>
    </row>
    <row r="124" spans="1:21">
      <c r="A124" t="s">
        <v>1751</v>
      </c>
      <c r="B124" t="s">
        <v>3253</v>
      </c>
      <c r="C124" t="s">
        <v>1751</v>
      </c>
      <c r="D124">
        <v>20568540</v>
      </c>
      <c r="E124" t="s">
        <v>3128</v>
      </c>
      <c r="F124" t="s">
        <v>1241</v>
      </c>
      <c r="G124" t="s">
        <v>2009</v>
      </c>
      <c r="H124" t="s">
        <v>1248</v>
      </c>
      <c r="J124" s="455">
        <v>46202</v>
      </c>
      <c r="U124" s="455">
        <v>46254</v>
      </c>
    </row>
    <row r="125" spans="1:21">
      <c r="A125" t="s">
        <v>1751</v>
      </c>
      <c r="B125" t="s">
        <v>3254</v>
      </c>
      <c r="C125" t="s">
        <v>1751</v>
      </c>
      <c r="D125">
        <v>20558875</v>
      </c>
      <c r="E125" t="s">
        <v>3133</v>
      </c>
      <c r="F125" t="s">
        <v>1241</v>
      </c>
      <c r="G125" t="s">
        <v>3134</v>
      </c>
      <c r="H125" t="s">
        <v>1247</v>
      </c>
      <c r="I125" t="s">
        <v>1899</v>
      </c>
      <c r="J125" s="455">
        <v>46190</v>
      </c>
      <c r="K125" s="455">
        <v>46190</v>
      </c>
      <c r="R125" s="455">
        <v>46197</v>
      </c>
      <c r="U125" s="455">
        <v>46193</v>
      </c>
    </row>
    <row r="126" spans="1:21">
      <c r="A126" t="s">
        <v>1751</v>
      </c>
      <c r="B126" t="s">
        <v>3255</v>
      </c>
      <c r="C126" t="s">
        <v>1751</v>
      </c>
      <c r="D126">
        <v>20548582</v>
      </c>
      <c r="E126" t="s">
        <v>3128</v>
      </c>
      <c r="F126" t="s">
        <v>1241</v>
      </c>
      <c r="G126" t="s">
        <v>3137</v>
      </c>
      <c r="H126" t="s">
        <v>1252</v>
      </c>
      <c r="J126" s="455">
        <v>46181</v>
      </c>
      <c r="U126" s="455">
        <v>46204</v>
      </c>
    </row>
    <row r="127" spans="1:21">
      <c r="A127" t="s">
        <v>1751</v>
      </c>
      <c r="B127" t="s">
        <v>3256</v>
      </c>
      <c r="C127" t="s">
        <v>1751</v>
      </c>
      <c r="D127">
        <v>20541365</v>
      </c>
      <c r="E127" t="s">
        <v>3133</v>
      </c>
      <c r="F127" t="s">
        <v>1238</v>
      </c>
      <c r="G127" t="s">
        <v>2009</v>
      </c>
      <c r="H127" t="s">
        <v>1247</v>
      </c>
      <c r="I127" t="s">
        <v>1963</v>
      </c>
      <c r="J127" s="455">
        <v>46174</v>
      </c>
      <c r="K127" s="455">
        <v>46178</v>
      </c>
      <c r="L127" s="455">
        <v>46178</v>
      </c>
      <c r="S127" s="455">
        <v>46184</v>
      </c>
      <c r="U127" s="455">
        <v>46199</v>
      </c>
    </row>
    <row r="128" spans="1:21">
      <c r="A128" t="s">
        <v>1751</v>
      </c>
      <c r="B128" t="s">
        <v>3257</v>
      </c>
      <c r="C128" t="s">
        <v>1751</v>
      </c>
      <c r="D128">
        <v>20506167</v>
      </c>
      <c r="E128" t="s">
        <v>3133</v>
      </c>
      <c r="F128" t="s">
        <v>1242</v>
      </c>
      <c r="G128" t="s">
        <v>3134</v>
      </c>
      <c r="H128" t="s">
        <v>1251</v>
      </c>
      <c r="I128" t="s">
        <v>3258</v>
      </c>
      <c r="J128" s="455">
        <v>46134</v>
      </c>
      <c r="K128" s="455">
        <v>46134</v>
      </c>
      <c r="R128" s="455">
        <v>46189</v>
      </c>
      <c r="U128" s="455">
        <v>46142</v>
      </c>
    </row>
    <row r="129" spans="1:21">
      <c r="A129" t="s">
        <v>1751</v>
      </c>
      <c r="B129" t="s">
        <v>3259</v>
      </c>
      <c r="C129" t="s">
        <v>1751</v>
      </c>
      <c r="D129">
        <v>20554685</v>
      </c>
      <c r="E129" t="s">
        <v>3128</v>
      </c>
      <c r="F129" t="s">
        <v>1241</v>
      </c>
      <c r="G129" t="s">
        <v>3141</v>
      </c>
      <c r="H129" t="s">
        <v>1252</v>
      </c>
      <c r="J129" s="455">
        <v>46186</v>
      </c>
      <c r="U129" s="455">
        <v>46233</v>
      </c>
    </row>
    <row r="130" spans="1:21">
      <c r="A130" t="s">
        <v>1751</v>
      </c>
      <c r="B130" t="s">
        <v>3260</v>
      </c>
      <c r="C130" t="s">
        <v>1751</v>
      </c>
      <c r="D130">
        <v>20542810</v>
      </c>
      <c r="E130" t="s">
        <v>3128</v>
      </c>
      <c r="F130" t="s">
        <v>1782</v>
      </c>
      <c r="G130" t="s">
        <v>3129</v>
      </c>
      <c r="H130" t="s">
        <v>1252</v>
      </c>
      <c r="J130" s="455">
        <v>46176</v>
      </c>
      <c r="U130" s="455">
        <v>46176</v>
      </c>
    </row>
    <row r="131" spans="1:21">
      <c r="A131" t="s">
        <v>1751</v>
      </c>
      <c r="B131" t="s">
        <v>3261</v>
      </c>
      <c r="C131" t="s">
        <v>1751</v>
      </c>
      <c r="D131">
        <v>20499143</v>
      </c>
      <c r="E131" t="s">
        <v>3133</v>
      </c>
      <c r="F131" t="s">
        <v>1912</v>
      </c>
      <c r="G131" t="s">
        <v>3134</v>
      </c>
      <c r="H131" t="s">
        <v>1247</v>
      </c>
      <c r="I131" t="s">
        <v>3262</v>
      </c>
      <c r="J131" s="455">
        <v>46129</v>
      </c>
      <c r="K131" s="455">
        <v>46129</v>
      </c>
      <c r="R131" s="455">
        <v>46181</v>
      </c>
      <c r="U131" s="455">
        <v>46129</v>
      </c>
    </row>
    <row r="132" spans="1:21">
      <c r="A132" t="s">
        <v>1751</v>
      </c>
      <c r="B132" t="s">
        <v>3263</v>
      </c>
      <c r="C132" t="s">
        <v>1751</v>
      </c>
      <c r="D132">
        <v>20504247</v>
      </c>
      <c r="E132" t="s">
        <v>3133</v>
      </c>
      <c r="F132" t="s">
        <v>1799</v>
      </c>
      <c r="G132" t="s">
        <v>3134</v>
      </c>
      <c r="H132" t="s">
        <v>1247</v>
      </c>
      <c r="I132" t="s">
        <v>3264</v>
      </c>
      <c r="J132" s="455">
        <v>46132</v>
      </c>
      <c r="K132" s="455">
        <v>46132</v>
      </c>
      <c r="R132" s="455">
        <v>46189</v>
      </c>
      <c r="U132" s="455">
        <v>46137</v>
      </c>
    </row>
    <row r="133" spans="1:21">
      <c r="A133" t="s">
        <v>1751</v>
      </c>
      <c r="B133" t="s">
        <v>3263</v>
      </c>
      <c r="C133" t="s">
        <v>1751</v>
      </c>
      <c r="D133">
        <v>20504238</v>
      </c>
      <c r="E133" t="s">
        <v>3133</v>
      </c>
      <c r="F133" t="s">
        <v>1241</v>
      </c>
      <c r="G133" t="s">
        <v>3134</v>
      </c>
      <c r="H133" t="s">
        <v>1247</v>
      </c>
      <c r="I133" t="s">
        <v>3265</v>
      </c>
      <c r="J133" s="455">
        <v>46132</v>
      </c>
      <c r="K133" s="455">
        <v>46132</v>
      </c>
      <c r="R133" s="455">
        <v>46189</v>
      </c>
      <c r="U133" s="455">
        <v>46132</v>
      </c>
    </row>
    <row r="134" spans="1:21">
      <c r="A134" t="s">
        <v>1751</v>
      </c>
      <c r="B134" t="s">
        <v>3266</v>
      </c>
      <c r="C134" t="s">
        <v>1751</v>
      </c>
      <c r="D134">
        <v>20562304</v>
      </c>
      <c r="E134" t="s">
        <v>3128</v>
      </c>
      <c r="F134" t="s">
        <v>1241</v>
      </c>
      <c r="G134" t="s">
        <v>3141</v>
      </c>
      <c r="H134" t="s">
        <v>1252</v>
      </c>
      <c r="J134" s="455">
        <v>46195</v>
      </c>
      <c r="U134" s="455">
        <v>46255</v>
      </c>
    </row>
    <row r="135" spans="1:21">
      <c r="A135" t="s">
        <v>1751</v>
      </c>
      <c r="B135" t="s">
        <v>3267</v>
      </c>
      <c r="C135" t="s">
        <v>1751</v>
      </c>
      <c r="D135">
        <v>20541519</v>
      </c>
      <c r="E135" t="s">
        <v>3128</v>
      </c>
      <c r="F135" t="s">
        <v>1782</v>
      </c>
      <c r="G135" t="s">
        <v>3134</v>
      </c>
      <c r="H135" t="s">
        <v>3165</v>
      </c>
      <c r="J135" s="455">
        <v>46175</v>
      </c>
      <c r="U135" s="455">
        <v>46181</v>
      </c>
    </row>
    <row r="136" spans="1:21">
      <c r="A136" t="s">
        <v>1751</v>
      </c>
      <c r="B136" t="s">
        <v>3268</v>
      </c>
      <c r="C136" t="s">
        <v>1751</v>
      </c>
      <c r="D136">
        <v>20547209</v>
      </c>
      <c r="E136" t="s">
        <v>3128</v>
      </c>
      <c r="F136" t="s">
        <v>1782</v>
      </c>
      <c r="G136" t="s">
        <v>3134</v>
      </c>
      <c r="H136" t="s">
        <v>3165</v>
      </c>
      <c r="J136" s="455">
        <v>46179</v>
      </c>
      <c r="U136" s="455">
        <v>46204</v>
      </c>
    </row>
    <row r="137" spans="1:21">
      <c r="A137" t="s">
        <v>1751</v>
      </c>
      <c r="B137" t="s">
        <v>3269</v>
      </c>
      <c r="C137" t="s">
        <v>1751</v>
      </c>
      <c r="D137">
        <v>20565047</v>
      </c>
      <c r="E137" t="s">
        <v>3128</v>
      </c>
      <c r="F137" t="s">
        <v>1782</v>
      </c>
      <c r="G137" t="s">
        <v>3129</v>
      </c>
      <c r="H137" t="s">
        <v>1253</v>
      </c>
      <c r="J137" s="455">
        <v>46198</v>
      </c>
      <c r="U137" s="455">
        <v>46233</v>
      </c>
    </row>
    <row r="138" spans="1:21">
      <c r="A138" t="s">
        <v>1751</v>
      </c>
      <c r="B138" t="s">
        <v>3270</v>
      </c>
      <c r="C138" t="s">
        <v>1751</v>
      </c>
      <c r="D138">
        <v>20548958</v>
      </c>
      <c r="E138" t="s">
        <v>3128</v>
      </c>
      <c r="F138" t="s">
        <v>1241</v>
      </c>
      <c r="G138" t="s">
        <v>3134</v>
      </c>
      <c r="H138" t="s">
        <v>3165</v>
      </c>
      <c r="J138" s="455">
        <v>46182</v>
      </c>
      <c r="U138" s="455">
        <v>46213</v>
      </c>
    </row>
    <row r="139" spans="1:21">
      <c r="A139" t="s">
        <v>1751</v>
      </c>
      <c r="B139" t="s">
        <v>3271</v>
      </c>
      <c r="C139" t="s">
        <v>1751</v>
      </c>
      <c r="D139">
        <v>20560411</v>
      </c>
      <c r="E139" t="s">
        <v>3128</v>
      </c>
      <c r="F139" t="s">
        <v>1241</v>
      </c>
      <c r="G139" t="s">
        <v>3129</v>
      </c>
      <c r="H139" t="s">
        <v>3131</v>
      </c>
      <c r="J139" s="455">
        <v>46192</v>
      </c>
      <c r="U139" s="455">
        <v>46192</v>
      </c>
    </row>
    <row r="140" spans="1:21">
      <c r="A140" t="s">
        <v>1751</v>
      </c>
      <c r="B140" t="s">
        <v>3272</v>
      </c>
      <c r="C140" t="s">
        <v>1751</v>
      </c>
      <c r="D140">
        <v>20552682</v>
      </c>
      <c r="E140" t="s">
        <v>3128</v>
      </c>
      <c r="F140" t="s">
        <v>1241</v>
      </c>
      <c r="G140" t="s">
        <v>3137</v>
      </c>
      <c r="H140" t="s">
        <v>1252</v>
      </c>
      <c r="J140" s="455">
        <v>46185</v>
      </c>
      <c r="U140" s="455">
        <v>46203</v>
      </c>
    </row>
    <row r="141" spans="1:21">
      <c r="A141" t="s">
        <v>1751</v>
      </c>
      <c r="B141" t="s">
        <v>3273</v>
      </c>
      <c r="C141" t="s">
        <v>1751</v>
      </c>
      <c r="D141">
        <v>20566293</v>
      </c>
      <c r="E141" t="s">
        <v>3128</v>
      </c>
      <c r="F141" t="s">
        <v>1241</v>
      </c>
      <c r="G141" t="s">
        <v>3134</v>
      </c>
      <c r="H141" t="s">
        <v>1252</v>
      </c>
      <c r="J141" s="455">
        <v>46199</v>
      </c>
      <c r="U141" s="455">
        <v>46266</v>
      </c>
    </row>
    <row r="142" spans="1:21">
      <c r="A142" t="s">
        <v>1751</v>
      </c>
      <c r="B142" t="s">
        <v>3274</v>
      </c>
      <c r="C142" t="s">
        <v>1751</v>
      </c>
      <c r="D142">
        <v>20564076</v>
      </c>
      <c r="E142" t="s">
        <v>3128</v>
      </c>
      <c r="F142" t="s">
        <v>1243</v>
      </c>
      <c r="G142" t="s">
        <v>3129</v>
      </c>
      <c r="H142" t="s">
        <v>1252</v>
      </c>
      <c r="J142" s="455">
        <v>46197</v>
      </c>
      <c r="U142" s="455">
        <v>46197</v>
      </c>
    </row>
    <row r="143" spans="1:21">
      <c r="A143" t="s">
        <v>1751</v>
      </c>
      <c r="B143" t="s">
        <v>3080</v>
      </c>
      <c r="C143" t="s">
        <v>1751</v>
      </c>
      <c r="D143">
        <v>20564694</v>
      </c>
      <c r="E143" t="s">
        <v>2008</v>
      </c>
      <c r="F143" t="s">
        <v>1243</v>
      </c>
      <c r="G143" t="s">
        <v>3134</v>
      </c>
      <c r="H143" t="s">
        <v>1247</v>
      </c>
      <c r="I143" t="s">
        <v>2413</v>
      </c>
      <c r="J143" s="455">
        <v>46197</v>
      </c>
      <c r="K143" s="455">
        <v>46197</v>
      </c>
      <c r="L143" s="455">
        <v>46197</v>
      </c>
      <c r="M143" s="455">
        <v>46202</v>
      </c>
      <c r="U143" s="455">
        <v>46214</v>
      </c>
    </row>
    <row r="144" spans="1:21">
      <c r="A144" t="s">
        <v>1751</v>
      </c>
      <c r="B144" t="s">
        <v>3275</v>
      </c>
      <c r="C144" t="s">
        <v>1751</v>
      </c>
      <c r="D144">
        <v>20555445</v>
      </c>
      <c r="E144" t="s">
        <v>3133</v>
      </c>
      <c r="F144" t="s">
        <v>1241</v>
      </c>
      <c r="G144" t="s">
        <v>3134</v>
      </c>
      <c r="H144" t="s">
        <v>1252</v>
      </c>
      <c r="I144" t="s">
        <v>1558</v>
      </c>
      <c r="J144" s="455">
        <v>46187</v>
      </c>
      <c r="K144" s="455">
        <v>46187</v>
      </c>
      <c r="R144" s="455">
        <v>46197</v>
      </c>
      <c r="U144" s="455">
        <v>46188</v>
      </c>
    </row>
    <row r="145" spans="1:21">
      <c r="A145" t="s">
        <v>1751</v>
      </c>
      <c r="B145" t="s">
        <v>3276</v>
      </c>
      <c r="C145" t="s">
        <v>1751</v>
      </c>
      <c r="D145">
        <v>20483523</v>
      </c>
      <c r="E145" t="s">
        <v>3133</v>
      </c>
      <c r="F145" t="s">
        <v>1241</v>
      </c>
      <c r="G145" t="s">
        <v>2009</v>
      </c>
      <c r="H145" t="s">
        <v>1248</v>
      </c>
      <c r="I145" t="s">
        <v>3277</v>
      </c>
      <c r="J145" s="455">
        <v>46111</v>
      </c>
      <c r="K145" s="455">
        <v>46111</v>
      </c>
      <c r="R145" s="455">
        <v>46177</v>
      </c>
      <c r="U145" s="455">
        <v>46130</v>
      </c>
    </row>
    <row r="146" spans="1:21">
      <c r="A146" t="s">
        <v>1751</v>
      </c>
      <c r="B146" t="s">
        <v>3278</v>
      </c>
      <c r="C146" t="s">
        <v>1751</v>
      </c>
      <c r="D146">
        <v>20528110</v>
      </c>
      <c r="E146" t="s">
        <v>3133</v>
      </c>
      <c r="F146" t="s">
        <v>1782</v>
      </c>
      <c r="G146" t="s">
        <v>3134</v>
      </c>
      <c r="H146" t="s">
        <v>1247</v>
      </c>
      <c r="J146" s="455">
        <v>46158</v>
      </c>
      <c r="K146" s="455">
        <v>46158</v>
      </c>
      <c r="R146" s="455">
        <v>46190</v>
      </c>
      <c r="U146" s="455">
        <v>46158</v>
      </c>
    </row>
    <row r="147" spans="1:21">
      <c r="A147" t="s">
        <v>1751</v>
      </c>
      <c r="B147" t="s">
        <v>3279</v>
      </c>
      <c r="C147" t="s">
        <v>1751</v>
      </c>
      <c r="D147">
        <v>20554305</v>
      </c>
      <c r="E147" t="s">
        <v>3128</v>
      </c>
      <c r="F147" t="s">
        <v>1782</v>
      </c>
      <c r="G147" t="s">
        <v>3134</v>
      </c>
      <c r="H147" t="s">
        <v>1252</v>
      </c>
      <c r="J147" s="455">
        <v>46186</v>
      </c>
      <c r="U147" s="455">
        <v>46508</v>
      </c>
    </row>
    <row r="148" spans="1:21">
      <c r="A148" t="s">
        <v>1751</v>
      </c>
      <c r="B148" t="s">
        <v>3280</v>
      </c>
      <c r="C148" t="s">
        <v>1751</v>
      </c>
      <c r="D148">
        <v>20568213</v>
      </c>
      <c r="E148" t="s">
        <v>3128</v>
      </c>
      <c r="F148" t="s">
        <v>1237</v>
      </c>
      <c r="G148" t="s">
        <v>2009</v>
      </c>
      <c r="H148" t="s">
        <v>1252</v>
      </c>
      <c r="J148" s="455">
        <v>46202</v>
      </c>
      <c r="U148" s="455">
        <v>46202</v>
      </c>
    </row>
    <row r="149" spans="1:21">
      <c r="A149" t="s">
        <v>1751</v>
      </c>
      <c r="B149" t="s">
        <v>3281</v>
      </c>
      <c r="C149" t="s">
        <v>1751</v>
      </c>
      <c r="D149">
        <v>20550911</v>
      </c>
      <c r="E149" t="s">
        <v>3128</v>
      </c>
      <c r="F149" t="s">
        <v>1241</v>
      </c>
      <c r="G149" t="s">
        <v>3129</v>
      </c>
      <c r="H149" t="s">
        <v>1253</v>
      </c>
      <c r="J149" s="455">
        <v>46183</v>
      </c>
      <c r="U149" s="455">
        <v>46183</v>
      </c>
    </row>
    <row r="150" spans="1:21">
      <c r="A150" t="s">
        <v>1751</v>
      </c>
      <c r="B150" t="s">
        <v>3282</v>
      </c>
      <c r="C150" t="s">
        <v>1751</v>
      </c>
      <c r="D150">
        <v>20542503</v>
      </c>
      <c r="E150" t="s">
        <v>3133</v>
      </c>
      <c r="F150" t="s">
        <v>1241</v>
      </c>
      <c r="G150" t="s">
        <v>3134</v>
      </c>
      <c r="H150" t="s">
        <v>1247</v>
      </c>
      <c r="I150" t="s">
        <v>1808</v>
      </c>
      <c r="J150" s="455">
        <v>46175</v>
      </c>
      <c r="K150" s="455">
        <v>46175</v>
      </c>
      <c r="L150" s="455">
        <v>46178</v>
      </c>
      <c r="S150" s="455">
        <v>46178</v>
      </c>
      <c r="U150" s="455">
        <v>46204</v>
      </c>
    </row>
    <row r="151" spans="1:21">
      <c r="A151" t="s">
        <v>1751</v>
      </c>
      <c r="B151" t="s">
        <v>3283</v>
      </c>
      <c r="C151" t="s">
        <v>1751</v>
      </c>
      <c r="D151">
        <v>20568523</v>
      </c>
      <c r="E151" t="s">
        <v>1897</v>
      </c>
      <c r="F151" t="s">
        <v>1241</v>
      </c>
      <c r="G151" t="s">
        <v>3134</v>
      </c>
      <c r="H151" t="s">
        <v>1250</v>
      </c>
      <c r="J151" s="455">
        <v>46202</v>
      </c>
      <c r="K151" s="455">
        <v>46202</v>
      </c>
      <c r="U151" s="455">
        <v>46202</v>
      </c>
    </row>
    <row r="152" spans="1:21">
      <c r="A152" t="s">
        <v>1751</v>
      </c>
      <c r="B152" t="s">
        <v>3283</v>
      </c>
      <c r="C152" t="s">
        <v>1751</v>
      </c>
      <c r="D152">
        <v>20560986</v>
      </c>
      <c r="E152" t="s">
        <v>3133</v>
      </c>
      <c r="F152" t="s">
        <v>1237</v>
      </c>
      <c r="G152" t="s">
        <v>3134</v>
      </c>
      <c r="H152" t="s">
        <v>1250</v>
      </c>
      <c r="I152" t="s">
        <v>1908</v>
      </c>
      <c r="J152" s="455">
        <v>46193</v>
      </c>
      <c r="K152" s="455">
        <v>46193</v>
      </c>
      <c r="L152" s="455">
        <v>46200</v>
      </c>
      <c r="S152" s="455">
        <v>46202</v>
      </c>
      <c r="U152" s="455">
        <v>46209</v>
      </c>
    </row>
    <row r="153" spans="1:21">
      <c r="A153" t="s">
        <v>1751</v>
      </c>
      <c r="B153" t="s">
        <v>3284</v>
      </c>
      <c r="C153" t="s">
        <v>1751</v>
      </c>
      <c r="D153">
        <v>20489364</v>
      </c>
      <c r="E153" t="s">
        <v>3133</v>
      </c>
      <c r="F153" t="s">
        <v>3285</v>
      </c>
      <c r="G153" t="s">
        <v>3134</v>
      </c>
      <c r="H153" t="s">
        <v>1252</v>
      </c>
      <c r="I153" t="s">
        <v>1827</v>
      </c>
      <c r="J153" s="455">
        <v>46119</v>
      </c>
      <c r="K153" s="455">
        <v>46120</v>
      </c>
      <c r="R153" s="455">
        <v>46181</v>
      </c>
      <c r="U153" s="455">
        <v>46143</v>
      </c>
    </row>
    <row r="154" spans="1:21">
      <c r="A154" t="s">
        <v>1751</v>
      </c>
      <c r="B154" t="s">
        <v>3286</v>
      </c>
      <c r="C154" t="s">
        <v>1751</v>
      </c>
      <c r="D154">
        <v>20552657</v>
      </c>
      <c r="E154" t="s">
        <v>3133</v>
      </c>
      <c r="F154" t="s">
        <v>1241</v>
      </c>
      <c r="G154" t="s">
        <v>3134</v>
      </c>
      <c r="H154" t="s">
        <v>1247</v>
      </c>
      <c r="I154" t="s">
        <v>1565</v>
      </c>
      <c r="J154" s="455">
        <v>46185</v>
      </c>
      <c r="K154" s="455">
        <v>46185</v>
      </c>
      <c r="R154" s="455">
        <v>46190</v>
      </c>
      <c r="U154" s="455">
        <v>46185</v>
      </c>
    </row>
    <row r="155" spans="1:21">
      <c r="A155" t="s">
        <v>1751</v>
      </c>
      <c r="B155" t="s">
        <v>3287</v>
      </c>
      <c r="C155" t="s">
        <v>1751</v>
      </c>
      <c r="D155">
        <v>20522475</v>
      </c>
      <c r="E155" t="s">
        <v>3133</v>
      </c>
      <c r="F155" t="s">
        <v>1241</v>
      </c>
      <c r="G155" t="s">
        <v>3134</v>
      </c>
      <c r="H155" t="s">
        <v>1247</v>
      </c>
      <c r="I155" t="s">
        <v>3288</v>
      </c>
      <c r="J155" s="455">
        <v>46153</v>
      </c>
      <c r="K155" s="455">
        <v>46153</v>
      </c>
      <c r="R155" s="455">
        <v>46189</v>
      </c>
      <c r="U155" s="455">
        <v>46178</v>
      </c>
    </row>
    <row r="156" spans="1:21">
      <c r="A156" t="s">
        <v>1751</v>
      </c>
      <c r="B156" t="s">
        <v>3289</v>
      </c>
      <c r="C156" t="s">
        <v>1751</v>
      </c>
      <c r="D156">
        <v>20547941</v>
      </c>
      <c r="E156" t="s">
        <v>3128</v>
      </c>
      <c r="F156" t="s">
        <v>1241</v>
      </c>
      <c r="G156" t="s">
        <v>3141</v>
      </c>
      <c r="H156" t="s">
        <v>1252</v>
      </c>
      <c r="J156" s="455">
        <v>46181</v>
      </c>
      <c r="U156" s="455">
        <v>46213</v>
      </c>
    </row>
    <row r="157" spans="1:21">
      <c r="A157" t="s">
        <v>1751</v>
      </c>
      <c r="B157" t="s">
        <v>3290</v>
      </c>
      <c r="C157" t="s">
        <v>1751</v>
      </c>
      <c r="D157">
        <v>20550021</v>
      </c>
      <c r="E157" t="s">
        <v>3128</v>
      </c>
      <c r="F157" t="s">
        <v>1241</v>
      </c>
      <c r="G157" t="s">
        <v>3141</v>
      </c>
      <c r="H157" t="s">
        <v>1247</v>
      </c>
      <c r="J157" s="455">
        <v>46182</v>
      </c>
      <c r="U157" s="455">
        <v>46182</v>
      </c>
    </row>
    <row r="158" spans="1:21">
      <c r="A158" t="s">
        <v>1751</v>
      </c>
      <c r="B158" t="s">
        <v>3291</v>
      </c>
      <c r="C158" t="s">
        <v>1751</v>
      </c>
      <c r="D158">
        <v>20562699</v>
      </c>
      <c r="E158" t="s">
        <v>3128</v>
      </c>
      <c r="F158" t="s">
        <v>1239</v>
      </c>
      <c r="G158" t="s">
        <v>3143</v>
      </c>
      <c r="H158" t="s">
        <v>1251</v>
      </c>
      <c r="I158" t="s">
        <v>1588</v>
      </c>
      <c r="J158" s="455">
        <v>46195</v>
      </c>
      <c r="U158" s="455">
        <v>46195</v>
      </c>
    </row>
    <row r="159" spans="1:21">
      <c r="A159" t="s">
        <v>1751</v>
      </c>
      <c r="B159" t="s">
        <v>3292</v>
      </c>
      <c r="C159" t="s">
        <v>1751</v>
      </c>
      <c r="D159">
        <v>20562248</v>
      </c>
      <c r="E159" t="s">
        <v>1897</v>
      </c>
      <c r="F159" t="s">
        <v>1241</v>
      </c>
      <c r="G159" t="s">
        <v>3134</v>
      </c>
      <c r="H159" t="s">
        <v>1252</v>
      </c>
      <c r="J159" s="455">
        <v>46195</v>
      </c>
      <c r="K159" s="455">
        <v>46195</v>
      </c>
      <c r="U159" s="455">
        <v>46195</v>
      </c>
    </row>
    <row r="160" spans="1:21">
      <c r="A160" t="s">
        <v>1751</v>
      </c>
      <c r="B160" t="s">
        <v>3292</v>
      </c>
      <c r="C160" t="s">
        <v>1751</v>
      </c>
      <c r="D160">
        <v>20556608</v>
      </c>
      <c r="E160" t="s">
        <v>3133</v>
      </c>
      <c r="F160" t="s">
        <v>1239</v>
      </c>
      <c r="G160" t="s">
        <v>3137</v>
      </c>
      <c r="H160" t="s">
        <v>1252</v>
      </c>
      <c r="I160" t="s">
        <v>1917</v>
      </c>
      <c r="J160" s="455">
        <v>46189</v>
      </c>
      <c r="K160" s="455">
        <v>46191</v>
      </c>
      <c r="L160" s="455">
        <v>46193</v>
      </c>
      <c r="S160" s="455">
        <v>46195</v>
      </c>
      <c r="U160" s="455">
        <v>46199</v>
      </c>
    </row>
    <row r="161" spans="1:21">
      <c r="A161" t="s">
        <v>1751</v>
      </c>
      <c r="B161" t="s">
        <v>3293</v>
      </c>
      <c r="C161" t="s">
        <v>1751</v>
      </c>
      <c r="D161">
        <v>20487575</v>
      </c>
      <c r="E161" t="s">
        <v>3133</v>
      </c>
      <c r="F161" t="s">
        <v>1241</v>
      </c>
      <c r="G161" t="s">
        <v>3134</v>
      </c>
      <c r="H161" t="s">
        <v>1249</v>
      </c>
      <c r="I161" t="s">
        <v>1827</v>
      </c>
      <c r="J161" s="455">
        <v>46117</v>
      </c>
      <c r="K161" s="455">
        <v>46117</v>
      </c>
      <c r="R161" s="455">
        <v>46177</v>
      </c>
      <c r="U161" s="455">
        <v>46119</v>
      </c>
    </row>
    <row r="162" spans="1:21">
      <c r="A162" t="s">
        <v>1751</v>
      </c>
      <c r="B162" t="s">
        <v>3294</v>
      </c>
      <c r="C162" t="s">
        <v>1751</v>
      </c>
      <c r="D162">
        <v>20522554</v>
      </c>
      <c r="E162" t="s">
        <v>3133</v>
      </c>
      <c r="F162" t="s">
        <v>1241</v>
      </c>
      <c r="G162" t="s">
        <v>3134</v>
      </c>
      <c r="H162" t="s">
        <v>1251</v>
      </c>
      <c r="J162" s="455">
        <v>46153</v>
      </c>
      <c r="K162" s="455">
        <v>46153</v>
      </c>
      <c r="R162" s="455">
        <v>46190</v>
      </c>
      <c r="U162" s="455">
        <v>46153</v>
      </c>
    </row>
    <row r="163" spans="1:21">
      <c r="A163" t="s">
        <v>1751</v>
      </c>
      <c r="B163" t="s">
        <v>3295</v>
      </c>
      <c r="C163" t="s">
        <v>1751</v>
      </c>
      <c r="D163">
        <v>20547826</v>
      </c>
      <c r="E163" t="s">
        <v>3128</v>
      </c>
      <c r="F163" t="s">
        <v>1241</v>
      </c>
      <c r="G163" t="s">
        <v>3137</v>
      </c>
      <c r="H163" t="s">
        <v>1252</v>
      </c>
      <c r="J163" s="455">
        <v>46181</v>
      </c>
      <c r="U163" s="455">
        <v>46204</v>
      </c>
    </row>
    <row r="164" spans="1:21">
      <c r="A164" t="s">
        <v>1751</v>
      </c>
      <c r="B164" t="s">
        <v>3296</v>
      </c>
      <c r="C164" t="s">
        <v>1751</v>
      </c>
      <c r="D164">
        <v>20547443</v>
      </c>
      <c r="E164" t="s">
        <v>3128</v>
      </c>
      <c r="F164" t="s">
        <v>1241</v>
      </c>
      <c r="G164" t="s">
        <v>3134</v>
      </c>
      <c r="H164" t="s">
        <v>3165</v>
      </c>
      <c r="J164" s="455">
        <v>46180</v>
      </c>
      <c r="U164" s="455">
        <v>46296</v>
      </c>
    </row>
    <row r="165" spans="1:21">
      <c r="A165" t="s">
        <v>1751</v>
      </c>
      <c r="B165" t="s">
        <v>3297</v>
      </c>
      <c r="C165" t="s">
        <v>1751</v>
      </c>
      <c r="D165">
        <v>20567458</v>
      </c>
      <c r="E165" t="s">
        <v>3128</v>
      </c>
      <c r="F165" t="s">
        <v>1782</v>
      </c>
      <c r="G165" t="s">
        <v>3129</v>
      </c>
      <c r="H165" t="s">
        <v>1252</v>
      </c>
      <c r="J165" s="455">
        <v>46200</v>
      </c>
      <c r="U165" s="455">
        <v>46207</v>
      </c>
    </row>
    <row r="166" spans="1:21">
      <c r="A166" t="s">
        <v>1751</v>
      </c>
      <c r="B166" t="s">
        <v>3079</v>
      </c>
      <c r="C166" t="s">
        <v>1751</v>
      </c>
      <c r="D166">
        <v>20540869</v>
      </c>
      <c r="E166" t="s">
        <v>3142</v>
      </c>
      <c r="F166" t="s">
        <v>1239</v>
      </c>
      <c r="G166" t="s">
        <v>3143</v>
      </c>
      <c r="H166" t="s">
        <v>1248</v>
      </c>
      <c r="I166" t="s">
        <v>2531</v>
      </c>
      <c r="J166" s="455">
        <v>46174</v>
      </c>
      <c r="K166" s="455">
        <v>46176</v>
      </c>
      <c r="L166" s="455">
        <v>46176</v>
      </c>
      <c r="M166" s="455">
        <v>46185</v>
      </c>
      <c r="N166" s="455">
        <v>46185</v>
      </c>
      <c r="O166" s="455">
        <v>46185</v>
      </c>
      <c r="P166" s="455">
        <v>46185</v>
      </c>
      <c r="Q166" s="455">
        <v>46185</v>
      </c>
      <c r="U166" s="455">
        <v>46227</v>
      </c>
    </row>
    <row r="167" spans="1:21">
      <c r="A167" t="s">
        <v>1751</v>
      </c>
      <c r="B167" t="s">
        <v>3298</v>
      </c>
      <c r="C167" t="s">
        <v>1751</v>
      </c>
      <c r="D167">
        <v>20556523</v>
      </c>
      <c r="E167" t="s">
        <v>3128</v>
      </c>
      <c r="F167" t="s">
        <v>1239</v>
      </c>
      <c r="G167" t="s">
        <v>3143</v>
      </c>
      <c r="H167" t="s">
        <v>1251</v>
      </c>
      <c r="I167" t="s">
        <v>3170</v>
      </c>
      <c r="J167" s="455">
        <v>46189</v>
      </c>
      <c r="U167" s="455">
        <v>46189</v>
      </c>
    </row>
    <row r="168" spans="1:21">
      <c r="A168" t="s">
        <v>1751</v>
      </c>
      <c r="B168" t="s">
        <v>3299</v>
      </c>
      <c r="C168" t="s">
        <v>1751</v>
      </c>
      <c r="D168">
        <v>20568136</v>
      </c>
      <c r="E168" t="s">
        <v>3128</v>
      </c>
      <c r="F168" t="s">
        <v>1782</v>
      </c>
      <c r="G168" t="s">
        <v>3141</v>
      </c>
      <c r="H168" t="s">
        <v>1252</v>
      </c>
      <c r="J168" s="455">
        <v>46202</v>
      </c>
      <c r="U168" s="455">
        <v>46235</v>
      </c>
    </row>
    <row r="169" spans="1:21">
      <c r="A169" t="s">
        <v>1751</v>
      </c>
      <c r="B169" t="s">
        <v>3300</v>
      </c>
      <c r="C169" t="s">
        <v>1751</v>
      </c>
      <c r="D169">
        <v>20488591</v>
      </c>
      <c r="E169" t="s">
        <v>3133</v>
      </c>
      <c r="F169" t="s">
        <v>1238</v>
      </c>
      <c r="G169" t="s">
        <v>3134</v>
      </c>
      <c r="H169" t="s">
        <v>1247</v>
      </c>
      <c r="J169" s="455">
        <v>46118</v>
      </c>
      <c r="K169" s="455">
        <v>46118</v>
      </c>
      <c r="R169" s="455">
        <v>46181</v>
      </c>
      <c r="U169" s="455">
        <v>46118</v>
      </c>
    </row>
    <row r="170" spans="1:21">
      <c r="A170" t="s">
        <v>1751</v>
      </c>
      <c r="B170" t="s">
        <v>3301</v>
      </c>
      <c r="C170" t="s">
        <v>1751</v>
      </c>
      <c r="D170">
        <v>20536349</v>
      </c>
      <c r="E170" t="s">
        <v>3133</v>
      </c>
      <c r="F170" t="s">
        <v>1782</v>
      </c>
      <c r="G170" t="s">
        <v>3134</v>
      </c>
      <c r="H170" t="s">
        <v>1247</v>
      </c>
      <c r="I170" t="s">
        <v>1910</v>
      </c>
      <c r="J170" s="455">
        <v>46168</v>
      </c>
      <c r="K170" s="455">
        <v>46168</v>
      </c>
      <c r="L170" s="455">
        <v>46169</v>
      </c>
      <c r="S170" s="455">
        <v>46174</v>
      </c>
      <c r="U170" s="455">
        <v>46179</v>
      </c>
    </row>
    <row r="171" spans="1:21">
      <c r="A171" t="s">
        <v>1751</v>
      </c>
      <c r="B171" t="s">
        <v>3302</v>
      </c>
      <c r="C171" t="s">
        <v>1751</v>
      </c>
      <c r="D171">
        <v>20554955</v>
      </c>
      <c r="E171" t="s">
        <v>3128</v>
      </c>
      <c r="F171" t="s">
        <v>1239</v>
      </c>
      <c r="G171" t="s">
        <v>3134</v>
      </c>
      <c r="H171" t="s">
        <v>1252</v>
      </c>
      <c r="I171" t="s">
        <v>3303</v>
      </c>
      <c r="J171" s="455">
        <v>46187</v>
      </c>
      <c r="U171" s="455">
        <v>46259</v>
      </c>
    </row>
    <row r="172" spans="1:21">
      <c r="A172" t="s">
        <v>1751</v>
      </c>
      <c r="B172" t="s">
        <v>3302</v>
      </c>
      <c r="C172" t="s">
        <v>1751</v>
      </c>
      <c r="D172">
        <v>20559223</v>
      </c>
      <c r="E172" t="s">
        <v>1897</v>
      </c>
      <c r="F172" t="s">
        <v>1241</v>
      </c>
      <c r="G172" t="s">
        <v>3134</v>
      </c>
      <c r="H172" t="s">
        <v>1252</v>
      </c>
      <c r="J172" s="455">
        <v>46190</v>
      </c>
      <c r="K172" s="455">
        <v>46190</v>
      </c>
      <c r="U172" s="455">
        <v>46190</v>
      </c>
    </row>
    <row r="173" spans="1:21">
      <c r="A173" t="s">
        <v>1751</v>
      </c>
      <c r="B173" t="s">
        <v>3304</v>
      </c>
      <c r="C173" t="s">
        <v>1751</v>
      </c>
      <c r="D173">
        <v>20561127</v>
      </c>
      <c r="E173" t="s">
        <v>1897</v>
      </c>
      <c r="F173" t="s">
        <v>1241</v>
      </c>
      <c r="G173" t="s">
        <v>3134</v>
      </c>
      <c r="H173" t="s">
        <v>1247</v>
      </c>
      <c r="J173" s="455">
        <v>46193</v>
      </c>
      <c r="K173" s="455">
        <v>46193</v>
      </c>
      <c r="U173" s="455">
        <v>46235</v>
      </c>
    </row>
    <row r="174" spans="1:21">
      <c r="A174" t="s">
        <v>1751</v>
      </c>
      <c r="B174" t="s">
        <v>3304</v>
      </c>
      <c r="C174" t="s">
        <v>1751</v>
      </c>
      <c r="D174">
        <v>20557366</v>
      </c>
      <c r="E174" t="s">
        <v>3190</v>
      </c>
      <c r="F174" t="s">
        <v>1243</v>
      </c>
      <c r="G174" t="s">
        <v>3137</v>
      </c>
      <c r="H174" t="s">
        <v>3165</v>
      </c>
      <c r="J174" s="455">
        <v>46189</v>
      </c>
      <c r="K174" s="455">
        <v>46193</v>
      </c>
      <c r="R174" s="455">
        <v>46193</v>
      </c>
      <c r="U174" s="455">
        <v>46189</v>
      </c>
    </row>
    <row r="175" spans="1:21">
      <c r="A175" t="s">
        <v>1751</v>
      </c>
      <c r="B175" t="s">
        <v>3089</v>
      </c>
      <c r="C175" t="s">
        <v>1751</v>
      </c>
      <c r="D175">
        <v>20561096</v>
      </c>
      <c r="E175" t="s">
        <v>3142</v>
      </c>
      <c r="F175" t="s">
        <v>1243</v>
      </c>
      <c r="G175" t="s">
        <v>3134</v>
      </c>
      <c r="H175" t="s">
        <v>1247</v>
      </c>
      <c r="I175" t="s">
        <v>2449</v>
      </c>
      <c r="J175" s="455">
        <v>46193</v>
      </c>
      <c r="K175" s="455">
        <v>46193</v>
      </c>
      <c r="L175" s="455">
        <v>46193</v>
      </c>
      <c r="M175" s="455">
        <v>46199</v>
      </c>
      <c r="N175" s="455">
        <v>46199</v>
      </c>
      <c r="O175" s="455">
        <v>46199</v>
      </c>
      <c r="P175" s="455">
        <v>46200</v>
      </c>
      <c r="Q175" s="455">
        <v>46202</v>
      </c>
      <c r="U175" s="455">
        <v>46235</v>
      </c>
    </row>
    <row r="176" spans="1:21">
      <c r="A176" t="s">
        <v>1751</v>
      </c>
      <c r="B176" t="s">
        <v>3305</v>
      </c>
      <c r="C176" t="s">
        <v>1751</v>
      </c>
      <c r="D176">
        <v>20549805</v>
      </c>
      <c r="E176" t="s">
        <v>3133</v>
      </c>
      <c r="F176" t="s">
        <v>1782</v>
      </c>
      <c r="G176" t="s">
        <v>3134</v>
      </c>
      <c r="H176" t="s">
        <v>1247</v>
      </c>
      <c r="I176" t="s">
        <v>2476</v>
      </c>
      <c r="J176" s="455">
        <v>46182</v>
      </c>
      <c r="K176" s="455">
        <v>46182</v>
      </c>
      <c r="R176" s="455">
        <v>46196</v>
      </c>
      <c r="U176" s="455">
        <v>46206</v>
      </c>
    </row>
    <row r="177" spans="1:21">
      <c r="A177" t="s">
        <v>1751</v>
      </c>
      <c r="B177" t="s">
        <v>3306</v>
      </c>
      <c r="C177" t="s">
        <v>1751</v>
      </c>
      <c r="D177">
        <v>20545328</v>
      </c>
      <c r="E177" t="s">
        <v>3128</v>
      </c>
      <c r="F177" t="s">
        <v>1241</v>
      </c>
      <c r="G177" t="s">
        <v>3141</v>
      </c>
      <c r="H177" t="s">
        <v>1252</v>
      </c>
      <c r="J177" s="455">
        <v>46178</v>
      </c>
      <c r="U177" s="455">
        <v>46190</v>
      </c>
    </row>
    <row r="178" spans="1:21">
      <c r="A178" t="s">
        <v>1751</v>
      </c>
      <c r="B178" t="s">
        <v>3306</v>
      </c>
      <c r="C178" t="s">
        <v>1751</v>
      </c>
      <c r="D178">
        <v>20545329</v>
      </c>
      <c r="E178" t="s">
        <v>3128</v>
      </c>
      <c r="F178" t="s">
        <v>1241</v>
      </c>
      <c r="G178" t="s">
        <v>3141</v>
      </c>
      <c r="H178" t="s">
        <v>1252</v>
      </c>
      <c r="I178" t="s">
        <v>3307</v>
      </c>
      <c r="J178" s="455">
        <v>46178</v>
      </c>
      <c r="U178" s="455">
        <v>46190</v>
      </c>
    </row>
    <row r="179" spans="1:21">
      <c r="A179" t="s">
        <v>1751</v>
      </c>
      <c r="B179" t="s">
        <v>2950</v>
      </c>
      <c r="C179" t="s">
        <v>1751</v>
      </c>
      <c r="D179">
        <v>20538873</v>
      </c>
      <c r="E179" t="s">
        <v>3142</v>
      </c>
      <c r="F179" t="s">
        <v>1237</v>
      </c>
      <c r="G179" t="s">
        <v>3143</v>
      </c>
      <c r="H179" t="s">
        <v>1249</v>
      </c>
      <c r="I179" t="s">
        <v>2650</v>
      </c>
      <c r="J179" s="455">
        <v>46171</v>
      </c>
      <c r="K179" s="455">
        <v>46173</v>
      </c>
      <c r="L179" s="455">
        <v>46174</v>
      </c>
      <c r="M179" s="455">
        <v>46185</v>
      </c>
      <c r="N179" s="455">
        <v>46185</v>
      </c>
      <c r="P179" s="455">
        <v>46189</v>
      </c>
      <c r="Q179" s="455">
        <v>46189</v>
      </c>
      <c r="U179" s="455">
        <v>46237</v>
      </c>
    </row>
    <row r="180" spans="1:21">
      <c r="A180" t="s">
        <v>1751</v>
      </c>
      <c r="B180" t="s">
        <v>3308</v>
      </c>
      <c r="C180" t="s">
        <v>1751</v>
      </c>
      <c r="D180">
        <v>20479241</v>
      </c>
      <c r="E180" t="s">
        <v>3133</v>
      </c>
      <c r="F180" t="s">
        <v>1799</v>
      </c>
      <c r="G180" t="s">
        <v>3134</v>
      </c>
      <c r="H180" t="s">
        <v>1247</v>
      </c>
      <c r="I180" t="s">
        <v>3303</v>
      </c>
      <c r="J180" s="455">
        <v>46105</v>
      </c>
      <c r="K180" s="455">
        <v>46105</v>
      </c>
      <c r="R180" s="455">
        <v>46177</v>
      </c>
      <c r="U180" s="455">
        <v>46122</v>
      </c>
    </row>
    <row r="181" spans="1:21">
      <c r="A181" t="s">
        <v>1751</v>
      </c>
      <c r="B181" t="s">
        <v>3309</v>
      </c>
      <c r="C181" t="s">
        <v>1751</v>
      </c>
      <c r="D181">
        <v>20549803</v>
      </c>
      <c r="E181" t="s">
        <v>3128</v>
      </c>
      <c r="F181" t="s">
        <v>1237</v>
      </c>
      <c r="G181" t="s">
        <v>3143</v>
      </c>
      <c r="H181" t="s">
        <v>1247</v>
      </c>
      <c r="I181" t="s">
        <v>1808</v>
      </c>
      <c r="J181" s="455">
        <v>46182</v>
      </c>
      <c r="U181" s="455">
        <v>46182</v>
      </c>
    </row>
    <row r="182" spans="1:21">
      <c r="A182" t="s">
        <v>1751</v>
      </c>
      <c r="B182" t="s">
        <v>3310</v>
      </c>
      <c r="C182" t="s">
        <v>1751</v>
      </c>
      <c r="D182">
        <v>20529503</v>
      </c>
      <c r="E182" t="s">
        <v>3133</v>
      </c>
      <c r="F182" t="s">
        <v>1239</v>
      </c>
      <c r="G182" t="s">
        <v>3129</v>
      </c>
      <c r="H182" t="s">
        <v>1252</v>
      </c>
      <c r="I182" t="s">
        <v>3202</v>
      </c>
      <c r="J182" s="455">
        <v>46160</v>
      </c>
      <c r="K182" s="455">
        <v>46170</v>
      </c>
      <c r="L182" s="455">
        <v>46171</v>
      </c>
      <c r="S182" s="455">
        <v>46174</v>
      </c>
      <c r="U182" s="455">
        <v>46178</v>
      </c>
    </row>
    <row r="183" spans="1:21">
      <c r="A183" t="s">
        <v>1751</v>
      </c>
      <c r="B183" t="s">
        <v>3311</v>
      </c>
      <c r="C183" t="s">
        <v>1751</v>
      </c>
      <c r="D183">
        <v>20541579</v>
      </c>
      <c r="E183" t="s">
        <v>3128</v>
      </c>
      <c r="F183" t="s">
        <v>1237</v>
      </c>
      <c r="G183" t="s">
        <v>3129</v>
      </c>
      <c r="H183" t="s">
        <v>1247</v>
      </c>
      <c r="J183" s="455">
        <v>46175</v>
      </c>
      <c r="U183" s="455">
        <v>46175</v>
      </c>
    </row>
    <row r="184" spans="1:21">
      <c r="A184" t="s">
        <v>1751</v>
      </c>
      <c r="B184" t="s">
        <v>3312</v>
      </c>
      <c r="C184" t="s">
        <v>1751</v>
      </c>
      <c r="D184">
        <v>20558569</v>
      </c>
      <c r="E184" t="s">
        <v>3133</v>
      </c>
      <c r="F184" t="s">
        <v>1241</v>
      </c>
      <c r="G184" t="s">
        <v>3134</v>
      </c>
      <c r="H184" t="s">
        <v>1247</v>
      </c>
      <c r="I184" t="s">
        <v>1895</v>
      </c>
      <c r="J184" s="455">
        <v>46189</v>
      </c>
      <c r="K184" s="455">
        <v>46189</v>
      </c>
      <c r="R184" s="455">
        <v>46197</v>
      </c>
      <c r="U184" s="455">
        <v>46198</v>
      </c>
    </row>
    <row r="185" spans="1:21">
      <c r="A185" t="s">
        <v>1751</v>
      </c>
      <c r="B185" t="s">
        <v>3313</v>
      </c>
      <c r="C185" t="s">
        <v>1751</v>
      </c>
      <c r="D185">
        <v>20557711</v>
      </c>
      <c r="E185" t="s">
        <v>1897</v>
      </c>
      <c r="F185" t="s">
        <v>1241</v>
      </c>
      <c r="G185" t="s">
        <v>3134</v>
      </c>
      <c r="H185" t="s">
        <v>1247</v>
      </c>
      <c r="I185" t="s">
        <v>1559</v>
      </c>
      <c r="J185" s="455">
        <v>46189</v>
      </c>
      <c r="K185" s="455">
        <v>46189</v>
      </c>
      <c r="U185" s="455">
        <v>46198</v>
      </c>
    </row>
    <row r="186" spans="1:21">
      <c r="A186" t="s">
        <v>1751</v>
      </c>
      <c r="B186" t="s">
        <v>3314</v>
      </c>
      <c r="C186" t="s">
        <v>1751</v>
      </c>
      <c r="D186">
        <v>20544695</v>
      </c>
      <c r="E186" t="s">
        <v>3128</v>
      </c>
      <c r="F186" t="s">
        <v>1241</v>
      </c>
      <c r="G186" t="s">
        <v>3129</v>
      </c>
      <c r="H186" t="s">
        <v>3131</v>
      </c>
      <c r="J186" s="455">
        <v>46177</v>
      </c>
      <c r="U186" s="455">
        <v>46177</v>
      </c>
    </row>
    <row r="187" spans="1:21">
      <c r="A187" t="s">
        <v>1751</v>
      </c>
      <c r="B187" t="s">
        <v>3315</v>
      </c>
      <c r="C187" t="s">
        <v>1751</v>
      </c>
      <c r="D187">
        <v>20556806</v>
      </c>
      <c r="E187" t="s">
        <v>3128</v>
      </c>
      <c r="F187" t="s">
        <v>1782</v>
      </c>
      <c r="G187" t="s">
        <v>3141</v>
      </c>
      <c r="H187" t="s">
        <v>1251</v>
      </c>
      <c r="J187" s="455">
        <v>46189</v>
      </c>
      <c r="U187" s="455">
        <v>46189</v>
      </c>
    </row>
    <row r="188" spans="1:21">
      <c r="A188" t="s">
        <v>1751</v>
      </c>
      <c r="B188" t="s">
        <v>3316</v>
      </c>
      <c r="C188" t="s">
        <v>1751</v>
      </c>
      <c r="D188">
        <v>20537116</v>
      </c>
      <c r="E188" t="s">
        <v>3133</v>
      </c>
      <c r="F188" t="s">
        <v>1241</v>
      </c>
      <c r="G188" t="s">
        <v>3134</v>
      </c>
      <c r="H188" t="s">
        <v>1247</v>
      </c>
      <c r="J188" s="455">
        <v>46169</v>
      </c>
      <c r="K188" s="455">
        <v>46169</v>
      </c>
      <c r="R188" s="455">
        <v>46190</v>
      </c>
      <c r="U188" s="455">
        <v>46169</v>
      </c>
    </row>
    <row r="189" spans="1:21">
      <c r="A189" t="s">
        <v>1751</v>
      </c>
      <c r="B189" t="s">
        <v>3317</v>
      </c>
      <c r="C189" t="s">
        <v>1751</v>
      </c>
      <c r="D189">
        <v>20568449</v>
      </c>
      <c r="E189" t="s">
        <v>3128</v>
      </c>
      <c r="F189" t="s">
        <v>1782</v>
      </c>
      <c r="G189" t="s">
        <v>3134</v>
      </c>
      <c r="H189" t="s">
        <v>1252</v>
      </c>
      <c r="J189" s="455">
        <v>46202</v>
      </c>
      <c r="U189" s="455">
        <v>46209</v>
      </c>
    </row>
    <row r="190" spans="1:21">
      <c r="A190" t="s">
        <v>1751</v>
      </c>
      <c r="B190" t="s">
        <v>3318</v>
      </c>
      <c r="C190" t="s">
        <v>1751</v>
      </c>
      <c r="D190">
        <v>20554126</v>
      </c>
      <c r="E190" t="s">
        <v>3128</v>
      </c>
      <c r="F190" t="s">
        <v>1782</v>
      </c>
      <c r="G190" t="s">
        <v>3134</v>
      </c>
      <c r="H190" t="s">
        <v>3165</v>
      </c>
      <c r="J190" s="455">
        <v>46185</v>
      </c>
      <c r="U190" s="455">
        <v>46216</v>
      </c>
    </row>
    <row r="191" spans="1:21">
      <c r="A191" t="s">
        <v>1751</v>
      </c>
      <c r="B191" t="s">
        <v>3319</v>
      </c>
      <c r="C191" t="s">
        <v>1751</v>
      </c>
      <c r="D191">
        <v>20515905</v>
      </c>
      <c r="E191" t="s">
        <v>3133</v>
      </c>
      <c r="F191" t="s">
        <v>1912</v>
      </c>
      <c r="G191" t="s">
        <v>3134</v>
      </c>
      <c r="H191" t="s">
        <v>1247</v>
      </c>
      <c r="I191" t="s">
        <v>1808</v>
      </c>
      <c r="J191" s="455">
        <v>46145</v>
      </c>
      <c r="K191" s="455">
        <v>46145</v>
      </c>
      <c r="R191" s="455">
        <v>46189</v>
      </c>
      <c r="U191" s="455">
        <v>46146</v>
      </c>
    </row>
    <row r="192" spans="1:21">
      <c r="A192" t="s">
        <v>1751</v>
      </c>
      <c r="B192" t="s">
        <v>3320</v>
      </c>
      <c r="C192" t="s">
        <v>1751</v>
      </c>
      <c r="D192">
        <v>20547792</v>
      </c>
      <c r="E192" t="s">
        <v>3190</v>
      </c>
      <c r="F192" t="s">
        <v>1242</v>
      </c>
      <c r="G192" t="s">
        <v>3134</v>
      </c>
      <c r="H192" t="s">
        <v>3165</v>
      </c>
      <c r="J192" s="455">
        <v>46180</v>
      </c>
      <c r="R192" s="455">
        <v>46183</v>
      </c>
      <c r="U192" s="455">
        <v>46204</v>
      </c>
    </row>
    <row r="193" spans="1:21">
      <c r="A193" t="s">
        <v>1751</v>
      </c>
      <c r="B193" t="s">
        <v>3320</v>
      </c>
      <c r="C193" t="s">
        <v>1751</v>
      </c>
      <c r="D193">
        <v>20544529</v>
      </c>
      <c r="E193" t="s">
        <v>3190</v>
      </c>
      <c r="F193" t="s">
        <v>1241</v>
      </c>
      <c r="G193" t="s">
        <v>3134</v>
      </c>
      <c r="H193" t="s">
        <v>3165</v>
      </c>
      <c r="J193" s="455">
        <v>46177</v>
      </c>
      <c r="R193" s="455">
        <v>46181</v>
      </c>
      <c r="U193" s="455">
        <v>46204</v>
      </c>
    </row>
    <row r="194" spans="1:21">
      <c r="A194" t="s">
        <v>1751</v>
      </c>
      <c r="B194" t="s">
        <v>3321</v>
      </c>
      <c r="C194" t="s">
        <v>1751</v>
      </c>
      <c r="D194">
        <v>20562295</v>
      </c>
      <c r="E194" t="s">
        <v>1897</v>
      </c>
      <c r="F194" t="s">
        <v>1237</v>
      </c>
      <c r="G194" t="s">
        <v>3143</v>
      </c>
      <c r="H194" t="s">
        <v>1252</v>
      </c>
      <c r="I194" t="s">
        <v>3258</v>
      </c>
      <c r="J194" s="455">
        <v>46195</v>
      </c>
      <c r="K194" s="455">
        <v>46195</v>
      </c>
      <c r="U194" s="455">
        <v>46203</v>
      </c>
    </row>
    <row r="195" spans="1:21">
      <c r="A195" t="s">
        <v>1751</v>
      </c>
      <c r="B195" t="s">
        <v>3322</v>
      </c>
      <c r="C195" t="s">
        <v>1751</v>
      </c>
      <c r="D195">
        <v>20486913</v>
      </c>
      <c r="E195" t="s">
        <v>3133</v>
      </c>
      <c r="F195" t="s">
        <v>1241</v>
      </c>
      <c r="G195" t="s">
        <v>3134</v>
      </c>
      <c r="H195" t="s">
        <v>1247</v>
      </c>
      <c r="I195" t="s">
        <v>1568</v>
      </c>
      <c r="J195" s="455">
        <v>46116</v>
      </c>
      <c r="K195" s="455">
        <v>46116</v>
      </c>
      <c r="R195" s="455">
        <v>46177</v>
      </c>
      <c r="U195" s="455">
        <v>46142</v>
      </c>
    </row>
    <row r="196" spans="1:21">
      <c r="A196" t="s">
        <v>1751</v>
      </c>
      <c r="B196" t="s">
        <v>3323</v>
      </c>
      <c r="C196" t="s">
        <v>1751</v>
      </c>
      <c r="D196">
        <v>20523701</v>
      </c>
      <c r="E196" t="s">
        <v>3133</v>
      </c>
      <c r="F196" t="s">
        <v>1782</v>
      </c>
      <c r="G196" t="s">
        <v>3134</v>
      </c>
      <c r="H196" t="s">
        <v>1247</v>
      </c>
      <c r="J196" s="455">
        <v>46155</v>
      </c>
      <c r="K196" s="455">
        <v>46155</v>
      </c>
      <c r="R196" s="455">
        <v>46190</v>
      </c>
      <c r="U196" s="455">
        <v>46155</v>
      </c>
    </row>
    <row r="197" spans="1:21">
      <c r="A197" t="s">
        <v>1751</v>
      </c>
      <c r="B197" t="s">
        <v>3324</v>
      </c>
      <c r="C197" t="s">
        <v>1751</v>
      </c>
      <c r="D197">
        <v>20569075</v>
      </c>
      <c r="E197" t="s">
        <v>3128</v>
      </c>
      <c r="F197" t="s">
        <v>1782</v>
      </c>
      <c r="G197" t="s">
        <v>3137</v>
      </c>
      <c r="H197" t="s">
        <v>1252</v>
      </c>
      <c r="J197" s="455">
        <v>46203</v>
      </c>
      <c r="U197" s="455">
        <v>46296</v>
      </c>
    </row>
    <row r="198" spans="1:21">
      <c r="A198" t="s">
        <v>1751</v>
      </c>
      <c r="B198" t="s">
        <v>3325</v>
      </c>
      <c r="C198" t="s">
        <v>1751</v>
      </c>
      <c r="D198">
        <v>20557423</v>
      </c>
      <c r="E198" t="s">
        <v>3128</v>
      </c>
      <c r="F198" t="s">
        <v>1782</v>
      </c>
      <c r="G198" t="s">
        <v>3129</v>
      </c>
      <c r="H198" t="s">
        <v>1253</v>
      </c>
      <c r="J198" s="455">
        <v>46189</v>
      </c>
      <c r="U198" s="455">
        <v>46189</v>
      </c>
    </row>
    <row r="199" spans="1:21">
      <c r="A199" t="s">
        <v>1751</v>
      </c>
      <c r="B199" t="s">
        <v>3326</v>
      </c>
      <c r="C199" t="s">
        <v>1751</v>
      </c>
      <c r="D199">
        <v>20542873</v>
      </c>
      <c r="E199" t="s">
        <v>3128</v>
      </c>
      <c r="F199" t="s">
        <v>1782</v>
      </c>
      <c r="G199" t="s">
        <v>3134</v>
      </c>
      <c r="H199" t="s">
        <v>1252</v>
      </c>
      <c r="J199" s="455">
        <v>46176</v>
      </c>
      <c r="U199" s="455">
        <v>46178</v>
      </c>
    </row>
    <row r="200" spans="1:21">
      <c r="A200" t="s">
        <v>1751</v>
      </c>
      <c r="B200" t="s">
        <v>3327</v>
      </c>
      <c r="C200" t="s">
        <v>1751</v>
      </c>
      <c r="D200">
        <v>20541514</v>
      </c>
      <c r="E200" t="s">
        <v>3128</v>
      </c>
      <c r="F200" t="s">
        <v>1237</v>
      </c>
      <c r="G200" t="s">
        <v>3143</v>
      </c>
      <c r="H200" t="s">
        <v>1248</v>
      </c>
      <c r="I200" t="s">
        <v>3168</v>
      </c>
      <c r="J200" s="455">
        <v>46175</v>
      </c>
      <c r="U200" s="455">
        <v>46175</v>
      </c>
    </row>
    <row r="201" spans="1:21">
      <c r="A201" t="s">
        <v>1751</v>
      </c>
      <c r="B201" t="s">
        <v>3328</v>
      </c>
      <c r="C201" t="s">
        <v>1751</v>
      </c>
      <c r="D201">
        <v>20541616</v>
      </c>
      <c r="E201" t="s">
        <v>3128</v>
      </c>
      <c r="F201" t="s">
        <v>1782</v>
      </c>
      <c r="G201" t="s">
        <v>3134</v>
      </c>
      <c r="H201" t="s">
        <v>3165</v>
      </c>
      <c r="J201" s="455">
        <v>46175</v>
      </c>
      <c r="U201" s="455">
        <v>46214</v>
      </c>
    </row>
    <row r="202" spans="1:21">
      <c r="A202" t="s">
        <v>1751</v>
      </c>
      <c r="B202" t="s">
        <v>3329</v>
      </c>
      <c r="C202" t="s">
        <v>1751</v>
      </c>
      <c r="D202">
        <v>20549519</v>
      </c>
      <c r="E202" t="s">
        <v>3128</v>
      </c>
      <c r="F202" t="s">
        <v>1241</v>
      </c>
      <c r="G202" t="s">
        <v>3141</v>
      </c>
      <c r="H202" t="s">
        <v>1252</v>
      </c>
      <c r="J202" s="455">
        <v>46182</v>
      </c>
      <c r="U202" s="455">
        <v>46211</v>
      </c>
    </row>
    <row r="203" spans="1:21">
      <c r="A203" t="s">
        <v>1751</v>
      </c>
      <c r="B203" t="s">
        <v>3330</v>
      </c>
      <c r="C203" t="s">
        <v>1751</v>
      </c>
      <c r="D203">
        <v>20559960</v>
      </c>
      <c r="E203" t="s">
        <v>3128</v>
      </c>
      <c r="F203" t="s">
        <v>1782</v>
      </c>
      <c r="G203" t="s">
        <v>3129</v>
      </c>
      <c r="H203" t="s">
        <v>3131</v>
      </c>
      <c r="I203" t="s">
        <v>2941</v>
      </c>
      <c r="J203" s="455">
        <v>46191</v>
      </c>
      <c r="U203" s="455">
        <v>46203</v>
      </c>
    </row>
    <row r="204" spans="1:21">
      <c r="A204" t="s">
        <v>1751</v>
      </c>
      <c r="B204" t="s">
        <v>3331</v>
      </c>
      <c r="C204" t="s">
        <v>1751</v>
      </c>
      <c r="D204">
        <v>20491369</v>
      </c>
      <c r="E204" t="s">
        <v>3133</v>
      </c>
      <c r="F204" t="s">
        <v>1242</v>
      </c>
      <c r="G204" t="s">
        <v>3134</v>
      </c>
      <c r="H204" t="s">
        <v>1247</v>
      </c>
      <c r="I204" t="s">
        <v>3332</v>
      </c>
      <c r="J204" s="455">
        <v>46121</v>
      </c>
      <c r="K204" s="455">
        <v>46121</v>
      </c>
      <c r="R204" s="455">
        <v>46181</v>
      </c>
      <c r="U204" s="455">
        <v>46170</v>
      </c>
    </row>
    <row r="205" spans="1:21">
      <c r="A205" t="s">
        <v>1751</v>
      </c>
      <c r="B205" t="s">
        <v>3333</v>
      </c>
      <c r="C205" t="s">
        <v>1751</v>
      </c>
      <c r="D205">
        <v>20568565</v>
      </c>
      <c r="E205" t="s">
        <v>3128</v>
      </c>
      <c r="F205" t="s">
        <v>1912</v>
      </c>
      <c r="G205" t="s">
        <v>2009</v>
      </c>
      <c r="H205" t="s">
        <v>1252</v>
      </c>
      <c r="J205" s="455">
        <v>46202</v>
      </c>
      <c r="U205" s="455">
        <v>46202</v>
      </c>
    </row>
    <row r="206" spans="1:21">
      <c r="A206" t="s">
        <v>1751</v>
      </c>
      <c r="B206" t="s">
        <v>3333</v>
      </c>
      <c r="C206" t="s">
        <v>1751</v>
      </c>
      <c r="D206">
        <v>20549838</v>
      </c>
      <c r="E206" t="s">
        <v>3133</v>
      </c>
      <c r="F206" t="s">
        <v>1241</v>
      </c>
      <c r="G206" t="s">
        <v>3134</v>
      </c>
      <c r="H206" t="s">
        <v>1252</v>
      </c>
      <c r="J206" s="455">
        <v>46182</v>
      </c>
      <c r="K206" s="455">
        <v>46182</v>
      </c>
      <c r="R206" s="455">
        <v>46196</v>
      </c>
      <c r="U206" s="455">
        <v>46204</v>
      </c>
    </row>
    <row r="207" spans="1:21">
      <c r="A207" t="s">
        <v>1751</v>
      </c>
      <c r="B207" t="s">
        <v>3334</v>
      </c>
      <c r="C207" t="s">
        <v>1751</v>
      </c>
      <c r="D207">
        <v>20498787</v>
      </c>
      <c r="E207" t="s">
        <v>3133</v>
      </c>
      <c r="F207" t="s">
        <v>1242</v>
      </c>
      <c r="G207" t="s">
        <v>3137</v>
      </c>
      <c r="H207" t="s">
        <v>1247</v>
      </c>
      <c r="I207" t="s">
        <v>2171</v>
      </c>
      <c r="J207" s="455">
        <v>46129</v>
      </c>
      <c r="K207" s="455">
        <v>46129</v>
      </c>
      <c r="R207" s="455">
        <v>46181</v>
      </c>
      <c r="U207" s="455">
        <v>46142</v>
      </c>
    </row>
    <row r="208" spans="1:21">
      <c r="A208" t="s">
        <v>1751</v>
      </c>
      <c r="B208" t="s">
        <v>3334</v>
      </c>
      <c r="C208" t="s">
        <v>1751</v>
      </c>
      <c r="D208">
        <v>20498889</v>
      </c>
      <c r="E208" t="s">
        <v>3133</v>
      </c>
      <c r="F208" t="s">
        <v>1912</v>
      </c>
      <c r="G208" t="s">
        <v>3134</v>
      </c>
      <c r="H208" t="s">
        <v>1247</v>
      </c>
      <c r="J208" s="455">
        <v>46129</v>
      </c>
      <c r="K208" s="455">
        <v>46129</v>
      </c>
      <c r="R208" s="455">
        <v>46181</v>
      </c>
      <c r="U208" s="455">
        <v>46142</v>
      </c>
    </row>
    <row r="209" spans="1:21">
      <c r="A209" t="s">
        <v>1751</v>
      </c>
      <c r="B209" t="s">
        <v>3335</v>
      </c>
      <c r="C209" t="s">
        <v>1751</v>
      </c>
      <c r="D209">
        <v>20558701</v>
      </c>
      <c r="E209" t="s">
        <v>1897</v>
      </c>
      <c r="F209" t="s">
        <v>1241</v>
      </c>
      <c r="G209" t="s">
        <v>3134</v>
      </c>
      <c r="H209" t="s">
        <v>1247</v>
      </c>
      <c r="I209" t="s">
        <v>1540</v>
      </c>
      <c r="J209" s="455">
        <v>46190</v>
      </c>
      <c r="K209" s="455">
        <v>46190</v>
      </c>
      <c r="U209" s="455">
        <v>46191</v>
      </c>
    </row>
    <row r="210" spans="1:21">
      <c r="A210" t="s">
        <v>1751</v>
      </c>
      <c r="B210" t="s">
        <v>3336</v>
      </c>
      <c r="C210" t="s">
        <v>1751</v>
      </c>
      <c r="D210">
        <v>20564187</v>
      </c>
      <c r="E210" t="s">
        <v>3128</v>
      </c>
      <c r="F210" t="s">
        <v>1241</v>
      </c>
      <c r="G210" t="s">
        <v>3141</v>
      </c>
      <c r="H210" t="s">
        <v>1252</v>
      </c>
      <c r="J210" s="455">
        <v>46197</v>
      </c>
      <c r="U210" s="455">
        <v>46204</v>
      </c>
    </row>
    <row r="211" spans="1:21">
      <c r="A211" t="s">
        <v>1751</v>
      </c>
      <c r="B211" t="s">
        <v>3337</v>
      </c>
      <c r="C211" t="s">
        <v>1751</v>
      </c>
      <c r="D211">
        <v>20533103</v>
      </c>
      <c r="E211" t="s">
        <v>3133</v>
      </c>
      <c r="F211" t="s">
        <v>1241</v>
      </c>
      <c r="G211" t="s">
        <v>3134</v>
      </c>
      <c r="H211" t="s">
        <v>1247</v>
      </c>
      <c r="I211" t="s">
        <v>1554</v>
      </c>
      <c r="J211" s="455">
        <v>46163</v>
      </c>
      <c r="K211" s="455">
        <v>46163</v>
      </c>
      <c r="R211" s="455">
        <v>46190</v>
      </c>
      <c r="U211" s="455">
        <v>46163</v>
      </c>
    </row>
    <row r="212" spans="1:21">
      <c r="A212" t="s">
        <v>1751</v>
      </c>
      <c r="B212" t="s">
        <v>3338</v>
      </c>
      <c r="C212" t="s">
        <v>1751</v>
      </c>
      <c r="D212">
        <v>20548248</v>
      </c>
      <c r="E212" t="s">
        <v>3128</v>
      </c>
      <c r="F212" t="s">
        <v>1241</v>
      </c>
      <c r="G212" t="s">
        <v>3134</v>
      </c>
      <c r="H212" t="s">
        <v>1252</v>
      </c>
      <c r="J212" s="455">
        <v>46181</v>
      </c>
      <c r="U212" s="455">
        <v>46260</v>
      </c>
    </row>
    <row r="213" spans="1:21">
      <c r="A213" t="s">
        <v>1751</v>
      </c>
      <c r="B213" t="s">
        <v>3339</v>
      </c>
      <c r="C213" t="s">
        <v>1751</v>
      </c>
      <c r="D213">
        <v>20548809</v>
      </c>
      <c r="E213" t="s">
        <v>3128</v>
      </c>
      <c r="F213" t="s">
        <v>1242</v>
      </c>
      <c r="G213" t="s">
        <v>3141</v>
      </c>
      <c r="H213" t="s">
        <v>1247</v>
      </c>
      <c r="J213" s="455">
        <v>46181</v>
      </c>
      <c r="U213" s="455">
        <v>46235</v>
      </c>
    </row>
    <row r="214" spans="1:21">
      <c r="A214" t="s">
        <v>1751</v>
      </c>
      <c r="B214" t="s">
        <v>3340</v>
      </c>
      <c r="C214" t="s">
        <v>1751</v>
      </c>
      <c r="D214">
        <v>20491378</v>
      </c>
      <c r="E214" t="s">
        <v>3133</v>
      </c>
      <c r="F214" t="s">
        <v>1241</v>
      </c>
      <c r="G214" t="s">
        <v>3134</v>
      </c>
      <c r="H214" t="s">
        <v>1247</v>
      </c>
      <c r="I214" t="s">
        <v>1967</v>
      </c>
      <c r="J214" s="455">
        <v>46121</v>
      </c>
      <c r="K214" s="455">
        <v>46121</v>
      </c>
      <c r="R214" s="455">
        <v>46181</v>
      </c>
      <c r="U214" s="455">
        <v>46136</v>
      </c>
    </row>
    <row r="215" spans="1:21">
      <c r="A215" t="s">
        <v>1751</v>
      </c>
      <c r="B215" t="s">
        <v>3341</v>
      </c>
      <c r="C215" t="s">
        <v>1751</v>
      </c>
      <c r="D215">
        <v>20559164</v>
      </c>
      <c r="E215" t="s">
        <v>3133</v>
      </c>
      <c r="F215" t="s">
        <v>1241</v>
      </c>
      <c r="G215" t="s">
        <v>3134</v>
      </c>
      <c r="H215" t="s">
        <v>1247</v>
      </c>
      <c r="I215" t="s">
        <v>2520</v>
      </c>
      <c r="J215" s="455">
        <v>46190</v>
      </c>
      <c r="K215" s="455">
        <v>46190</v>
      </c>
      <c r="L215" s="455">
        <v>46194</v>
      </c>
      <c r="S215" s="455">
        <v>46195</v>
      </c>
      <c r="U215" s="455">
        <v>46213</v>
      </c>
    </row>
    <row r="216" spans="1:21">
      <c r="A216" t="s">
        <v>1751</v>
      </c>
      <c r="B216" t="s">
        <v>3342</v>
      </c>
      <c r="C216" t="s">
        <v>1751</v>
      </c>
      <c r="D216">
        <v>20560943</v>
      </c>
      <c r="E216" t="s">
        <v>3128</v>
      </c>
      <c r="F216" t="s">
        <v>1239</v>
      </c>
      <c r="G216" t="s">
        <v>3137</v>
      </c>
      <c r="H216" t="s">
        <v>1247</v>
      </c>
      <c r="I216" t="s">
        <v>1588</v>
      </c>
      <c r="J216" s="455">
        <v>46192</v>
      </c>
      <c r="U216" s="455">
        <v>46192</v>
      </c>
    </row>
    <row r="217" spans="1:21">
      <c r="A217" t="s">
        <v>1751</v>
      </c>
      <c r="B217" t="s">
        <v>2993</v>
      </c>
      <c r="C217" t="s">
        <v>1751</v>
      </c>
      <c r="D217">
        <v>20561117</v>
      </c>
      <c r="E217" t="s">
        <v>3128</v>
      </c>
      <c r="F217" t="s">
        <v>1241</v>
      </c>
      <c r="G217" t="s">
        <v>3129</v>
      </c>
      <c r="H217" t="s">
        <v>1252</v>
      </c>
      <c r="J217" s="455">
        <v>46193</v>
      </c>
      <c r="U217" s="455">
        <v>46204</v>
      </c>
    </row>
    <row r="218" spans="1:21">
      <c r="A218" t="s">
        <v>1751</v>
      </c>
      <c r="B218" t="s">
        <v>2993</v>
      </c>
      <c r="C218" t="s">
        <v>1751</v>
      </c>
      <c r="D218">
        <v>20566363</v>
      </c>
      <c r="E218" t="s">
        <v>1897</v>
      </c>
      <c r="F218" t="s">
        <v>1241</v>
      </c>
      <c r="G218" t="s">
        <v>3134</v>
      </c>
      <c r="H218" t="s">
        <v>1252</v>
      </c>
      <c r="I218" t="s">
        <v>1554</v>
      </c>
      <c r="J218" s="455">
        <v>46199</v>
      </c>
      <c r="K218" s="455">
        <v>46199</v>
      </c>
      <c r="O218" s="455">
        <v>46218</v>
      </c>
      <c r="U218" s="455">
        <v>46218</v>
      </c>
    </row>
    <row r="219" spans="1:21">
      <c r="A219" t="s">
        <v>1751</v>
      </c>
      <c r="B219" t="s">
        <v>3343</v>
      </c>
      <c r="C219" t="s">
        <v>1751</v>
      </c>
      <c r="D219">
        <v>20559302</v>
      </c>
      <c r="E219" t="s">
        <v>3142</v>
      </c>
      <c r="F219" t="s">
        <v>1238</v>
      </c>
      <c r="G219" t="s">
        <v>3134</v>
      </c>
      <c r="H219" t="s">
        <v>1247</v>
      </c>
      <c r="I219" t="s">
        <v>3344</v>
      </c>
      <c r="J219" s="455">
        <v>46190</v>
      </c>
      <c r="K219" s="455">
        <v>46190</v>
      </c>
      <c r="L219" s="455">
        <v>46191</v>
      </c>
      <c r="M219" s="455">
        <v>46197</v>
      </c>
      <c r="N219" s="455">
        <v>46197</v>
      </c>
      <c r="P219" s="455">
        <v>46197</v>
      </c>
      <c r="Q219" s="455">
        <v>46197</v>
      </c>
      <c r="U219" s="455">
        <v>46200</v>
      </c>
    </row>
    <row r="220" spans="1:21">
      <c r="A220" t="s">
        <v>1751</v>
      </c>
      <c r="B220" t="s">
        <v>3343</v>
      </c>
      <c r="C220" t="s">
        <v>1751</v>
      </c>
      <c r="D220">
        <v>20540893</v>
      </c>
      <c r="E220" t="s">
        <v>3133</v>
      </c>
      <c r="F220" t="s">
        <v>1238</v>
      </c>
      <c r="G220" t="s">
        <v>3143</v>
      </c>
      <c r="H220" t="s">
        <v>1250</v>
      </c>
      <c r="I220" t="s">
        <v>1808</v>
      </c>
      <c r="J220" s="455">
        <v>46174</v>
      </c>
      <c r="K220" s="455">
        <v>46174</v>
      </c>
      <c r="R220" s="455">
        <v>46190</v>
      </c>
      <c r="U220" s="455">
        <v>46183</v>
      </c>
    </row>
    <row r="221" spans="1:21">
      <c r="A221" t="s">
        <v>1751</v>
      </c>
      <c r="B221" t="s">
        <v>3345</v>
      </c>
      <c r="C221" t="s">
        <v>1751</v>
      </c>
      <c r="D221">
        <v>20564911</v>
      </c>
      <c r="E221" t="s">
        <v>3128</v>
      </c>
      <c r="F221" t="s">
        <v>1241</v>
      </c>
      <c r="G221" t="s">
        <v>2009</v>
      </c>
      <c r="H221" t="s">
        <v>1251</v>
      </c>
      <c r="J221" s="455">
        <v>46198</v>
      </c>
      <c r="U221" s="455">
        <v>46198</v>
      </c>
    </row>
    <row r="222" spans="1:21">
      <c r="A222" t="s">
        <v>1751</v>
      </c>
      <c r="B222" t="s">
        <v>3346</v>
      </c>
      <c r="C222" t="s">
        <v>1751</v>
      </c>
      <c r="D222">
        <v>20550098</v>
      </c>
      <c r="E222" t="s">
        <v>3128</v>
      </c>
      <c r="F222" t="s">
        <v>1241</v>
      </c>
      <c r="G222" t="s">
        <v>3141</v>
      </c>
      <c r="H222" t="s">
        <v>1252</v>
      </c>
      <c r="J222" s="455">
        <v>46183</v>
      </c>
      <c r="U222" s="455">
        <v>46204</v>
      </c>
    </row>
    <row r="223" spans="1:21">
      <c r="A223" t="s">
        <v>1751</v>
      </c>
      <c r="B223" t="s">
        <v>3347</v>
      </c>
      <c r="C223" t="s">
        <v>1751</v>
      </c>
      <c r="D223">
        <v>20479132</v>
      </c>
      <c r="E223" t="s">
        <v>3133</v>
      </c>
      <c r="F223" t="s">
        <v>1241</v>
      </c>
      <c r="G223" t="s">
        <v>3134</v>
      </c>
      <c r="H223" t="s">
        <v>1247</v>
      </c>
      <c r="J223" s="455">
        <v>46105</v>
      </c>
      <c r="K223" s="455">
        <v>46105</v>
      </c>
      <c r="R223" s="455">
        <v>46177</v>
      </c>
      <c r="U223" s="455">
        <v>46108</v>
      </c>
    </row>
    <row r="224" spans="1:21">
      <c r="A224" t="s">
        <v>1751</v>
      </c>
      <c r="B224" t="s">
        <v>3348</v>
      </c>
      <c r="C224" t="s">
        <v>1751</v>
      </c>
      <c r="D224">
        <v>20534736</v>
      </c>
      <c r="E224" t="s">
        <v>3133</v>
      </c>
      <c r="F224" t="s">
        <v>1782</v>
      </c>
      <c r="G224" t="s">
        <v>3137</v>
      </c>
      <c r="H224" t="s">
        <v>1252</v>
      </c>
      <c r="J224" s="455">
        <v>46166</v>
      </c>
      <c r="K224" s="455">
        <v>46167</v>
      </c>
      <c r="R224" s="455">
        <v>46190</v>
      </c>
      <c r="U224" s="455">
        <v>46174</v>
      </c>
    </row>
    <row r="225" spans="1:21">
      <c r="A225" t="s">
        <v>1751</v>
      </c>
      <c r="B225" t="s">
        <v>3349</v>
      </c>
      <c r="C225" t="s">
        <v>1751</v>
      </c>
      <c r="D225">
        <v>20567783</v>
      </c>
      <c r="E225" t="s">
        <v>3128</v>
      </c>
      <c r="F225" t="s">
        <v>1782</v>
      </c>
      <c r="G225" t="s">
        <v>3141</v>
      </c>
      <c r="H225" t="s">
        <v>1252</v>
      </c>
      <c r="J225" s="455">
        <v>46201</v>
      </c>
      <c r="U225" s="455">
        <v>46235</v>
      </c>
    </row>
    <row r="226" spans="1:21">
      <c r="A226" t="s">
        <v>1751</v>
      </c>
      <c r="B226" t="s">
        <v>3350</v>
      </c>
      <c r="C226" t="s">
        <v>1751</v>
      </c>
      <c r="D226">
        <v>20568344</v>
      </c>
      <c r="E226" t="s">
        <v>3128</v>
      </c>
      <c r="F226" t="s">
        <v>1237</v>
      </c>
      <c r="G226" t="s">
        <v>3143</v>
      </c>
      <c r="H226" t="s">
        <v>1251</v>
      </c>
      <c r="I226" t="s">
        <v>3168</v>
      </c>
      <c r="J226" s="455">
        <v>46202</v>
      </c>
      <c r="U226" s="455">
        <v>46202</v>
      </c>
    </row>
    <row r="227" spans="1:21">
      <c r="A227" t="s">
        <v>1751</v>
      </c>
      <c r="B227" t="s">
        <v>3351</v>
      </c>
      <c r="C227" t="s">
        <v>1751</v>
      </c>
      <c r="D227">
        <v>20560303</v>
      </c>
      <c r="E227" t="s">
        <v>3128</v>
      </c>
      <c r="F227" t="s">
        <v>1782</v>
      </c>
      <c r="G227" t="s">
        <v>3137</v>
      </c>
      <c r="H227" t="s">
        <v>1252</v>
      </c>
      <c r="J227" s="455">
        <v>46191</v>
      </c>
      <c r="U227" s="455">
        <v>46223</v>
      </c>
    </row>
    <row r="228" spans="1:21">
      <c r="A228" t="s">
        <v>1751</v>
      </c>
      <c r="B228" t="s">
        <v>3352</v>
      </c>
      <c r="C228" t="s">
        <v>1751</v>
      </c>
      <c r="D228">
        <v>20545436</v>
      </c>
      <c r="E228" t="s">
        <v>3128</v>
      </c>
      <c r="F228" t="s">
        <v>1782</v>
      </c>
      <c r="G228" t="s">
        <v>3134</v>
      </c>
      <c r="H228" t="s">
        <v>3165</v>
      </c>
      <c r="J228" s="455">
        <v>46178</v>
      </c>
      <c r="U228" s="455">
        <v>46357</v>
      </c>
    </row>
    <row r="229" spans="1:21">
      <c r="A229" t="s">
        <v>1751</v>
      </c>
      <c r="B229" t="s">
        <v>3353</v>
      </c>
      <c r="C229" t="s">
        <v>1751</v>
      </c>
      <c r="D229">
        <v>20544520</v>
      </c>
      <c r="E229" t="s">
        <v>3128</v>
      </c>
      <c r="F229" t="s">
        <v>1241</v>
      </c>
      <c r="G229" t="s">
        <v>3134</v>
      </c>
      <c r="H229" t="s">
        <v>3165</v>
      </c>
      <c r="J229" s="455">
        <v>46177</v>
      </c>
      <c r="U229" s="455">
        <v>46357</v>
      </c>
    </row>
    <row r="230" spans="1:21">
      <c r="A230" t="s">
        <v>1751</v>
      </c>
      <c r="B230" t="s">
        <v>3354</v>
      </c>
      <c r="C230" t="s">
        <v>1751</v>
      </c>
      <c r="D230">
        <v>20550292</v>
      </c>
      <c r="E230" t="s">
        <v>3128</v>
      </c>
      <c r="F230" t="s">
        <v>1238</v>
      </c>
      <c r="G230" t="s">
        <v>3129</v>
      </c>
      <c r="H230" t="s">
        <v>1253</v>
      </c>
      <c r="I230" t="s">
        <v>2433</v>
      </c>
      <c r="J230" s="455">
        <v>46183</v>
      </c>
      <c r="U230" s="455">
        <v>46183</v>
      </c>
    </row>
    <row r="231" spans="1:21">
      <c r="A231" t="s">
        <v>1751</v>
      </c>
      <c r="B231" t="s">
        <v>3355</v>
      </c>
      <c r="C231" t="s">
        <v>1751</v>
      </c>
      <c r="D231">
        <v>20556246</v>
      </c>
      <c r="E231" t="s">
        <v>3128</v>
      </c>
      <c r="F231" t="s">
        <v>1782</v>
      </c>
      <c r="G231" t="s">
        <v>3129</v>
      </c>
      <c r="H231" t="s">
        <v>3131</v>
      </c>
      <c r="J231" s="455">
        <v>46188</v>
      </c>
      <c r="U231" s="455">
        <v>46188</v>
      </c>
    </row>
    <row r="232" spans="1:21">
      <c r="A232" t="s">
        <v>1751</v>
      </c>
      <c r="B232" t="s">
        <v>3356</v>
      </c>
      <c r="C232" t="s">
        <v>1751</v>
      </c>
      <c r="D232">
        <v>20515717</v>
      </c>
      <c r="E232" t="s">
        <v>3133</v>
      </c>
      <c r="F232" t="s">
        <v>1242</v>
      </c>
      <c r="G232" t="s">
        <v>3134</v>
      </c>
      <c r="H232" t="s">
        <v>1247</v>
      </c>
      <c r="I232" t="s">
        <v>2531</v>
      </c>
      <c r="J232" s="455">
        <v>46145</v>
      </c>
      <c r="K232" s="455">
        <v>46145</v>
      </c>
      <c r="R232" s="455">
        <v>46190</v>
      </c>
      <c r="U232" s="455">
        <v>46202</v>
      </c>
    </row>
    <row r="233" spans="1:21">
      <c r="A233" t="s">
        <v>1751</v>
      </c>
      <c r="B233" t="s">
        <v>3357</v>
      </c>
      <c r="C233" t="s">
        <v>1751</v>
      </c>
      <c r="D233">
        <v>20564380</v>
      </c>
      <c r="E233" t="s">
        <v>3128</v>
      </c>
      <c r="F233" t="s">
        <v>1237</v>
      </c>
      <c r="G233" t="s">
        <v>3141</v>
      </c>
      <c r="H233" t="s">
        <v>3358</v>
      </c>
      <c r="J233" s="455">
        <v>46197</v>
      </c>
      <c r="U233" s="455">
        <v>46293</v>
      </c>
    </row>
    <row r="234" spans="1:21">
      <c r="A234" t="s">
        <v>1751</v>
      </c>
      <c r="B234" t="s">
        <v>3359</v>
      </c>
      <c r="C234" t="s">
        <v>1751</v>
      </c>
      <c r="D234">
        <v>20557341</v>
      </c>
      <c r="E234" t="s">
        <v>1897</v>
      </c>
      <c r="F234" t="s">
        <v>1241</v>
      </c>
      <c r="G234" t="s">
        <v>3137</v>
      </c>
      <c r="H234" t="s">
        <v>1252</v>
      </c>
      <c r="I234" t="s">
        <v>2941</v>
      </c>
      <c r="J234" s="455">
        <v>46189</v>
      </c>
      <c r="K234" s="455">
        <v>46189</v>
      </c>
      <c r="U234" s="455">
        <v>46190</v>
      </c>
    </row>
    <row r="235" spans="1:21">
      <c r="A235" t="s">
        <v>1751</v>
      </c>
      <c r="B235" t="s">
        <v>3360</v>
      </c>
      <c r="C235" t="s">
        <v>1751</v>
      </c>
      <c r="D235">
        <v>20541569</v>
      </c>
      <c r="E235" t="s">
        <v>3128</v>
      </c>
      <c r="F235" t="s">
        <v>1782</v>
      </c>
      <c r="G235" t="s">
        <v>3129</v>
      </c>
      <c r="H235" t="s">
        <v>3131</v>
      </c>
      <c r="J235" s="455">
        <v>46175</v>
      </c>
      <c r="U235" s="455">
        <v>46175</v>
      </c>
    </row>
    <row r="236" spans="1:21">
      <c r="A236" t="s">
        <v>1751</v>
      </c>
      <c r="B236" t="s">
        <v>3361</v>
      </c>
      <c r="C236" t="s">
        <v>1751</v>
      </c>
      <c r="D236">
        <v>20552399</v>
      </c>
      <c r="E236" t="s">
        <v>3128</v>
      </c>
      <c r="F236" t="s">
        <v>1241</v>
      </c>
      <c r="G236" t="s">
        <v>3134</v>
      </c>
      <c r="H236" t="s">
        <v>1252</v>
      </c>
      <c r="J236" s="455">
        <v>46184</v>
      </c>
      <c r="U236" s="455">
        <v>46221</v>
      </c>
    </row>
    <row r="237" spans="1:21">
      <c r="A237" t="s">
        <v>1751</v>
      </c>
      <c r="B237" t="s">
        <v>3362</v>
      </c>
      <c r="C237" t="s">
        <v>1751</v>
      </c>
      <c r="D237">
        <v>20537435</v>
      </c>
      <c r="E237" t="s">
        <v>3133</v>
      </c>
      <c r="F237" t="s">
        <v>1241</v>
      </c>
      <c r="G237" t="s">
        <v>3134</v>
      </c>
      <c r="H237" t="s">
        <v>1247</v>
      </c>
      <c r="I237" t="s">
        <v>3363</v>
      </c>
      <c r="J237" s="455">
        <v>46169</v>
      </c>
      <c r="K237" s="455">
        <v>46169</v>
      </c>
      <c r="R237" s="455">
        <v>46190</v>
      </c>
      <c r="U237" s="455">
        <v>46169</v>
      </c>
    </row>
    <row r="238" spans="1:21">
      <c r="A238" t="s">
        <v>1751</v>
      </c>
      <c r="B238" t="s">
        <v>3362</v>
      </c>
      <c r="C238" t="s">
        <v>1751</v>
      </c>
      <c r="D238">
        <v>20492773</v>
      </c>
      <c r="E238" t="s">
        <v>3133</v>
      </c>
      <c r="F238" t="s">
        <v>1912</v>
      </c>
      <c r="G238" t="s">
        <v>3134</v>
      </c>
      <c r="H238" t="s">
        <v>1247</v>
      </c>
      <c r="J238" s="455">
        <v>46123</v>
      </c>
      <c r="K238" s="455">
        <v>46123</v>
      </c>
      <c r="R238" s="455">
        <v>46181</v>
      </c>
      <c r="U238" s="455">
        <v>46204</v>
      </c>
    </row>
    <row r="239" spans="1:21">
      <c r="A239" t="s">
        <v>1751</v>
      </c>
      <c r="B239" t="s">
        <v>3364</v>
      </c>
      <c r="C239" t="s">
        <v>1751</v>
      </c>
      <c r="D239">
        <v>20539344</v>
      </c>
      <c r="E239" t="s">
        <v>3133</v>
      </c>
      <c r="F239" t="s">
        <v>1241</v>
      </c>
      <c r="G239" t="s">
        <v>3134</v>
      </c>
      <c r="H239" t="s">
        <v>1247</v>
      </c>
      <c r="I239" t="s">
        <v>1921</v>
      </c>
      <c r="J239" s="455">
        <v>46172</v>
      </c>
      <c r="K239" s="455">
        <v>46172</v>
      </c>
      <c r="R239" s="455">
        <v>46190</v>
      </c>
      <c r="U239" s="455">
        <v>46181</v>
      </c>
    </row>
    <row r="240" spans="1:21">
      <c r="A240" t="s">
        <v>1751</v>
      </c>
      <c r="B240" t="s">
        <v>3365</v>
      </c>
      <c r="C240" t="s">
        <v>1751</v>
      </c>
      <c r="D240">
        <v>20560322</v>
      </c>
      <c r="E240" t="s">
        <v>1897</v>
      </c>
      <c r="F240" t="s">
        <v>1782</v>
      </c>
      <c r="G240" t="s">
        <v>3134</v>
      </c>
      <c r="H240" t="s">
        <v>1247</v>
      </c>
      <c r="I240" t="s">
        <v>3307</v>
      </c>
      <c r="J240" s="455">
        <v>46191</v>
      </c>
      <c r="K240" s="455">
        <v>46191</v>
      </c>
      <c r="U240" s="455">
        <v>46191</v>
      </c>
    </row>
    <row r="241" spans="1:21">
      <c r="A241" t="s">
        <v>1751</v>
      </c>
      <c r="B241" t="s">
        <v>3366</v>
      </c>
      <c r="C241" t="s">
        <v>1751</v>
      </c>
      <c r="D241">
        <v>20569191</v>
      </c>
      <c r="E241" t="s">
        <v>3128</v>
      </c>
      <c r="F241" t="s">
        <v>1238</v>
      </c>
      <c r="G241" t="s">
        <v>3143</v>
      </c>
      <c r="H241" t="s">
        <v>1252</v>
      </c>
      <c r="I241" t="s">
        <v>3168</v>
      </c>
      <c r="J241" s="455">
        <v>46203</v>
      </c>
      <c r="U241" s="455">
        <v>46359</v>
      </c>
    </row>
    <row r="242" spans="1:21">
      <c r="A242" t="s">
        <v>1751</v>
      </c>
      <c r="B242" t="s">
        <v>3367</v>
      </c>
      <c r="C242" t="s">
        <v>1751</v>
      </c>
      <c r="D242">
        <v>20518129</v>
      </c>
      <c r="E242" t="s">
        <v>3133</v>
      </c>
      <c r="F242" t="s">
        <v>1912</v>
      </c>
      <c r="G242" t="s">
        <v>3134</v>
      </c>
      <c r="H242" t="s">
        <v>1252</v>
      </c>
      <c r="I242" t="s">
        <v>1917</v>
      </c>
      <c r="J242" s="455">
        <v>46148</v>
      </c>
      <c r="K242" s="455">
        <v>46148</v>
      </c>
      <c r="R242" s="455">
        <v>46189</v>
      </c>
      <c r="U242" s="455">
        <v>46158</v>
      </c>
    </row>
    <row r="243" spans="1:21">
      <c r="A243" t="s">
        <v>1751</v>
      </c>
      <c r="B243" t="s">
        <v>3368</v>
      </c>
      <c r="C243" t="s">
        <v>1751</v>
      </c>
      <c r="D243">
        <v>20540602</v>
      </c>
      <c r="E243" t="s">
        <v>3128</v>
      </c>
      <c r="F243" t="s">
        <v>1782</v>
      </c>
      <c r="G243" t="s">
        <v>3134</v>
      </c>
      <c r="H243" t="s">
        <v>1252</v>
      </c>
      <c r="J243" s="455">
        <v>46174</v>
      </c>
      <c r="U243" s="455">
        <v>46277</v>
      </c>
    </row>
    <row r="244" spans="1:21">
      <c r="A244" t="s">
        <v>1751</v>
      </c>
      <c r="B244" t="s">
        <v>3369</v>
      </c>
      <c r="C244" t="s">
        <v>1751</v>
      </c>
      <c r="D244">
        <v>20556695</v>
      </c>
      <c r="E244" t="s">
        <v>3128</v>
      </c>
      <c r="F244" t="s">
        <v>1782</v>
      </c>
      <c r="G244" t="s">
        <v>3134</v>
      </c>
      <c r="H244" t="s">
        <v>3165</v>
      </c>
      <c r="J244" s="455">
        <v>46189</v>
      </c>
      <c r="U244" s="455">
        <v>46203</v>
      </c>
    </row>
    <row r="245" spans="1:21">
      <c r="A245" t="s">
        <v>1751</v>
      </c>
      <c r="B245" t="s">
        <v>3369</v>
      </c>
      <c r="C245" t="s">
        <v>1751</v>
      </c>
      <c r="D245">
        <v>20547617</v>
      </c>
      <c r="E245" t="s">
        <v>3128</v>
      </c>
      <c r="F245" t="s">
        <v>1241</v>
      </c>
      <c r="G245" t="s">
        <v>3134</v>
      </c>
      <c r="H245" t="s">
        <v>1252</v>
      </c>
      <c r="J245" s="455">
        <v>46180</v>
      </c>
      <c r="U245" s="455">
        <v>46199</v>
      </c>
    </row>
    <row r="246" spans="1:21">
      <c r="A246" t="s">
        <v>1751</v>
      </c>
      <c r="B246" t="s">
        <v>3369</v>
      </c>
      <c r="C246" t="s">
        <v>1751</v>
      </c>
      <c r="D246">
        <v>20547615</v>
      </c>
      <c r="E246" t="s">
        <v>3128</v>
      </c>
      <c r="F246" t="s">
        <v>1782</v>
      </c>
      <c r="G246" t="s">
        <v>3137</v>
      </c>
      <c r="H246" t="s">
        <v>1252</v>
      </c>
      <c r="J246" s="455">
        <v>46180</v>
      </c>
      <c r="U246" s="455">
        <v>46199</v>
      </c>
    </row>
    <row r="247" spans="1:21">
      <c r="A247" t="s">
        <v>1751</v>
      </c>
      <c r="B247" t="s">
        <v>3370</v>
      </c>
      <c r="C247" t="s">
        <v>1751</v>
      </c>
      <c r="D247">
        <v>20563093</v>
      </c>
      <c r="E247" t="s">
        <v>1907</v>
      </c>
      <c r="F247" t="s">
        <v>1243</v>
      </c>
      <c r="G247" t="s">
        <v>3134</v>
      </c>
      <c r="H247" t="s">
        <v>1252</v>
      </c>
      <c r="I247" t="s">
        <v>2682</v>
      </c>
      <c r="J247" s="455">
        <v>46196</v>
      </c>
      <c r="K247" s="455">
        <v>46196</v>
      </c>
      <c r="L247" s="455">
        <v>46199</v>
      </c>
      <c r="U247" s="455">
        <v>46223</v>
      </c>
    </row>
    <row r="248" spans="1:21">
      <c r="A248" t="s">
        <v>1751</v>
      </c>
      <c r="B248" t="s">
        <v>3371</v>
      </c>
      <c r="C248" t="s">
        <v>1751</v>
      </c>
      <c r="D248">
        <v>20488353</v>
      </c>
      <c r="E248" t="s">
        <v>3133</v>
      </c>
      <c r="F248" t="s">
        <v>1241</v>
      </c>
      <c r="G248" t="s">
        <v>3134</v>
      </c>
      <c r="H248" t="s">
        <v>1247</v>
      </c>
      <c r="J248" s="455">
        <v>46118</v>
      </c>
      <c r="K248" s="455">
        <v>46118</v>
      </c>
      <c r="R248" s="455">
        <v>46181</v>
      </c>
      <c r="U248" s="455">
        <v>46130</v>
      </c>
    </row>
    <row r="249" spans="1:21">
      <c r="A249" t="s">
        <v>1751</v>
      </c>
      <c r="B249" t="s">
        <v>2697</v>
      </c>
      <c r="C249" t="s">
        <v>1751</v>
      </c>
      <c r="D249">
        <v>20513500</v>
      </c>
      <c r="E249" t="s">
        <v>3133</v>
      </c>
      <c r="F249" t="s">
        <v>1912</v>
      </c>
      <c r="G249" t="s">
        <v>3134</v>
      </c>
      <c r="H249" t="s">
        <v>1247</v>
      </c>
      <c r="J249" s="455">
        <v>46142</v>
      </c>
      <c r="K249" s="455">
        <v>46142</v>
      </c>
      <c r="R249" s="455">
        <v>46189</v>
      </c>
      <c r="U249" s="455">
        <v>46142</v>
      </c>
    </row>
    <row r="250" spans="1:21">
      <c r="A250" t="s">
        <v>1751</v>
      </c>
      <c r="B250" t="s">
        <v>3372</v>
      </c>
      <c r="C250" t="s">
        <v>1751</v>
      </c>
      <c r="D250">
        <v>20543400</v>
      </c>
      <c r="E250" t="s">
        <v>3128</v>
      </c>
      <c r="F250" t="s">
        <v>1782</v>
      </c>
      <c r="G250" t="s">
        <v>3134</v>
      </c>
      <c r="H250" t="s">
        <v>3165</v>
      </c>
      <c r="J250" s="455">
        <v>46176</v>
      </c>
      <c r="U250" s="455">
        <v>46204</v>
      </c>
    </row>
    <row r="251" spans="1:21">
      <c r="A251" t="s">
        <v>1751</v>
      </c>
      <c r="B251" t="s">
        <v>3373</v>
      </c>
      <c r="C251" t="s">
        <v>1751</v>
      </c>
      <c r="D251">
        <v>20556166</v>
      </c>
      <c r="E251" t="s">
        <v>3128</v>
      </c>
      <c r="F251" t="s">
        <v>1782</v>
      </c>
      <c r="G251" t="s">
        <v>3141</v>
      </c>
      <c r="H251" t="s">
        <v>1252</v>
      </c>
      <c r="J251" s="455">
        <v>46188</v>
      </c>
      <c r="U251" s="455">
        <v>46248</v>
      </c>
    </row>
    <row r="252" spans="1:21">
      <c r="A252" t="s">
        <v>1751</v>
      </c>
      <c r="B252" t="s">
        <v>3374</v>
      </c>
      <c r="C252" t="s">
        <v>1751</v>
      </c>
      <c r="D252">
        <v>20569840</v>
      </c>
      <c r="E252" t="s">
        <v>3128</v>
      </c>
      <c r="F252" t="s">
        <v>1241</v>
      </c>
      <c r="G252" t="s">
        <v>3134</v>
      </c>
      <c r="H252" t="s">
        <v>1252</v>
      </c>
      <c r="J252" s="455">
        <v>46203</v>
      </c>
      <c r="U252" s="455">
        <v>46264</v>
      </c>
    </row>
    <row r="253" spans="1:21">
      <c r="A253" t="s">
        <v>1751</v>
      </c>
      <c r="B253" t="s">
        <v>3375</v>
      </c>
      <c r="C253" t="s">
        <v>1751</v>
      </c>
      <c r="D253">
        <v>20534177</v>
      </c>
      <c r="E253" t="s">
        <v>3133</v>
      </c>
      <c r="F253" t="s">
        <v>1241</v>
      </c>
      <c r="G253" t="s">
        <v>3134</v>
      </c>
      <c r="H253" t="s">
        <v>3165</v>
      </c>
      <c r="J253" s="455">
        <v>46165</v>
      </c>
      <c r="K253" s="455">
        <v>46165</v>
      </c>
      <c r="R253" s="455">
        <v>46190</v>
      </c>
      <c r="U253" s="455">
        <v>46235</v>
      </c>
    </row>
    <row r="254" spans="1:21">
      <c r="A254" t="s">
        <v>1751</v>
      </c>
      <c r="B254" t="s">
        <v>3376</v>
      </c>
      <c r="C254" t="s">
        <v>1751</v>
      </c>
      <c r="D254">
        <v>20558661</v>
      </c>
      <c r="E254" t="s">
        <v>3128</v>
      </c>
      <c r="F254" t="s">
        <v>1241</v>
      </c>
      <c r="G254" t="s">
        <v>3129</v>
      </c>
      <c r="H254" t="s">
        <v>3377</v>
      </c>
      <c r="J254" s="455">
        <v>46190</v>
      </c>
      <c r="U254" s="455">
        <v>46190</v>
      </c>
    </row>
    <row r="255" spans="1:21">
      <c r="A255" t="s">
        <v>1751</v>
      </c>
      <c r="B255" t="s">
        <v>3378</v>
      </c>
      <c r="C255" t="s">
        <v>1751</v>
      </c>
      <c r="D255">
        <v>20558822</v>
      </c>
      <c r="E255" t="s">
        <v>3133</v>
      </c>
      <c r="F255" t="s">
        <v>1241</v>
      </c>
      <c r="G255" t="s">
        <v>3134</v>
      </c>
      <c r="H255" t="s">
        <v>1247</v>
      </c>
      <c r="I255" t="s">
        <v>2449</v>
      </c>
      <c r="J255" s="455">
        <v>46190</v>
      </c>
      <c r="K255" s="455">
        <v>46190</v>
      </c>
      <c r="R255" s="455">
        <v>46197</v>
      </c>
      <c r="U255" s="455">
        <v>46190</v>
      </c>
    </row>
    <row r="256" spans="1:21">
      <c r="A256" t="s">
        <v>1751</v>
      </c>
      <c r="B256" t="s">
        <v>3378</v>
      </c>
      <c r="C256" t="s">
        <v>1751</v>
      </c>
      <c r="D256">
        <v>20533181</v>
      </c>
      <c r="E256" t="s">
        <v>3133</v>
      </c>
      <c r="F256" t="s">
        <v>1782</v>
      </c>
      <c r="G256" t="s">
        <v>3141</v>
      </c>
      <c r="H256" t="s">
        <v>1252</v>
      </c>
      <c r="I256" t="s">
        <v>2134</v>
      </c>
      <c r="J256" s="455">
        <v>46163</v>
      </c>
      <c r="K256" s="455">
        <v>46165</v>
      </c>
      <c r="L256" s="455">
        <v>46169</v>
      </c>
      <c r="R256" s="455">
        <v>46197</v>
      </c>
      <c r="U256" s="455">
        <v>46203</v>
      </c>
    </row>
    <row r="257" spans="1:21">
      <c r="A257" t="s">
        <v>1751</v>
      </c>
      <c r="B257" t="s">
        <v>3379</v>
      </c>
      <c r="C257" t="s">
        <v>1751</v>
      </c>
      <c r="D257">
        <v>20533503</v>
      </c>
      <c r="E257" t="s">
        <v>3133</v>
      </c>
      <c r="F257" t="s">
        <v>1242</v>
      </c>
      <c r="G257" t="s">
        <v>3137</v>
      </c>
      <c r="H257" t="s">
        <v>1252</v>
      </c>
      <c r="I257" t="s">
        <v>3307</v>
      </c>
      <c r="J257" s="455">
        <v>46164</v>
      </c>
      <c r="K257" s="455">
        <v>46167</v>
      </c>
      <c r="L257" s="455">
        <v>46167</v>
      </c>
      <c r="R257" s="455">
        <v>46175</v>
      </c>
      <c r="U257" s="455">
        <v>46179</v>
      </c>
    </row>
    <row r="258" spans="1:21">
      <c r="A258" t="s">
        <v>1751</v>
      </c>
      <c r="B258" t="s">
        <v>3380</v>
      </c>
      <c r="C258" t="s">
        <v>1751</v>
      </c>
      <c r="D258">
        <v>20560694</v>
      </c>
      <c r="E258" t="s">
        <v>3128</v>
      </c>
      <c r="F258" t="s">
        <v>1241</v>
      </c>
      <c r="G258" t="s">
        <v>3129</v>
      </c>
      <c r="H258" t="s">
        <v>1252</v>
      </c>
      <c r="J258" s="455">
        <v>46192</v>
      </c>
      <c r="U258" s="455">
        <v>46192</v>
      </c>
    </row>
    <row r="259" spans="1:21">
      <c r="A259" t="s">
        <v>1751</v>
      </c>
      <c r="B259" t="s">
        <v>3381</v>
      </c>
      <c r="C259" t="s">
        <v>1751</v>
      </c>
      <c r="D259">
        <v>20544559</v>
      </c>
      <c r="E259" t="s">
        <v>3128</v>
      </c>
      <c r="F259" t="s">
        <v>1241</v>
      </c>
      <c r="G259" t="s">
        <v>3134</v>
      </c>
      <c r="H259" t="s">
        <v>3165</v>
      </c>
      <c r="J259" s="455">
        <v>46177</v>
      </c>
      <c r="U259" s="455">
        <v>46193</v>
      </c>
    </row>
    <row r="260" spans="1:21">
      <c r="A260" t="s">
        <v>1751</v>
      </c>
      <c r="B260" t="s">
        <v>3382</v>
      </c>
      <c r="C260" t="s">
        <v>1751</v>
      </c>
      <c r="D260">
        <v>20551466</v>
      </c>
      <c r="E260" t="s">
        <v>3128</v>
      </c>
      <c r="F260" t="s">
        <v>1241</v>
      </c>
      <c r="G260" t="s">
        <v>3134</v>
      </c>
      <c r="H260" t="s">
        <v>1252</v>
      </c>
      <c r="J260" s="455">
        <v>46183</v>
      </c>
      <c r="U260" s="455">
        <v>46187</v>
      </c>
    </row>
    <row r="261" spans="1:21">
      <c r="A261" t="s">
        <v>1751</v>
      </c>
      <c r="B261" t="s">
        <v>3383</v>
      </c>
      <c r="C261" t="s">
        <v>1751</v>
      </c>
      <c r="D261">
        <v>20551063</v>
      </c>
      <c r="E261" t="s">
        <v>3128</v>
      </c>
      <c r="F261" t="s">
        <v>1237</v>
      </c>
      <c r="G261" t="s">
        <v>3143</v>
      </c>
      <c r="H261" t="s">
        <v>1248</v>
      </c>
      <c r="I261" t="s">
        <v>1808</v>
      </c>
      <c r="J261" s="455">
        <v>46183</v>
      </c>
      <c r="U261" s="455">
        <v>46191</v>
      </c>
    </row>
    <row r="262" spans="1:21">
      <c r="A262" t="s">
        <v>1751</v>
      </c>
      <c r="B262" t="s">
        <v>3384</v>
      </c>
      <c r="C262" t="s">
        <v>1751</v>
      </c>
      <c r="D262">
        <v>20553156</v>
      </c>
      <c r="E262" t="s">
        <v>3128</v>
      </c>
      <c r="F262" t="s">
        <v>1238</v>
      </c>
      <c r="G262" t="s">
        <v>3143</v>
      </c>
      <c r="H262" t="s">
        <v>1251</v>
      </c>
      <c r="I262" t="s">
        <v>3385</v>
      </c>
      <c r="J262" s="455">
        <v>46185</v>
      </c>
      <c r="U262" s="455">
        <v>46199</v>
      </c>
    </row>
    <row r="263" spans="1:21">
      <c r="A263" t="s">
        <v>1751</v>
      </c>
      <c r="B263" t="s">
        <v>3386</v>
      </c>
      <c r="C263" t="s">
        <v>1751</v>
      </c>
      <c r="D263">
        <v>20554399</v>
      </c>
      <c r="E263" t="s">
        <v>1897</v>
      </c>
      <c r="F263" t="s">
        <v>1242</v>
      </c>
      <c r="G263" t="s">
        <v>3143</v>
      </c>
      <c r="H263" t="s">
        <v>1248</v>
      </c>
      <c r="I263" t="s">
        <v>2520</v>
      </c>
      <c r="J263" s="455">
        <v>46186</v>
      </c>
      <c r="K263" s="455">
        <v>46190</v>
      </c>
      <c r="U263" s="455">
        <v>46242</v>
      </c>
    </row>
    <row r="264" spans="1:21">
      <c r="A264" t="s">
        <v>1751</v>
      </c>
      <c r="B264" t="s">
        <v>3387</v>
      </c>
      <c r="C264" t="s">
        <v>1751</v>
      </c>
      <c r="D264">
        <v>20557519</v>
      </c>
      <c r="E264" t="s">
        <v>3128</v>
      </c>
      <c r="F264" t="s">
        <v>1237</v>
      </c>
      <c r="G264" t="s">
        <v>3143</v>
      </c>
      <c r="H264" t="s">
        <v>1252</v>
      </c>
      <c r="J264" s="455">
        <v>46189</v>
      </c>
      <c r="U264" s="455">
        <v>46189</v>
      </c>
    </row>
    <row r="265" spans="1:21">
      <c r="A265" t="s">
        <v>1751</v>
      </c>
      <c r="B265" t="s">
        <v>3388</v>
      </c>
      <c r="C265" t="s">
        <v>1751</v>
      </c>
      <c r="D265">
        <v>20535500</v>
      </c>
      <c r="E265" t="s">
        <v>3133</v>
      </c>
      <c r="F265" t="s">
        <v>1241</v>
      </c>
      <c r="G265" t="s">
        <v>3134</v>
      </c>
      <c r="H265" t="s">
        <v>1247</v>
      </c>
      <c r="I265" t="s">
        <v>3389</v>
      </c>
      <c r="J265" s="455">
        <v>46167</v>
      </c>
      <c r="K265" s="455">
        <v>46167</v>
      </c>
      <c r="R265" s="455">
        <v>46190</v>
      </c>
      <c r="U265" s="455">
        <v>46185</v>
      </c>
    </row>
    <row r="266" spans="1:21">
      <c r="A266" t="s">
        <v>1751</v>
      </c>
      <c r="B266" t="s">
        <v>3390</v>
      </c>
      <c r="C266" t="s">
        <v>1751</v>
      </c>
      <c r="D266">
        <v>20538434</v>
      </c>
      <c r="E266" t="s">
        <v>3133</v>
      </c>
      <c r="F266" t="s">
        <v>1782</v>
      </c>
      <c r="G266" t="s">
        <v>3134</v>
      </c>
      <c r="H266" t="s">
        <v>1248</v>
      </c>
      <c r="I266" t="s">
        <v>3391</v>
      </c>
      <c r="J266" s="455">
        <v>46171</v>
      </c>
      <c r="K266" s="455">
        <v>46171</v>
      </c>
      <c r="R266" s="455">
        <v>46190</v>
      </c>
      <c r="U266" s="455">
        <v>46174</v>
      </c>
    </row>
    <row r="267" spans="1:21">
      <c r="A267" t="s">
        <v>1751</v>
      </c>
      <c r="B267" t="s">
        <v>3392</v>
      </c>
      <c r="C267" t="s">
        <v>1751</v>
      </c>
      <c r="D267">
        <v>20485489</v>
      </c>
      <c r="E267" t="s">
        <v>3133</v>
      </c>
      <c r="F267" t="s">
        <v>1242</v>
      </c>
      <c r="G267" t="s">
        <v>3134</v>
      </c>
      <c r="H267" t="s">
        <v>1247</v>
      </c>
      <c r="I267" t="s">
        <v>1808</v>
      </c>
      <c r="J267" s="455">
        <v>46113</v>
      </c>
      <c r="K267" s="455">
        <v>46113</v>
      </c>
      <c r="R267" s="455">
        <v>46177</v>
      </c>
      <c r="U267" s="455">
        <v>46127</v>
      </c>
    </row>
    <row r="268" spans="1:21">
      <c r="A268" t="s">
        <v>1751</v>
      </c>
      <c r="B268" t="s">
        <v>3393</v>
      </c>
      <c r="C268" t="s">
        <v>1751</v>
      </c>
      <c r="D268">
        <v>20569499</v>
      </c>
      <c r="E268" t="s">
        <v>3128</v>
      </c>
      <c r="F268" t="s">
        <v>1241</v>
      </c>
      <c r="G268" t="s">
        <v>2009</v>
      </c>
      <c r="H268" t="s">
        <v>1252</v>
      </c>
      <c r="J268" s="455">
        <v>46203</v>
      </c>
      <c r="U268" s="455">
        <v>46204</v>
      </c>
    </row>
    <row r="269" spans="1:21">
      <c r="A269" t="s">
        <v>1751</v>
      </c>
      <c r="B269" t="s">
        <v>3394</v>
      </c>
      <c r="C269" t="s">
        <v>1751</v>
      </c>
      <c r="D269">
        <v>20551113</v>
      </c>
      <c r="E269" t="s">
        <v>3128</v>
      </c>
      <c r="F269" t="s">
        <v>1241</v>
      </c>
      <c r="G269" t="s">
        <v>3134</v>
      </c>
      <c r="H269" t="s">
        <v>1252</v>
      </c>
      <c r="J269" s="455">
        <v>46183</v>
      </c>
      <c r="U269" s="455">
        <v>46201</v>
      </c>
    </row>
    <row r="270" spans="1:21">
      <c r="A270" t="s">
        <v>1751</v>
      </c>
      <c r="B270" t="s">
        <v>3395</v>
      </c>
      <c r="C270" t="s">
        <v>1751</v>
      </c>
      <c r="D270">
        <v>20523650</v>
      </c>
      <c r="E270" t="s">
        <v>3133</v>
      </c>
      <c r="F270" t="s">
        <v>1243</v>
      </c>
      <c r="G270" t="s">
        <v>3134</v>
      </c>
      <c r="H270" t="s">
        <v>1247</v>
      </c>
      <c r="I270" t="s">
        <v>1895</v>
      </c>
      <c r="J270" s="455">
        <v>46154</v>
      </c>
      <c r="K270" s="455">
        <v>46154</v>
      </c>
      <c r="L270" s="455">
        <v>46171</v>
      </c>
      <c r="R270" s="455">
        <v>46182</v>
      </c>
      <c r="U270" s="455">
        <v>46183</v>
      </c>
    </row>
    <row r="271" spans="1:21">
      <c r="A271" t="s">
        <v>1751</v>
      </c>
      <c r="B271" t="s">
        <v>3396</v>
      </c>
      <c r="C271" t="s">
        <v>1751</v>
      </c>
      <c r="D271">
        <v>20567605</v>
      </c>
      <c r="E271" t="s">
        <v>1897</v>
      </c>
      <c r="F271" t="s">
        <v>1241</v>
      </c>
      <c r="G271" t="s">
        <v>3134</v>
      </c>
      <c r="H271" t="s">
        <v>1247</v>
      </c>
      <c r="I271" t="s">
        <v>3397</v>
      </c>
      <c r="J271" s="455">
        <v>46201</v>
      </c>
      <c r="K271" s="455">
        <v>46201</v>
      </c>
      <c r="U271" s="455">
        <v>46248</v>
      </c>
    </row>
    <row r="272" spans="1:21">
      <c r="A272" t="s">
        <v>1751</v>
      </c>
      <c r="B272" t="s">
        <v>3398</v>
      </c>
      <c r="C272" t="s">
        <v>1751</v>
      </c>
      <c r="D272">
        <v>20564881</v>
      </c>
      <c r="E272" t="s">
        <v>3128</v>
      </c>
      <c r="F272" t="s">
        <v>1241</v>
      </c>
      <c r="G272" t="s">
        <v>3137</v>
      </c>
      <c r="H272" t="s">
        <v>1252</v>
      </c>
      <c r="J272" s="455">
        <v>46198</v>
      </c>
      <c r="U272" s="455">
        <v>46204</v>
      </c>
    </row>
    <row r="273" spans="1:21">
      <c r="A273" t="s">
        <v>1751</v>
      </c>
      <c r="B273" t="s">
        <v>3399</v>
      </c>
      <c r="C273" t="s">
        <v>1751</v>
      </c>
      <c r="D273">
        <v>20567168</v>
      </c>
      <c r="E273" t="s">
        <v>3128</v>
      </c>
      <c r="F273" t="s">
        <v>1782</v>
      </c>
      <c r="G273" t="s">
        <v>3137</v>
      </c>
      <c r="H273" t="s">
        <v>1252</v>
      </c>
      <c r="J273" s="455">
        <v>46200</v>
      </c>
      <c r="U273" s="455">
        <v>46207</v>
      </c>
    </row>
    <row r="274" spans="1:21">
      <c r="A274" t="s">
        <v>1751</v>
      </c>
      <c r="B274" t="s">
        <v>3400</v>
      </c>
      <c r="C274" t="s">
        <v>1751</v>
      </c>
      <c r="D274">
        <v>20560814</v>
      </c>
      <c r="E274" t="s">
        <v>3128</v>
      </c>
      <c r="F274" t="s">
        <v>1241</v>
      </c>
      <c r="G274" t="s">
        <v>3129</v>
      </c>
      <c r="H274" t="s">
        <v>1252</v>
      </c>
      <c r="J274" s="455">
        <v>46192</v>
      </c>
      <c r="U274" s="455">
        <v>46203</v>
      </c>
    </row>
    <row r="275" spans="1:21">
      <c r="A275" t="s">
        <v>1751</v>
      </c>
      <c r="B275" t="s">
        <v>3401</v>
      </c>
      <c r="C275" t="s">
        <v>1751</v>
      </c>
      <c r="D275">
        <v>20488020</v>
      </c>
      <c r="E275" t="s">
        <v>3133</v>
      </c>
      <c r="F275" t="s">
        <v>1241</v>
      </c>
      <c r="G275" t="s">
        <v>3134</v>
      </c>
      <c r="H275" t="s">
        <v>1247</v>
      </c>
      <c r="I275" t="s">
        <v>1559</v>
      </c>
      <c r="J275" s="455">
        <v>46118</v>
      </c>
      <c r="K275" s="455">
        <v>46118</v>
      </c>
      <c r="L275" s="455">
        <v>46118</v>
      </c>
      <c r="R275" s="455">
        <v>46175</v>
      </c>
      <c r="U275" s="455">
        <v>46118</v>
      </c>
    </row>
    <row r="276" spans="1:21">
      <c r="A276" t="s">
        <v>1751</v>
      </c>
      <c r="B276" t="s">
        <v>3402</v>
      </c>
      <c r="C276" t="s">
        <v>1751</v>
      </c>
      <c r="D276">
        <v>20547309</v>
      </c>
      <c r="E276" t="s">
        <v>3128</v>
      </c>
      <c r="F276" t="s">
        <v>1782</v>
      </c>
      <c r="G276" t="s">
        <v>3141</v>
      </c>
      <c r="H276" t="s">
        <v>1252</v>
      </c>
      <c r="J276" s="455">
        <v>46179</v>
      </c>
      <c r="U276" s="455">
        <v>46193</v>
      </c>
    </row>
    <row r="277" spans="1:21">
      <c r="A277" t="s">
        <v>1751</v>
      </c>
      <c r="B277" t="s">
        <v>3403</v>
      </c>
      <c r="C277" t="s">
        <v>1751</v>
      </c>
      <c r="D277">
        <v>20493012</v>
      </c>
      <c r="E277" t="s">
        <v>3133</v>
      </c>
      <c r="F277" t="s">
        <v>1912</v>
      </c>
      <c r="G277" t="s">
        <v>3134</v>
      </c>
      <c r="H277" t="s">
        <v>1250</v>
      </c>
      <c r="J277" s="455">
        <v>46124</v>
      </c>
      <c r="K277" s="455">
        <v>46124</v>
      </c>
      <c r="R277" s="455">
        <v>46181</v>
      </c>
      <c r="U277" s="455">
        <v>46135</v>
      </c>
    </row>
    <row r="278" spans="1:21">
      <c r="A278" t="s">
        <v>1751</v>
      </c>
      <c r="B278" t="s">
        <v>3404</v>
      </c>
      <c r="C278" t="s">
        <v>1751</v>
      </c>
      <c r="D278">
        <v>20554821</v>
      </c>
      <c r="E278" t="s">
        <v>3128</v>
      </c>
      <c r="F278" t="s">
        <v>1241</v>
      </c>
      <c r="G278" t="s">
        <v>3134</v>
      </c>
      <c r="H278" t="s">
        <v>3165</v>
      </c>
      <c r="J278" s="455">
        <v>46187</v>
      </c>
      <c r="U278" s="455">
        <v>46188</v>
      </c>
    </row>
    <row r="279" spans="1:21">
      <c r="A279" t="s">
        <v>1751</v>
      </c>
      <c r="B279" t="s">
        <v>3405</v>
      </c>
      <c r="C279" t="s">
        <v>1751</v>
      </c>
      <c r="D279">
        <v>20557673</v>
      </c>
      <c r="E279" t="s">
        <v>3128</v>
      </c>
      <c r="F279" t="s">
        <v>1782</v>
      </c>
      <c r="G279" t="s">
        <v>3141</v>
      </c>
      <c r="H279" t="s">
        <v>1252</v>
      </c>
      <c r="J279" s="455">
        <v>46189</v>
      </c>
      <c r="U279" s="455">
        <v>46204</v>
      </c>
    </row>
    <row r="280" spans="1:21">
      <c r="A280" t="s">
        <v>1751</v>
      </c>
      <c r="B280" t="s">
        <v>3406</v>
      </c>
      <c r="C280" t="s">
        <v>1751</v>
      </c>
      <c r="D280">
        <v>20518472</v>
      </c>
      <c r="E280" t="s">
        <v>3133</v>
      </c>
      <c r="F280" t="s">
        <v>1912</v>
      </c>
      <c r="G280" t="s">
        <v>3134</v>
      </c>
      <c r="H280" t="s">
        <v>1247</v>
      </c>
      <c r="I280" t="s">
        <v>1808</v>
      </c>
      <c r="J280" s="455">
        <v>46148</v>
      </c>
      <c r="K280" s="455">
        <v>46148</v>
      </c>
      <c r="R280" s="455">
        <v>46189</v>
      </c>
      <c r="U280" s="455">
        <v>46148</v>
      </c>
    </row>
    <row r="281" spans="1:21">
      <c r="A281" t="s">
        <v>1751</v>
      </c>
      <c r="B281" t="s">
        <v>3406</v>
      </c>
      <c r="C281" t="s">
        <v>1751</v>
      </c>
      <c r="D281">
        <v>20518447</v>
      </c>
      <c r="E281" t="s">
        <v>3133</v>
      </c>
      <c r="F281" t="s">
        <v>1241</v>
      </c>
      <c r="G281" t="s">
        <v>3134</v>
      </c>
      <c r="H281" t="s">
        <v>1252</v>
      </c>
      <c r="J281" s="455">
        <v>46148</v>
      </c>
      <c r="K281" s="455">
        <v>46148</v>
      </c>
      <c r="R281" s="455">
        <v>46189</v>
      </c>
      <c r="U281" s="455">
        <v>46204</v>
      </c>
    </row>
    <row r="282" spans="1:21">
      <c r="A282" t="s">
        <v>1751</v>
      </c>
      <c r="B282" t="s">
        <v>3407</v>
      </c>
      <c r="C282" t="s">
        <v>1751</v>
      </c>
      <c r="D282">
        <v>20563649</v>
      </c>
      <c r="E282" t="s">
        <v>3128</v>
      </c>
      <c r="F282" t="s">
        <v>1241</v>
      </c>
      <c r="G282" t="s">
        <v>3141</v>
      </c>
      <c r="H282" t="s">
        <v>1252</v>
      </c>
      <c r="J282" s="455">
        <v>46196</v>
      </c>
      <c r="U282" s="455">
        <v>46206</v>
      </c>
    </row>
    <row r="283" spans="1:21">
      <c r="A283" t="s">
        <v>1751</v>
      </c>
      <c r="B283" t="s">
        <v>3408</v>
      </c>
      <c r="C283" t="s">
        <v>1751</v>
      </c>
      <c r="D283">
        <v>20562277</v>
      </c>
      <c r="E283" t="s">
        <v>3128</v>
      </c>
      <c r="F283" t="s">
        <v>1243</v>
      </c>
      <c r="G283" t="s">
        <v>3129</v>
      </c>
      <c r="H283" t="s">
        <v>3131</v>
      </c>
      <c r="I283" t="s">
        <v>3168</v>
      </c>
      <c r="J283" s="455">
        <v>46195</v>
      </c>
      <c r="U283" s="455">
        <v>46195</v>
      </c>
    </row>
    <row r="284" spans="1:21">
      <c r="A284" t="s">
        <v>1751</v>
      </c>
      <c r="B284" t="s">
        <v>3409</v>
      </c>
      <c r="C284" t="s">
        <v>1751</v>
      </c>
      <c r="D284">
        <v>20565103</v>
      </c>
      <c r="E284" t="s">
        <v>3128</v>
      </c>
      <c r="F284" t="s">
        <v>1782</v>
      </c>
      <c r="G284" t="s">
        <v>3129</v>
      </c>
      <c r="H284" t="s">
        <v>3131</v>
      </c>
      <c r="J284" s="455">
        <v>46198</v>
      </c>
      <c r="U284" s="455">
        <v>46198</v>
      </c>
    </row>
    <row r="285" spans="1:21">
      <c r="A285" t="s">
        <v>1751</v>
      </c>
      <c r="B285" t="s">
        <v>3410</v>
      </c>
      <c r="C285" t="s">
        <v>1751</v>
      </c>
      <c r="D285">
        <v>20529554</v>
      </c>
      <c r="E285" t="s">
        <v>3133</v>
      </c>
      <c r="F285" t="s">
        <v>1241</v>
      </c>
      <c r="G285" t="s">
        <v>3134</v>
      </c>
      <c r="H285" t="s">
        <v>1247</v>
      </c>
      <c r="J285" s="455">
        <v>46160</v>
      </c>
      <c r="K285" s="455">
        <v>46160</v>
      </c>
      <c r="R285" s="455">
        <v>46190</v>
      </c>
      <c r="U285" s="455">
        <v>46213</v>
      </c>
    </row>
    <row r="286" spans="1:21">
      <c r="A286" t="s">
        <v>1751</v>
      </c>
      <c r="B286" t="s">
        <v>3411</v>
      </c>
      <c r="C286" t="s">
        <v>1751</v>
      </c>
      <c r="D286">
        <v>20545110</v>
      </c>
      <c r="E286" t="s">
        <v>3128</v>
      </c>
      <c r="F286" t="s">
        <v>1241</v>
      </c>
      <c r="G286" t="s">
        <v>3137</v>
      </c>
      <c r="H286" t="s">
        <v>1252</v>
      </c>
      <c r="J286" s="455">
        <v>46177</v>
      </c>
      <c r="U286" s="455">
        <v>46206</v>
      </c>
    </row>
    <row r="287" spans="1:21">
      <c r="A287" t="s">
        <v>1751</v>
      </c>
      <c r="B287" t="s">
        <v>3412</v>
      </c>
      <c r="C287" t="s">
        <v>1751</v>
      </c>
      <c r="D287">
        <v>20533703</v>
      </c>
      <c r="E287" t="s">
        <v>3142</v>
      </c>
      <c r="F287" t="s">
        <v>1243</v>
      </c>
      <c r="G287" t="s">
        <v>3137</v>
      </c>
      <c r="H287" t="s">
        <v>1252</v>
      </c>
      <c r="I287" t="s">
        <v>2433</v>
      </c>
      <c r="J287" s="455">
        <v>46164</v>
      </c>
      <c r="K287" s="455">
        <v>46165</v>
      </c>
      <c r="L287" s="455">
        <v>46165</v>
      </c>
      <c r="M287" s="455">
        <v>46182</v>
      </c>
      <c r="N287" s="455">
        <v>46183</v>
      </c>
      <c r="P287" s="455">
        <v>46184</v>
      </c>
      <c r="Q287" s="455">
        <v>46185</v>
      </c>
      <c r="U287" s="455">
        <v>46184</v>
      </c>
    </row>
    <row r="288" spans="1:21">
      <c r="A288" t="s">
        <v>1751</v>
      </c>
      <c r="B288" t="s">
        <v>3412</v>
      </c>
      <c r="C288" t="s">
        <v>1751</v>
      </c>
      <c r="D288">
        <v>20549025</v>
      </c>
      <c r="E288" t="s">
        <v>3133</v>
      </c>
      <c r="F288" t="s">
        <v>1241</v>
      </c>
      <c r="G288" t="s">
        <v>3137</v>
      </c>
      <c r="H288" t="s">
        <v>1252</v>
      </c>
      <c r="J288" s="455">
        <v>46182</v>
      </c>
      <c r="K288" s="455">
        <v>46184</v>
      </c>
      <c r="R288" s="455">
        <v>46184</v>
      </c>
      <c r="U288" s="455">
        <v>46176</v>
      </c>
    </row>
    <row r="289" spans="1:21">
      <c r="A289" t="s">
        <v>1751</v>
      </c>
      <c r="B289" t="s">
        <v>3413</v>
      </c>
      <c r="C289" t="s">
        <v>1751</v>
      </c>
      <c r="D289">
        <v>20554291</v>
      </c>
      <c r="E289" t="s">
        <v>3128</v>
      </c>
      <c r="F289" t="s">
        <v>1782</v>
      </c>
      <c r="G289" t="s">
        <v>3134</v>
      </c>
      <c r="H289" t="s">
        <v>1252</v>
      </c>
      <c r="J289" s="455">
        <v>46186</v>
      </c>
      <c r="U289" s="455">
        <v>46200</v>
      </c>
    </row>
    <row r="290" spans="1:21">
      <c r="A290" t="s">
        <v>1751</v>
      </c>
      <c r="B290" t="s">
        <v>3414</v>
      </c>
      <c r="C290" t="s">
        <v>1751</v>
      </c>
      <c r="D290">
        <v>20476008</v>
      </c>
      <c r="E290" t="s">
        <v>3133</v>
      </c>
      <c r="F290" t="s">
        <v>1241</v>
      </c>
      <c r="G290" t="s">
        <v>3134</v>
      </c>
      <c r="H290" t="s">
        <v>1247</v>
      </c>
      <c r="I290" t="s">
        <v>1570</v>
      </c>
      <c r="J290" s="455">
        <v>46100</v>
      </c>
      <c r="K290" s="455">
        <v>46100</v>
      </c>
      <c r="R290" s="455">
        <v>46177</v>
      </c>
      <c r="U290" s="455">
        <v>46143</v>
      </c>
    </row>
    <row r="291" spans="1:21">
      <c r="A291" t="s">
        <v>1751</v>
      </c>
      <c r="B291" t="s">
        <v>3415</v>
      </c>
      <c r="C291" t="s">
        <v>1751</v>
      </c>
      <c r="D291">
        <v>20563959</v>
      </c>
      <c r="E291" t="s">
        <v>3128</v>
      </c>
      <c r="F291" t="s">
        <v>1241</v>
      </c>
      <c r="G291" t="s">
        <v>3141</v>
      </c>
      <c r="H291" t="s">
        <v>1252</v>
      </c>
      <c r="J291" s="455">
        <v>46197</v>
      </c>
      <c r="U291" s="455">
        <v>46203</v>
      </c>
    </row>
    <row r="292" spans="1:21">
      <c r="A292" t="s">
        <v>1751</v>
      </c>
      <c r="B292" t="s">
        <v>3416</v>
      </c>
      <c r="C292" t="s">
        <v>1751</v>
      </c>
      <c r="D292">
        <v>20534296</v>
      </c>
      <c r="E292" t="s">
        <v>3133</v>
      </c>
      <c r="F292" t="s">
        <v>1241</v>
      </c>
      <c r="G292" t="s">
        <v>3134</v>
      </c>
      <c r="H292" t="s">
        <v>1247</v>
      </c>
      <c r="I292" t="s">
        <v>1913</v>
      </c>
      <c r="J292" s="455">
        <v>46165</v>
      </c>
      <c r="K292" s="455">
        <v>46165</v>
      </c>
      <c r="R292" s="455">
        <v>46190</v>
      </c>
      <c r="U292" s="455">
        <v>46165</v>
      </c>
    </row>
    <row r="293" spans="1:21">
      <c r="A293" t="s">
        <v>1751</v>
      </c>
      <c r="B293" t="s">
        <v>3416</v>
      </c>
      <c r="C293" t="s">
        <v>1751</v>
      </c>
      <c r="D293">
        <v>20534171</v>
      </c>
      <c r="E293" t="s">
        <v>3133</v>
      </c>
      <c r="F293" t="s">
        <v>1241</v>
      </c>
      <c r="G293" t="s">
        <v>3134</v>
      </c>
      <c r="H293" t="s">
        <v>1247</v>
      </c>
      <c r="I293" t="s">
        <v>1913</v>
      </c>
      <c r="J293" s="455">
        <v>46165</v>
      </c>
      <c r="K293" s="455">
        <v>46165</v>
      </c>
      <c r="R293" s="455">
        <v>46190</v>
      </c>
      <c r="U293" s="455">
        <v>46165</v>
      </c>
    </row>
    <row r="294" spans="1:21">
      <c r="A294" t="s">
        <v>1751</v>
      </c>
      <c r="B294" t="s">
        <v>3417</v>
      </c>
      <c r="C294" t="s">
        <v>1751</v>
      </c>
      <c r="D294">
        <v>20568999</v>
      </c>
      <c r="E294" t="s">
        <v>3128</v>
      </c>
      <c r="F294" t="s">
        <v>1782</v>
      </c>
      <c r="G294" t="s">
        <v>3137</v>
      </c>
      <c r="H294" t="s">
        <v>1252</v>
      </c>
      <c r="J294" s="455">
        <v>46203</v>
      </c>
      <c r="U294" s="455">
        <v>46227</v>
      </c>
    </row>
    <row r="295" spans="1:21">
      <c r="A295" t="s">
        <v>1751</v>
      </c>
      <c r="B295" t="s">
        <v>3418</v>
      </c>
      <c r="C295" t="s">
        <v>1751</v>
      </c>
      <c r="D295">
        <v>20560464</v>
      </c>
      <c r="E295" t="s">
        <v>3128</v>
      </c>
      <c r="F295" t="s">
        <v>1782</v>
      </c>
      <c r="G295" t="s">
        <v>3137</v>
      </c>
      <c r="H295" t="s">
        <v>1252</v>
      </c>
      <c r="J295" s="455">
        <v>46192</v>
      </c>
      <c r="U295" s="455">
        <v>46310</v>
      </c>
    </row>
    <row r="296" spans="1:21">
      <c r="A296" t="s">
        <v>1751</v>
      </c>
      <c r="B296" t="s">
        <v>3419</v>
      </c>
      <c r="C296" t="s">
        <v>1751</v>
      </c>
      <c r="D296">
        <v>20537698</v>
      </c>
      <c r="E296" t="s">
        <v>3133</v>
      </c>
      <c r="F296" t="s">
        <v>1241</v>
      </c>
      <c r="G296" t="s">
        <v>3129</v>
      </c>
      <c r="H296" t="s">
        <v>3131</v>
      </c>
      <c r="J296" s="455">
        <v>46170</v>
      </c>
      <c r="K296" s="455">
        <v>46170</v>
      </c>
      <c r="R296" s="455">
        <v>46190</v>
      </c>
      <c r="U296" s="455">
        <v>46170</v>
      </c>
    </row>
    <row r="297" spans="1:21">
      <c r="A297" t="s">
        <v>1751</v>
      </c>
      <c r="B297" t="s">
        <v>3419</v>
      </c>
      <c r="C297" t="s">
        <v>1751</v>
      </c>
      <c r="D297">
        <v>20537677</v>
      </c>
      <c r="E297" t="s">
        <v>3133</v>
      </c>
      <c r="F297" t="s">
        <v>1782</v>
      </c>
      <c r="G297" t="s">
        <v>3134</v>
      </c>
      <c r="H297" t="s">
        <v>1247</v>
      </c>
      <c r="J297" s="455">
        <v>46170</v>
      </c>
      <c r="K297" s="455">
        <v>46170</v>
      </c>
      <c r="R297" s="455">
        <v>46190</v>
      </c>
      <c r="U297" s="455">
        <v>46220</v>
      </c>
    </row>
    <row r="298" spans="1:21">
      <c r="A298" t="s">
        <v>1751</v>
      </c>
      <c r="B298" t="s">
        <v>3420</v>
      </c>
      <c r="C298" t="s">
        <v>1751</v>
      </c>
      <c r="D298">
        <v>20551919</v>
      </c>
      <c r="E298" t="s">
        <v>3128</v>
      </c>
      <c r="F298" t="s">
        <v>1239</v>
      </c>
      <c r="G298" t="s">
        <v>3143</v>
      </c>
      <c r="H298" t="s">
        <v>1247</v>
      </c>
      <c r="I298" t="s">
        <v>3170</v>
      </c>
      <c r="J298" s="455">
        <v>46184</v>
      </c>
      <c r="U298" s="455">
        <v>46184</v>
      </c>
    </row>
    <row r="299" spans="1:21">
      <c r="A299" t="s">
        <v>1751</v>
      </c>
      <c r="B299" t="s">
        <v>3421</v>
      </c>
      <c r="C299" t="s">
        <v>1751</v>
      </c>
      <c r="D299">
        <v>20558848</v>
      </c>
      <c r="E299" t="s">
        <v>3128</v>
      </c>
      <c r="F299" t="s">
        <v>1241</v>
      </c>
      <c r="G299" t="s">
        <v>3134</v>
      </c>
      <c r="H299" t="s">
        <v>1252</v>
      </c>
      <c r="J299" s="455">
        <v>46190</v>
      </c>
      <c r="U299" s="455">
        <v>46235</v>
      </c>
    </row>
    <row r="300" spans="1:21">
      <c r="A300" t="s">
        <v>1751</v>
      </c>
      <c r="B300" t="s">
        <v>3422</v>
      </c>
      <c r="C300" t="s">
        <v>1751</v>
      </c>
      <c r="D300">
        <v>20550462</v>
      </c>
      <c r="E300" t="s">
        <v>3128</v>
      </c>
      <c r="F300" t="s">
        <v>1241</v>
      </c>
      <c r="G300" t="s">
        <v>3137</v>
      </c>
      <c r="H300" t="s">
        <v>1252</v>
      </c>
      <c r="J300" s="455">
        <v>46183</v>
      </c>
      <c r="U300" s="455">
        <v>46184</v>
      </c>
    </row>
    <row r="301" spans="1:21">
      <c r="A301" t="s">
        <v>1751</v>
      </c>
      <c r="B301" t="s">
        <v>3423</v>
      </c>
      <c r="C301" t="s">
        <v>1751</v>
      </c>
      <c r="D301">
        <v>20565583</v>
      </c>
      <c r="E301" t="s">
        <v>3128</v>
      </c>
      <c r="F301" t="s">
        <v>1237</v>
      </c>
      <c r="G301" t="s">
        <v>3143</v>
      </c>
      <c r="H301" t="s">
        <v>1249</v>
      </c>
      <c r="I301" t="s">
        <v>2148</v>
      </c>
      <c r="J301" s="455">
        <v>46198</v>
      </c>
      <c r="U301" s="455">
        <v>46192</v>
      </c>
    </row>
    <row r="302" spans="1:21">
      <c r="A302" t="s">
        <v>1751</v>
      </c>
      <c r="B302" t="s">
        <v>3424</v>
      </c>
      <c r="C302" t="s">
        <v>1751</v>
      </c>
      <c r="D302">
        <v>20569710</v>
      </c>
      <c r="E302" t="s">
        <v>1897</v>
      </c>
      <c r="F302" t="s">
        <v>1241</v>
      </c>
      <c r="G302" t="s">
        <v>3134</v>
      </c>
      <c r="H302" t="s">
        <v>1247</v>
      </c>
      <c r="I302" t="s">
        <v>2171</v>
      </c>
      <c r="J302" s="455">
        <v>46203</v>
      </c>
      <c r="K302" s="455">
        <v>46203</v>
      </c>
      <c r="U302" s="455">
        <v>46203</v>
      </c>
    </row>
    <row r="303" spans="1:21">
      <c r="A303" t="s">
        <v>1751</v>
      </c>
      <c r="B303" t="s">
        <v>3425</v>
      </c>
      <c r="C303" t="s">
        <v>1751</v>
      </c>
      <c r="D303">
        <v>20529055</v>
      </c>
      <c r="E303" t="s">
        <v>3133</v>
      </c>
      <c r="F303" t="s">
        <v>1238</v>
      </c>
      <c r="G303" t="s">
        <v>3134</v>
      </c>
      <c r="H303" t="s">
        <v>1247</v>
      </c>
      <c r="I303" t="s">
        <v>3426</v>
      </c>
      <c r="J303" s="455">
        <v>46160</v>
      </c>
      <c r="K303" s="455">
        <v>46160</v>
      </c>
      <c r="L303" s="455">
        <v>46160</v>
      </c>
      <c r="R303" s="455">
        <v>46175</v>
      </c>
      <c r="U303" s="455">
        <v>46178</v>
      </c>
    </row>
    <row r="304" spans="1:21">
      <c r="A304" t="s">
        <v>1751</v>
      </c>
      <c r="B304" t="s">
        <v>3427</v>
      </c>
      <c r="C304" t="s">
        <v>1751</v>
      </c>
      <c r="D304">
        <v>20542785</v>
      </c>
      <c r="E304" t="s">
        <v>3128</v>
      </c>
      <c r="F304" t="s">
        <v>1782</v>
      </c>
      <c r="G304" t="s">
        <v>3129</v>
      </c>
      <c r="H304" t="s">
        <v>3131</v>
      </c>
      <c r="J304" s="455">
        <v>46176</v>
      </c>
      <c r="U304" s="455">
        <v>46176</v>
      </c>
    </row>
    <row r="305" spans="1:21">
      <c r="A305" t="s">
        <v>1751</v>
      </c>
      <c r="B305" t="s">
        <v>3428</v>
      </c>
      <c r="C305" t="s">
        <v>1751</v>
      </c>
      <c r="D305">
        <v>20553075</v>
      </c>
      <c r="E305" t="s">
        <v>3128</v>
      </c>
      <c r="F305" t="s">
        <v>1782</v>
      </c>
      <c r="G305" t="s">
        <v>3129</v>
      </c>
      <c r="H305" t="s">
        <v>3131</v>
      </c>
      <c r="J305" s="455">
        <v>46185</v>
      </c>
      <c r="U305" s="455">
        <v>46185</v>
      </c>
    </row>
    <row r="306" spans="1:21">
      <c r="A306" t="s">
        <v>1751</v>
      </c>
      <c r="B306" t="s">
        <v>3429</v>
      </c>
      <c r="C306" t="s">
        <v>1751</v>
      </c>
      <c r="D306">
        <v>20563469</v>
      </c>
      <c r="E306" t="s">
        <v>3128</v>
      </c>
      <c r="F306" t="s">
        <v>1241</v>
      </c>
      <c r="G306" t="s">
        <v>3129</v>
      </c>
      <c r="H306" t="s">
        <v>3131</v>
      </c>
      <c r="J306" s="455">
        <v>46196</v>
      </c>
      <c r="U306" s="455">
        <v>46210</v>
      </c>
    </row>
    <row r="307" spans="1:21">
      <c r="A307" t="s">
        <v>1751</v>
      </c>
      <c r="B307" t="s">
        <v>3430</v>
      </c>
      <c r="C307" t="s">
        <v>1751</v>
      </c>
      <c r="D307">
        <v>20567094</v>
      </c>
      <c r="E307" t="s">
        <v>3128</v>
      </c>
      <c r="F307" t="s">
        <v>1239</v>
      </c>
      <c r="G307" t="s">
        <v>3129</v>
      </c>
      <c r="H307" t="s">
        <v>1252</v>
      </c>
      <c r="I307" t="s">
        <v>1588</v>
      </c>
      <c r="J307" s="455">
        <v>46200</v>
      </c>
      <c r="U307" s="455">
        <v>46200</v>
      </c>
    </row>
    <row r="308" spans="1:21">
      <c r="A308" t="s">
        <v>1751</v>
      </c>
      <c r="B308" t="s">
        <v>3431</v>
      </c>
      <c r="C308" t="s">
        <v>1751</v>
      </c>
      <c r="D308">
        <v>20550107</v>
      </c>
      <c r="E308" t="s">
        <v>3128</v>
      </c>
      <c r="F308" t="s">
        <v>1241</v>
      </c>
      <c r="G308" t="s">
        <v>3141</v>
      </c>
      <c r="H308" t="s">
        <v>1252</v>
      </c>
      <c r="J308" s="455">
        <v>46183</v>
      </c>
      <c r="U308" s="455">
        <v>46201</v>
      </c>
    </row>
    <row r="309" spans="1:21">
      <c r="A309" t="s">
        <v>1751</v>
      </c>
      <c r="B309" t="s">
        <v>3432</v>
      </c>
      <c r="C309" t="s">
        <v>1751</v>
      </c>
      <c r="D309">
        <v>20524029</v>
      </c>
      <c r="E309" t="s">
        <v>3133</v>
      </c>
      <c r="F309" t="s">
        <v>1782</v>
      </c>
      <c r="G309" t="s">
        <v>3134</v>
      </c>
      <c r="H309" t="s">
        <v>1247</v>
      </c>
      <c r="J309" s="455">
        <v>46155</v>
      </c>
      <c r="K309" s="455">
        <v>46155</v>
      </c>
      <c r="R309" s="455">
        <v>46190</v>
      </c>
      <c r="U309" s="455">
        <v>46157</v>
      </c>
    </row>
    <row r="310" spans="1:21">
      <c r="A310" t="s">
        <v>1751</v>
      </c>
      <c r="B310" t="s">
        <v>3433</v>
      </c>
      <c r="C310" t="s">
        <v>1751</v>
      </c>
      <c r="D310">
        <v>20540732</v>
      </c>
      <c r="E310" t="s">
        <v>3128</v>
      </c>
      <c r="F310" t="s">
        <v>1782</v>
      </c>
      <c r="G310" t="s">
        <v>3129</v>
      </c>
      <c r="H310" t="s">
        <v>3131</v>
      </c>
      <c r="J310" s="455">
        <v>46174</v>
      </c>
      <c r="U310" s="455">
        <v>46174</v>
      </c>
    </row>
    <row r="311" spans="1:21">
      <c r="A311" t="s">
        <v>1751</v>
      </c>
      <c r="B311" t="s">
        <v>3434</v>
      </c>
      <c r="C311" t="s">
        <v>1751</v>
      </c>
      <c r="D311">
        <v>20565440</v>
      </c>
      <c r="E311" t="s">
        <v>3128</v>
      </c>
      <c r="F311" t="s">
        <v>1237</v>
      </c>
      <c r="G311" t="s">
        <v>3143</v>
      </c>
      <c r="H311" t="s">
        <v>1248</v>
      </c>
      <c r="I311" t="s">
        <v>1917</v>
      </c>
      <c r="J311" s="455">
        <v>46198</v>
      </c>
      <c r="U311" s="455">
        <v>46209</v>
      </c>
    </row>
    <row r="312" spans="1:21">
      <c r="A312" t="s">
        <v>1751</v>
      </c>
      <c r="B312" t="s">
        <v>3434</v>
      </c>
      <c r="C312" t="s">
        <v>1751</v>
      </c>
      <c r="D312">
        <v>20565591</v>
      </c>
      <c r="E312" t="s">
        <v>3133</v>
      </c>
      <c r="F312" t="s">
        <v>1237</v>
      </c>
      <c r="G312" t="s">
        <v>3134</v>
      </c>
      <c r="H312" t="s">
        <v>1247</v>
      </c>
      <c r="I312" t="s">
        <v>1917</v>
      </c>
      <c r="J312" s="455">
        <v>46198</v>
      </c>
      <c r="K312" s="455">
        <v>46198</v>
      </c>
      <c r="L312" s="455">
        <v>46199</v>
      </c>
      <c r="R312" s="455">
        <v>46203</v>
      </c>
      <c r="U312" s="455">
        <v>46206</v>
      </c>
    </row>
    <row r="313" spans="1:21">
      <c r="A313" t="s">
        <v>1751</v>
      </c>
      <c r="B313" t="s">
        <v>2946</v>
      </c>
      <c r="C313" t="s">
        <v>1751</v>
      </c>
      <c r="D313">
        <v>20564642</v>
      </c>
      <c r="E313" t="s">
        <v>3128</v>
      </c>
      <c r="F313" t="s">
        <v>1241</v>
      </c>
      <c r="G313" t="s">
        <v>3137</v>
      </c>
      <c r="H313" t="s">
        <v>1252</v>
      </c>
      <c r="J313" s="455">
        <v>46197</v>
      </c>
      <c r="U313" s="455">
        <v>46265</v>
      </c>
    </row>
    <row r="314" spans="1:21">
      <c r="A314" t="s">
        <v>1751</v>
      </c>
      <c r="B314" t="s">
        <v>3435</v>
      </c>
      <c r="C314" t="s">
        <v>1751</v>
      </c>
      <c r="D314">
        <v>20541474</v>
      </c>
      <c r="E314" t="s">
        <v>3128</v>
      </c>
      <c r="F314" t="s">
        <v>1237</v>
      </c>
      <c r="G314" t="s">
        <v>3143</v>
      </c>
      <c r="H314" t="s">
        <v>1247</v>
      </c>
      <c r="I314" t="s">
        <v>1917</v>
      </c>
      <c r="J314" s="455">
        <v>46175</v>
      </c>
      <c r="U314" s="455">
        <v>46175</v>
      </c>
    </row>
    <row r="315" spans="1:21">
      <c r="A315" t="s">
        <v>1751</v>
      </c>
      <c r="B315" t="s">
        <v>3436</v>
      </c>
      <c r="C315" t="s">
        <v>1751</v>
      </c>
      <c r="D315">
        <v>20554998</v>
      </c>
      <c r="E315" t="s">
        <v>3128</v>
      </c>
      <c r="F315" t="s">
        <v>1241</v>
      </c>
      <c r="G315" t="s">
        <v>3137</v>
      </c>
      <c r="H315" t="s">
        <v>1247</v>
      </c>
      <c r="J315" s="455">
        <v>46187</v>
      </c>
      <c r="U315" s="455">
        <v>46256</v>
      </c>
    </row>
    <row r="316" spans="1:21">
      <c r="A316" t="s">
        <v>1751</v>
      </c>
      <c r="B316" t="s">
        <v>3437</v>
      </c>
      <c r="C316" t="s">
        <v>1751</v>
      </c>
      <c r="D316">
        <v>20538729</v>
      </c>
      <c r="E316" t="s">
        <v>3133</v>
      </c>
      <c r="F316" t="s">
        <v>1241</v>
      </c>
      <c r="G316" t="s">
        <v>3134</v>
      </c>
      <c r="H316" t="s">
        <v>1247</v>
      </c>
      <c r="I316" t="s">
        <v>2413</v>
      </c>
      <c r="J316" s="455">
        <v>46171</v>
      </c>
      <c r="K316" s="455">
        <v>46171</v>
      </c>
      <c r="R316" s="455">
        <v>46190</v>
      </c>
      <c r="U316" s="455">
        <v>46210</v>
      </c>
    </row>
    <row r="317" spans="1:21">
      <c r="A317" t="s">
        <v>1751</v>
      </c>
      <c r="B317" t="s">
        <v>3437</v>
      </c>
      <c r="C317" t="s">
        <v>1751</v>
      </c>
      <c r="D317">
        <v>20559367</v>
      </c>
      <c r="E317" t="s">
        <v>1897</v>
      </c>
      <c r="F317" t="s">
        <v>1241</v>
      </c>
      <c r="G317" t="s">
        <v>3134</v>
      </c>
      <c r="H317" t="s">
        <v>1247</v>
      </c>
      <c r="I317" t="s">
        <v>2664</v>
      </c>
      <c r="J317" s="455">
        <v>46190</v>
      </c>
      <c r="K317" s="455">
        <v>46190</v>
      </c>
      <c r="U317" s="455">
        <v>46248</v>
      </c>
    </row>
    <row r="318" spans="1:21">
      <c r="A318" t="s">
        <v>1751</v>
      </c>
      <c r="B318" t="s">
        <v>3438</v>
      </c>
      <c r="C318" t="s">
        <v>1751</v>
      </c>
      <c r="D318">
        <v>20566532</v>
      </c>
      <c r="E318" t="s">
        <v>1907</v>
      </c>
      <c r="F318" t="s">
        <v>1238</v>
      </c>
      <c r="G318" t="s">
        <v>3134</v>
      </c>
      <c r="H318" t="s">
        <v>1247</v>
      </c>
      <c r="I318" t="s">
        <v>2562</v>
      </c>
      <c r="J318" s="455">
        <v>46199</v>
      </c>
      <c r="K318" s="455">
        <v>46199</v>
      </c>
      <c r="L318" s="455">
        <v>46202</v>
      </c>
      <c r="U318" s="455">
        <v>46234</v>
      </c>
    </row>
    <row r="319" spans="1:21">
      <c r="A319" t="s">
        <v>1751</v>
      </c>
      <c r="B319" t="s">
        <v>3439</v>
      </c>
      <c r="C319" t="s">
        <v>1751</v>
      </c>
      <c r="D319">
        <v>20548130</v>
      </c>
      <c r="E319" t="s">
        <v>3142</v>
      </c>
      <c r="F319" t="s">
        <v>1239</v>
      </c>
      <c r="G319" t="s">
        <v>3129</v>
      </c>
      <c r="H319" t="s">
        <v>3358</v>
      </c>
      <c r="I319" t="s">
        <v>1895</v>
      </c>
      <c r="J319" s="455">
        <v>46181</v>
      </c>
      <c r="K319" s="455">
        <v>46185</v>
      </c>
      <c r="L319" s="455">
        <v>46185</v>
      </c>
      <c r="M319" s="455">
        <v>46196</v>
      </c>
      <c r="N319" s="455">
        <v>46196</v>
      </c>
      <c r="O319" s="455">
        <v>46196</v>
      </c>
      <c r="P319" s="455">
        <v>46196</v>
      </c>
      <c r="Q319" s="455">
        <v>46197</v>
      </c>
      <c r="U319" s="455">
        <v>46200</v>
      </c>
    </row>
    <row r="320" spans="1:21">
      <c r="A320" t="s">
        <v>1751</v>
      </c>
      <c r="B320" t="s">
        <v>3440</v>
      </c>
      <c r="C320" t="s">
        <v>1751</v>
      </c>
      <c r="D320">
        <v>20563188</v>
      </c>
      <c r="E320" t="s">
        <v>3128</v>
      </c>
      <c r="F320" t="s">
        <v>1241</v>
      </c>
      <c r="G320" t="s">
        <v>3134</v>
      </c>
      <c r="H320" t="s">
        <v>1252</v>
      </c>
      <c r="J320" s="455">
        <v>46196</v>
      </c>
      <c r="U320" s="455">
        <v>46235</v>
      </c>
    </row>
    <row r="321" spans="1:21">
      <c r="A321" t="s">
        <v>1751</v>
      </c>
      <c r="B321" t="s">
        <v>3441</v>
      </c>
      <c r="C321" t="s">
        <v>1751</v>
      </c>
      <c r="D321">
        <v>20568754</v>
      </c>
      <c r="E321" t="s">
        <v>1907</v>
      </c>
      <c r="F321" t="s">
        <v>1237</v>
      </c>
      <c r="G321" t="s">
        <v>3134</v>
      </c>
      <c r="H321" t="s">
        <v>1247</v>
      </c>
      <c r="I321" t="s">
        <v>2640</v>
      </c>
      <c r="J321" s="455">
        <v>46202</v>
      </c>
      <c r="K321" s="455">
        <v>46202</v>
      </c>
      <c r="L321" s="455">
        <v>46203</v>
      </c>
      <c r="U321" s="455">
        <v>46228</v>
      </c>
    </row>
    <row r="322" spans="1:21">
      <c r="A322" t="s">
        <v>1751</v>
      </c>
      <c r="B322" t="s">
        <v>3442</v>
      </c>
      <c r="C322" t="s">
        <v>1751</v>
      </c>
      <c r="D322">
        <v>20554775</v>
      </c>
      <c r="E322" t="s">
        <v>3128</v>
      </c>
      <c r="F322" t="s">
        <v>1782</v>
      </c>
      <c r="G322" t="s">
        <v>3134</v>
      </c>
      <c r="H322" t="s">
        <v>3165</v>
      </c>
      <c r="J322" s="455">
        <v>46187</v>
      </c>
      <c r="U322" s="455">
        <v>46188</v>
      </c>
    </row>
    <row r="323" spans="1:21">
      <c r="A323" t="s">
        <v>1751</v>
      </c>
      <c r="B323" t="s">
        <v>3443</v>
      </c>
      <c r="C323" t="s">
        <v>1751</v>
      </c>
      <c r="D323">
        <v>20552209</v>
      </c>
      <c r="E323" t="s">
        <v>3128</v>
      </c>
      <c r="F323" t="s">
        <v>1239</v>
      </c>
      <c r="G323" t="s">
        <v>3143</v>
      </c>
      <c r="H323" t="s">
        <v>1252</v>
      </c>
      <c r="I323" t="s">
        <v>2433</v>
      </c>
      <c r="J323" s="455">
        <v>46184</v>
      </c>
      <c r="U323" s="455">
        <v>46184</v>
      </c>
    </row>
    <row r="324" spans="1:21">
      <c r="A324" t="s">
        <v>1751</v>
      </c>
      <c r="B324" t="s">
        <v>3444</v>
      </c>
      <c r="C324" t="s">
        <v>1751</v>
      </c>
      <c r="D324">
        <v>20558743</v>
      </c>
      <c r="E324" t="s">
        <v>3133</v>
      </c>
      <c r="F324" t="s">
        <v>1242</v>
      </c>
      <c r="G324" t="s">
        <v>3129</v>
      </c>
      <c r="H324" t="s">
        <v>1253</v>
      </c>
      <c r="I324" t="s">
        <v>3179</v>
      </c>
      <c r="J324" s="455">
        <v>46190</v>
      </c>
      <c r="K324" s="455">
        <v>46190</v>
      </c>
      <c r="L324" s="455">
        <v>46190</v>
      </c>
      <c r="S324" s="455">
        <v>46195</v>
      </c>
      <c r="U324" s="455">
        <v>46200</v>
      </c>
    </row>
    <row r="325" spans="1:21">
      <c r="A325" t="s">
        <v>1751</v>
      </c>
      <c r="B325" t="s">
        <v>3445</v>
      </c>
      <c r="C325" t="s">
        <v>1751</v>
      </c>
      <c r="D325">
        <v>20559665</v>
      </c>
      <c r="E325" t="s">
        <v>3128</v>
      </c>
      <c r="F325" t="s">
        <v>1782</v>
      </c>
      <c r="G325" t="s">
        <v>3141</v>
      </c>
      <c r="H325" t="s">
        <v>1253</v>
      </c>
      <c r="J325" s="455">
        <v>46191</v>
      </c>
      <c r="U325" s="455">
        <v>46191</v>
      </c>
    </row>
    <row r="326" spans="1:21">
      <c r="A326" t="s">
        <v>1751</v>
      </c>
      <c r="B326" t="s">
        <v>3446</v>
      </c>
      <c r="C326" t="s">
        <v>1751</v>
      </c>
      <c r="D326">
        <v>20556786</v>
      </c>
      <c r="E326" t="s">
        <v>3128</v>
      </c>
      <c r="F326" t="s">
        <v>1782</v>
      </c>
      <c r="G326" t="s">
        <v>3141</v>
      </c>
      <c r="H326" t="s">
        <v>1247</v>
      </c>
      <c r="J326" s="455">
        <v>46189</v>
      </c>
      <c r="U326" s="455">
        <v>46189</v>
      </c>
    </row>
    <row r="327" spans="1:21">
      <c r="A327" t="s">
        <v>1751</v>
      </c>
      <c r="B327" t="s">
        <v>3447</v>
      </c>
      <c r="C327" t="s">
        <v>1751</v>
      </c>
      <c r="D327">
        <v>20552377</v>
      </c>
      <c r="E327" t="s">
        <v>3128</v>
      </c>
      <c r="F327" t="s">
        <v>1241</v>
      </c>
      <c r="G327" t="s">
        <v>3141</v>
      </c>
      <c r="H327" t="s">
        <v>1252</v>
      </c>
      <c r="J327" s="455">
        <v>46184</v>
      </c>
      <c r="U327" s="455">
        <v>46244</v>
      </c>
    </row>
    <row r="328" spans="1:21">
      <c r="A328" t="s">
        <v>1751</v>
      </c>
      <c r="B328" t="s">
        <v>3447</v>
      </c>
      <c r="C328" t="s">
        <v>1751</v>
      </c>
      <c r="D328">
        <v>20552401</v>
      </c>
      <c r="E328" t="s">
        <v>3128</v>
      </c>
      <c r="F328" t="s">
        <v>1238</v>
      </c>
      <c r="G328" t="s">
        <v>3129</v>
      </c>
      <c r="H328" t="s">
        <v>1252</v>
      </c>
      <c r="J328" s="455">
        <v>46184</v>
      </c>
      <c r="U328" s="455">
        <v>46184</v>
      </c>
    </row>
    <row r="329" spans="1:21">
      <c r="A329" t="s">
        <v>1751</v>
      </c>
      <c r="B329" t="s">
        <v>3448</v>
      </c>
      <c r="C329" t="s">
        <v>1751</v>
      </c>
      <c r="D329">
        <v>20567056</v>
      </c>
      <c r="E329" t="s">
        <v>3128</v>
      </c>
      <c r="F329" t="s">
        <v>1912</v>
      </c>
      <c r="G329" t="s">
        <v>3137</v>
      </c>
      <c r="H329" t="s">
        <v>1252</v>
      </c>
      <c r="J329" s="455">
        <v>46200</v>
      </c>
      <c r="U329" s="455">
        <v>46200</v>
      </c>
    </row>
    <row r="330" spans="1:21">
      <c r="A330" t="s">
        <v>1751</v>
      </c>
      <c r="B330" t="s">
        <v>3449</v>
      </c>
      <c r="C330" t="s">
        <v>1751</v>
      </c>
      <c r="D330">
        <v>20554344</v>
      </c>
      <c r="E330" t="s">
        <v>3128</v>
      </c>
      <c r="F330" t="s">
        <v>1782</v>
      </c>
      <c r="G330" t="s">
        <v>3129</v>
      </c>
      <c r="H330" t="s">
        <v>1253</v>
      </c>
      <c r="J330" s="455">
        <v>46186</v>
      </c>
      <c r="U330" s="455">
        <v>46186</v>
      </c>
    </row>
    <row r="331" spans="1:21">
      <c r="A331" t="s">
        <v>1751</v>
      </c>
      <c r="B331" t="s">
        <v>3450</v>
      </c>
      <c r="C331" t="s">
        <v>1751</v>
      </c>
      <c r="D331">
        <v>20521087</v>
      </c>
      <c r="E331" t="s">
        <v>3142</v>
      </c>
      <c r="F331" t="s">
        <v>1238</v>
      </c>
      <c r="G331" t="s">
        <v>3134</v>
      </c>
      <c r="H331" t="s">
        <v>1248</v>
      </c>
      <c r="I331" t="s">
        <v>3451</v>
      </c>
      <c r="J331" s="455">
        <v>46151</v>
      </c>
      <c r="K331" s="455">
        <v>46151</v>
      </c>
      <c r="L331" s="455">
        <v>46177</v>
      </c>
      <c r="M331" s="455">
        <v>46182</v>
      </c>
      <c r="N331" s="455">
        <v>46182</v>
      </c>
      <c r="P331" s="455">
        <v>46182</v>
      </c>
      <c r="Q331" s="455">
        <v>46183</v>
      </c>
      <c r="U331" s="455">
        <v>46196</v>
      </c>
    </row>
    <row r="332" spans="1:21">
      <c r="A332" t="s">
        <v>1751</v>
      </c>
      <c r="B332" t="s">
        <v>3452</v>
      </c>
      <c r="C332" t="s">
        <v>1751</v>
      </c>
      <c r="D332">
        <v>20490160</v>
      </c>
      <c r="E332" t="s">
        <v>3133</v>
      </c>
      <c r="F332" t="s">
        <v>1241</v>
      </c>
      <c r="G332" t="s">
        <v>3134</v>
      </c>
      <c r="H332" t="s">
        <v>1247</v>
      </c>
      <c r="I332" t="s">
        <v>1808</v>
      </c>
      <c r="J332" s="455">
        <v>46120</v>
      </c>
      <c r="K332" s="455">
        <v>46120</v>
      </c>
      <c r="R332" s="455">
        <v>46181</v>
      </c>
      <c r="U332" s="455">
        <v>46120</v>
      </c>
    </row>
    <row r="333" spans="1:21">
      <c r="A333" t="s">
        <v>1751</v>
      </c>
      <c r="B333" t="s">
        <v>3453</v>
      </c>
      <c r="C333" t="s">
        <v>1751</v>
      </c>
      <c r="D333">
        <v>20507741</v>
      </c>
      <c r="E333" t="s">
        <v>3133</v>
      </c>
      <c r="F333" t="s">
        <v>1241</v>
      </c>
      <c r="G333" t="s">
        <v>3134</v>
      </c>
      <c r="H333" t="s">
        <v>1247</v>
      </c>
      <c r="I333" t="s">
        <v>1539</v>
      </c>
      <c r="J333" s="455">
        <v>46135</v>
      </c>
      <c r="K333" s="455">
        <v>46135</v>
      </c>
      <c r="R333" s="455">
        <v>46189</v>
      </c>
      <c r="U333" s="455">
        <v>46135</v>
      </c>
    </row>
    <row r="334" spans="1:21">
      <c r="A334" t="s">
        <v>1751</v>
      </c>
      <c r="B334" t="s">
        <v>3454</v>
      </c>
      <c r="C334" t="s">
        <v>1751</v>
      </c>
      <c r="D334">
        <v>20545273</v>
      </c>
      <c r="E334" t="s">
        <v>3128</v>
      </c>
      <c r="F334" t="s">
        <v>1241</v>
      </c>
      <c r="G334" t="s">
        <v>3141</v>
      </c>
      <c r="H334" t="s">
        <v>1252</v>
      </c>
      <c r="J334" s="455">
        <v>46177</v>
      </c>
      <c r="U334" s="455">
        <v>46235</v>
      </c>
    </row>
    <row r="335" spans="1:21">
      <c r="A335" t="s">
        <v>1751</v>
      </c>
      <c r="B335" t="s">
        <v>3455</v>
      </c>
      <c r="C335" t="s">
        <v>1751</v>
      </c>
      <c r="D335">
        <v>20546585</v>
      </c>
      <c r="E335" t="s">
        <v>3133</v>
      </c>
      <c r="F335" t="s">
        <v>1241</v>
      </c>
      <c r="G335" t="s">
        <v>3134</v>
      </c>
      <c r="H335" t="s">
        <v>1251</v>
      </c>
      <c r="J335" s="455">
        <v>46179</v>
      </c>
      <c r="K335" s="455">
        <v>46179</v>
      </c>
      <c r="R335" s="455">
        <v>46183</v>
      </c>
      <c r="U335" s="455">
        <v>46179</v>
      </c>
    </row>
    <row r="336" spans="1:21">
      <c r="A336" t="s">
        <v>1751</v>
      </c>
      <c r="B336" t="s">
        <v>3456</v>
      </c>
      <c r="C336" t="s">
        <v>1751</v>
      </c>
      <c r="D336">
        <v>20545633</v>
      </c>
      <c r="E336" t="s">
        <v>3142</v>
      </c>
      <c r="F336" t="s">
        <v>1239</v>
      </c>
      <c r="G336" t="s">
        <v>3143</v>
      </c>
      <c r="H336" t="s">
        <v>1249</v>
      </c>
      <c r="I336" t="s">
        <v>3457</v>
      </c>
      <c r="J336" s="455">
        <v>46178</v>
      </c>
      <c r="K336" s="455">
        <v>46178</v>
      </c>
      <c r="L336" s="455">
        <v>46179</v>
      </c>
      <c r="M336" s="455">
        <v>46188</v>
      </c>
      <c r="N336" s="455">
        <v>46188</v>
      </c>
      <c r="P336" s="455">
        <v>46189</v>
      </c>
      <c r="Q336" s="455">
        <v>46189</v>
      </c>
      <c r="U336" s="455">
        <v>46198</v>
      </c>
    </row>
    <row r="337" spans="1:21">
      <c r="A337" t="s">
        <v>1751</v>
      </c>
      <c r="B337" t="s">
        <v>3458</v>
      </c>
      <c r="C337" t="s">
        <v>1751</v>
      </c>
      <c r="D337">
        <v>20548900</v>
      </c>
      <c r="E337" t="s">
        <v>3128</v>
      </c>
      <c r="F337" t="s">
        <v>1241</v>
      </c>
      <c r="G337" t="s">
        <v>3137</v>
      </c>
      <c r="H337" t="s">
        <v>1247</v>
      </c>
      <c r="J337" s="455">
        <v>46181</v>
      </c>
      <c r="U337" s="455">
        <v>46181</v>
      </c>
    </row>
    <row r="338" spans="1:21">
      <c r="A338" t="s">
        <v>1751</v>
      </c>
      <c r="B338" t="s">
        <v>3459</v>
      </c>
      <c r="C338" t="s">
        <v>1751</v>
      </c>
      <c r="D338">
        <v>20552961</v>
      </c>
      <c r="E338" t="s">
        <v>3128</v>
      </c>
      <c r="F338" t="s">
        <v>1782</v>
      </c>
      <c r="G338" t="s">
        <v>3141</v>
      </c>
      <c r="H338" t="s">
        <v>1252</v>
      </c>
      <c r="J338" s="455">
        <v>46185</v>
      </c>
      <c r="U338" s="455">
        <v>46245</v>
      </c>
    </row>
    <row r="339" spans="1:21">
      <c r="A339" t="s">
        <v>1751</v>
      </c>
      <c r="B339" t="s">
        <v>3460</v>
      </c>
      <c r="C339" t="s">
        <v>1751</v>
      </c>
      <c r="D339">
        <v>20551587</v>
      </c>
      <c r="E339" t="s">
        <v>3128</v>
      </c>
      <c r="F339" t="s">
        <v>1241</v>
      </c>
      <c r="G339" t="s">
        <v>3141</v>
      </c>
      <c r="H339" t="s">
        <v>1252</v>
      </c>
      <c r="J339" s="455">
        <v>46183</v>
      </c>
      <c r="U339" s="455">
        <v>46219</v>
      </c>
    </row>
    <row r="340" spans="1:21">
      <c r="A340" t="s">
        <v>1751</v>
      </c>
      <c r="B340" t="s">
        <v>3461</v>
      </c>
      <c r="C340" t="s">
        <v>1751</v>
      </c>
      <c r="D340">
        <v>20490391</v>
      </c>
      <c r="E340" t="s">
        <v>3133</v>
      </c>
      <c r="F340" t="s">
        <v>1782</v>
      </c>
      <c r="G340" t="s">
        <v>3134</v>
      </c>
      <c r="H340" t="s">
        <v>1247</v>
      </c>
      <c r="J340" s="455">
        <v>46120</v>
      </c>
      <c r="K340" s="455">
        <v>46120</v>
      </c>
      <c r="R340" s="455">
        <v>46181</v>
      </c>
      <c r="U340" s="455">
        <v>46120</v>
      </c>
    </row>
    <row r="341" spans="1:21">
      <c r="A341" t="s">
        <v>1751</v>
      </c>
      <c r="B341" t="s">
        <v>3461</v>
      </c>
      <c r="C341" t="s">
        <v>1751</v>
      </c>
      <c r="D341">
        <v>20490411</v>
      </c>
      <c r="E341" t="s">
        <v>3133</v>
      </c>
      <c r="F341" t="s">
        <v>1242</v>
      </c>
      <c r="G341" t="s">
        <v>3134</v>
      </c>
      <c r="H341" t="s">
        <v>1247</v>
      </c>
      <c r="J341" s="455">
        <v>46120</v>
      </c>
      <c r="K341" s="455">
        <v>46120</v>
      </c>
      <c r="R341" s="455">
        <v>46181</v>
      </c>
      <c r="U341" s="455">
        <v>46120</v>
      </c>
    </row>
    <row r="342" spans="1:21">
      <c r="A342" t="s">
        <v>1751</v>
      </c>
      <c r="B342" t="s">
        <v>3462</v>
      </c>
      <c r="C342" t="s">
        <v>1751</v>
      </c>
      <c r="D342">
        <v>20487736</v>
      </c>
      <c r="E342" t="s">
        <v>3133</v>
      </c>
      <c r="F342" t="s">
        <v>1239</v>
      </c>
      <c r="G342" t="s">
        <v>3134</v>
      </c>
      <c r="H342" t="s">
        <v>1247</v>
      </c>
      <c r="J342" s="455">
        <v>46117</v>
      </c>
      <c r="K342" s="455">
        <v>46117</v>
      </c>
      <c r="R342" s="455">
        <v>46181</v>
      </c>
      <c r="U342" s="455">
        <v>46136</v>
      </c>
    </row>
    <row r="343" spans="1:21">
      <c r="A343" t="s">
        <v>1751</v>
      </c>
      <c r="B343" t="s">
        <v>3463</v>
      </c>
      <c r="C343" t="s">
        <v>1751</v>
      </c>
      <c r="D343">
        <v>20565463</v>
      </c>
      <c r="E343" t="s">
        <v>3128</v>
      </c>
      <c r="F343" t="s">
        <v>1241</v>
      </c>
      <c r="G343" t="s">
        <v>3137</v>
      </c>
      <c r="H343" t="s">
        <v>1252</v>
      </c>
      <c r="J343" s="455">
        <v>46198</v>
      </c>
      <c r="U343" s="455">
        <v>46204</v>
      </c>
    </row>
    <row r="344" spans="1:21">
      <c r="A344" t="s">
        <v>1751</v>
      </c>
      <c r="B344" t="s">
        <v>3464</v>
      </c>
      <c r="C344" t="s">
        <v>1751</v>
      </c>
      <c r="D344">
        <v>20549652</v>
      </c>
      <c r="E344" t="s">
        <v>3128</v>
      </c>
      <c r="F344" t="s">
        <v>1241</v>
      </c>
      <c r="G344" t="s">
        <v>3134</v>
      </c>
      <c r="H344" t="s">
        <v>3165</v>
      </c>
      <c r="J344" s="455">
        <v>46182</v>
      </c>
      <c r="U344" s="455">
        <v>46183</v>
      </c>
    </row>
    <row r="345" spans="1:21">
      <c r="A345" t="s">
        <v>1751</v>
      </c>
      <c r="B345" t="s">
        <v>3465</v>
      </c>
      <c r="C345" t="s">
        <v>1751</v>
      </c>
      <c r="D345">
        <v>20546183</v>
      </c>
      <c r="E345" t="s">
        <v>3128</v>
      </c>
      <c r="F345" t="s">
        <v>1782</v>
      </c>
      <c r="G345" t="s">
        <v>3141</v>
      </c>
      <c r="H345" t="s">
        <v>1252</v>
      </c>
      <c r="J345" s="455">
        <v>46178</v>
      </c>
      <c r="U345" s="455">
        <v>46204</v>
      </c>
    </row>
    <row r="346" spans="1:21">
      <c r="A346" t="s">
        <v>1751</v>
      </c>
      <c r="B346" t="s">
        <v>3466</v>
      </c>
      <c r="C346" t="s">
        <v>1751</v>
      </c>
      <c r="D346">
        <v>20554673</v>
      </c>
      <c r="E346" t="s">
        <v>3128</v>
      </c>
      <c r="F346" t="s">
        <v>1241</v>
      </c>
      <c r="G346" t="s">
        <v>3134</v>
      </c>
      <c r="H346" t="s">
        <v>1252</v>
      </c>
      <c r="J346" s="455">
        <v>46186</v>
      </c>
      <c r="U346" s="455">
        <v>46187</v>
      </c>
    </row>
    <row r="347" spans="1:21">
      <c r="A347" t="s">
        <v>1751</v>
      </c>
      <c r="B347" t="s">
        <v>3467</v>
      </c>
      <c r="C347" t="s">
        <v>1751</v>
      </c>
      <c r="D347">
        <v>20486420</v>
      </c>
      <c r="E347" t="s">
        <v>3133</v>
      </c>
      <c r="F347" t="s">
        <v>1241</v>
      </c>
      <c r="G347" t="s">
        <v>3134</v>
      </c>
      <c r="H347" t="s">
        <v>1247</v>
      </c>
      <c r="J347" s="455">
        <v>46115</v>
      </c>
      <c r="K347" s="455">
        <v>46115</v>
      </c>
      <c r="R347" s="455">
        <v>46177</v>
      </c>
      <c r="U347" s="455">
        <v>46115</v>
      </c>
    </row>
    <row r="348" spans="1:21">
      <c r="A348" t="s">
        <v>1751</v>
      </c>
      <c r="B348" t="s">
        <v>3468</v>
      </c>
      <c r="C348" t="s">
        <v>1751</v>
      </c>
      <c r="D348">
        <v>20545509</v>
      </c>
      <c r="E348" t="s">
        <v>3133</v>
      </c>
      <c r="F348" t="s">
        <v>1241</v>
      </c>
      <c r="G348" t="s">
        <v>3134</v>
      </c>
      <c r="H348" t="s">
        <v>1251</v>
      </c>
      <c r="I348" t="s">
        <v>3363</v>
      </c>
      <c r="J348" s="455">
        <v>46178</v>
      </c>
      <c r="K348" s="455">
        <v>46178</v>
      </c>
      <c r="R348" s="455">
        <v>46190</v>
      </c>
      <c r="U348" s="455">
        <v>46183</v>
      </c>
    </row>
    <row r="349" spans="1:21">
      <c r="A349" t="s">
        <v>1751</v>
      </c>
      <c r="B349" t="s">
        <v>3468</v>
      </c>
      <c r="C349" t="s">
        <v>1751</v>
      </c>
      <c r="D349">
        <v>20541864</v>
      </c>
      <c r="E349" t="s">
        <v>3133</v>
      </c>
      <c r="F349" t="s">
        <v>1242</v>
      </c>
      <c r="G349" t="s">
        <v>2009</v>
      </c>
      <c r="H349" t="s">
        <v>1251</v>
      </c>
      <c r="I349" t="s">
        <v>3363</v>
      </c>
      <c r="J349" s="455">
        <v>46175</v>
      </c>
      <c r="K349" s="455">
        <v>46175</v>
      </c>
      <c r="L349" s="455">
        <v>46176</v>
      </c>
      <c r="S349" s="455">
        <v>46178</v>
      </c>
      <c r="U349" s="455">
        <v>46184</v>
      </c>
    </row>
    <row r="350" spans="1:21">
      <c r="A350" t="s">
        <v>1751</v>
      </c>
      <c r="B350" t="s">
        <v>3469</v>
      </c>
      <c r="C350" t="s">
        <v>1751</v>
      </c>
      <c r="D350">
        <v>20561517</v>
      </c>
      <c r="E350" t="s">
        <v>3128</v>
      </c>
      <c r="F350" t="s">
        <v>1782</v>
      </c>
      <c r="G350" t="s">
        <v>3141</v>
      </c>
      <c r="H350" t="s">
        <v>1252</v>
      </c>
      <c r="J350" s="455">
        <v>46193</v>
      </c>
      <c r="U350" s="455">
        <v>46194</v>
      </c>
    </row>
    <row r="351" spans="1:21">
      <c r="A351" t="s">
        <v>1751</v>
      </c>
      <c r="B351" t="s">
        <v>3470</v>
      </c>
      <c r="C351" t="s">
        <v>1751</v>
      </c>
      <c r="D351">
        <v>20566426</v>
      </c>
      <c r="E351" t="s">
        <v>3128</v>
      </c>
      <c r="F351" t="s">
        <v>1242</v>
      </c>
      <c r="G351" t="s">
        <v>2009</v>
      </c>
      <c r="H351" t="s">
        <v>1248</v>
      </c>
      <c r="J351" s="455">
        <v>46199</v>
      </c>
      <c r="U351" s="455">
        <v>46206</v>
      </c>
    </row>
    <row r="352" spans="1:21">
      <c r="A352" t="s">
        <v>1751</v>
      </c>
      <c r="B352" t="s">
        <v>3471</v>
      </c>
      <c r="C352" t="s">
        <v>1751</v>
      </c>
      <c r="D352">
        <v>20568012</v>
      </c>
      <c r="E352" t="s">
        <v>3128</v>
      </c>
      <c r="F352" t="s">
        <v>1782</v>
      </c>
      <c r="G352" t="s">
        <v>3134</v>
      </c>
      <c r="H352" t="s">
        <v>3165</v>
      </c>
      <c r="J352" s="455">
        <v>46202</v>
      </c>
      <c r="U352" s="455">
        <v>46235</v>
      </c>
    </row>
    <row r="353" spans="1:21">
      <c r="A353" t="s">
        <v>1751</v>
      </c>
      <c r="B353" t="s">
        <v>3472</v>
      </c>
      <c r="C353" t="s">
        <v>1751</v>
      </c>
      <c r="D353">
        <v>20552965</v>
      </c>
      <c r="E353" t="s">
        <v>3128</v>
      </c>
      <c r="F353" t="s">
        <v>1238</v>
      </c>
      <c r="G353" t="s">
        <v>3143</v>
      </c>
      <c r="H353" t="s">
        <v>1251</v>
      </c>
      <c r="I353" t="s">
        <v>3385</v>
      </c>
      <c r="J353" s="455">
        <v>46185</v>
      </c>
      <c r="U353" s="455">
        <v>46227</v>
      </c>
    </row>
    <row r="354" spans="1:21">
      <c r="A354" t="s">
        <v>1751</v>
      </c>
      <c r="B354" t="s">
        <v>3473</v>
      </c>
      <c r="C354" t="s">
        <v>1751</v>
      </c>
      <c r="D354">
        <v>20513499</v>
      </c>
      <c r="E354" t="s">
        <v>3133</v>
      </c>
      <c r="F354" t="s">
        <v>1237</v>
      </c>
      <c r="G354" t="s">
        <v>3143</v>
      </c>
      <c r="H354" t="s">
        <v>1249</v>
      </c>
      <c r="J354" s="455">
        <v>46142</v>
      </c>
      <c r="K354" s="455">
        <v>46160</v>
      </c>
      <c r="R354" s="455">
        <v>46189</v>
      </c>
      <c r="U354" s="455">
        <v>46223</v>
      </c>
    </row>
    <row r="355" spans="1:21">
      <c r="A355" t="s">
        <v>1751</v>
      </c>
      <c r="B355" t="s">
        <v>3474</v>
      </c>
      <c r="C355" t="s">
        <v>1751</v>
      </c>
      <c r="D355">
        <v>20556742</v>
      </c>
      <c r="E355" t="s">
        <v>3128</v>
      </c>
      <c r="F355" t="s">
        <v>1782</v>
      </c>
      <c r="G355" t="s">
        <v>3141</v>
      </c>
      <c r="H355" t="s">
        <v>1252</v>
      </c>
      <c r="J355" s="455">
        <v>46189</v>
      </c>
      <c r="U355" s="455">
        <v>46235</v>
      </c>
    </row>
    <row r="356" spans="1:21">
      <c r="A356" t="s">
        <v>1751</v>
      </c>
      <c r="B356" t="s">
        <v>3475</v>
      </c>
      <c r="C356" t="s">
        <v>1751</v>
      </c>
      <c r="D356">
        <v>20528975</v>
      </c>
      <c r="E356" t="s">
        <v>3133</v>
      </c>
      <c r="F356" t="s">
        <v>1782</v>
      </c>
      <c r="G356" t="s">
        <v>3134</v>
      </c>
      <c r="H356" t="s">
        <v>1247</v>
      </c>
      <c r="I356" t="s">
        <v>3202</v>
      </c>
      <c r="J356" s="455">
        <v>46159</v>
      </c>
      <c r="K356" s="455">
        <v>46159</v>
      </c>
      <c r="R356" s="455">
        <v>46190</v>
      </c>
      <c r="U356" s="455">
        <v>46160</v>
      </c>
    </row>
    <row r="357" spans="1:21">
      <c r="A357" t="s">
        <v>1751</v>
      </c>
      <c r="B357" t="s">
        <v>3476</v>
      </c>
      <c r="C357" t="s">
        <v>1751</v>
      </c>
      <c r="D357">
        <v>20528978</v>
      </c>
      <c r="E357" t="s">
        <v>3133</v>
      </c>
      <c r="F357" t="s">
        <v>1782</v>
      </c>
      <c r="G357" t="s">
        <v>3134</v>
      </c>
      <c r="H357" t="s">
        <v>1247</v>
      </c>
      <c r="I357" t="s">
        <v>3200</v>
      </c>
      <c r="J357" s="455">
        <v>46159</v>
      </c>
      <c r="K357" s="455">
        <v>46159</v>
      </c>
      <c r="R357" s="455">
        <v>46190</v>
      </c>
      <c r="U357" s="455">
        <v>46160</v>
      </c>
    </row>
    <row r="358" spans="1:21">
      <c r="A358" t="s">
        <v>1751</v>
      </c>
      <c r="B358" t="s">
        <v>3477</v>
      </c>
      <c r="C358" t="s">
        <v>1751</v>
      </c>
      <c r="D358">
        <v>20564173</v>
      </c>
      <c r="E358" t="s">
        <v>1897</v>
      </c>
      <c r="F358" t="s">
        <v>1241</v>
      </c>
      <c r="G358" t="s">
        <v>3134</v>
      </c>
      <c r="H358" t="s">
        <v>1247</v>
      </c>
      <c r="I358" t="s">
        <v>2474</v>
      </c>
      <c r="J358" s="455">
        <v>46197</v>
      </c>
      <c r="K358" s="455">
        <v>46197</v>
      </c>
      <c r="U358" s="455">
        <v>46197</v>
      </c>
    </row>
    <row r="359" spans="1:21">
      <c r="A359" t="s">
        <v>1751</v>
      </c>
      <c r="B359" t="s">
        <v>3477</v>
      </c>
      <c r="C359" t="s">
        <v>1751</v>
      </c>
      <c r="D359">
        <v>20564154</v>
      </c>
      <c r="E359" t="s">
        <v>3128</v>
      </c>
      <c r="F359" t="s">
        <v>1241</v>
      </c>
      <c r="G359" t="s">
        <v>3137</v>
      </c>
      <c r="H359" t="s">
        <v>1252</v>
      </c>
      <c r="J359" s="455">
        <v>46197</v>
      </c>
      <c r="U359" s="455">
        <v>46218</v>
      </c>
    </row>
    <row r="360" spans="1:21">
      <c r="A360" t="s">
        <v>1751</v>
      </c>
      <c r="B360" t="s">
        <v>3478</v>
      </c>
      <c r="C360" t="s">
        <v>1751</v>
      </c>
      <c r="D360">
        <v>20557707</v>
      </c>
      <c r="E360" t="s">
        <v>3142</v>
      </c>
      <c r="F360" t="s">
        <v>1243</v>
      </c>
      <c r="G360" t="s">
        <v>3143</v>
      </c>
      <c r="H360" t="s">
        <v>1251</v>
      </c>
      <c r="I360" t="s">
        <v>3479</v>
      </c>
      <c r="J360" s="455">
        <v>46189</v>
      </c>
      <c r="K360" s="455">
        <v>46193</v>
      </c>
      <c r="L360" s="455">
        <v>46193</v>
      </c>
      <c r="M360" s="455">
        <v>46196</v>
      </c>
      <c r="N360" s="455">
        <v>46196</v>
      </c>
      <c r="P360" s="455">
        <v>46198</v>
      </c>
      <c r="Q360" s="455">
        <v>46198</v>
      </c>
      <c r="U360" s="455">
        <v>46221</v>
      </c>
    </row>
    <row r="361" spans="1:21">
      <c r="A361" t="s">
        <v>1751</v>
      </c>
      <c r="B361" t="s">
        <v>3480</v>
      </c>
      <c r="C361" t="s">
        <v>1751</v>
      </c>
      <c r="D361">
        <v>20566847</v>
      </c>
      <c r="E361" t="s">
        <v>3128</v>
      </c>
      <c r="F361" t="s">
        <v>1241</v>
      </c>
      <c r="G361" t="s">
        <v>2009</v>
      </c>
      <c r="H361" t="s">
        <v>1252</v>
      </c>
      <c r="J361" s="455">
        <v>46199</v>
      </c>
      <c r="U361" s="455">
        <v>46293</v>
      </c>
    </row>
    <row r="362" spans="1:21">
      <c r="A362" t="s">
        <v>1751</v>
      </c>
      <c r="B362" t="s">
        <v>1964</v>
      </c>
      <c r="C362" t="s">
        <v>1751</v>
      </c>
      <c r="D362">
        <v>20476677</v>
      </c>
      <c r="E362" t="s">
        <v>3133</v>
      </c>
      <c r="F362" t="s">
        <v>1241</v>
      </c>
      <c r="G362" t="s">
        <v>3134</v>
      </c>
      <c r="H362" t="s">
        <v>1247</v>
      </c>
      <c r="I362" t="s">
        <v>1963</v>
      </c>
      <c r="J362" s="455">
        <v>46101</v>
      </c>
      <c r="K362" s="455">
        <v>46101</v>
      </c>
      <c r="R362" s="455">
        <v>46177</v>
      </c>
      <c r="U362" s="455">
        <v>46101</v>
      </c>
    </row>
    <row r="363" spans="1:21">
      <c r="A363" t="s">
        <v>1751</v>
      </c>
      <c r="B363" t="s">
        <v>3481</v>
      </c>
      <c r="C363" t="s">
        <v>1751</v>
      </c>
      <c r="D363">
        <v>20544564</v>
      </c>
      <c r="E363" t="s">
        <v>3128</v>
      </c>
      <c r="F363" t="s">
        <v>1237</v>
      </c>
      <c r="G363" t="s">
        <v>3129</v>
      </c>
      <c r="H363" t="s">
        <v>1252</v>
      </c>
      <c r="J363" s="455">
        <v>46177</v>
      </c>
      <c r="U363" s="455">
        <v>46177</v>
      </c>
    </row>
    <row r="364" spans="1:21">
      <c r="A364" t="s">
        <v>1751</v>
      </c>
      <c r="B364" t="s">
        <v>3482</v>
      </c>
      <c r="C364" t="s">
        <v>1751</v>
      </c>
      <c r="D364">
        <v>20564321</v>
      </c>
      <c r="E364" t="s">
        <v>3128</v>
      </c>
      <c r="F364" t="s">
        <v>1241</v>
      </c>
      <c r="G364" t="s">
        <v>3134</v>
      </c>
      <c r="H364" t="s">
        <v>1252</v>
      </c>
      <c r="J364" s="455">
        <v>46197</v>
      </c>
      <c r="U364" s="455">
        <v>46198</v>
      </c>
    </row>
    <row r="365" spans="1:21">
      <c r="A365" t="s">
        <v>1751</v>
      </c>
      <c r="B365" t="s">
        <v>3483</v>
      </c>
      <c r="C365" t="s">
        <v>1751</v>
      </c>
      <c r="D365">
        <v>20540812</v>
      </c>
      <c r="E365" t="s">
        <v>3128</v>
      </c>
      <c r="F365" t="s">
        <v>1782</v>
      </c>
      <c r="G365" t="s">
        <v>3129</v>
      </c>
      <c r="H365" t="s">
        <v>1252</v>
      </c>
      <c r="J365" s="455">
        <v>46174</v>
      </c>
      <c r="U365" s="455">
        <v>46234</v>
      </c>
    </row>
    <row r="366" spans="1:21">
      <c r="A366" t="s">
        <v>1751</v>
      </c>
      <c r="B366" t="s">
        <v>3484</v>
      </c>
      <c r="C366" t="s">
        <v>1751</v>
      </c>
      <c r="D366">
        <v>20560647</v>
      </c>
      <c r="E366" t="s">
        <v>3128</v>
      </c>
      <c r="F366" t="s">
        <v>1241</v>
      </c>
      <c r="G366" t="s">
        <v>3129</v>
      </c>
      <c r="H366" t="s">
        <v>3131</v>
      </c>
      <c r="J366" s="455">
        <v>46192</v>
      </c>
      <c r="U366" s="455">
        <v>46192</v>
      </c>
    </row>
    <row r="367" spans="1:21">
      <c r="A367" t="s">
        <v>1751</v>
      </c>
      <c r="B367" t="s">
        <v>3485</v>
      </c>
      <c r="C367" t="s">
        <v>1751</v>
      </c>
      <c r="D367">
        <v>20548786</v>
      </c>
      <c r="E367" t="s">
        <v>3128</v>
      </c>
      <c r="F367" t="s">
        <v>1242</v>
      </c>
      <c r="G367" t="s">
        <v>3141</v>
      </c>
      <c r="H367" t="s">
        <v>1252</v>
      </c>
      <c r="J367" s="455">
        <v>46181</v>
      </c>
      <c r="U367" s="455">
        <v>46242</v>
      </c>
    </row>
    <row r="368" spans="1:21">
      <c r="A368" t="s">
        <v>1751</v>
      </c>
      <c r="B368" t="s">
        <v>3486</v>
      </c>
      <c r="C368" t="s">
        <v>1751</v>
      </c>
      <c r="D368">
        <v>20554477</v>
      </c>
      <c r="E368" t="s">
        <v>3128</v>
      </c>
      <c r="F368" t="s">
        <v>1782</v>
      </c>
      <c r="G368" t="s">
        <v>3141</v>
      </c>
      <c r="H368" t="s">
        <v>3487</v>
      </c>
      <c r="J368" s="455">
        <v>46186</v>
      </c>
      <c r="U368" s="455">
        <v>46186</v>
      </c>
    </row>
    <row r="369" spans="1:21">
      <c r="A369" t="s">
        <v>1751</v>
      </c>
      <c r="B369" t="s">
        <v>3488</v>
      </c>
      <c r="C369" t="s">
        <v>1751</v>
      </c>
      <c r="D369">
        <v>20561902</v>
      </c>
      <c r="E369" t="s">
        <v>1897</v>
      </c>
      <c r="F369" t="s">
        <v>1241</v>
      </c>
      <c r="G369" t="s">
        <v>3134</v>
      </c>
      <c r="H369" t="s">
        <v>1247</v>
      </c>
      <c r="I369" t="s">
        <v>3489</v>
      </c>
      <c r="J369" s="455">
        <v>46194</v>
      </c>
      <c r="K369" s="455">
        <v>46194</v>
      </c>
      <c r="U369" s="455">
        <v>46202</v>
      </c>
    </row>
    <row r="370" spans="1:21">
      <c r="A370" t="s">
        <v>1751</v>
      </c>
      <c r="B370" t="s">
        <v>3058</v>
      </c>
      <c r="C370" t="s">
        <v>1751</v>
      </c>
      <c r="D370">
        <v>20561048</v>
      </c>
      <c r="E370" t="s">
        <v>1907</v>
      </c>
      <c r="F370" t="s">
        <v>1239</v>
      </c>
      <c r="G370" t="s">
        <v>3129</v>
      </c>
      <c r="H370" t="s">
        <v>3131</v>
      </c>
      <c r="I370" t="s">
        <v>3039</v>
      </c>
      <c r="J370" s="455">
        <v>46193</v>
      </c>
      <c r="K370" s="455">
        <v>46200</v>
      </c>
      <c r="L370" s="455">
        <v>46200</v>
      </c>
      <c r="U370" s="455">
        <v>46262</v>
      </c>
    </row>
    <row r="371" spans="1:21">
      <c r="A371" t="s">
        <v>1751</v>
      </c>
      <c r="B371" t="s">
        <v>3490</v>
      </c>
      <c r="C371" t="s">
        <v>1751</v>
      </c>
      <c r="D371">
        <v>20564954</v>
      </c>
      <c r="E371" t="s">
        <v>3128</v>
      </c>
      <c r="F371" t="s">
        <v>1241</v>
      </c>
      <c r="G371" t="s">
        <v>3134</v>
      </c>
      <c r="H371" t="s">
        <v>1252</v>
      </c>
      <c r="J371" s="455">
        <v>46198</v>
      </c>
      <c r="U371" s="455">
        <v>46228</v>
      </c>
    </row>
    <row r="372" spans="1:21">
      <c r="A372" t="s">
        <v>1751</v>
      </c>
      <c r="B372" t="s">
        <v>3491</v>
      </c>
      <c r="C372" t="s">
        <v>1751</v>
      </c>
      <c r="D372">
        <v>20551825</v>
      </c>
      <c r="E372" t="s">
        <v>3128</v>
      </c>
      <c r="F372" t="s">
        <v>1241</v>
      </c>
      <c r="G372" t="s">
        <v>3143</v>
      </c>
      <c r="H372" t="s">
        <v>1251</v>
      </c>
      <c r="J372" s="455">
        <v>46184</v>
      </c>
      <c r="U372" s="455">
        <v>46184</v>
      </c>
    </row>
    <row r="373" spans="1:21">
      <c r="A373" t="s">
        <v>1751</v>
      </c>
      <c r="B373" t="s">
        <v>3492</v>
      </c>
      <c r="C373" t="s">
        <v>1751</v>
      </c>
      <c r="D373">
        <v>20533918</v>
      </c>
      <c r="E373" t="s">
        <v>3190</v>
      </c>
      <c r="F373" t="s">
        <v>1241</v>
      </c>
      <c r="G373" t="s">
        <v>3134</v>
      </c>
      <c r="H373" t="s">
        <v>1247</v>
      </c>
      <c r="I373" t="s">
        <v>1532</v>
      </c>
      <c r="J373" s="455">
        <v>46164</v>
      </c>
      <c r="K373" s="455">
        <v>46164</v>
      </c>
      <c r="R373" s="455">
        <v>46179</v>
      </c>
      <c r="U373" s="455">
        <v>46171</v>
      </c>
    </row>
    <row r="374" spans="1:21">
      <c r="A374" t="s">
        <v>1751</v>
      </c>
      <c r="B374" t="s">
        <v>3493</v>
      </c>
      <c r="C374" t="s">
        <v>1751</v>
      </c>
      <c r="D374">
        <v>20569758</v>
      </c>
      <c r="E374" t="s">
        <v>3128</v>
      </c>
      <c r="F374" t="s">
        <v>1241</v>
      </c>
      <c r="G374" t="s">
        <v>3134</v>
      </c>
      <c r="H374" t="s">
        <v>1252</v>
      </c>
      <c r="J374" s="455">
        <v>46203</v>
      </c>
      <c r="U374" s="455">
        <v>46267</v>
      </c>
    </row>
    <row r="375" spans="1:21">
      <c r="A375" t="s">
        <v>1751</v>
      </c>
      <c r="B375" t="s">
        <v>3494</v>
      </c>
      <c r="C375" t="s">
        <v>1751</v>
      </c>
      <c r="D375">
        <v>20534912</v>
      </c>
      <c r="E375" t="s">
        <v>3133</v>
      </c>
      <c r="F375" t="s">
        <v>1241</v>
      </c>
      <c r="G375" t="s">
        <v>3134</v>
      </c>
      <c r="H375" t="s">
        <v>1247</v>
      </c>
      <c r="I375" t="s">
        <v>3258</v>
      </c>
      <c r="J375" s="455">
        <v>46166</v>
      </c>
      <c r="K375" s="455">
        <v>46166</v>
      </c>
      <c r="R375" s="455">
        <v>46190</v>
      </c>
      <c r="U375" s="455">
        <v>46167</v>
      </c>
    </row>
    <row r="376" spans="1:21">
      <c r="A376" t="s">
        <v>1751</v>
      </c>
      <c r="B376" t="s">
        <v>3495</v>
      </c>
      <c r="C376" t="s">
        <v>1751</v>
      </c>
      <c r="D376">
        <v>20562643</v>
      </c>
      <c r="E376" t="s">
        <v>3128</v>
      </c>
      <c r="F376" t="s">
        <v>1782</v>
      </c>
      <c r="G376" t="s">
        <v>3134</v>
      </c>
      <c r="H376" t="s">
        <v>3165</v>
      </c>
      <c r="J376" s="455">
        <v>46195</v>
      </c>
      <c r="U376" s="455">
        <v>46196</v>
      </c>
    </row>
    <row r="377" spans="1:21">
      <c r="A377" t="s">
        <v>1751</v>
      </c>
      <c r="B377" t="s">
        <v>3496</v>
      </c>
      <c r="C377" t="s">
        <v>1751</v>
      </c>
      <c r="D377">
        <v>20510770</v>
      </c>
      <c r="E377" t="s">
        <v>3142</v>
      </c>
      <c r="F377" t="s">
        <v>1237</v>
      </c>
      <c r="G377" t="s">
        <v>3143</v>
      </c>
      <c r="H377" t="s">
        <v>1252</v>
      </c>
      <c r="I377" t="s">
        <v>3497</v>
      </c>
      <c r="J377" s="455">
        <v>46139</v>
      </c>
      <c r="K377" s="455">
        <v>46164</v>
      </c>
      <c r="L377" s="455">
        <v>46173</v>
      </c>
      <c r="M377" s="455">
        <v>46185</v>
      </c>
      <c r="N377" s="455">
        <v>46185</v>
      </c>
      <c r="O377" s="455">
        <v>46186</v>
      </c>
      <c r="P377" s="455">
        <v>46186</v>
      </c>
      <c r="Q377" s="455">
        <v>46186</v>
      </c>
      <c r="U377" s="455">
        <v>46186</v>
      </c>
    </row>
    <row r="378" spans="1:21">
      <c r="A378" t="s">
        <v>1751</v>
      </c>
      <c r="B378" t="s">
        <v>3498</v>
      </c>
      <c r="C378" t="s">
        <v>1751</v>
      </c>
      <c r="D378">
        <v>20484776</v>
      </c>
      <c r="E378" t="s">
        <v>3133</v>
      </c>
      <c r="F378" t="s">
        <v>1782</v>
      </c>
      <c r="G378" t="s">
        <v>3134</v>
      </c>
      <c r="H378" t="s">
        <v>1247</v>
      </c>
      <c r="I378" t="s">
        <v>1784</v>
      </c>
      <c r="J378" s="455">
        <v>46113</v>
      </c>
      <c r="K378" s="455">
        <v>46113</v>
      </c>
      <c r="R378" s="455">
        <v>46177</v>
      </c>
      <c r="U378" s="455">
        <v>46115</v>
      </c>
    </row>
    <row r="379" spans="1:21">
      <c r="A379" t="s">
        <v>1751</v>
      </c>
      <c r="B379" t="s">
        <v>3499</v>
      </c>
      <c r="C379" t="s">
        <v>1751</v>
      </c>
      <c r="D379">
        <v>20564631</v>
      </c>
      <c r="E379" t="s">
        <v>3128</v>
      </c>
      <c r="F379" t="s">
        <v>1241</v>
      </c>
      <c r="G379" t="s">
        <v>3134</v>
      </c>
      <c r="H379" t="s">
        <v>3165</v>
      </c>
      <c r="J379" s="455">
        <v>46197</v>
      </c>
      <c r="U379" s="455">
        <v>46202</v>
      </c>
    </row>
    <row r="380" spans="1:21">
      <c r="A380" t="s">
        <v>1751</v>
      </c>
      <c r="B380" t="s">
        <v>3500</v>
      </c>
      <c r="C380" t="s">
        <v>1751</v>
      </c>
      <c r="D380">
        <v>20569736</v>
      </c>
      <c r="E380" t="s">
        <v>3128</v>
      </c>
      <c r="F380" t="s">
        <v>1241</v>
      </c>
      <c r="G380" t="s">
        <v>2009</v>
      </c>
      <c r="H380" t="s">
        <v>1252</v>
      </c>
      <c r="J380" s="455">
        <v>46203</v>
      </c>
      <c r="U380" s="455">
        <v>46203</v>
      </c>
    </row>
    <row r="381" spans="1:21">
      <c r="A381" t="s">
        <v>1751</v>
      </c>
      <c r="B381" t="s">
        <v>3501</v>
      </c>
      <c r="C381" t="s">
        <v>1751</v>
      </c>
      <c r="D381">
        <v>20541246</v>
      </c>
      <c r="E381" t="s">
        <v>3128</v>
      </c>
      <c r="F381" t="s">
        <v>1782</v>
      </c>
      <c r="G381" t="s">
        <v>3141</v>
      </c>
      <c r="H381" t="s">
        <v>1252</v>
      </c>
      <c r="J381" s="455">
        <v>46174</v>
      </c>
      <c r="U381" s="455">
        <v>46235</v>
      </c>
    </row>
    <row r="382" spans="1:21">
      <c r="A382" t="s">
        <v>1751</v>
      </c>
      <c r="B382" t="s">
        <v>3502</v>
      </c>
      <c r="C382" t="s">
        <v>1751</v>
      </c>
      <c r="D382">
        <v>20547756</v>
      </c>
      <c r="E382" t="s">
        <v>3128</v>
      </c>
      <c r="F382" t="s">
        <v>1241</v>
      </c>
      <c r="G382" t="s">
        <v>3134</v>
      </c>
      <c r="H382" t="s">
        <v>3165</v>
      </c>
      <c r="J382" s="455">
        <v>46180</v>
      </c>
      <c r="U382" s="455">
        <v>46235</v>
      </c>
    </row>
    <row r="383" spans="1:21">
      <c r="A383" t="s">
        <v>1751</v>
      </c>
      <c r="B383" t="s">
        <v>3503</v>
      </c>
      <c r="C383" t="s">
        <v>1751</v>
      </c>
      <c r="D383">
        <v>20568254</v>
      </c>
      <c r="E383" t="s">
        <v>3128</v>
      </c>
      <c r="F383" t="s">
        <v>1782</v>
      </c>
      <c r="G383" t="s">
        <v>3129</v>
      </c>
      <c r="H383" t="s">
        <v>1253</v>
      </c>
      <c r="J383" s="455">
        <v>46202</v>
      </c>
      <c r="U383" s="455">
        <v>46235</v>
      </c>
    </row>
    <row r="384" spans="1:21">
      <c r="A384" t="s">
        <v>1751</v>
      </c>
      <c r="B384" t="s">
        <v>3504</v>
      </c>
      <c r="C384" t="s">
        <v>1751</v>
      </c>
      <c r="D384">
        <v>20552093</v>
      </c>
      <c r="E384" t="s">
        <v>3128</v>
      </c>
      <c r="F384" t="s">
        <v>1238</v>
      </c>
      <c r="G384" t="s">
        <v>3143</v>
      </c>
      <c r="H384" t="s">
        <v>1248</v>
      </c>
      <c r="I384" t="s">
        <v>3344</v>
      </c>
      <c r="J384" s="455">
        <v>46184</v>
      </c>
      <c r="U384" s="455">
        <v>46211</v>
      </c>
    </row>
    <row r="385" spans="1:21">
      <c r="A385" t="s">
        <v>1751</v>
      </c>
      <c r="B385" t="s">
        <v>3505</v>
      </c>
      <c r="C385" t="s">
        <v>1751</v>
      </c>
      <c r="D385">
        <v>20548236</v>
      </c>
      <c r="E385" t="s">
        <v>3128</v>
      </c>
      <c r="F385" t="s">
        <v>1241</v>
      </c>
      <c r="G385" t="s">
        <v>3134</v>
      </c>
      <c r="H385" t="s">
        <v>1252</v>
      </c>
      <c r="J385" s="455">
        <v>46181</v>
      </c>
      <c r="U385" s="455">
        <v>46182</v>
      </c>
    </row>
    <row r="386" spans="1:21">
      <c r="A386" t="s">
        <v>1751</v>
      </c>
      <c r="B386" t="s">
        <v>3506</v>
      </c>
      <c r="C386" t="s">
        <v>1751</v>
      </c>
      <c r="D386">
        <v>20563996</v>
      </c>
      <c r="E386" t="s">
        <v>3128</v>
      </c>
      <c r="F386" t="s">
        <v>1241</v>
      </c>
      <c r="G386" t="s">
        <v>3137</v>
      </c>
      <c r="H386" t="s">
        <v>1251</v>
      </c>
      <c r="J386" s="455">
        <v>46197</v>
      </c>
      <c r="U386" s="455">
        <v>46197</v>
      </c>
    </row>
    <row r="387" spans="1:21">
      <c r="A387" t="s">
        <v>1751</v>
      </c>
      <c r="B387" t="s">
        <v>3507</v>
      </c>
      <c r="C387" t="s">
        <v>1751</v>
      </c>
      <c r="D387">
        <v>20557344</v>
      </c>
      <c r="E387" t="s">
        <v>3128</v>
      </c>
      <c r="F387" t="s">
        <v>1237</v>
      </c>
      <c r="G387" t="s">
        <v>3137</v>
      </c>
      <c r="H387" t="s">
        <v>1252</v>
      </c>
      <c r="J387" s="455">
        <v>46189</v>
      </c>
      <c r="U387" s="455">
        <v>46235</v>
      </c>
    </row>
    <row r="388" spans="1:21">
      <c r="A388" t="s">
        <v>1751</v>
      </c>
      <c r="B388" t="s">
        <v>3508</v>
      </c>
      <c r="C388" t="s">
        <v>1751</v>
      </c>
      <c r="D388">
        <v>20554075</v>
      </c>
      <c r="E388" t="s">
        <v>3128</v>
      </c>
      <c r="F388" t="s">
        <v>1782</v>
      </c>
      <c r="G388" t="s">
        <v>3141</v>
      </c>
      <c r="H388" t="s">
        <v>1252</v>
      </c>
      <c r="J388" s="455">
        <v>46185</v>
      </c>
      <c r="U388" s="455">
        <v>46204</v>
      </c>
    </row>
    <row r="389" spans="1:21">
      <c r="A389" t="s">
        <v>1751</v>
      </c>
      <c r="B389" t="s">
        <v>3509</v>
      </c>
      <c r="C389" t="s">
        <v>1751</v>
      </c>
      <c r="D389">
        <v>20552523</v>
      </c>
      <c r="E389" t="s">
        <v>3128</v>
      </c>
      <c r="F389" t="s">
        <v>1239</v>
      </c>
      <c r="G389" t="s">
        <v>3134</v>
      </c>
      <c r="H389" t="s">
        <v>1252</v>
      </c>
      <c r="J389" s="455">
        <v>46184</v>
      </c>
      <c r="U389" s="455">
        <v>46189</v>
      </c>
    </row>
    <row r="390" spans="1:21">
      <c r="A390" t="s">
        <v>1751</v>
      </c>
      <c r="B390" t="s">
        <v>3510</v>
      </c>
      <c r="C390" t="s">
        <v>1751</v>
      </c>
      <c r="D390">
        <v>20492800</v>
      </c>
      <c r="E390" t="s">
        <v>3133</v>
      </c>
      <c r="F390" t="s">
        <v>1912</v>
      </c>
      <c r="G390" t="s">
        <v>3134</v>
      </c>
      <c r="H390" t="s">
        <v>1247</v>
      </c>
      <c r="I390" t="s">
        <v>2127</v>
      </c>
      <c r="J390" s="455">
        <v>46124</v>
      </c>
      <c r="K390" s="455">
        <v>46124</v>
      </c>
      <c r="R390" s="455">
        <v>46181</v>
      </c>
      <c r="U390" s="455">
        <v>46136</v>
      </c>
    </row>
    <row r="391" spans="1:21">
      <c r="A391" t="s">
        <v>1751</v>
      </c>
      <c r="B391" t="s">
        <v>3511</v>
      </c>
      <c r="C391" t="s">
        <v>1751</v>
      </c>
      <c r="D391">
        <v>20517502</v>
      </c>
      <c r="E391" t="s">
        <v>3133</v>
      </c>
      <c r="F391" t="s">
        <v>1242</v>
      </c>
      <c r="G391" t="s">
        <v>3134</v>
      </c>
      <c r="H391" t="s">
        <v>1247</v>
      </c>
      <c r="J391" s="455">
        <v>46147</v>
      </c>
      <c r="K391" s="455">
        <v>46147</v>
      </c>
      <c r="L391" s="455">
        <v>46147</v>
      </c>
      <c r="R391" s="455">
        <v>46185</v>
      </c>
      <c r="U391" s="455">
        <v>46147</v>
      </c>
    </row>
    <row r="392" spans="1:21">
      <c r="A392" t="s">
        <v>1751</v>
      </c>
      <c r="B392" t="s">
        <v>3512</v>
      </c>
      <c r="C392" t="s">
        <v>1751</v>
      </c>
      <c r="D392">
        <v>20549671</v>
      </c>
      <c r="E392" t="s">
        <v>3128</v>
      </c>
      <c r="F392" t="s">
        <v>1241</v>
      </c>
      <c r="G392" t="s">
        <v>3129</v>
      </c>
      <c r="H392" t="s">
        <v>1252</v>
      </c>
      <c r="J392" s="455">
        <v>46182</v>
      </c>
      <c r="U392" s="455">
        <v>46266</v>
      </c>
    </row>
    <row r="393" spans="1:21">
      <c r="A393" t="s">
        <v>1751</v>
      </c>
      <c r="B393" t="s">
        <v>3513</v>
      </c>
      <c r="C393" t="s">
        <v>1751</v>
      </c>
      <c r="D393">
        <v>20553374</v>
      </c>
      <c r="E393" t="s">
        <v>3128</v>
      </c>
      <c r="F393" t="s">
        <v>1782</v>
      </c>
      <c r="G393" t="s">
        <v>3129</v>
      </c>
      <c r="H393" t="s">
        <v>1253</v>
      </c>
      <c r="J393" s="455">
        <v>46185</v>
      </c>
      <c r="U393" s="455">
        <v>46185</v>
      </c>
    </row>
    <row r="394" spans="1:21">
      <c r="A394" t="s">
        <v>1751</v>
      </c>
      <c r="B394" t="s">
        <v>3514</v>
      </c>
      <c r="C394" t="s">
        <v>1751</v>
      </c>
      <c r="D394">
        <v>20534997</v>
      </c>
      <c r="E394" t="s">
        <v>3133</v>
      </c>
      <c r="F394" t="s">
        <v>1241</v>
      </c>
      <c r="G394" t="s">
        <v>3134</v>
      </c>
      <c r="H394" t="s">
        <v>3515</v>
      </c>
      <c r="J394" s="455">
        <v>46166</v>
      </c>
      <c r="K394" s="455">
        <v>46166</v>
      </c>
      <c r="R394" s="455">
        <v>46190</v>
      </c>
      <c r="U394" s="455">
        <v>46167</v>
      </c>
    </row>
    <row r="395" spans="1:21">
      <c r="A395" t="s">
        <v>1751</v>
      </c>
      <c r="B395" t="s">
        <v>3516</v>
      </c>
      <c r="C395" t="s">
        <v>1751</v>
      </c>
      <c r="D395">
        <v>20541232</v>
      </c>
      <c r="E395" t="s">
        <v>3128</v>
      </c>
      <c r="F395" t="s">
        <v>1239</v>
      </c>
      <c r="G395" t="s">
        <v>3137</v>
      </c>
      <c r="H395" t="s">
        <v>1247</v>
      </c>
      <c r="I395" t="s">
        <v>1808</v>
      </c>
      <c r="J395" s="455">
        <v>46174</v>
      </c>
      <c r="U395" s="455">
        <v>46174</v>
      </c>
    </row>
    <row r="396" spans="1:21">
      <c r="A396" t="s">
        <v>1751</v>
      </c>
      <c r="B396" t="s">
        <v>3517</v>
      </c>
      <c r="C396" t="s">
        <v>1751</v>
      </c>
      <c r="D396">
        <v>20543236</v>
      </c>
      <c r="E396" t="s">
        <v>3128</v>
      </c>
      <c r="F396" t="s">
        <v>1238</v>
      </c>
      <c r="G396" t="s">
        <v>3143</v>
      </c>
      <c r="H396" t="s">
        <v>1248</v>
      </c>
      <c r="I396" t="s">
        <v>3344</v>
      </c>
      <c r="J396" s="455">
        <v>46176</v>
      </c>
      <c r="U396" s="455">
        <v>46191</v>
      </c>
    </row>
    <row r="397" spans="1:21">
      <c r="A397" t="s">
        <v>1751</v>
      </c>
      <c r="B397" t="s">
        <v>3518</v>
      </c>
      <c r="C397" t="s">
        <v>1751</v>
      </c>
      <c r="D397">
        <v>20549866</v>
      </c>
      <c r="E397" t="s">
        <v>3133</v>
      </c>
      <c r="F397" t="s">
        <v>1239</v>
      </c>
      <c r="G397" t="s">
        <v>3143</v>
      </c>
      <c r="H397" t="s">
        <v>1247</v>
      </c>
      <c r="I397" t="s">
        <v>2975</v>
      </c>
      <c r="J397" s="455">
        <v>46182</v>
      </c>
      <c r="K397" s="455">
        <v>46190</v>
      </c>
      <c r="L397" s="455">
        <v>46190</v>
      </c>
      <c r="S397" s="455">
        <v>46193</v>
      </c>
      <c r="U397" s="455">
        <v>46241</v>
      </c>
    </row>
    <row r="398" spans="1:21">
      <c r="A398" t="s">
        <v>1751</v>
      </c>
      <c r="B398" t="s">
        <v>3519</v>
      </c>
      <c r="C398" t="s">
        <v>1751</v>
      </c>
      <c r="D398">
        <v>20528573</v>
      </c>
      <c r="E398" t="s">
        <v>3133</v>
      </c>
      <c r="F398" t="s">
        <v>1241</v>
      </c>
      <c r="G398" t="s">
        <v>3134</v>
      </c>
      <c r="H398" t="s">
        <v>1247</v>
      </c>
      <c r="I398" t="s">
        <v>1917</v>
      </c>
      <c r="J398" s="455">
        <v>46158</v>
      </c>
      <c r="K398" s="455">
        <v>46158</v>
      </c>
      <c r="R398" s="455">
        <v>46190</v>
      </c>
      <c r="U398" s="455">
        <v>46172</v>
      </c>
    </row>
    <row r="399" spans="1:21">
      <c r="A399" t="s">
        <v>1751</v>
      </c>
      <c r="B399" t="s">
        <v>3520</v>
      </c>
      <c r="C399" t="s">
        <v>1751</v>
      </c>
      <c r="D399">
        <v>20559725</v>
      </c>
      <c r="E399" t="s">
        <v>3128</v>
      </c>
      <c r="F399" t="s">
        <v>1782</v>
      </c>
      <c r="G399" t="s">
        <v>3134</v>
      </c>
      <c r="H399" t="s">
        <v>1252</v>
      </c>
      <c r="J399" s="455">
        <v>46191</v>
      </c>
      <c r="U399" s="455">
        <v>46223</v>
      </c>
    </row>
    <row r="400" spans="1:21">
      <c r="A400" t="s">
        <v>1751</v>
      </c>
      <c r="B400" t="s">
        <v>3521</v>
      </c>
      <c r="C400" t="s">
        <v>1751</v>
      </c>
      <c r="D400">
        <v>20547862</v>
      </c>
      <c r="E400" t="s">
        <v>3128</v>
      </c>
      <c r="F400" t="s">
        <v>1241</v>
      </c>
      <c r="G400" t="s">
        <v>3137</v>
      </c>
      <c r="H400" t="s">
        <v>1252</v>
      </c>
      <c r="J400" s="455">
        <v>46181</v>
      </c>
      <c r="U400" s="455">
        <v>46249</v>
      </c>
    </row>
    <row r="401" spans="1:21">
      <c r="A401" t="s">
        <v>1751</v>
      </c>
      <c r="B401" t="s">
        <v>3522</v>
      </c>
      <c r="C401" t="s">
        <v>1751</v>
      </c>
      <c r="D401">
        <v>20562098</v>
      </c>
      <c r="E401" t="s">
        <v>3128</v>
      </c>
      <c r="F401" t="s">
        <v>1241</v>
      </c>
      <c r="G401" t="s">
        <v>3129</v>
      </c>
      <c r="H401" t="s">
        <v>3487</v>
      </c>
      <c r="J401" s="455">
        <v>46195</v>
      </c>
      <c r="U401" s="455">
        <v>46195</v>
      </c>
    </row>
    <row r="402" spans="1:21">
      <c r="A402" t="s">
        <v>1751</v>
      </c>
      <c r="B402" t="s">
        <v>3523</v>
      </c>
      <c r="C402" t="s">
        <v>1751</v>
      </c>
      <c r="D402">
        <v>20562397</v>
      </c>
      <c r="E402" t="s">
        <v>3128</v>
      </c>
      <c r="F402" t="s">
        <v>1241</v>
      </c>
      <c r="G402" t="s">
        <v>3129</v>
      </c>
      <c r="H402" t="s">
        <v>1253</v>
      </c>
      <c r="J402" s="455">
        <v>46195</v>
      </c>
      <c r="U402" s="455">
        <v>46195</v>
      </c>
    </row>
    <row r="403" spans="1:21">
      <c r="A403" t="s">
        <v>1751</v>
      </c>
      <c r="B403" t="s">
        <v>3524</v>
      </c>
      <c r="C403" t="s">
        <v>1751</v>
      </c>
      <c r="D403">
        <v>20566816</v>
      </c>
      <c r="E403" t="s">
        <v>3128</v>
      </c>
      <c r="F403" t="s">
        <v>1241</v>
      </c>
      <c r="G403" t="s">
        <v>3137</v>
      </c>
      <c r="H403" t="s">
        <v>1247</v>
      </c>
      <c r="J403" s="455">
        <v>46199</v>
      </c>
      <c r="U403" s="455">
        <v>46204</v>
      </c>
    </row>
    <row r="404" spans="1:21">
      <c r="A404" t="s">
        <v>1751</v>
      </c>
      <c r="B404" t="s">
        <v>3525</v>
      </c>
      <c r="C404" t="s">
        <v>1751</v>
      </c>
      <c r="D404">
        <v>20530840</v>
      </c>
      <c r="E404" t="s">
        <v>3133</v>
      </c>
      <c r="F404" t="s">
        <v>1241</v>
      </c>
      <c r="G404" t="s">
        <v>3134</v>
      </c>
      <c r="H404" t="s">
        <v>1247</v>
      </c>
      <c r="I404" t="s">
        <v>1554</v>
      </c>
      <c r="J404" s="455">
        <v>46161</v>
      </c>
      <c r="K404" s="455">
        <v>46161</v>
      </c>
      <c r="R404" s="455">
        <v>46179</v>
      </c>
      <c r="U404" s="455">
        <v>46170</v>
      </c>
    </row>
    <row r="405" spans="1:21">
      <c r="A405" t="s">
        <v>1751</v>
      </c>
      <c r="B405" t="s">
        <v>3525</v>
      </c>
      <c r="C405" t="s">
        <v>1751</v>
      </c>
      <c r="D405">
        <v>20546965</v>
      </c>
      <c r="E405" t="s">
        <v>3128</v>
      </c>
      <c r="F405" t="s">
        <v>1912</v>
      </c>
      <c r="G405" t="s">
        <v>2009</v>
      </c>
      <c r="H405" t="s">
        <v>1247</v>
      </c>
      <c r="J405" s="455">
        <v>46179</v>
      </c>
      <c r="U405" s="455">
        <v>46179</v>
      </c>
    </row>
    <row r="406" spans="1:21">
      <c r="A406" t="s">
        <v>1751</v>
      </c>
      <c r="B406" t="s">
        <v>3526</v>
      </c>
      <c r="C406" t="s">
        <v>1751</v>
      </c>
      <c r="D406">
        <v>20566860</v>
      </c>
      <c r="E406" t="s">
        <v>3128</v>
      </c>
      <c r="F406" t="s">
        <v>1241</v>
      </c>
      <c r="G406" t="s">
        <v>3134</v>
      </c>
      <c r="H406" t="s">
        <v>1252</v>
      </c>
      <c r="J406" s="455">
        <v>46200</v>
      </c>
      <c r="U406" s="455">
        <v>46217</v>
      </c>
    </row>
    <row r="407" spans="1:21">
      <c r="A407" t="s">
        <v>1751</v>
      </c>
      <c r="B407" t="s">
        <v>3527</v>
      </c>
      <c r="C407" t="s">
        <v>1751</v>
      </c>
      <c r="D407">
        <v>20565954</v>
      </c>
      <c r="E407" t="s">
        <v>3128</v>
      </c>
      <c r="F407" t="s">
        <v>1241</v>
      </c>
      <c r="G407" t="s">
        <v>3134</v>
      </c>
      <c r="H407" t="s">
        <v>3165</v>
      </c>
      <c r="J407" s="455">
        <v>46198</v>
      </c>
      <c r="U407" s="455">
        <v>46218</v>
      </c>
    </row>
    <row r="408" spans="1:21">
      <c r="A408" t="s">
        <v>1751</v>
      </c>
      <c r="B408" t="s">
        <v>3528</v>
      </c>
      <c r="C408" t="s">
        <v>1751</v>
      </c>
      <c r="D408">
        <v>20556700</v>
      </c>
      <c r="E408" t="s">
        <v>3142</v>
      </c>
      <c r="F408" t="s">
        <v>1242</v>
      </c>
      <c r="G408" t="s">
        <v>3134</v>
      </c>
      <c r="H408" t="s">
        <v>1247</v>
      </c>
      <c r="I408" t="s">
        <v>3529</v>
      </c>
      <c r="J408" s="455">
        <v>46189</v>
      </c>
      <c r="K408" s="455">
        <v>46189</v>
      </c>
      <c r="L408" s="455">
        <v>46190</v>
      </c>
      <c r="M408" s="455">
        <v>46199</v>
      </c>
      <c r="N408" s="455">
        <v>46199</v>
      </c>
      <c r="P408" s="455">
        <v>46199</v>
      </c>
      <c r="Q408" s="455">
        <v>46199</v>
      </c>
      <c r="U408" s="455">
        <v>46214</v>
      </c>
    </row>
    <row r="409" spans="1:21">
      <c r="A409" t="s">
        <v>1751</v>
      </c>
      <c r="B409" t="s">
        <v>3530</v>
      </c>
      <c r="C409" t="s">
        <v>1751</v>
      </c>
      <c r="D409">
        <v>20501465</v>
      </c>
      <c r="E409" t="s">
        <v>3133</v>
      </c>
      <c r="F409" t="s">
        <v>1241</v>
      </c>
      <c r="G409" t="s">
        <v>3134</v>
      </c>
      <c r="H409" t="s">
        <v>1247</v>
      </c>
      <c r="J409" s="455">
        <v>46131</v>
      </c>
      <c r="K409" s="455">
        <v>46131</v>
      </c>
      <c r="R409" s="455">
        <v>46189</v>
      </c>
      <c r="U409" s="455">
        <v>46131</v>
      </c>
    </row>
    <row r="410" spans="1:21">
      <c r="A410" t="s">
        <v>1751</v>
      </c>
      <c r="B410" t="s">
        <v>3531</v>
      </c>
      <c r="C410" t="s">
        <v>1751</v>
      </c>
      <c r="D410">
        <v>20547473</v>
      </c>
      <c r="E410" t="s">
        <v>3128</v>
      </c>
      <c r="F410" t="s">
        <v>1241</v>
      </c>
      <c r="G410" t="s">
        <v>3137</v>
      </c>
      <c r="H410" t="s">
        <v>1252</v>
      </c>
      <c r="J410" s="455">
        <v>46180</v>
      </c>
      <c r="U410" s="455">
        <v>46216</v>
      </c>
    </row>
    <row r="411" spans="1:21">
      <c r="A411" t="s">
        <v>1751</v>
      </c>
      <c r="B411" t="s">
        <v>3532</v>
      </c>
      <c r="C411" t="s">
        <v>1751</v>
      </c>
      <c r="D411">
        <v>20520220</v>
      </c>
      <c r="E411" t="s">
        <v>3133</v>
      </c>
      <c r="F411" t="s">
        <v>1238</v>
      </c>
      <c r="G411" t="s">
        <v>3134</v>
      </c>
      <c r="H411" t="s">
        <v>1247</v>
      </c>
      <c r="I411" t="s">
        <v>3533</v>
      </c>
      <c r="J411" s="455">
        <v>46150</v>
      </c>
      <c r="K411" s="455">
        <v>46150</v>
      </c>
      <c r="R411" s="455">
        <v>46185</v>
      </c>
      <c r="U411" s="455">
        <v>46150</v>
      </c>
    </row>
    <row r="412" spans="1:21">
      <c r="A412" t="s">
        <v>1751</v>
      </c>
      <c r="B412" t="s">
        <v>3534</v>
      </c>
      <c r="C412" t="s">
        <v>1751</v>
      </c>
      <c r="D412">
        <v>20522228</v>
      </c>
      <c r="E412" t="s">
        <v>3133</v>
      </c>
      <c r="F412" t="s">
        <v>1912</v>
      </c>
      <c r="G412" t="s">
        <v>3134</v>
      </c>
      <c r="H412" t="s">
        <v>1247</v>
      </c>
      <c r="J412" s="455">
        <v>46153</v>
      </c>
      <c r="K412" s="455">
        <v>46153</v>
      </c>
      <c r="R412" s="455">
        <v>46189</v>
      </c>
      <c r="U412" s="455">
        <v>46153</v>
      </c>
    </row>
    <row r="413" spans="1:21">
      <c r="A413" t="s">
        <v>1751</v>
      </c>
      <c r="B413" t="s">
        <v>3534</v>
      </c>
      <c r="C413" t="s">
        <v>1751</v>
      </c>
      <c r="D413">
        <v>20514603</v>
      </c>
      <c r="E413" t="s">
        <v>3133</v>
      </c>
      <c r="F413" t="s">
        <v>1782</v>
      </c>
      <c r="G413" t="s">
        <v>3134</v>
      </c>
      <c r="H413" t="s">
        <v>3165</v>
      </c>
      <c r="J413" s="455">
        <v>46143</v>
      </c>
      <c r="K413" s="455">
        <v>46153</v>
      </c>
      <c r="R413" s="455">
        <v>46189</v>
      </c>
      <c r="U413" s="455">
        <v>46154</v>
      </c>
    </row>
    <row r="414" spans="1:21">
      <c r="A414" t="s">
        <v>1751</v>
      </c>
      <c r="B414" t="s">
        <v>3535</v>
      </c>
      <c r="C414" t="s">
        <v>1751</v>
      </c>
      <c r="D414">
        <v>20557661</v>
      </c>
      <c r="E414" t="s">
        <v>3128</v>
      </c>
      <c r="F414" t="s">
        <v>1782</v>
      </c>
      <c r="G414" t="s">
        <v>3134</v>
      </c>
      <c r="H414" t="s">
        <v>3165</v>
      </c>
      <c r="J414" s="455">
        <v>46189</v>
      </c>
      <c r="U414" s="455">
        <v>46190</v>
      </c>
    </row>
    <row r="415" spans="1:21">
      <c r="A415" t="s">
        <v>1751</v>
      </c>
      <c r="B415" t="s">
        <v>3536</v>
      </c>
      <c r="C415" t="s">
        <v>1751</v>
      </c>
      <c r="D415">
        <v>20542984</v>
      </c>
      <c r="E415" t="s">
        <v>3133</v>
      </c>
      <c r="F415" t="s">
        <v>1782</v>
      </c>
      <c r="G415" t="s">
        <v>3134</v>
      </c>
      <c r="H415" t="s">
        <v>1252</v>
      </c>
      <c r="J415" s="455">
        <v>46176</v>
      </c>
      <c r="K415" s="455">
        <v>46181</v>
      </c>
      <c r="R415" s="455">
        <v>46190</v>
      </c>
      <c r="U415" s="455">
        <v>46235</v>
      </c>
    </row>
    <row r="416" spans="1:21">
      <c r="A416" t="s">
        <v>1751</v>
      </c>
      <c r="B416" t="s">
        <v>3537</v>
      </c>
      <c r="C416" t="s">
        <v>1751</v>
      </c>
      <c r="D416">
        <v>20569371</v>
      </c>
      <c r="E416" t="s">
        <v>3128</v>
      </c>
      <c r="F416" t="s">
        <v>1241</v>
      </c>
      <c r="G416" t="s">
        <v>3137</v>
      </c>
      <c r="H416" t="s">
        <v>1252</v>
      </c>
      <c r="J416" s="455">
        <v>46203</v>
      </c>
      <c r="U416" s="455">
        <v>46263</v>
      </c>
    </row>
    <row r="417" spans="1:21">
      <c r="A417" t="s">
        <v>1751</v>
      </c>
      <c r="B417" t="s">
        <v>3538</v>
      </c>
      <c r="C417" t="s">
        <v>1751</v>
      </c>
      <c r="D417">
        <v>20564395</v>
      </c>
      <c r="E417" t="s">
        <v>3128</v>
      </c>
      <c r="F417" t="s">
        <v>1237</v>
      </c>
      <c r="G417" t="s">
        <v>3129</v>
      </c>
      <c r="H417" t="s">
        <v>3131</v>
      </c>
      <c r="I417" t="s">
        <v>1588</v>
      </c>
      <c r="J417" s="455">
        <v>46197</v>
      </c>
      <c r="U417" s="455">
        <v>46204</v>
      </c>
    </row>
    <row r="418" spans="1:21">
      <c r="A418" t="s">
        <v>1751</v>
      </c>
      <c r="B418" t="s">
        <v>3539</v>
      </c>
      <c r="C418" t="s">
        <v>1751</v>
      </c>
      <c r="D418">
        <v>20555706</v>
      </c>
      <c r="E418" t="s">
        <v>3128</v>
      </c>
      <c r="F418" t="s">
        <v>1782</v>
      </c>
      <c r="G418" t="s">
        <v>3134</v>
      </c>
      <c r="H418" t="s">
        <v>3165</v>
      </c>
      <c r="J418" s="455">
        <v>46188</v>
      </c>
      <c r="U418" s="455">
        <v>46189</v>
      </c>
    </row>
    <row r="419" spans="1:21">
      <c r="A419" t="s">
        <v>1751</v>
      </c>
      <c r="B419" t="s">
        <v>3540</v>
      </c>
      <c r="C419" t="s">
        <v>1751</v>
      </c>
      <c r="D419">
        <v>20554232</v>
      </c>
      <c r="E419" t="s">
        <v>3128</v>
      </c>
      <c r="F419" t="s">
        <v>1241</v>
      </c>
      <c r="G419" t="s">
        <v>2009</v>
      </c>
      <c r="H419" t="s">
        <v>1252</v>
      </c>
      <c r="J419" s="455">
        <v>46186</v>
      </c>
      <c r="U419" s="455">
        <v>46198</v>
      </c>
    </row>
    <row r="420" spans="1:21">
      <c r="A420" t="s">
        <v>1751</v>
      </c>
      <c r="B420" t="s">
        <v>3541</v>
      </c>
      <c r="C420" t="s">
        <v>1751</v>
      </c>
      <c r="D420">
        <v>20546081</v>
      </c>
      <c r="E420" t="s">
        <v>3133</v>
      </c>
      <c r="F420" t="s">
        <v>1782</v>
      </c>
      <c r="G420" t="s">
        <v>3134</v>
      </c>
      <c r="H420" t="s">
        <v>1247</v>
      </c>
      <c r="I420" t="s">
        <v>3258</v>
      </c>
      <c r="J420" s="455">
        <v>46178</v>
      </c>
      <c r="K420" s="455">
        <v>46178</v>
      </c>
      <c r="R420" s="455">
        <v>46190</v>
      </c>
      <c r="U420" s="455">
        <v>46178</v>
      </c>
    </row>
    <row r="421" spans="1:21">
      <c r="A421" t="s">
        <v>1751</v>
      </c>
      <c r="B421" t="s">
        <v>3541</v>
      </c>
      <c r="C421" t="s">
        <v>1751</v>
      </c>
      <c r="D421">
        <v>20546080</v>
      </c>
      <c r="E421" t="s">
        <v>3133</v>
      </c>
      <c r="F421" t="s">
        <v>1241</v>
      </c>
      <c r="G421" t="s">
        <v>3134</v>
      </c>
      <c r="H421" t="s">
        <v>3542</v>
      </c>
      <c r="J421" s="455">
        <v>46178</v>
      </c>
      <c r="K421" s="455">
        <v>46178</v>
      </c>
      <c r="R421" s="455">
        <v>46190</v>
      </c>
      <c r="U421" s="455">
        <v>46178</v>
      </c>
    </row>
    <row r="422" spans="1:21">
      <c r="A422" t="s">
        <v>1751</v>
      </c>
      <c r="B422" t="s">
        <v>3541</v>
      </c>
      <c r="C422" t="s">
        <v>1751</v>
      </c>
      <c r="D422">
        <v>20546079</v>
      </c>
      <c r="E422" t="s">
        <v>3133</v>
      </c>
      <c r="F422" t="s">
        <v>1241</v>
      </c>
      <c r="G422" t="s">
        <v>3134</v>
      </c>
      <c r="H422" t="s">
        <v>3542</v>
      </c>
      <c r="J422" s="455">
        <v>46178</v>
      </c>
      <c r="K422" s="455">
        <v>46178</v>
      </c>
      <c r="R422" s="455">
        <v>46190</v>
      </c>
      <c r="U422" s="455">
        <v>46178</v>
      </c>
    </row>
    <row r="423" spans="1:21">
      <c r="A423" t="s">
        <v>1751</v>
      </c>
      <c r="B423" t="s">
        <v>3543</v>
      </c>
      <c r="C423" t="s">
        <v>1751</v>
      </c>
      <c r="D423">
        <v>20448051</v>
      </c>
      <c r="E423" t="s">
        <v>3133</v>
      </c>
      <c r="F423" t="s">
        <v>1799</v>
      </c>
      <c r="G423" t="s">
        <v>3134</v>
      </c>
      <c r="H423" t="s">
        <v>1247</v>
      </c>
      <c r="J423" s="455">
        <v>46065</v>
      </c>
      <c r="K423" s="455">
        <v>46065</v>
      </c>
      <c r="R423" s="455">
        <v>46177</v>
      </c>
      <c r="U423" s="455">
        <v>46065</v>
      </c>
    </row>
    <row r="424" spans="1:21">
      <c r="A424" t="s">
        <v>1751</v>
      </c>
      <c r="B424" t="s">
        <v>3544</v>
      </c>
      <c r="C424" t="s">
        <v>1751</v>
      </c>
      <c r="D424">
        <v>20553874</v>
      </c>
      <c r="E424" t="s">
        <v>3190</v>
      </c>
      <c r="F424" t="s">
        <v>1912</v>
      </c>
      <c r="G424" t="s">
        <v>3134</v>
      </c>
      <c r="H424" t="s">
        <v>1247</v>
      </c>
      <c r="J424" s="455">
        <v>46185</v>
      </c>
      <c r="K424" s="455">
        <v>46185</v>
      </c>
      <c r="R424" s="455">
        <v>46185</v>
      </c>
      <c r="U424" s="455">
        <v>46185</v>
      </c>
    </row>
    <row r="425" spans="1:21">
      <c r="A425" t="s">
        <v>1751</v>
      </c>
      <c r="B425" t="s">
        <v>3544</v>
      </c>
      <c r="C425" t="s">
        <v>1751</v>
      </c>
      <c r="D425">
        <v>20557442</v>
      </c>
      <c r="E425" t="s">
        <v>3128</v>
      </c>
      <c r="F425" t="s">
        <v>1782</v>
      </c>
      <c r="G425" t="s">
        <v>3129</v>
      </c>
      <c r="H425" t="s">
        <v>3377</v>
      </c>
      <c r="J425" s="455">
        <v>46189</v>
      </c>
      <c r="U425" s="455">
        <v>46189</v>
      </c>
    </row>
    <row r="426" spans="1:21">
      <c r="A426" t="s">
        <v>1751</v>
      </c>
      <c r="B426" t="s">
        <v>3545</v>
      </c>
      <c r="C426" t="s">
        <v>1751</v>
      </c>
      <c r="D426">
        <v>20569884</v>
      </c>
      <c r="E426" t="s">
        <v>3128</v>
      </c>
      <c r="F426" t="s">
        <v>1241</v>
      </c>
      <c r="G426" t="s">
        <v>3137</v>
      </c>
      <c r="H426" t="s">
        <v>1252</v>
      </c>
      <c r="J426" s="455">
        <v>46203</v>
      </c>
      <c r="U426" s="455">
        <v>46244</v>
      </c>
    </row>
    <row r="427" spans="1:21">
      <c r="A427" t="s">
        <v>1751</v>
      </c>
      <c r="B427" t="s">
        <v>3546</v>
      </c>
      <c r="C427" t="s">
        <v>1751</v>
      </c>
      <c r="D427">
        <v>20560968</v>
      </c>
      <c r="E427" t="s">
        <v>3128</v>
      </c>
      <c r="F427" t="s">
        <v>1782</v>
      </c>
      <c r="G427" t="s">
        <v>3134</v>
      </c>
      <c r="H427" t="s">
        <v>3165</v>
      </c>
      <c r="J427" s="455">
        <v>46193</v>
      </c>
      <c r="U427" s="455">
        <v>46194</v>
      </c>
    </row>
    <row r="428" spans="1:21">
      <c r="A428" t="s">
        <v>1751</v>
      </c>
      <c r="B428" t="s">
        <v>3547</v>
      </c>
      <c r="C428" t="s">
        <v>1751</v>
      </c>
      <c r="D428">
        <v>20541658</v>
      </c>
      <c r="E428" t="s">
        <v>3133</v>
      </c>
      <c r="F428" t="s">
        <v>1237</v>
      </c>
      <c r="G428" t="s">
        <v>3143</v>
      </c>
      <c r="H428" t="s">
        <v>1248</v>
      </c>
      <c r="I428" t="s">
        <v>2179</v>
      </c>
      <c r="J428" s="455">
        <v>46175</v>
      </c>
      <c r="K428" s="455">
        <v>46182</v>
      </c>
      <c r="R428" s="455">
        <v>46196</v>
      </c>
      <c r="U428" s="455">
        <v>46203</v>
      </c>
    </row>
    <row r="429" spans="1:21">
      <c r="A429" t="s">
        <v>1751</v>
      </c>
      <c r="B429" t="s">
        <v>3547</v>
      </c>
      <c r="C429" t="s">
        <v>1751</v>
      </c>
      <c r="D429">
        <v>20549767</v>
      </c>
      <c r="E429" t="s">
        <v>3133</v>
      </c>
      <c r="F429" t="s">
        <v>1241</v>
      </c>
      <c r="G429" t="s">
        <v>3134</v>
      </c>
      <c r="H429" t="s">
        <v>1252</v>
      </c>
      <c r="J429" s="455">
        <v>46182</v>
      </c>
      <c r="K429" s="455">
        <v>46182</v>
      </c>
      <c r="R429" s="455">
        <v>46196</v>
      </c>
      <c r="U429" s="455">
        <v>46182</v>
      </c>
    </row>
    <row r="430" spans="1:21">
      <c r="A430" t="s">
        <v>1751</v>
      </c>
      <c r="B430" t="s">
        <v>3548</v>
      </c>
      <c r="C430" t="s">
        <v>1751</v>
      </c>
      <c r="D430">
        <v>20559518</v>
      </c>
      <c r="E430" t="s">
        <v>3128</v>
      </c>
      <c r="F430" t="s">
        <v>1241</v>
      </c>
      <c r="G430" t="s">
        <v>3137</v>
      </c>
      <c r="H430" t="s">
        <v>1252</v>
      </c>
      <c r="J430" s="455">
        <v>46191</v>
      </c>
      <c r="U430" s="455">
        <v>46235</v>
      </c>
    </row>
    <row r="431" spans="1:21">
      <c r="A431" t="s">
        <v>1751</v>
      </c>
      <c r="B431" t="s">
        <v>3549</v>
      </c>
      <c r="C431" t="s">
        <v>1751</v>
      </c>
      <c r="D431">
        <v>20566198</v>
      </c>
      <c r="E431" t="s">
        <v>3128</v>
      </c>
      <c r="F431" t="s">
        <v>1241</v>
      </c>
      <c r="G431" t="s">
        <v>2009</v>
      </c>
      <c r="H431" t="s">
        <v>1252</v>
      </c>
      <c r="J431" s="455">
        <v>46199</v>
      </c>
      <c r="U431" s="455">
        <v>46281</v>
      </c>
    </row>
    <row r="432" spans="1:21">
      <c r="A432" t="s">
        <v>1751</v>
      </c>
      <c r="B432" t="s">
        <v>3550</v>
      </c>
      <c r="C432" t="s">
        <v>1751</v>
      </c>
      <c r="D432">
        <v>20539084</v>
      </c>
      <c r="E432" t="s">
        <v>3133</v>
      </c>
      <c r="F432" t="s">
        <v>1238</v>
      </c>
      <c r="G432" t="s">
        <v>3134</v>
      </c>
      <c r="H432" t="s">
        <v>1247</v>
      </c>
      <c r="I432" t="s">
        <v>2171</v>
      </c>
      <c r="J432" s="455">
        <v>46171</v>
      </c>
      <c r="K432" s="455">
        <v>46171</v>
      </c>
      <c r="R432" s="455">
        <v>46190</v>
      </c>
      <c r="U432" s="455">
        <v>46171</v>
      </c>
    </row>
    <row r="433" spans="1:21">
      <c r="A433" t="s">
        <v>1751</v>
      </c>
      <c r="B433" t="s">
        <v>3551</v>
      </c>
      <c r="C433" t="s">
        <v>1751</v>
      </c>
      <c r="D433">
        <v>20549096</v>
      </c>
      <c r="E433" t="s">
        <v>1897</v>
      </c>
      <c r="F433" t="s">
        <v>1782</v>
      </c>
      <c r="G433" t="s">
        <v>3137</v>
      </c>
      <c r="H433" t="s">
        <v>1247</v>
      </c>
      <c r="I433" t="s">
        <v>3552</v>
      </c>
      <c r="J433" s="455">
        <v>46182</v>
      </c>
      <c r="K433" s="455">
        <v>46203</v>
      </c>
      <c r="U433" s="455">
        <v>46211</v>
      </c>
    </row>
    <row r="434" spans="1:21">
      <c r="A434" t="s">
        <v>1751</v>
      </c>
      <c r="B434" t="s">
        <v>3553</v>
      </c>
      <c r="C434" t="s">
        <v>1751</v>
      </c>
      <c r="D434">
        <v>20548663</v>
      </c>
      <c r="E434" t="s">
        <v>3128</v>
      </c>
      <c r="F434" t="s">
        <v>1782</v>
      </c>
      <c r="G434" t="s">
        <v>3137</v>
      </c>
      <c r="H434" t="s">
        <v>1252</v>
      </c>
      <c r="I434" t="s">
        <v>3168</v>
      </c>
      <c r="J434" s="455">
        <v>46181</v>
      </c>
      <c r="U434" s="455">
        <v>46191</v>
      </c>
    </row>
    <row r="435" spans="1:21">
      <c r="A435" t="s">
        <v>1751</v>
      </c>
      <c r="B435" t="s">
        <v>3554</v>
      </c>
      <c r="C435" t="s">
        <v>1751</v>
      </c>
      <c r="D435">
        <v>20541090</v>
      </c>
      <c r="E435" t="s">
        <v>3128</v>
      </c>
      <c r="F435" t="s">
        <v>1782</v>
      </c>
      <c r="G435" t="s">
        <v>3141</v>
      </c>
      <c r="H435" t="s">
        <v>1252</v>
      </c>
      <c r="J435" s="455">
        <v>46174</v>
      </c>
      <c r="U435" s="455">
        <v>46237</v>
      </c>
    </row>
    <row r="436" spans="1:21">
      <c r="A436" t="s">
        <v>1751</v>
      </c>
      <c r="B436" t="s">
        <v>3555</v>
      </c>
      <c r="C436" t="s">
        <v>1751</v>
      </c>
      <c r="D436">
        <v>20564142</v>
      </c>
      <c r="E436" t="s">
        <v>3128</v>
      </c>
      <c r="F436" t="s">
        <v>1241</v>
      </c>
      <c r="G436" t="s">
        <v>3134</v>
      </c>
      <c r="H436" t="s">
        <v>3165</v>
      </c>
      <c r="J436" s="455">
        <v>46197</v>
      </c>
      <c r="U436" s="455">
        <v>46216</v>
      </c>
    </row>
    <row r="437" spans="1:21">
      <c r="A437" t="s">
        <v>1751</v>
      </c>
      <c r="B437" t="s">
        <v>3556</v>
      </c>
      <c r="C437" t="s">
        <v>1751</v>
      </c>
      <c r="D437">
        <v>20549269</v>
      </c>
      <c r="E437" t="s">
        <v>3133</v>
      </c>
      <c r="F437" t="s">
        <v>1241</v>
      </c>
      <c r="G437" t="s">
        <v>3134</v>
      </c>
      <c r="H437" t="s">
        <v>1247</v>
      </c>
      <c r="I437" t="s">
        <v>3258</v>
      </c>
      <c r="J437" s="455">
        <v>46182</v>
      </c>
      <c r="K437" s="455">
        <v>46182</v>
      </c>
      <c r="R437" s="455">
        <v>46196</v>
      </c>
      <c r="U437" s="455">
        <v>46188</v>
      </c>
    </row>
    <row r="438" spans="1:21">
      <c r="A438" t="s">
        <v>1751</v>
      </c>
      <c r="B438" t="s">
        <v>3100</v>
      </c>
      <c r="C438" t="s">
        <v>1751</v>
      </c>
      <c r="D438">
        <v>20558867</v>
      </c>
      <c r="E438" t="s">
        <v>3557</v>
      </c>
      <c r="F438" t="s">
        <v>1243</v>
      </c>
      <c r="G438" t="s">
        <v>3134</v>
      </c>
      <c r="H438" t="s">
        <v>1252</v>
      </c>
      <c r="I438" t="s">
        <v>2539</v>
      </c>
      <c r="J438" s="455">
        <v>46190</v>
      </c>
      <c r="K438" s="455">
        <v>46190</v>
      </c>
      <c r="L438" s="455">
        <v>46190</v>
      </c>
      <c r="M438" s="455">
        <v>46198</v>
      </c>
      <c r="N438" s="455">
        <v>46198</v>
      </c>
      <c r="O438" s="455">
        <v>46203</v>
      </c>
      <c r="P438" s="455">
        <v>46203</v>
      </c>
      <c r="U438" s="455">
        <v>46223</v>
      </c>
    </row>
    <row r="439" spans="1:21">
      <c r="A439" t="s">
        <v>1751</v>
      </c>
      <c r="B439" t="s">
        <v>3100</v>
      </c>
      <c r="C439" t="s">
        <v>1751</v>
      </c>
      <c r="D439">
        <v>20558795</v>
      </c>
      <c r="E439" t="s">
        <v>3128</v>
      </c>
      <c r="F439" t="s">
        <v>1241</v>
      </c>
      <c r="G439" t="s">
        <v>3129</v>
      </c>
      <c r="H439" t="s">
        <v>3131</v>
      </c>
      <c r="J439" s="455">
        <v>46190</v>
      </c>
      <c r="U439" s="455">
        <v>46190</v>
      </c>
    </row>
    <row r="440" spans="1:21">
      <c r="A440" t="s">
        <v>1751</v>
      </c>
      <c r="B440" t="s">
        <v>3558</v>
      </c>
      <c r="C440" t="s">
        <v>1751</v>
      </c>
      <c r="D440">
        <v>20547380</v>
      </c>
      <c r="E440" t="s">
        <v>3128</v>
      </c>
      <c r="F440" t="s">
        <v>1782</v>
      </c>
      <c r="G440" t="s">
        <v>3141</v>
      </c>
      <c r="H440" t="s">
        <v>1247</v>
      </c>
      <c r="J440" s="455">
        <v>46180</v>
      </c>
      <c r="U440" s="455">
        <v>46180</v>
      </c>
    </row>
    <row r="441" spans="1:21">
      <c r="A441" t="s">
        <v>1751</v>
      </c>
      <c r="B441" t="s">
        <v>3559</v>
      </c>
      <c r="C441" t="s">
        <v>1751</v>
      </c>
      <c r="D441">
        <v>20559032</v>
      </c>
      <c r="E441" t="s">
        <v>3128</v>
      </c>
      <c r="F441" t="s">
        <v>1241</v>
      </c>
      <c r="G441" t="s">
        <v>3129</v>
      </c>
      <c r="H441" t="s">
        <v>1251</v>
      </c>
      <c r="J441" s="455">
        <v>46190</v>
      </c>
      <c r="U441" s="455">
        <v>46190</v>
      </c>
    </row>
    <row r="442" spans="1:21">
      <c r="A442" t="s">
        <v>1751</v>
      </c>
      <c r="B442" t="s">
        <v>3560</v>
      </c>
      <c r="C442" t="s">
        <v>1751</v>
      </c>
      <c r="D442">
        <v>20567850</v>
      </c>
      <c r="E442" t="s">
        <v>3128</v>
      </c>
      <c r="F442" t="s">
        <v>1782</v>
      </c>
      <c r="G442" t="s">
        <v>3141</v>
      </c>
      <c r="H442" t="s">
        <v>1252</v>
      </c>
      <c r="J442" s="455">
        <v>46201</v>
      </c>
      <c r="U442" s="455">
        <v>46215</v>
      </c>
    </row>
    <row r="443" spans="1:21">
      <c r="A443" t="s">
        <v>1751</v>
      </c>
      <c r="B443" t="s">
        <v>3561</v>
      </c>
      <c r="C443" t="s">
        <v>1751</v>
      </c>
      <c r="D443">
        <v>20560248</v>
      </c>
      <c r="E443" t="s">
        <v>3128</v>
      </c>
      <c r="F443" t="s">
        <v>1782</v>
      </c>
      <c r="G443" t="s">
        <v>3134</v>
      </c>
      <c r="H443" t="s">
        <v>3165</v>
      </c>
      <c r="J443" s="455">
        <v>46191</v>
      </c>
      <c r="U443" s="455">
        <v>46192</v>
      </c>
    </row>
    <row r="444" spans="1:21">
      <c r="A444" t="s">
        <v>1751</v>
      </c>
      <c r="B444" t="s">
        <v>3562</v>
      </c>
      <c r="C444" t="s">
        <v>1751</v>
      </c>
      <c r="D444">
        <v>20562423</v>
      </c>
      <c r="E444" t="s">
        <v>3128</v>
      </c>
      <c r="F444" t="s">
        <v>1241</v>
      </c>
      <c r="G444" t="s">
        <v>3143</v>
      </c>
      <c r="H444" t="s">
        <v>1251</v>
      </c>
      <c r="J444" s="455">
        <v>46195</v>
      </c>
      <c r="U444" s="455">
        <v>46195</v>
      </c>
    </row>
    <row r="445" spans="1:21">
      <c r="A445" t="s">
        <v>1751</v>
      </c>
      <c r="B445" t="s">
        <v>3563</v>
      </c>
      <c r="C445" t="s">
        <v>1751</v>
      </c>
      <c r="D445">
        <v>20546569</v>
      </c>
      <c r="E445" t="s">
        <v>3128</v>
      </c>
      <c r="F445" t="s">
        <v>1782</v>
      </c>
      <c r="G445" t="s">
        <v>3137</v>
      </c>
      <c r="H445" t="s">
        <v>1252</v>
      </c>
      <c r="J445" s="455">
        <v>46179</v>
      </c>
      <c r="U445" s="455">
        <v>46223</v>
      </c>
    </row>
    <row r="446" spans="1:21">
      <c r="A446" t="s">
        <v>1751</v>
      </c>
      <c r="B446" t="s">
        <v>3564</v>
      </c>
      <c r="C446" t="s">
        <v>1751</v>
      </c>
      <c r="D446">
        <v>20569012</v>
      </c>
      <c r="E446" t="s">
        <v>3128</v>
      </c>
      <c r="F446" t="s">
        <v>1782</v>
      </c>
      <c r="G446" t="s">
        <v>3141</v>
      </c>
      <c r="H446" t="s">
        <v>1252</v>
      </c>
      <c r="J446" s="455">
        <v>46203</v>
      </c>
      <c r="U446" s="455">
        <v>46234</v>
      </c>
    </row>
    <row r="447" spans="1:21">
      <c r="A447" t="s">
        <v>1751</v>
      </c>
      <c r="B447" t="s">
        <v>3565</v>
      </c>
      <c r="C447" t="s">
        <v>1751</v>
      </c>
      <c r="D447">
        <v>20563034</v>
      </c>
      <c r="E447" t="s">
        <v>1897</v>
      </c>
      <c r="F447" t="s">
        <v>1241</v>
      </c>
      <c r="G447" t="s">
        <v>3134</v>
      </c>
      <c r="H447" t="s">
        <v>1247</v>
      </c>
      <c r="J447" s="455">
        <v>46196</v>
      </c>
      <c r="K447" s="455">
        <v>46196</v>
      </c>
      <c r="U447" s="455">
        <v>46196</v>
      </c>
    </row>
    <row r="448" spans="1:21">
      <c r="A448" t="s">
        <v>1751</v>
      </c>
      <c r="B448" t="s">
        <v>3566</v>
      </c>
      <c r="C448" t="s">
        <v>1751</v>
      </c>
      <c r="D448">
        <v>20567069</v>
      </c>
      <c r="E448" t="s">
        <v>3128</v>
      </c>
      <c r="F448" t="s">
        <v>1241</v>
      </c>
      <c r="G448" t="s">
        <v>2009</v>
      </c>
      <c r="H448" t="s">
        <v>1248</v>
      </c>
      <c r="J448" s="455">
        <v>46200</v>
      </c>
      <c r="U448" s="455">
        <v>46200</v>
      </c>
    </row>
    <row r="449" spans="1:21">
      <c r="A449" t="s">
        <v>1751</v>
      </c>
      <c r="B449" t="s">
        <v>3567</v>
      </c>
      <c r="C449" t="s">
        <v>1751</v>
      </c>
      <c r="D449">
        <v>20479935</v>
      </c>
      <c r="E449" t="s">
        <v>3133</v>
      </c>
      <c r="F449" t="s">
        <v>1241</v>
      </c>
      <c r="G449" t="s">
        <v>3134</v>
      </c>
      <c r="H449" t="s">
        <v>1247</v>
      </c>
      <c r="I449" t="s">
        <v>1559</v>
      </c>
      <c r="J449" s="455">
        <v>46106</v>
      </c>
      <c r="K449" s="455">
        <v>46106</v>
      </c>
      <c r="R449" s="455">
        <v>46177</v>
      </c>
      <c r="U449" s="455">
        <v>46113</v>
      </c>
    </row>
    <row r="450" spans="1:21">
      <c r="A450" t="s">
        <v>1751</v>
      </c>
      <c r="B450" t="s">
        <v>3568</v>
      </c>
      <c r="C450" t="s">
        <v>1751</v>
      </c>
      <c r="D450">
        <v>20551664</v>
      </c>
      <c r="E450" t="s">
        <v>3128</v>
      </c>
      <c r="F450" t="s">
        <v>1241</v>
      </c>
      <c r="G450" t="s">
        <v>3141</v>
      </c>
      <c r="H450" t="s">
        <v>1252</v>
      </c>
      <c r="J450" s="455">
        <v>46184</v>
      </c>
      <c r="U450" s="455">
        <v>46193</v>
      </c>
    </row>
    <row r="451" spans="1:21">
      <c r="A451" t="s">
        <v>1751</v>
      </c>
      <c r="B451" t="s">
        <v>3569</v>
      </c>
      <c r="C451" t="s">
        <v>1751</v>
      </c>
      <c r="D451">
        <v>20550054</v>
      </c>
      <c r="E451" t="s">
        <v>3128</v>
      </c>
      <c r="F451" t="s">
        <v>1241</v>
      </c>
      <c r="G451" t="s">
        <v>3141</v>
      </c>
      <c r="H451" t="s">
        <v>1252</v>
      </c>
      <c r="J451" s="455">
        <v>46182</v>
      </c>
      <c r="U451" s="455">
        <v>46193</v>
      </c>
    </row>
    <row r="452" spans="1:21">
      <c r="A452" t="s">
        <v>1751</v>
      </c>
      <c r="B452" t="s">
        <v>3570</v>
      </c>
      <c r="C452" t="s">
        <v>1751</v>
      </c>
      <c r="D452">
        <v>20490620</v>
      </c>
      <c r="E452" t="s">
        <v>3133</v>
      </c>
      <c r="F452" t="s">
        <v>1782</v>
      </c>
      <c r="G452" t="s">
        <v>3134</v>
      </c>
      <c r="H452" t="s">
        <v>1252</v>
      </c>
      <c r="J452" s="455">
        <v>46121</v>
      </c>
      <c r="K452" s="455">
        <v>46132</v>
      </c>
      <c r="R452" s="455">
        <v>46181</v>
      </c>
      <c r="U452" s="455">
        <v>46248</v>
      </c>
    </row>
    <row r="453" spans="1:21">
      <c r="A453" t="s">
        <v>1751</v>
      </c>
      <c r="B453" t="s">
        <v>3570</v>
      </c>
      <c r="C453" t="s">
        <v>1751</v>
      </c>
      <c r="D453">
        <v>20503002</v>
      </c>
      <c r="E453" t="s">
        <v>3133</v>
      </c>
      <c r="F453" t="s">
        <v>1243</v>
      </c>
      <c r="G453" t="s">
        <v>3134</v>
      </c>
      <c r="H453" t="s">
        <v>1247</v>
      </c>
      <c r="J453" s="455">
        <v>46132</v>
      </c>
      <c r="K453" s="455">
        <v>46132</v>
      </c>
      <c r="R453" s="455">
        <v>46189</v>
      </c>
      <c r="U453" s="455">
        <v>46174</v>
      </c>
    </row>
    <row r="454" spans="1:21">
      <c r="A454" t="s">
        <v>1751</v>
      </c>
      <c r="B454" t="s">
        <v>3571</v>
      </c>
      <c r="C454" t="s">
        <v>1751</v>
      </c>
      <c r="D454">
        <v>20561158</v>
      </c>
      <c r="E454" t="s">
        <v>3128</v>
      </c>
      <c r="F454" t="s">
        <v>1241</v>
      </c>
      <c r="G454" t="s">
        <v>3129</v>
      </c>
      <c r="H454" t="s">
        <v>1252</v>
      </c>
      <c r="J454" s="455">
        <v>46193</v>
      </c>
      <c r="U454" s="455">
        <v>46193</v>
      </c>
    </row>
    <row r="455" spans="1:21">
      <c r="A455" t="s">
        <v>1751</v>
      </c>
      <c r="B455" t="s">
        <v>3075</v>
      </c>
      <c r="C455" t="s">
        <v>1751</v>
      </c>
      <c r="D455">
        <v>20527508</v>
      </c>
      <c r="E455" t="s">
        <v>3142</v>
      </c>
      <c r="F455" t="s">
        <v>1237</v>
      </c>
      <c r="G455" t="s">
        <v>3143</v>
      </c>
      <c r="H455" t="s">
        <v>3358</v>
      </c>
      <c r="I455" t="s">
        <v>2527</v>
      </c>
      <c r="J455" s="455">
        <v>46157</v>
      </c>
      <c r="K455" s="455">
        <v>46158</v>
      </c>
      <c r="L455" s="455">
        <v>46158</v>
      </c>
      <c r="M455" s="455">
        <v>46176</v>
      </c>
      <c r="N455" s="455">
        <v>46177</v>
      </c>
      <c r="P455" s="455">
        <v>46177</v>
      </c>
      <c r="Q455" s="455">
        <v>46177</v>
      </c>
      <c r="T455" s="455">
        <v>46174</v>
      </c>
      <c r="U455" s="455">
        <v>46241</v>
      </c>
    </row>
    <row r="456" spans="1:21">
      <c r="A456" t="s">
        <v>1751</v>
      </c>
      <c r="B456" t="s">
        <v>3075</v>
      </c>
      <c r="C456" t="s">
        <v>1751</v>
      </c>
      <c r="D456">
        <v>20541037</v>
      </c>
      <c r="E456" t="s">
        <v>3133</v>
      </c>
      <c r="F456" t="s">
        <v>1912</v>
      </c>
      <c r="G456" t="s">
        <v>2009</v>
      </c>
      <c r="H456" t="s">
        <v>3358</v>
      </c>
      <c r="J456" s="455">
        <v>46174</v>
      </c>
      <c r="K456" s="455">
        <v>46177</v>
      </c>
      <c r="R456" s="455">
        <v>46190</v>
      </c>
      <c r="U456" s="455">
        <v>46174</v>
      </c>
    </row>
    <row r="457" spans="1:21">
      <c r="A457" t="s">
        <v>1751</v>
      </c>
      <c r="B457" t="s">
        <v>3572</v>
      </c>
      <c r="C457" t="s">
        <v>1751</v>
      </c>
      <c r="D457">
        <v>20545726</v>
      </c>
      <c r="E457" t="s">
        <v>3128</v>
      </c>
      <c r="F457" t="s">
        <v>1782</v>
      </c>
      <c r="G457" t="s">
        <v>3141</v>
      </c>
      <c r="H457" t="s">
        <v>1252</v>
      </c>
      <c r="J457" s="455">
        <v>46178</v>
      </c>
      <c r="U457" s="455">
        <v>46204</v>
      </c>
    </row>
    <row r="458" spans="1:21">
      <c r="A458" t="s">
        <v>1751</v>
      </c>
      <c r="B458" t="s">
        <v>3573</v>
      </c>
      <c r="C458" t="s">
        <v>1751</v>
      </c>
      <c r="D458">
        <v>20537553</v>
      </c>
      <c r="E458" t="s">
        <v>3133</v>
      </c>
      <c r="F458" t="s">
        <v>1241</v>
      </c>
      <c r="G458" t="s">
        <v>3134</v>
      </c>
      <c r="H458" t="s">
        <v>1247</v>
      </c>
      <c r="I458" t="s">
        <v>2556</v>
      </c>
      <c r="J458" s="455">
        <v>46170</v>
      </c>
      <c r="K458" s="455">
        <v>46170</v>
      </c>
      <c r="R458" s="455">
        <v>46190</v>
      </c>
      <c r="U458" s="455">
        <v>46177</v>
      </c>
    </row>
    <row r="459" spans="1:21">
      <c r="A459" t="s">
        <v>1751</v>
      </c>
      <c r="B459" t="s">
        <v>3574</v>
      </c>
      <c r="C459" t="s">
        <v>1751</v>
      </c>
      <c r="D459">
        <v>20555975</v>
      </c>
      <c r="E459" t="s">
        <v>3133</v>
      </c>
      <c r="F459" t="s">
        <v>1241</v>
      </c>
      <c r="G459" t="s">
        <v>3134</v>
      </c>
      <c r="H459" t="s">
        <v>1247</v>
      </c>
      <c r="J459" s="455">
        <v>46188</v>
      </c>
      <c r="K459" s="455">
        <v>46188</v>
      </c>
      <c r="R459" s="455">
        <v>46197</v>
      </c>
      <c r="U459" s="455">
        <v>46235</v>
      </c>
    </row>
    <row r="460" spans="1:21">
      <c r="A460" t="s">
        <v>1751</v>
      </c>
      <c r="B460" t="s">
        <v>3574</v>
      </c>
      <c r="C460" t="s">
        <v>1751</v>
      </c>
      <c r="D460">
        <v>20555637</v>
      </c>
      <c r="E460" t="s">
        <v>3128</v>
      </c>
      <c r="F460" t="s">
        <v>1239</v>
      </c>
      <c r="G460" t="s">
        <v>3143</v>
      </c>
      <c r="H460" t="s">
        <v>1247</v>
      </c>
      <c r="J460" s="455">
        <v>46188</v>
      </c>
      <c r="U460" s="455">
        <v>46188</v>
      </c>
    </row>
    <row r="461" spans="1:21">
      <c r="A461" t="s">
        <v>1751</v>
      </c>
      <c r="B461" t="s">
        <v>3575</v>
      </c>
      <c r="C461" t="s">
        <v>1751</v>
      </c>
      <c r="D461">
        <v>20560413</v>
      </c>
      <c r="E461" t="s">
        <v>1897</v>
      </c>
      <c r="F461" t="s">
        <v>1241</v>
      </c>
      <c r="G461" t="s">
        <v>3134</v>
      </c>
      <c r="H461" t="s">
        <v>1248</v>
      </c>
      <c r="I461" t="s">
        <v>2449</v>
      </c>
      <c r="J461" s="455">
        <v>46192</v>
      </c>
      <c r="K461" s="455">
        <v>46192</v>
      </c>
      <c r="U461" s="455">
        <v>46234</v>
      </c>
    </row>
    <row r="462" spans="1:21">
      <c r="A462" t="s">
        <v>1751</v>
      </c>
      <c r="B462" t="s">
        <v>3576</v>
      </c>
      <c r="C462" t="s">
        <v>1751</v>
      </c>
      <c r="D462">
        <v>20566280</v>
      </c>
      <c r="E462" t="s">
        <v>3128</v>
      </c>
      <c r="F462" t="s">
        <v>1782</v>
      </c>
      <c r="G462" t="s">
        <v>3129</v>
      </c>
      <c r="H462" t="s">
        <v>3131</v>
      </c>
      <c r="J462" s="455">
        <v>46199</v>
      </c>
      <c r="U462" s="455">
        <v>46199</v>
      </c>
    </row>
    <row r="463" spans="1:21">
      <c r="A463" t="s">
        <v>1751</v>
      </c>
      <c r="B463" t="s">
        <v>3577</v>
      </c>
      <c r="C463" t="s">
        <v>1751</v>
      </c>
      <c r="D463">
        <v>20498331</v>
      </c>
      <c r="E463" t="s">
        <v>3133</v>
      </c>
      <c r="F463" t="s">
        <v>3158</v>
      </c>
      <c r="G463" t="s">
        <v>3134</v>
      </c>
      <c r="H463" t="s">
        <v>1247</v>
      </c>
      <c r="I463" t="s">
        <v>2405</v>
      </c>
      <c r="J463" s="455">
        <v>46128</v>
      </c>
      <c r="K463" s="455">
        <v>46128</v>
      </c>
      <c r="L463" s="455">
        <v>46128</v>
      </c>
      <c r="R463" s="455">
        <v>46175</v>
      </c>
      <c r="U463" s="455">
        <v>46165</v>
      </c>
    </row>
    <row r="464" spans="1:21">
      <c r="A464" t="s">
        <v>1751</v>
      </c>
      <c r="B464" t="s">
        <v>3578</v>
      </c>
      <c r="C464" t="s">
        <v>1751</v>
      </c>
      <c r="D464">
        <v>20557464</v>
      </c>
      <c r="E464" t="s">
        <v>3128</v>
      </c>
      <c r="F464" t="s">
        <v>1239</v>
      </c>
      <c r="G464" t="s">
        <v>3143</v>
      </c>
      <c r="H464" t="s">
        <v>1248</v>
      </c>
      <c r="I464" t="s">
        <v>3170</v>
      </c>
      <c r="J464" s="455">
        <v>46189</v>
      </c>
      <c r="U464" s="455">
        <v>46189</v>
      </c>
    </row>
    <row r="465" spans="1:21">
      <c r="A465" t="s">
        <v>1751</v>
      </c>
      <c r="B465" t="s">
        <v>3579</v>
      </c>
      <c r="C465" t="s">
        <v>1751</v>
      </c>
      <c r="D465">
        <v>20523426</v>
      </c>
      <c r="E465" t="s">
        <v>3133</v>
      </c>
      <c r="F465" t="s">
        <v>1241</v>
      </c>
      <c r="G465" t="s">
        <v>3134</v>
      </c>
      <c r="H465" t="s">
        <v>1247</v>
      </c>
      <c r="I465" t="s">
        <v>1952</v>
      </c>
      <c r="J465" s="455">
        <v>46154</v>
      </c>
      <c r="K465" s="455">
        <v>46154</v>
      </c>
      <c r="R465" s="455">
        <v>46190</v>
      </c>
      <c r="U465" s="455">
        <v>46165</v>
      </c>
    </row>
    <row r="466" spans="1:21">
      <c r="A466" t="s">
        <v>1751</v>
      </c>
      <c r="B466" t="s">
        <v>3580</v>
      </c>
      <c r="C466" t="s">
        <v>1751</v>
      </c>
      <c r="D466">
        <v>20567141</v>
      </c>
      <c r="E466" t="s">
        <v>2011</v>
      </c>
      <c r="F466" t="s">
        <v>1239</v>
      </c>
      <c r="G466" t="s">
        <v>2009</v>
      </c>
      <c r="H466" t="s">
        <v>1249</v>
      </c>
      <c r="I466" t="s">
        <v>1956</v>
      </c>
      <c r="J466" s="455">
        <v>46200</v>
      </c>
      <c r="K466" s="455">
        <v>46200</v>
      </c>
      <c r="L466" s="455">
        <v>46202</v>
      </c>
      <c r="M466" s="455">
        <v>46203</v>
      </c>
      <c r="N466" s="455">
        <v>46203</v>
      </c>
      <c r="U466" s="455">
        <v>46206</v>
      </c>
    </row>
    <row r="467" spans="1:21">
      <c r="A467" t="s">
        <v>1751</v>
      </c>
      <c r="B467" t="s">
        <v>3580</v>
      </c>
      <c r="C467" t="s">
        <v>1751</v>
      </c>
      <c r="D467">
        <v>20554612</v>
      </c>
      <c r="E467" t="s">
        <v>3133</v>
      </c>
      <c r="F467" t="s">
        <v>1239</v>
      </c>
      <c r="G467" t="s">
        <v>3134</v>
      </c>
      <c r="H467" t="s">
        <v>1249</v>
      </c>
      <c r="I467" t="s">
        <v>3055</v>
      </c>
      <c r="J467" s="455">
        <v>46186</v>
      </c>
      <c r="K467" s="455">
        <v>46186</v>
      </c>
      <c r="R467" s="455">
        <v>46197</v>
      </c>
      <c r="U467" s="455">
        <v>46192</v>
      </c>
    </row>
    <row r="468" spans="1:21">
      <c r="A468" t="s">
        <v>1751</v>
      </c>
      <c r="B468" t="s">
        <v>3581</v>
      </c>
      <c r="C468" t="s">
        <v>1751</v>
      </c>
      <c r="D468">
        <v>20484587</v>
      </c>
      <c r="E468" t="s">
        <v>3133</v>
      </c>
      <c r="F468" t="s">
        <v>1237</v>
      </c>
      <c r="G468" t="s">
        <v>3134</v>
      </c>
      <c r="H468" t="s">
        <v>1247</v>
      </c>
      <c r="I468" t="s">
        <v>3582</v>
      </c>
      <c r="J468" s="455">
        <v>46112</v>
      </c>
      <c r="K468" s="455">
        <v>46112</v>
      </c>
      <c r="R468" s="455">
        <v>46177</v>
      </c>
      <c r="U468" s="455">
        <v>46118</v>
      </c>
    </row>
    <row r="469" spans="1:21">
      <c r="A469" t="s">
        <v>1751</v>
      </c>
      <c r="B469" t="s">
        <v>3583</v>
      </c>
      <c r="C469" t="s">
        <v>1751</v>
      </c>
      <c r="D469">
        <v>20497217</v>
      </c>
      <c r="E469" t="s">
        <v>3133</v>
      </c>
      <c r="F469" t="s">
        <v>1242</v>
      </c>
      <c r="G469" t="s">
        <v>3134</v>
      </c>
      <c r="H469" t="s">
        <v>1247</v>
      </c>
      <c r="I469" t="s">
        <v>1903</v>
      </c>
      <c r="J469" s="455">
        <v>46128</v>
      </c>
      <c r="K469" s="455">
        <v>46128</v>
      </c>
      <c r="R469" s="455">
        <v>46181</v>
      </c>
      <c r="U469" s="455">
        <v>46144</v>
      </c>
    </row>
    <row r="470" spans="1:21">
      <c r="A470" t="s">
        <v>1751</v>
      </c>
      <c r="B470" t="s">
        <v>3584</v>
      </c>
      <c r="C470" t="s">
        <v>1751</v>
      </c>
      <c r="D470">
        <v>20505687</v>
      </c>
      <c r="E470" t="s">
        <v>3133</v>
      </c>
      <c r="F470" t="s">
        <v>1782</v>
      </c>
      <c r="G470" t="s">
        <v>3137</v>
      </c>
      <c r="H470" t="s">
        <v>1252</v>
      </c>
      <c r="I470" t="s">
        <v>1818</v>
      </c>
      <c r="J470" s="455">
        <v>46134</v>
      </c>
      <c r="K470" s="455">
        <v>46135</v>
      </c>
      <c r="R470" s="455">
        <v>46189</v>
      </c>
      <c r="U470" s="455">
        <v>46146</v>
      </c>
    </row>
    <row r="471" spans="1:21">
      <c r="A471" t="s">
        <v>1751</v>
      </c>
      <c r="B471" t="s">
        <v>3585</v>
      </c>
      <c r="C471" t="s">
        <v>1751</v>
      </c>
      <c r="D471">
        <v>20562068</v>
      </c>
      <c r="E471" t="s">
        <v>3128</v>
      </c>
      <c r="F471" t="s">
        <v>1241</v>
      </c>
      <c r="G471" t="s">
        <v>3134</v>
      </c>
      <c r="H471" t="s">
        <v>3165</v>
      </c>
      <c r="J471" s="455">
        <v>46195</v>
      </c>
      <c r="U471" s="455">
        <v>46387</v>
      </c>
    </row>
    <row r="472" spans="1:21">
      <c r="A472" t="s">
        <v>1751</v>
      </c>
      <c r="B472" t="s">
        <v>3586</v>
      </c>
      <c r="C472" t="s">
        <v>1751</v>
      </c>
      <c r="D472">
        <v>20563838</v>
      </c>
      <c r="E472" t="s">
        <v>3128</v>
      </c>
      <c r="F472" t="s">
        <v>1241</v>
      </c>
      <c r="G472" t="s">
        <v>3134</v>
      </c>
      <c r="H472" t="s">
        <v>3165</v>
      </c>
      <c r="J472" s="455">
        <v>46196</v>
      </c>
      <c r="U472" s="455">
        <v>46235</v>
      </c>
    </row>
    <row r="473" spans="1:21">
      <c r="A473" t="s">
        <v>1751</v>
      </c>
      <c r="B473" t="s">
        <v>3587</v>
      </c>
      <c r="C473" t="s">
        <v>1751</v>
      </c>
      <c r="D473">
        <v>20547908</v>
      </c>
      <c r="E473" t="s">
        <v>3128</v>
      </c>
      <c r="F473" t="s">
        <v>1782</v>
      </c>
      <c r="G473" t="s">
        <v>3141</v>
      </c>
      <c r="H473" t="s">
        <v>1247</v>
      </c>
      <c r="J473" s="455">
        <v>46181</v>
      </c>
      <c r="U473" s="455">
        <v>46181</v>
      </c>
    </row>
    <row r="474" spans="1:21">
      <c r="A474" t="s">
        <v>1751</v>
      </c>
      <c r="B474" t="s">
        <v>2972</v>
      </c>
      <c r="C474" t="s">
        <v>1751</v>
      </c>
      <c r="D474">
        <v>20563231</v>
      </c>
      <c r="E474" t="s">
        <v>3128</v>
      </c>
      <c r="F474" t="s">
        <v>1241</v>
      </c>
      <c r="G474" t="s">
        <v>3129</v>
      </c>
      <c r="H474" t="s">
        <v>1252</v>
      </c>
      <c r="J474" s="455">
        <v>46196</v>
      </c>
      <c r="U474" s="455">
        <v>46214</v>
      </c>
    </row>
    <row r="475" spans="1:21">
      <c r="A475" t="s">
        <v>1751</v>
      </c>
      <c r="B475" t="s">
        <v>2972</v>
      </c>
      <c r="C475" t="s">
        <v>1751</v>
      </c>
      <c r="D475">
        <v>20566599</v>
      </c>
      <c r="E475" t="s">
        <v>3128</v>
      </c>
      <c r="F475" t="s">
        <v>1239</v>
      </c>
      <c r="G475" t="s">
        <v>3143</v>
      </c>
      <c r="H475" t="s">
        <v>1252</v>
      </c>
      <c r="I475" t="s">
        <v>3588</v>
      </c>
      <c r="J475" s="455">
        <v>46199</v>
      </c>
      <c r="U475" s="455">
        <v>46199</v>
      </c>
    </row>
    <row r="476" spans="1:21">
      <c r="A476" t="s">
        <v>1751</v>
      </c>
      <c r="B476" t="s">
        <v>2972</v>
      </c>
      <c r="C476" t="s">
        <v>1751</v>
      </c>
      <c r="D476">
        <v>20567263</v>
      </c>
      <c r="E476" t="s">
        <v>1907</v>
      </c>
      <c r="F476" t="s">
        <v>1239</v>
      </c>
      <c r="G476" t="s">
        <v>3134</v>
      </c>
      <c r="H476" t="s">
        <v>1247</v>
      </c>
      <c r="I476" t="s">
        <v>1963</v>
      </c>
      <c r="J476" s="455">
        <v>46200</v>
      </c>
      <c r="K476" s="455">
        <v>46200</v>
      </c>
      <c r="L476" s="455">
        <v>46200</v>
      </c>
      <c r="U476" s="455">
        <v>46213</v>
      </c>
    </row>
    <row r="477" spans="1:21">
      <c r="A477" t="s">
        <v>1751</v>
      </c>
      <c r="B477" t="s">
        <v>3589</v>
      </c>
      <c r="C477" t="s">
        <v>1751</v>
      </c>
      <c r="D477">
        <v>20510689</v>
      </c>
      <c r="E477" t="s">
        <v>3133</v>
      </c>
      <c r="F477" t="s">
        <v>1241</v>
      </c>
      <c r="G477" t="s">
        <v>3134</v>
      </c>
      <c r="H477" t="s">
        <v>1247</v>
      </c>
      <c r="I477" t="s">
        <v>1950</v>
      </c>
      <c r="J477" s="455">
        <v>46139</v>
      </c>
      <c r="K477" s="455">
        <v>46139</v>
      </c>
      <c r="R477" s="455">
        <v>46189</v>
      </c>
      <c r="U477" s="455">
        <v>46139</v>
      </c>
    </row>
    <row r="478" spans="1:21">
      <c r="A478" t="s">
        <v>1751</v>
      </c>
      <c r="B478" t="s">
        <v>3590</v>
      </c>
      <c r="C478" t="s">
        <v>1751</v>
      </c>
      <c r="D478">
        <v>20557214</v>
      </c>
      <c r="E478" t="s">
        <v>3128</v>
      </c>
      <c r="F478" t="s">
        <v>1782</v>
      </c>
      <c r="G478" t="s">
        <v>3134</v>
      </c>
      <c r="H478" t="s">
        <v>1252</v>
      </c>
      <c r="J478" s="455">
        <v>46189</v>
      </c>
      <c r="U478" s="455">
        <v>46190</v>
      </c>
    </row>
    <row r="479" spans="1:21">
      <c r="A479" t="s">
        <v>1751</v>
      </c>
      <c r="B479" t="s">
        <v>3591</v>
      </c>
      <c r="C479" t="s">
        <v>1751</v>
      </c>
      <c r="D479">
        <v>20567046</v>
      </c>
      <c r="E479" t="s">
        <v>3128</v>
      </c>
      <c r="F479" t="s">
        <v>1782</v>
      </c>
      <c r="G479" t="s">
        <v>3129</v>
      </c>
      <c r="H479" t="s">
        <v>1252</v>
      </c>
      <c r="J479" s="455">
        <v>46200</v>
      </c>
      <c r="U479" s="455">
        <v>46200</v>
      </c>
    </row>
    <row r="480" spans="1:21">
      <c r="A480" t="s">
        <v>1751</v>
      </c>
      <c r="B480" t="s">
        <v>3592</v>
      </c>
      <c r="C480" t="s">
        <v>1751</v>
      </c>
      <c r="D480">
        <v>20559797</v>
      </c>
      <c r="E480" t="s">
        <v>3128</v>
      </c>
      <c r="F480" t="s">
        <v>1238</v>
      </c>
      <c r="G480" t="s">
        <v>3143</v>
      </c>
      <c r="H480" t="s">
        <v>1250</v>
      </c>
      <c r="I480" t="s">
        <v>3170</v>
      </c>
      <c r="J480" s="455">
        <v>46191</v>
      </c>
      <c r="U480" s="455">
        <v>46230</v>
      </c>
    </row>
    <row r="481" spans="1:21">
      <c r="A481" t="s">
        <v>1751</v>
      </c>
      <c r="B481" t="s">
        <v>3593</v>
      </c>
      <c r="C481" t="s">
        <v>1751</v>
      </c>
      <c r="D481">
        <v>20556381</v>
      </c>
      <c r="E481" t="s">
        <v>3128</v>
      </c>
      <c r="F481" t="s">
        <v>1782</v>
      </c>
      <c r="G481" t="s">
        <v>3141</v>
      </c>
      <c r="H481" t="s">
        <v>1252</v>
      </c>
      <c r="J481" s="455">
        <v>46188</v>
      </c>
      <c r="U481" s="455">
        <v>46323</v>
      </c>
    </row>
    <row r="482" spans="1:21">
      <c r="A482" t="s">
        <v>1751</v>
      </c>
      <c r="B482" t="s">
        <v>3594</v>
      </c>
      <c r="C482" t="s">
        <v>1751</v>
      </c>
      <c r="D482">
        <v>20544431</v>
      </c>
      <c r="E482" t="s">
        <v>3128</v>
      </c>
      <c r="F482" t="s">
        <v>1241</v>
      </c>
      <c r="G482" t="s">
        <v>2009</v>
      </c>
      <c r="H482" t="s">
        <v>1247</v>
      </c>
      <c r="J482" s="455">
        <v>46176</v>
      </c>
      <c r="U482" s="455">
        <v>46176</v>
      </c>
    </row>
    <row r="483" spans="1:21">
      <c r="A483" t="s">
        <v>1751</v>
      </c>
      <c r="B483" t="s">
        <v>3595</v>
      </c>
      <c r="C483" t="s">
        <v>1751</v>
      </c>
      <c r="D483">
        <v>20557507</v>
      </c>
      <c r="E483" t="s">
        <v>3128</v>
      </c>
      <c r="F483" t="s">
        <v>1239</v>
      </c>
      <c r="G483" t="s">
        <v>3129</v>
      </c>
      <c r="H483" t="s">
        <v>3131</v>
      </c>
      <c r="I483" t="s">
        <v>3344</v>
      </c>
      <c r="J483" s="455">
        <v>46189</v>
      </c>
      <c r="U483" s="455">
        <v>46189</v>
      </c>
    </row>
    <row r="484" spans="1:21">
      <c r="A484" t="s">
        <v>1751</v>
      </c>
      <c r="B484" t="s">
        <v>3595</v>
      </c>
      <c r="C484" t="s">
        <v>1751</v>
      </c>
      <c r="D484">
        <v>20564413</v>
      </c>
      <c r="E484" t="s">
        <v>1897</v>
      </c>
      <c r="F484" t="s">
        <v>1241</v>
      </c>
      <c r="G484" t="s">
        <v>3134</v>
      </c>
      <c r="H484" t="s">
        <v>1250</v>
      </c>
      <c r="I484" t="s">
        <v>2184</v>
      </c>
      <c r="J484" s="455">
        <v>46197</v>
      </c>
      <c r="K484" s="455">
        <v>46197</v>
      </c>
      <c r="U484" s="455">
        <v>46198</v>
      </c>
    </row>
    <row r="485" spans="1:21">
      <c r="A485" t="s">
        <v>1751</v>
      </c>
      <c r="B485" t="s">
        <v>3596</v>
      </c>
      <c r="C485" t="s">
        <v>1751</v>
      </c>
      <c r="D485">
        <v>20519178</v>
      </c>
      <c r="E485" t="s">
        <v>3133</v>
      </c>
      <c r="F485" t="s">
        <v>1912</v>
      </c>
      <c r="G485" t="s">
        <v>3134</v>
      </c>
      <c r="H485" t="s">
        <v>1247</v>
      </c>
      <c r="I485" t="s">
        <v>1917</v>
      </c>
      <c r="J485" s="455">
        <v>46149</v>
      </c>
      <c r="K485" s="455">
        <v>46149</v>
      </c>
      <c r="R485" s="455">
        <v>46189</v>
      </c>
      <c r="U485" s="455">
        <v>46174</v>
      </c>
    </row>
    <row r="486" spans="1:21">
      <c r="A486" t="s">
        <v>1751</v>
      </c>
      <c r="B486" t="s">
        <v>3597</v>
      </c>
      <c r="C486" t="s">
        <v>1751</v>
      </c>
      <c r="D486">
        <v>20569323</v>
      </c>
      <c r="E486" t="s">
        <v>3128</v>
      </c>
      <c r="F486" t="s">
        <v>1241</v>
      </c>
      <c r="G486" t="s">
        <v>3137</v>
      </c>
      <c r="H486" t="s">
        <v>1252</v>
      </c>
      <c r="J486" s="455">
        <v>46203</v>
      </c>
      <c r="U486" s="455">
        <v>46227</v>
      </c>
    </row>
    <row r="487" spans="1:21">
      <c r="A487" t="s">
        <v>1751</v>
      </c>
      <c r="B487" t="s">
        <v>3598</v>
      </c>
      <c r="C487" t="s">
        <v>1751</v>
      </c>
      <c r="D487">
        <v>20546627</v>
      </c>
      <c r="E487" t="s">
        <v>3128</v>
      </c>
      <c r="F487" t="s">
        <v>1238</v>
      </c>
      <c r="G487" t="s">
        <v>3143</v>
      </c>
      <c r="H487" t="s">
        <v>1252</v>
      </c>
      <c r="I487" t="s">
        <v>3344</v>
      </c>
      <c r="J487" s="455">
        <v>46179</v>
      </c>
      <c r="U487" s="455">
        <v>46239</v>
      </c>
    </row>
    <row r="488" spans="1:21">
      <c r="A488" t="s">
        <v>1751</v>
      </c>
      <c r="B488" t="s">
        <v>3599</v>
      </c>
      <c r="C488" t="s">
        <v>1751</v>
      </c>
      <c r="D488">
        <v>20541084</v>
      </c>
      <c r="E488" t="s">
        <v>3128</v>
      </c>
      <c r="F488" t="s">
        <v>3285</v>
      </c>
      <c r="G488" t="s">
        <v>2009</v>
      </c>
      <c r="H488" t="s">
        <v>3131</v>
      </c>
      <c r="J488" s="455">
        <v>46174</v>
      </c>
      <c r="U488" s="455">
        <v>46174</v>
      </c>
    </row>
    <row r="489" spans="1:21">
      <c r="A489" t="s">
        <v>1751</v>
      </c>
      <c r="B489" t="s">
        <v>3599</v>
      </c>
      <c r="C489" t="s">
        <v>1751</v>
      </c>
      <c r="D489">
        <v>20550383</v>
      </c>
      <c r="E489" t="s">
        <v>3133</v>
      </c>
      <c r="F489" t="s">
        <v>1241</v>
      </c>
      <c r="G489" t="s">
        <v>3134</v>
      </c>
      <c r="H489" t="s">
        <v>1247</v>
      </c>
      <c r="I489" t="s">
        <v>2941</v>
      </c>
      <c r="J489" s="455">
        <v>46183</v>
      </c>
      <c r="K489" s="455">
        <v>46183</v>
      </c>
      <c r="R489" s="455">
        <v>46189</v>
      </c>
      <c r="U489" s="455">
        <v>46183</v>
      </c>
    </row>
    <row r="490" spans="1:21">
      <c r="A490" t="s">
        <v>1751</v>
      </c>
      <c r="B490" t="s">
        <v>3600</v>
      </c>
      <c r="C490" t="s">
        <v>1751</v>
      </c>
      <c r="D490">
        <v>20489133</v>
      </c>
      <c r="E490" t="s">
        <v>3133</v>
      </c>
      <c r="F490" t="s">
        <v>1241</v>
      </c>
      <c r="G490" t="s">
        <v>3134</v>
      </c>
      <c r="H490" t="s">
        <v>1252</v>
      </c>
      <c r="I490" t="s">
        <v>1969</v>
      </c>
      <c r="J490" s="455">
        <v>46119</v>
      </c>
      <c r="K490" s="455">
        <v>46119</v>
      </c>
      <c r="R490" s="455">
        <v>46181</v>
      </c>
      <c r="U490" s="455">
        <v>46143</v>
      </c>
    </row>
    <row r="491" spans="1:21">
      <c r="A491" t="s">
        <v>1751</v>
      </c>
      <c r="B491" t="s">
        <v>3601</v>
      </c>
      <c r="C491" t="s">
        <v>1751</v>
      </c>
      <c r="D491">
        <v>20562455</v>
      </c>
      <c r="E491" t="s">
        <v>3128</v>
      </c>
      <c r="F491" t="s">
        <v>1241</v>
      </c>
      <c r="G491" t="s">
        <v>3137</v>
      </c>
      <c r="H491" t="s">
        <v>1252</v>
      </c>
      <c r="J491" s="455">
        <v>46195</v>
      </c>
      <c r="U491" s="455">
        <v>46203</v>
      </c>
    </row>
    <row r="492" spans="1:21">
      <c r="A492" t="s">
        <v>1751</v>
      </c>
      <c r="B492" t="s">
        <v>3602</v>
      </c>
      <c r="C492" t="s">
        <v>1751</v>
      </c>
      <c r="D492">
        <v>20564211</v>
      </c>
      <c r="E492" t="s">
        <v>3128</v>
      </c>
      <c r="F492" t="s">
        <v>1241</v>
      </c>
      <c r="G492" t="s">
        <v>3134</v>
      </c>
      <c r="H492" t="s">
        <v>1252</v>
      </c>
      <c r="J492" s="455">
        <v>46197</v>
      </c>
      <c r="U492" s="455">
        <v>46295</v>
      </c>
    </row>
    <row r="493" spans="1:21">
      <c r="A493" t="s">
        <v>1751</v>
      </c>
      <c r="B493" t="s">
        <v>3603</v>
      </c>
      <c r="C493" t="s">
        <v>1751</v>
      </c>
      <c r="D493">
        <v>20567599</v>
      </c>
      <c r="E493" t="s">
        <v>3128</v>
      </c>
      <c r="F493" t="s">
        <v>1782</v>
      </c>
      <c r="G493" t="s">
        <v>3134</v>
      </c>
      <c r="H493" t="s">
        <v>3165</v>
      </c>
      <c r="J493" s="455">
        <v>46201</v>
      </c>
      <c r="U493" s="455">
        <v>46202</v>
      </c>
    </row>
    <row r="494" spans="1:21">
      <c r="A494" t="s">
        <v>1751</v>
      </c>
      <c r="B494" t="s">
        <v>3604</v>
      </c>
      <c r="C494" t="s">
        <v>1751</v>
      </c>
      <c r="D494">
        <v>20531585</v>
      </c>
      <c r="E494" t="s">
        <v>2011</v>
      </c>
      <c r="F494" t="s">
        <v>1243</v>
      </c>
      <c r="G494" t="s">
        <v>3134</v>
      </c>
      <c r="H494" t="s">
        <v>3165</v>
      </c>
      <c r="I494" t="s">
        <v>1577</v>
      </c>
      <c r="J494" s="455">
        <v>46162</v>
      </c>
      <c r="K494" s="455">
        <v>46177</v>
      </c>
      <c r="L494" s="455">
        <v>46178</v>
      </c>
      <c r="M494" s="455">
        <v>46203</v>
      </c>
      <c r="N494" s="455">
        <v>46203</v>
      </c>
      <c r="T494" s="455">
        <v>46202</v>
      </c>
      <c r="U494" s="455">
        <v>46214</v>
      </c>
    </row>
    <row r="495" spans="1:21">
      <c r="A495" t="s">
        <v>1751</v>
      </c>
      <c r="B495" t="s">
        <v>3604</v>
      </c>
      <c r="C495" t="s">
        <v>1751</v>
      </c>
      <c r="D495">
        <v>20568506</v>
      </c>
      <c r="E495" t="s">
        <v>1897</v>
      </c>
      <c r="F495" t="s">
        <v>1912</v>
      </c>
      <c r="G495" t="s">
        <v>3143</v>
      </c>
      <c r="H495" t="s">
        <v>3165</v>
      </c>
      <c r="I495" t="s">
        <v>1811</v>
      </c>
      <c r="J495" s="455">
        <v>46202</v>
      </c>
      <c r="K495" s="455">
        <v>46203</v>
      </c>
      <c r="U495" s="455">
        <v>46214</v>
      </c>
    </row>
    <row r="496" spans="1:21">
      <c r="A496" t="s">
        <v>1751</v>
      </c>
      <c r="B496" t="s">
        <v>3605</v>
      </c>
      <c r="C496" t="s">
        <v>1751</v>
      </c>
      <c r="D496">
        <v>20534821</v>
      </c>
      <c r="E496" t="s">
        <v>3133</v>
      </c>
      <c r="F496" t="s">
        <v>1243</v>
      </c>
      <c r="G496" t="s">
        <v>3134</v>
      </c>
      <c r="H496" t="s">
        <v>1247</v>
      </c>
      <c r="I496" t="s">
        <v>1528</v>
      </c>
      <c r="J496" s="455">
        <v>46166</v>
      </c>
      <c r="K496" s="455">
        <v>46166</v>
      </c>
      <c r="R496" s="455">
        <v>46185</v>
      </c>
      <c r="U496" s="455">
        <v>46191</v>
      </c>
    </row>
    <row r="497" spans="1:21">
      <c r="A497" t="s">
        <v>1751</v>
      </c>
      <c r="B497" t="s">
        <v>3606</v>
      </c>
      <c r="C497" t="s">
        <v>1751</v>
      </c>
      <c r="D497">
        <v>20567486</v>
      </c>
      <c r="E497" t="s">
        <v>3128</v>
      </c>
      <c r="F497" t="s">
        <v>1241</v>
      </c>
      <c r="G497" t="s">
        <v>3134</v>
      </c>
      <c r="H497" t="s">
        <v>3165</v>
      </c>
      <c r="J497" s="455">
        <v>46200</v>
      </c>
      <c r="U497" s="455">
        <v>46202</v>
      </c>
    </row>
    <row r="498" spans="1:21">
      <c r="A498" t="s">
        <v>1751</v>
      </c>
      <c r="B498" t="s">
        <v>3607</v>
      </c>
      <c r="C498" t="s">
        <v>1751</v>
      </c>
      <c r="D498">
        <v>20542697</v>
      </c>
      <c r="E498" t="s">
        <v>3133</v>
      </c>
      <c r="F498" t="s">
        <v>1782</v>
      </c>
      <c r="G498" t="s">
        <v>3134</v>
      </c>
      <c r="H498" t="s">
        <v>1252</v>
      </c>
      <c r="I498" t="s">
        <v>2531</v>
      </c>
      <c r="J498" s="455">
        <v>46176</v>
      </c>
      <c r="K498" s="455">
        <v>46176</v>
      </c>
      <c r="R498" s="455">
        <v>46190</v>
      </c>
      <c r="U498" s="455">
        <v>46204</v>
      </c>
    </row>
    <row r="499" spans="1:21">
      <c r="A499" t="s">
        <v>1751</v>
      </c>
      <c r="B499" t="s">
        <v>3608</v>
      </c>
      <c r="C499" t="s">
        <v>1751</v>
      </c>
      <c r="D499">
        <v>20549876</v>
      </c>
      <c r="E499" t="s">
        <v>3128</v>
      </c>
      <c r="F499" t="s">
        <v>1241</v>
      </c>
      <c r="G499" t="s">
        <v>3134</v>
      </c>
      <c r="H499" t="s">
        <v>1252</v>
      </c>
      <c r="J499" s="455">
        <v>46182</v>
      </c>
      <c r="U499" s="455">
        <v>46206</v>
      </c>
    </row>
    <row r="500" spans="1:21">
      <c r="A500" t="s">
        <v>1751</v>
      </c>
      <c r="B500" t="s">
        <v>3609</v>
      </c>
      <c r="C500" t="s">
        <v>1751</v>
      </c>
      <c r="D500">
        <v>20562234</v>
      </c>
      <c r="E500" t="s">
        <v>3128</v>
      </c>
      <c r="F500" t="s">
        <v>1241</v>
      </c>
      <c r="G500" t="s">
        <v>3129</v>
      </c>
      <c r="H500" t="s">
        <v>1251</v>
      </c>
      <c r="J500" s="455">
        <v>46195</v>
      </c>
      <c r="U500" s="455">
        <v>46195</v>
      </c>
    </row>
    <row r="501" spans="1:21">
      <c r="A501" t="s">
        <v>1751</v>
      </c>
      <c r="B501" t="s">
        <v>3610</v>
      </c>
      <c r="C501" t="s">
        <v>1751</v>
      </c>
      <c r="D501">
        <v>20556798</v>
      </c>
      <c r="E501" t="s">
        <v>3128</v>
      </c>
      <c r="F501" t="s">
        <v>1782</v>
      </c>
      <c r="G501" t="s">
        <v>3137</v>
      </c>
      <c r="H501" t="s">
        <v>1252</v>
      </c>
      <c r="J501" s="455">
        <v>46189</v>
      </c>
      <c r="U501" s="455">
        <v>46204</v>
      </c>
    </row>
    <row r="502" spans="1:21">
      <c r="A502" t="s">
        <v>1751</v>
      </c>
      <c r="B502" t="s">
        <v>3611</v>
      </c>
      <c r="C502" t="s">
        <v>1751</v>
      </c>
      <c r="D502">
        <v>20549520</v>
      </c>
      <c r="E502" t="s">
        <v>3128</v>
      </c>
      <c r="F502" t="s">
        <v>1242</v>
      </c>
      <c r="G502" t="s">
        <v>3137</v>
      </c>
      <c r="H502" t="s">
        <v>1252</v>
      </c>
      <c r="J502" s="455">
        <v>46182</v>
      </c>
      <c r="U502" s="455">
        <v>46184</v>
      </c>
    </row>
    <row r="503" spans="1:21">
      <c r="A503" t="s">
        <v>1751</v>
      </c>
      <c r="B503" t="s">
        <v>3612</v>
      </c>
      <c r="C503" t="s">
        <v>1751</v>
      </c>
      <c r="D503">
        <v>20544318</v>
      </c>
      <c r="E503" t="s">
        <v>3128</v>
      </c>
      <c r="F503" t="s">
        <v>1782</v>
      </c>
      <c r="G503" t="s">
        <v>3129</v>
      </c>
      <c r="H503" t="s">
        <v>1252</v>
      </c>
      <c r="J503" s="455">
        <v>46176</v>
      </c>
      <c r="U503" s="455">
        <v>46204</v>
      </c>
    </row>
    <row r="504" spans="1:21">
      <c r="A504" t="s">
        <v>1751</v>
      </c>
      <c r="B504" t="s">
        <v>3613</v>
      </c>
      <c r="C504" t="s">
        <v>1751</v>
      </c>
      <c r="D504">
        <v>20547758</v>
      </c>
      <c r="E504" t="s">
        <v>3128</v>
      </c>
      <c r="F504" t="s">
        <v>1241</v>
      </c>
      <c r="G504" t="s">
        <v>3141</v>
      </c>
      <c r="H504" t="s">
        <v>1252</v>
      </c>
      <c r="J504" s="455">
        <v>46180</v>
      </c>
      <c r="U504" s="455">
        <v>46216</v>
      </c>
    </row>
    <row r="505" spans="1:21">
      <c r="A505" t="s">
        <v>1751</v>
      </c>
      <c r="B505" t="s">
        <v>2475</v>
      </c>
      <c r="C505" t="s">
        <v>1751</v>
      </c>
      <c r="D505">
        <v>20569073</v>
      </c>
      <c r="E505" t="s">
        <v>3128</v>
      </c>
      <c r="F505" t="s">
        <v>1782</v>
      </c>
      <c r="G505" t="s">
        <v>3129</v>
      </c>
      <c r="H505" t="s">
        <v>1253</v>
      </c>
      <c r="J505" s="455">
        <v>46203</v>
      </c>
      <c r="U505" s="455">
        <v>46203</v>
      </c>
    </row>
    <row r="506" spans="1:21">
      <c r="A506" t="s">
        <v>1751</v>
      </c>
      <c r="B506" t="s">
        <v>2475</v>
      </c>
      <c r="C506" t="s">
        <v>1751</v>
      </c>
      <c r="D506">
        <v>20569139</v>
      </c>
      <c r="E506" t="s">
        <v>1907</v>
      </c>
      <c r="F506" t="s">
        <v>1239</v>
      </c>
      <c r="G506" t="s">
        <v>3134</v>
      </c>
      <c r="H506" t="s">
        <v>1247</v>
      </c>
      <c r="I506" t="s">
        <v>2474</v>
      </c>
      <c r="J506" s="455">
        <v>46203</v>
      </c>
      <c r="K506" s="455">
        <v>46203</v>
      </c>
      <c r="L506" s="455">
        <v>46203</v>
      </c>
      <c r="U506" s="455">
        <v>46206</v>
      </c>
    </row>
    <row r="507" spans="1:21">
      <c r="A507" t="s">
        <v>1751</v>
      </c>
      <c r="B507" t="s">
        <v>3614</v>
      </c>
      <c r="C507" t="s">
        <v>1751</v>
      </c>
      <c r="D507">
        <v>20561922</v>
      </c>
      <c r="E507" t="s">
        <v>1897</v>
      </c>
      <c r="F507" t="s">
        <v>1241</v>
      </c>
      <c r="G507" t="s">
        <v>3134</v>
      </c>
      <c r="H507" t="s">
        <v>1252</v>
      </c>
      <c r="J507" s="455">
        <v>46194</v>
      </c>
      <c r="K507" s="455">
        <v>46197</v>
      </c>
      <c r="U507" s="455">
        <v>46195</v>
      </c>
    </row>
    <row r="508" spans="1:21">
      <c r="A508" t="s">
        <v>1751</v>
      </c>
      <c r="B508" t="s">
        <v>3615</v>
      </c>
      <c r="C508" t="s">
        <v>1751</v>
      </c>
      <c r="D508">
        <v>20533581</v>
      </c>
      <c r="E508" t="s">
        <v>3133</v>
      </c>
      <c r="F508" t="s">
        <v>1239</v>
      </c>
      <c r="G508" t="s">
        <v>3143</v>
      </c>
      <c r="H508" t="s">
        <v>1252</v>
      </c>
      <c r="I508" t="s">
        <v>3616</v>
      </c>
      <c r="J508" s="455">
        <v>46164</v>
      </c>
      <c r="K508" s="455">
        <v>46168</v>
      </c>
      <c r="R508" s="455">
        <v>46185</v>
      </c>
      <c r="U508" s="455">
        <v>46190</v>
      </c>
    </row>
    <row r="509" spans="1:21">
      <c r="A509" t="s">
        <v>1751</v>
      </c>
      <c r="B509" t="s">
        <v>3617</v>
      </c>
      <c r="C509" t="s">
        <v>1751</v>
      </c>
      <c r="D509">
        <v>20560950</v>
      </c>
      <c r="E509" t="s">
        <v>3128</v>
      </c>
      <c r="F509" t="s">
        <v>1782</v>
      </c>
      <c r="G509" t="s">
        <v>3141</v>
      </c>
      <c r="H509" t="s">
        <v>1252</v>
      </c>
      <c r="J509" s="455">
        <v>46193</v>
      </c>
      <c r="U509" s="455">
        <v>46217</v>
      </c>
    </row>
    <row r="510" spans="1:21">
      <c r="A510" t="s">
        <v>1751</v>
      </c>
      <c r="B510" t="s">
        <v>3618</v>
      </c>
      <c r="C510" t="s">
        <v>1751</v>
      </c>
      <c r="D510">
        <v>20549666</v>
      </c>
      <c r="E510" t="s">
        <v>3128</v>
      </c>
      <c r="F510" t="s">
        <v>1241</v>
      </c>
      <c r="G510" t="s">
        <v>3137</v>
      </c>
      <c r="H510" t="s">
        <v>1252</v>
      </c>
      <c r="J510" s="455">
        <v>46182</v>
      </c>
      <c r="U510" s="455">
        <v>46203</v>
      </c>
    </row>
    <row r="511" spans="1:21">
      <c r="A511" t="s">
        <v>1751</v>
      </c>
      <c r="B511" t="s">
        <v>3619</v>
      </c>
      <c r="C511" t="s">
        <v>1751</v>
      </c>
      <c r="D511">
        <v>20537222</v>
      </c>
      <c r="E511" t="s">
        <v>3133</v>
      </c>
      <c r="F511" t="s">
        <v>1242</v>
      </c>
      <c r="G511" t="s">
        <v>3129</v>
      </c>
      <c r="H511" t="s">
        <v>1253</v>
      </c>
      <c r="I511" t="s">
        <v>1808</v>
      </c>
      <c r="J511" s="455">
        <v>46169</v>
      </c>
      <c r="K511" s="455">
        <v>46170</v>
      </c>
      <c r="L511" s="455">
        <v>46170</v>
      </c>
      <c r="S511" s="455">
        <v>46175</v>
      </c>
      <c r="U511" s="455">
        <v>46193</v>
      </c>
    </row>
    <row r="512" spans="1:21">
      <c r="A512" t="s">
        <v>1751</v>
      </c>
      <c r="B512" t="s">
        <v>3619</v>
      </c>
      <c r="C512" t="s">
        <v>1751</v>
      </c>
      <c r="D512">
        <v>20541707</v>
      </c>
      <c r="E512" t="s">
        <v>3133</v>
      </c>
      <c r="F512" t="s">
        <v>1241</v>
      </c>
      <c r="G512" t="s">
        <v>3134</v>
      </c>
      <c r="H512" t="s">
        <v>1253</v>
      </c>
      <c r="J512" s="455">
        <v>46175</v>
      </c>
      <c r="K512" s="455">
        <v>46175</v>
      </c>
      <c r="R512" s="455">
        <v>46190</v>
      </c>
      <c r="U512" s="455">
        <v>46175</v>
      </c>
    </row>
    <row r="513" spans="1:21">
      <c r="A513" t="s">
        <v>1751</v>
      </c>
      <c r="B513" t="s">
        <v>3620</v>
      </c>
      <c r="C513" t="s">
        <v>1751</v>
      </c>
      <c r="D513">
        <v>20541926</v>
      </c>
      <c r="E513" t="s">
        <v>3128</v>
      </c>
      <c r="F513" t="s">
        <v>1782</v>
      </c>
      <c r="G513" t="s">
        <v>3129</v>
      </c>
      <c r="H513" t="s">
        <v>3131</v>
      </c>
      <c r="J513" s="455">
        <v>46175</v>
      </c>
      <c r="U513" s="455">
        <v>46175</v>
      </c>
    </row>
    <row r="514" spans="1:21">
      <c r="A514" t="s">
        <v>1751</v>
      </c>
      <c r="B514" t="s">
        <v>3621</v>
      </c>
      <c r="C514" t="s">
        <v>1751</v>
      </c>
      <c r="D514">
        <v>20551390</v>
      </c>
      <c r="E514" t="s">
        <v>3128</v>
      </c>
      <c r="F514" t="s">
        <v>1241</v>
      </c>
      <c r="G514" t="s">
        <v>3134</v>
      </c>
      <c r="H514" t="s">
        <v>3165</v>
      </c>
      <c r="J514" s="455">
        <v>46183</v>
      </c>
      <c r="U514" s="455">
        <v>46217</v>
      </c>
    </row>
    <row r="515" spans="1:21">
      <c r="A515" t="s">
        <v>1751</v>
      </c>
      <c r="B515" t="s">
        <v>3622</v>
      </c>
      <c r="C515" t="s">
        <v>1751</v>
      </c>
      <c r="D515">
        <v>20541825</v>
      </c>
      <c r="E515" t="s">
        <v>3128</v>
      </c>
      <c r="F515" t="s">
        <v>1243</v>
      </c>
      <c r="G515" t="s">
        <v>3141</v>
      </c>
      <c r="H515" t="s">
        <v>1248</v>
      </c>
      <c r="J515" s="455">
        <v>46175</v>
      </c>
      <c r="U515" s="455">
        <v>46175</v>
      </c>
    </row>
    <row r="516" spans="1:21">
      <c r="A516" t="s">
        <v>1751</v>
      </c>
      <c r="B516" t="s">
        <v>3622</v>
      </c>
      <c r="C516" t="s">
        <v>1751</v>
      </c>
      <c r="D516">
        <v>20545890</v>
      </c>
      <c r="E516" t="s">
        <v>3133</v>
      </c>
      <c r="F516" t="s">
        <v>1243</v>
      </c>
      <c r="G516" t="s">
        <v>3134</v>
      </c>
      <c r="H516" t="s">
        <v>1247</v>
      </c>
      <c r="I516" t="s">
        <v>1917</v>
      </c>
      <c r="J516" s="455">
        <v>46178</v>
      </c>
      <c r="K516" s="455">
        <v>46178</v>
      </c>
      <c r="L516" s="455">
        <v>46178</v>
      </c>
      <c r="S516" s="455">
        <v>46181</v>
      </c>
      <c r="U516" s="455">
        <v>46183</v>
      </c>
    </row>
    <row r="517" spans="1:21">
      <c r="A517" t="s">
        <v>1751</v>
      </c>
      <c r="B517" t="s">
        <v>3623</v>
      </c>
      <c r="C517" t="s">
        <v>1751</v>
      </c>
      <c r="D517">
        <v>20559047</v>
      </c>
      <c r="E517" t="s">
        <v>3128</v>
      </c>
      <c r="F517" t="s">
        <v>1241</v>
      </c>
      <c r="G517" t="s">
        <v>3129</v>
      </c>
      <c r="H517" t="s">
        <v>1252</v>
      </c>
      <c r="J517" s="455">
        <v>46190</v>
      </c>
      <c r="U517" s="455">
        <v>46190</v>
      </c>
    </row>
    <row r="518" spans="1:21">
      <c r="A518" t="s">
        <v>1751</v>
      </c>
      <c r="B518" t="s">
        <v>3624</v>
      </c>
      <c r="C518" t="s">
        <v>1751</v>
      </c>
      <c r="D518">
        <v>20568599</v>
      </c>
      <c r="E518" t="s">
        <v>3128</v>
      </c>
      <c r="F518" t="s">
        <v>1237</v>
      </c>
      <c r="G518" t="s">
        <v>3143</v>
      </c>
      <c r="H518" t="s">
        <v>1248</v>
      </c>
      <c r="J518" s="455">
        <v>46202</v>
      </c>
      <c r="U518" s="455">
        <v>46202</v>
      </c>
    </row>
    <row r="519" spans="1:21">
      <c r="A519" t="s">
        <v>1751</v>
      </c>
      <c r="B519" t="s">
        <v>3625</v>
      </c>
      <c r="C519" t="s">
        <v>1751</v>
      </c>
      <c r="D519">
        <v>20546125</v>
      </c>
      <c r="E519" t="s">
        <v>3128</v>
      </c>
      <c r="F519" t="s">
        <v>1782</v>
      </c>
      <c r="G519" t="s">
        <v>3137</v>
      </c>
      <c r="H519" t="s">
        <v>1252</v>
      </c>
      <c r="J519" s="455">
        <v>46178</v>
      </c>
      <c r="U519" s="455">
        <v>46204</v>
      </c>
    </row>
    <row r="520" spans="1:21">
      <c r="A520" t="s">
        <v>1751</v>
      </c>
      <c r="B520" t="s">
        <v>3626</v>
      </c>
      <c r="C520" t="s">
        <v>1751</v>
      </c>
      <c r="D520">
        <v>20554233</v>
      </c>
      <c r="E520" t="s">
        <v>3128</v>
      </c>
      <c r="F520" t="s">
        <v>1782</v>
      </c>
      <c r="G520" t="s">
        <v>3141</v>
      </c>
      <c r="H520" t="s">
        <v>1252</v>
      </c>
      <c r="J520" s="455">
        <v>46186</v>
      </c>
      <c r="U520" s="455">
        <v>46235</v>
      </c>
    </row>
    <row r="521" spans="1:21">
      <c r="A521" t="s">
        <v>1751</v>
      </c>
      <c r="B521" t="s">
        <v>3627</v>
      </c>
      <c r="C521" t="s">
        <v>1751</v>
      </c>
      <c r="D521">
        <v>20568035</v>
      </c>
      <c r="E521" t="s">
        <v>3128</v>
      </c>
      <c r="F521" t="s">
        <v>1241</v>
      </c>
      <c r="G521" t="s">
        <v>3137</v>
      </c>
      <c r="H521" t="s">
        <v>1252</v>
      </c>
      <c r="J521" s="455">
        <v>46202</v>
      </c>
      <c r="U521" s="455">
        <v>46234</v>
      </c>
    </row>
    <row r="522" spans="1:21">
      <c r="A522" t="s">
        <v>1751</v>
      </c>
      <c r="B522" t="s">
        <v>3628</v>
      </c>
      <c r="C522" t="s">
        <v>1751</v>
      </c>
      <c r="D522">
        <v>20564821</v>
      </c>
      <c r="E522" t="s">
        <v>1897</v>
      </c>
      <c r="F522" t="s">
        <v>1241</v>
      </c>
      <c r="G522" t="s">
        <v>3134</v>
      </c>
      <c r="H522" t="s">
        <v>1247</v>
      </c>
      <c r="I522" t="s">
        <v>1908</v>
      </c>
      <c r="J522" s="455">
        <v>46197</v>
      </c>
      <c r="K522" s="455">
        <v>46197</v>
      </c>
      <c r="U522" s="455">
        <v>46213</v>
      </c>
    </row>
    <row r="523" spans="1:21">
      <c r="A523" t="s">
        <v>1751</v>
      </c>
      <c r="B523" t="s">
        <v>3629</v>
      </c>
      <c r="C523" t="s">
        <v>1751</v>
      </c>
      <c r="D523">
        <v>20544611</v>
      </c>
      <c r="E523" t="s">
        <v>3128</v>
      </c>
      <c r="F523" t="s">
        <v>1241</v>
      </c>
      <c r="G523" t="s">
        <v>3134</v>
      </c>
      <c r="H523" t="s">
        <v>3165</v>
      </c>
      <c r="J523" s="455">
        <v>46177</v>
      </c>
      <c r="U523" s="455">
        <v>46178</v>
      </c>
    </row>
    <row r="524" spans="1:21">
      <c r="A524" t="s">
        <v>1751</v>
      </c>
      <c r="B524" t="s">
        <v>3630</v>
      </c>
      <c r="C524" t="s">
        <v>1751</v>
      </c>
      <c r="D524">
        <v>20543014</v>
      </c>
      <c r="E524" t="s">
        <v>3128</v>
      </c>
      <c r="F524" t="s">
        <v>1782</v>
      </c>
      <c r="G524" t="s">
        <v>3141</v>
      </c>
      <c r="H524" t="s">
        <v>1252</v>
      </c>
      <c r="J524" s="455">
        <v>46176</v>
      </c>
      <c r="U524" s="455">
        <v>46235</v>
      </c>
    </row>
    <row r="525" spans="1:21">
      <c r="A525" t="s">
        <v>1751</v>
      </c>
      <c r="B525" t="s">
        <v>3631</v>
      </c>
      <c r="C525" t="s">
        <v>1751</v>
      </c>
      <c r="D525">
        <v>20561628</v>
      </c>
      <c r="E525" t="s">
        <v>3128</v>
      </c>
      <c r="F525" t="s">
        <v>1241</v>
      </c>
      <c r="G525" t="s">
        <v>3134</v>
      </c>
      <c r="H525" t="s">
        <v>3165</v>
      </c>
      <c r="J525" s="455">
        <v>46194</v>
      </c>
      <c r="U525" s="455">
        <v>46195</v>
      </c>
    </row>
    <row r="526" spans="1:21">
      <c r="A526" t="s">
        <v>1751</v>
      </c>
      <c r="B526" t="s">
        <v>3632</v>
      </c>
      <c r="C526" t="s">
        <v>1751</v>
      </c>
      <c r="D526">
        <v>20514695</v>
      </c>
      <c r="E526" t="s">
        <v>3133</v>
      </c>
      <c r="F526" t="s">
        <v>1241</v>
      </c>
      <c r="G526" t="s">
        <v>3134</v>
      </c>
      <c r="H526" t="s">
        <v>1247</v>
      </c>
      <c r="I526" t="s">
        <v>1933</v>
      </c>
      <c r="J526" s="455">
        <v>46143</v>
      </c>
      <c r="K526" s="455">
        <v>46143</v>
      </c>
      <c r="R526" s="455">
        <v>46189</v>
      </c>
      <c r="U526" s="455">
        <v>46143</v>
      </c>
    </row>
    <row r="527" spans="1:21">
      <c r="A527" t="s">
        <v>1751</v>
      </c>
      <c r="B527" t="s">
        <v>3633</v>
      </c>
      <c r="C527" t="s">
        <v>1751</v>
      </c>
      <c r="D527">
        <v>20556450</v>
      </c>
      <c r="E527" t="s">
        <v>3128</v>
      </c>
      <c r="F527" t="s">
        <v>1782</v>
      </c>
      <c r="G527" t="s">
        <v>3129</v>
      </c>
      <c r="H527" t="s">
        <v>1252</v>
      </c>
      <c r="J527" s="455">
        <v>46188</v>
      </c>
      <c r="U527" s="455">
        <v>46188</v>
      </c>
    </row>
    <row r="528" spans="1:21">
      <c r="A528" t="s">
        <v>1751</v>
      </c>
      <c r="B528" t="s">
        <v>3633</v>
      </c>
      <c r="C528" t="s">
        <v>1751</v>
      </c>
      <c r="D528">
        <v>20557293</v>
      </c>
      <c r="E528" t="s">
        <v>1897</v>
      </c>
      <c r="F528" t="s">
        <v>1242</v>
      </c>
      <c r="G528" t="s">
        <v>3134</v>
      </c>
      <c r="H528" t="s">
        <v>1247</v>
      </c>
      <c r="I528" t="s">
        <v>3634</v>
      </c>
      <c r="J528" s="455">
        <v>46189</v>
      </c>
      <c r="K528" s="455">
        <v>46189</v>
      </c>
      <c r="U528" s="455">
        <v>46279</v>
      </c>
    </row>
    <row r="529" spans="1:21">
      <c r="A529" t="s">
        <v>1751</v>
      </c>
      <c r="B529" t="s">
        <v>3635</v>
      </c>
      <c r="C529" t="s">
        <v>1751</v>
      </c>
      <c r="D529">
        <v>20552486</v>
      </c>
      <c r="E529" t="s">
        <v>3128</v>
      </c>
      <c r="F529" t="s">
        <v>1782</v>
      </c>
      <c r="G529" t="s">
        <v>3137</v>
      </c>
      <c r="H529" t="s">
        <v>1252</v>
      </c>
      <c r="J529" s="455">
        <v>46184</v>
      </c>
      <c r="U529" s="455">
        <v>46235</v>
      </c>
    </row>
    <row r="530" spans="1:21">
      <c r="A530" t="s">
        <v>1751</v>
      </c>
      <c r="B530" t="s">
        <v>3636</v>
      </c>
      <c r="C530" t="s">
        <v>1751</v>
      </c>
      <c r="D530">
        <v>20540773</v>
      </c>
      <c r="E530" t="s">
        <v>3128</v>
      </c>
      <c r="F530" t="s">
        <v>1242</v>
      </c>
      <c r="G530" t="s">
        <v>3141</v>
      </c>
      <c r="H530" t="s">
        <v>1249</v>
      </c>
      <c r="J530" s="455">
        <v>46174</v>
      </c>
      <c r="U530" s="455">
        <v>46228</v>
      </c>
    </row>
    <row r="531" spans="1:21">
      <c r="A531" t="s">
        <v>1751</v>
      </c>
      <c r="B531" t="s">
        <v>3637</v>
      </c>
      <c r="C531" t="s">
        <v>1751</v>
      </c>
      <c r="D531">
        <v>20540160</v>
      </c>
      <c r="E531" t="s">
        <v>3133</v>
      </c>
      <c r="F531" t="s">
        <v>1241</v>
      </c>
      <c r="G531" t="s">
        <v>3134</v>
      </c>
      <c r="H531" t="s">
        <v>1247</v>
      </c>
      <c r="J531" s="455">
        <v>46173</v>
      </c>
      <c r="K531" s="455">
        <v>46173</v>
      </c>
      <c r="R531" s="455">
        <v>46190</v>
      </c>
      <c r="U531" s="455">
        <v>46173</v>
      </c>
    </row>
    <row r="532" spans="1:21">
      <c r="A532" t="s">
        <v>1751</v>
      </c>
      <c r="B532" t="s">
        <v>3638</v>
      </c>
      <c r="C532" t="s">
        <v>1751</v>
      </c>
      <c r="D532">
        <v>20562286</v>
      </c>
      <c r="E532" t="s">
        <v>3128</v>
      </c>
      <c r="F532" t="s">
        <v>1242</v>
      </c>
      <c r="G532" t="s">
        <v>3143</v>
      </c>
      <c r="H532" t="s">
        <v>1248</v>
      </c>
      <c r="I532" t="s">
        <v>3168</v>
      </c>
      <c r="J532" s="455">
        <v>46195</v>
      </c>
      <c r="U532" s="455">
        <v>46213</v>
      </c>
    </row>
    <row r="533" spans="1:21">
      <c r="A533" t="s">
        <v>1751</v>
      </c>
      <c r="B533" t="s">
        <v>3639</v>
      </c>
      <c r="C533" t="s">
        <v>1751</v>
      </c>
      <c r="D533">
        <v>20562417</v>
      </c>
      <c r="E533" t="s">
        <v>3128</v>
      </c>
      <c r="F533" t="s">
        <v>1242</v>
      </c>
      <c r="G533" t="s">
        <v>3129</v>
      </c>
      <c r="H533" t="s">
        <v>1252</v>
      </c>
      <c r="J533" s="455">
        <v>46195</v>
      </c>
      <c r="U533" s="455">
        <v>46195</v>
      </c>
    </row>
    <row r="534" spans="1:21">
      <c r="A534" t="s">
        <v>1751</v>
      </c>
      <c r="B534" t="s">
        <v>3640</v>
      </c>
      <c r="C534" t="s">
        <v>1751</v>
      </c>
      <c r="D534">
        <v>20561916</v>
      </c>
      <c r="E534" t="s">
        <v>3128</v>
      </c>
      <c r="F534" t="s">
        <v>1241</v>
      </c>
      <c r="G534" t="s">
        <v>3141</v>
      </c>
      <c r="H534" t="s">
        <v>1252</v>
      </c>
      <c r="J534" s="455">
        <v>46194</v>
      </c>
      <c r="U534" s="455">
        <v>46561</v>
      </c>
    </row>
    <row r="535" spans="1:21">
      <c r="A535" t="s">
        <v>1751</v>
      </c>
      <c r="B535" t="s">
        <v>3641</v>
      </c>
      <c r="C535" t="s">
        <v>1751</v>
      </c>
      <c r="D535">
        <v>20530865</v>
      </c>
      <c r="E535" t="s">
        <v>3142</v>
      </c>
      <c r="F535" t="s">
        <v>1238</v>
      </c>
      <c r="G535" t="s">
        <v>3134</v>
      </c>
      <c r="H535" t="s">
        <v>1247</v>
      </c>
      <c r="I535" t="s">
        <v>1541</v>
      </c>
      <c r="J535" s="455">
        <v>46161</v>
      </c>
      <c r="K535" s="455">
        <v>46161</v>
      </c>
      <c r="L535" s="455">
        <v>46161</v>
      </c>
      <c r="M535" s="455">
        <v>46171</v>
      </c>
      <c r="N535" s="455">
        <v>46171</v>
      </c>
      <c r="O535" s="455">
        <v>46171</v>
      </c>
      <c r="P535" s="455">
        <v>46171</v>
      </c>
      <c r="Q535" s="455">
        <v>46171</v>
      </c>
      <c r="U535" s="455">
        <v>46182</v>
      </c>
    </row>
    <row r="536" spans="1:21">
      <c r="A536" t="s">
        <v>1751</v>
      </c>
      <c r="B536" t="s">
        <v>3642</v>
      </c>
      <c r="C536" t="s">
        <v>1751</v>
      </c>
      <c r="D536">
        <v>20563019</v>
      </c>
      <c r="E536" t="s">
        <v>3128</v>
      </c>
      <c r="F536" t="s">
        <v>1241</v>
      </c>
      <c r="G536" t="s">
        <v>3141</v>
      </c>
      <c r="H536" t="s">
        <v>1252</v>
      </c>
      <c r="J536" s="455">
        <v>46196</v>
      </c>
      <c r="U536" s="455">
        <v>46204</v>
      </c>
    </row>
    <row r="537" spans="1:21">
      <c r="A537" t="s">
        <v>1751</v>
      </c>
      <c r="B537" t="s">
        <v>3643</v>
      </c>
      <c r="C537" t="s">
        <v>1751</v>
      </c>
      <c r="D537">
        <v>20541598</v>
      </c>
      <c r="E537" t="s">
        <v>3128</v>
      </c>
      <c r="F537" t="s">
        <v>1782</v>
      </c>
      <c r="G537" t="s">
        <v>3129</v>
      </c>
      <c r="H537" t="s">
        <v>3131</v>
      </c>
      <c r="J537" s="455">
        <v>46175</v>
      </c>
      <c r="U537" s="455">
        <v>46175</v>
      </c>
    </row>
    <row r="538" spans="1:21">
      <c r="A538" t="s">
        <v>1751</v>
      </c>
      <c r="B538" t="s">
        <v>3644</v>
      </c>
      <c r="C538" t="s">
        <v>1751</v>
      </c>
      <c r="D538">
        <v>20533079</v>
      </c>
      <c r="E538" t="s">
        <v>3133</v>
      </c>
      <c r="F538" t="s">
        <v>1241</v>
      </c>
      <c r="G538" t="s">
        <v>3134</v>
      </c>
      <c r="H538" t="s">
        <v>1247</v>
      </c>
      <c r="I538" t="s">
        <v>3019</v>
      </c>
      <c r="J538" s="455">
        <v>46163</v>
      </c>
      <c r="K538" s="455">
        <v>46163</v>
      </c>
      <c r="R538" s="455">
        <v>46185</v>
      </c>
      <c r="U538" s="455">
        <v>46164</v>
      </c>
    </row>
    <row r="539" spans="1:21">
      <c r="A539" t="s">
        <v>1751</v>
      </c>
      <c r="B539" t="s">
        <v>3645</v>
      </c>
      <c r="C539" t="s">
        <v>1751</v>
      </c>
      <c r="D539">
        <v>20567092</v>
      </c>
      <c r="E539" t="s">
        <v>3128</v>
      </c>
      <c r="F539" t="s">
        <v>1243</v>
      </c>
      <c r="G539" t="s">
        <v>3143</v>
      </c>
      <c r="H539" t="s">
        <v>1248</v>
      </c>
      <c r="J539" s="455">
        <v>46200</v>
      </c>
      <c r="U539" s="455">
        <v>46200</v>
      </c>
    </row>
    <row r="540" spans="1:21">
      <c r="A540" t="s">
        <v>1751</v>
      </c>
      <c r="B540" t="s">
        <v>3646</v>
      </c>
      <c r="C540" t="s">
        <v>1751</v>
      </c>
      <c r="D540">
        <v>20567097</v>
      </c>
      <c r="E540" t="s">
        <v>3128</v>
      </c>
      <c r="F540" t="s">
        <v>1241</v>
      </c>
      <c r="G540" t="s">
        <v>2009</v>
      </c>
      <c r="H540" t="s">
        <v>1248</v>
      </c>
      <c r="J540" s="455">
        <v>46200</v>
      </c>
      <c r="U540" s="455">
        <v>46200</v>
      </c>
    </row>
    <row r="541" spans="1:21">
      <c r="A541" t="s">
        <v>1751</v>
      </c>
      <c r="B541" t="s">
        <v>3647</v>
      </c>
      <c r="C541" t="s">
        <v>1751</v>
      </c>
      <c r="D541">
        <v>20547219</v>
      </c>
      <c r="E541" t="s">
        <v>3128</v>
      </c>
      <c r="F541" t="s">
        <v>1242</v>
      </c>
      <c r="G541" t="s">
        <v>3134</v>
      </c>
      <c r="H541" t="s">
        <v>1252</v>
      </c>
      <c r="J541" s="455">
        <v>46179</v>
      </c>
      <c r="U541" s="455">
        <v>46239</v>
      </c>
    </row>
    <row r="542" spans="1:21">
      <c r="A542" t="s">
        <v>1751</v>
      </c>
      <c r="B542" t="s">
        <v>3647</v>
      </c>
      <c r="C542" t="s">
        <v>1751</v>
      </c>
      <c r="D542">
        <v>20559288</v>
      </c>
      <c r="E542" t="s">
        <v>3133</v>
      </c>
      <c r="F542" t="s">
        <v>1241</v>
      </c>
      <c r="G542" t="s">
        <v>3134</v>
      </c>
      <c r="H542" t="s">
        <v>1247</v>
      </c>
      <c r="I542" t="s">
        <v>1565</v>
      </c>
      <c r="J542" s="455">
        <v>46190</v>
      </c>
      <c r="K542" s="455">
        <v>46190</v>
      </c>
      <c r="R542" s="455">
        <v>46197</v>
      </c>
      <c r="U542" s="455">
        <v>46219</v>
      </c>
    </row>
    <row r="543" spans="1:21">
      <c r="A543" t="s">
        <v>1751</v>
      </c>
      <c r="B543" t="s">
        <v>3087</v>
      </c>
      <c r="C543" t="s">
        <v>1751</v>
      </c>
      <c r="D543">
        <v>20537267</v>
      </c>
      <c r="E543" t="s">
        <v>3142</v>
      </c>
      <c r="F543" t="s">
        <v>1243</v>
      </c>
      <c r="G543" t="s">
        <v>3129</v>
      </c>
      <c r="H543" t="s">
        <v>1248</v>
      </c>
      <c r="I543" t="s">
        <v>2482</v>
      </c>
      <c r="J543" s="455">
        <v>46169</v>
      </c>
      <c r="K543" s="455">
        <v>46169</v>
      </c>
      <c r="L543" s="455">
        <v>46169</v>
      </c>
      <c r="M543" s="455">
        <v>46175</v>
      </c>
      <c r="N543" s="455">
        <v>46175</v>
      </c>
      <c r="O543" s="455">
        <v>46175</v>
      </c>
      <c r="P543" s="455">
        <v>46175</v>
      </c>
      <c r="Q543" s="455">
        <v>46175</v>
      </c>
      <c r="U543" s="455">
        <v>46248</v>
      </c>
    </row>
    <row r="544" spans="1:21">
      <c r="A544" t="s">
        <v>1751</v>
      </c>
      <c r="B544" t="s">
        <v>3648</v>
      </c>
      <c r="C544" t="s">
        <v>1751</v>
      </c>
      <c r="D544">
        <v>20532359</v>
      </c>
      <c r="E544" t="s">
        <v>3133</v>
      </c>
      <c r="F544" t="s">
        <v>1241</v>
      </c>
      <c r="G544" t="s">
        <v>3134</v>
      </c>
      <c r="H544" t="s">
        <v>1247</v>
      </c>
      <c r="I544" t="s">
        <v>2173</v>
      </c>
      <c r="J544" s="455">
        <v>46162</v>
      </c>
      <c r="K544" s="455">
        <v>46162</v>
      </c>
      <c r="R544" s="455">
        <v>46190</v>
      </c>
      <c r="U544" s="455">
        <v>46162</v>
      </c>
    </row>
    <row r="545" spans="1:21">
      <c r="A545" t="s">
        <v>1751</v>
      </c>
      <c r="B545" t="s">
        <v>3649</v>
      </c>
      <c r="C545" t="s">
        <v>1751</v>
      </c>
      <c r="D545">
        <v>20488188</v>
      </c>
      <c r="E545" t="s">
        <v>3133</v>
      </c>
      <c r="F545" t="s">
        <v>1241</v>
      </c>
      <c r="G545" t="s">
        <v>3134</v>
      </c>
      <c r="H545" t="s">
        <v>1247</v>
      </c>
      <c r="I545" t="s">
        <v>3582</v>
      </c>
      <c r="J545" s="455">
        <v>46118</v>
      </c>
      <c r="K545" s="455">
        <v>46118</v>
      </c>
      <c r="R545" s="455">
        <v>46181</v>
      </c>
      <c r="U545" s="455">
        <v>46142</v>
      </c>
    </row>
    <row r="546" spans="1:21">
      <c r="A546" t="s">
        <v>1751</v>
      </c>
      <c r="B546" t="s">
        <v>3649</v>
      </c>
      <c r="C546" t="s">
        <v>1751</v>
      </c>
      <c r="D546">
        <v>20483575</v>
      </c>
      <c r="E546" t="s">
        <v>3133</v>
      </c>
      <c r="F546" t="s">
        <v>1241</v>
      </c>
      <c r="G546" t="s">
        <v>3129</v>
      </c>
      <c r="H546" t="s">
        <v>1252</v>
      </c>
      <c r="I546" t="s">
        <v>3582</v>
      </c>
      <c r="J546" s="455">
        <v>46111</v>
      </c>
      <c r="K546" s="455">
        <v>46118</v>
      </c>
      <c r="R546" s="455">
        <v>46177</v>
      </c>
      <c r="U546" s="455">
        <v>46142</v>
      </c>
    </row>
    <row r="547" spans="1:21">
      <c r="A547" t="s">
        <v>1751</v>
      </c>
      <c r="B547" t="s">
        <v>3650</v>
      </c>
      <c r="C547" t="s">
        <v>1751</v>
      </c>
      <c r="D547">
        <v>20524979</v>
      </c>
      <c r="E547" t="s">
        <v>3133</v>
      </c>
      <c r="F547" t="s">
        <v>1782</v>
      </c>
      <c r="G547" t="s">
        <v>3134</v>
      </c>
      <c r="H547" t="s">
        <v>1247</v>
      </c>
      <c r="J547" s="455">
        <v>46155</v>
      </c>
      <c r="K547" s="455">
        <v>46155</v>
      </c>
      <c r="R547" s="455">
        <v>46190</v>
      </c>
      <c r="U547" s="455">
        <v>46155</v>
      </c>
    </row>
    <row r="548" spans="1:21">
      <c r="A548" t="s">
        <v>1751</v>
      </c>
      <c r="B548" t="s">
        <v>3651</v>
      </c>
      <c r="C548" t="s">
        <v>1751</v>
      </c>
      <c r="D548">
        <v>20546612</v>
      </c>
      <c r="E548" t="s">
        <v>3133</v>
      </c>
      <c r="F548" t="s">
        <v>1238</v>
      </c>
      <c r="G548" t="s">
        <v>3134</v>
      </c>
      <c r="H548" t="s">
        <v>1252</v>
      </c>
      <c r="I548" t="s">
        <v>2986</v>
      </c>
      <c r="J548" s="455">
        <v>46179</v>
      </c>
      <c r="K548" s="455">
        <v>46179</v>
      </c>
      <c r="R548" s="455">
        <v>46196</v>
      </c>
      <c r="U548" s="455">
        <v>46197</v>
      </c>
    </row>
    <row r="549" spans="1:21">
      <c r="A549" t="s">
        <v>1751</v>
      </c>
      <c r="B549" t="s">
        <v>3652</v>
      </c>
      <c r="C549" t="s">
        <v>1751</v>
      </c>
      <c r="D549">
        <v>20568260</v>
      </c>
      <c r="E549" t="s">
        <v>3128</v>
      </c>
      <c r="F549" t="s">
        <v>1782</v>
      </c>
      <c r="G549" t="s">
        <v>3141</v>
      </c>
      <c r="H549" t="s">
        <v>1252</v>
      </c>
      <c r="J549" s="455">
        <v>46202</v>
      </c>
      <c r="U549" s="455">
        <v>46230</v>
      </c>
    </row>
    <row r="550" spans="1:21">
      <c r="A550" t="s">
        <v>1751</v>
      </c>
      <c r="B550" t="s">
        <v>3653</v>
      </c>
      <c r="C550" t="s">
        <v>1751</v>
      </c>
      <c r="D550">
        <v>20552428</v>
      </c>
      <c r="E550" t="s">
        <v>3133</v>
      </c>
      <c r="F550" t="s">
        <v>1241</v>
      </c>
      <c r="G550" t="s">
        <v>3129</v>
      </c>
      <c r="H550" t="s">
        <v>3131</v>
      </c>
      <c r="J550" s="455">
        <v>46184</v>
      </c>
      <c r="K550" s="455">
        <v>46185</v>
      </c>
      <c r="R550" s="455">
        <v>46190</v>
      </c>
      <c r="U550" s="455">
        <v>46188</v>
      </c>
    </row>
    <row r="551" spans="1:21">
      <c r="A551" t="s">
        <v>1751</v>
      </c>
      <c r="B551" t="s">
        <v>3653</v>
      </c>
      <c r="C551" t="s">
        <v>1751</v>
      </c>
      <c r="D551">
        <v>20546457</v>
      </c>
      <c r="E551" t="s">
        <v>3133</v>
      </c>
      <c r="F551" t="s">
        <v>1238</v>
      </c>
      <c r="G551" t="s">
        <v>3134</v>
      </c>
      <c r="H551" t="s">
        <v>1251</v>
      </c>
      <c r="I551" t="s">
        <v>1899</v>
      </c>
      <c r="J551" s="455">
        <v>46179</v>
      </c>
      <c r="K551" s="455">
        <v>46179</v>
      </c>
      <c r="L551" s="455">
        <v>46179</v>
      </c>
      <c r="S551" s="455">
        <v>46185</v>
      </c>
      <c r="U551" s="455">
        <v>46188</v>
      </c>
    </row>
    <row r="552" spans="1:21">
      <c r="A552" t="s">
        <v>1751</v>
      </c>
      <c r="B552" t="s">
        <v>3654</v>
      </c>
      <c r="C552" t="s">
        <v>1751</v>
      </c>
      <c r="D552">
        <v>20564295</v>
      </c>
      <c r="E552" t="s">
        <v>1907</v>
      </c>
      <c r="F552" t="s">
        <v>1237</v>
      </c>
      <c r="G552" t="s">
        <v>2009</v>
      </c>
      <c r="H552" t="s">
        <v>1247</v>
      </c>
      <c r="I552" t="s">
        <v>1899</v>
      </c>
      <c r="J552" s="455">
        <v>46197</v>
      </c>
      <c r="K552" s="455">
        <v>46197</v>
      </c>
      <c r="L552" s="455">
        <v>46197</v>
      </c>
      <c r="O552" s="455">
        <v>46216</v>
      </c>
      <c r="U552" s="455">
        <v>46206</v>
      </c>
    </row>
    <row r="553" spans="1:21">
      <c r="A553" t="s">
        <v>1751</v>
      </c>
      <c r="B553" t="s">
        <v>3654</v>
      </c>
      <c r="C553" t="s">
        <v>1751</v>
      </c>
      <c r="D553">
        <v>20528340</v>
      </c>
      <c r="E553" t="s">
        <v>3133</v>
      </c>
      <c r="F553" t="s">
        <v>1237</v>
      </c>
      <c r="G553" t="s">
        <v>3134</v>
      </c>
      <c r="H553" t="s">
        <v>1247</v>
      </c>
      <c r="I553" t="s">
        <v>1895</v>
      </c>
      <c r="J553" s="455">
        <v>46158</v>
      </c>
      <c r="K553" s="455">
        <v>46158</v>
      </c>
      <c r="R553" s="455">
        <v>46190</v>
      </c>
      <c r="U553" s="455">
        <v>46200</v>
      </c>
    </row>
    <row r="554" spans="1:21">
      <c r="A554" t="s">
        <v>1751</v>
      </c>
      <c r="B554" t="s">
        <v>3654</v>
      </c>
      <c r="C554" t="s">
        <v>1751</v>
      </c>
      <c r="D554">
        <v>20538562</v>
      </c>
      <c r="E554" t="s">
        <v>3133</v>
      </c>
      <c r="F554" t="s">
        <v>1241</v>
      </c>
      <c r="G554" t="s">
        <v>3134</v>
      </c>
      <c r="H554" t="s">
        <v>1247</v>
      </c>
      <c r="I554" t="s">
        <v>1230</v>
      </c>
      <c r="J554" s="455">
        <v>46171</v>
      </c>
      <c r="K554" s="455">
        <v>46171</v>
      </c>
      <c r="R554" s="455">
        <v>46185</v>
      </c>
      <c r="U554" s="455">
        <v>46185</v>
      </c>
    </row>
    <row r="555" spans="1:21">
      <c r="A555" t="s">
        <v>1751</v>
      </c>
      <c r="B555" t="s">
        <v>3655</v>
      </c>
      <c r="C555" t="s">
        <v>1751</v>
      </c>
      <c r="D555">
        <v>20546478</v>
      </c>
      <c r="E555" t="s">
        <v>3133</v>
      </c>
      <c r="F555" t="s">
        <v>1241</v>
      </c>
      <c r="G555" t="s">
        <v>3134</v>
      </c>
      <c r="H555" t="s">
        <v>1247</v>
      </c>
      <c r="J555" s="455">
        <v>46179</v>
      </c>
      <c r="K555" s="455">
        <v>46179</v>
      </c>
      <c r="R555" s="455">
        <v>46190</v>
      </c>
      <c r="U555" s="455">
        <v>46179</v>
      </c>
    </row>
    <row r="556" spans="1:21">
      <c r="A556" t="s">
        <v>1751</v>
      </c>
      <c r="B556" t="s">
        <v>3656</v>
      </c>
      <c r="C556" t="s">
        <v>1751</v>
      </c>
      <c r="D556">
        <v>20552198</v>
      </c>
      <c r="E556" t="s">
        <v>3128</v>
      </c>
      <c r="F556" t="s">
        <v>1239</v>
      </c>
      <c r="G556" t="s">
        <v>3129</v>
      </c>
      <c r="H556" t="s">
        <v>3131</v>
      </c>
      <c r="I556" t="s">
        <v>3344</v>
      </c>
      <c r="J556" s="455">
        <v>46184</v>
      </c>
      <c r="U556" s="455">
        <v>46184</v>
      </c>
    </row>
    <row r="557" spans="1:21">
      <c r="A557" t="s">
        <v>1751</v>
      </c>
      <c r="B557" t="s">
        <v>3657</v>
      </c>
      <c r="C557" t="s">
        <v>1751</v>
      </c>
      <c r="D557">
        <v>20540428</v>
      </c>
      <c r="E557" t="s">
        <v>3128</v>
      </c>
      <c r="F557" t="s">
        <v>1782</v>
      </c>
      <c r="G557" t="s">
        <v>3141</v>
      </c>
      <c r="H557" t="s">
        <v>1252</v>
      </c>
      <c r="J557" s="455">
        <v>46174</v>
      </c>
      <c r="U557" s="455">
        <v>46181</v>
      </c>
    </row>
    <row r="558" spans="1:21">
      <c r="A558" t="s">
        <v>1751</v>
      </c>
      <c r="B558" t="s">
        <v>3658</v>
      </c>
      <c r="C558" t="s">
        <v>1751</v>
      </c>
      <c r="D558">
        <v>20556062</v>
      </c>
      <c r="E558" t="s">
        <v>3128</v>
      </c>
      <c r="F558" t="s">
        <v>1241</v>
      </c>
      <c r="G558" t="s">
        <v>3141</v>
      </c>
      <c r="H558" t="s">
        <v>1252</v>
      </c>
      <c r="J558" s="455">
        <v>46188</v>
      </c>
      <c r="U558" s="455">
        <v>46220</v>
      </c>
    </row>
    <row r="559" spans="1:21">
      <c r="A559" t="s">
        <v>1751</v>
      </c>
      <c r="B559" t="s">
        <v>3659</v>
      </c>
      <c r="C559" t="s">
        <v>1751</v>
      </c>
      <c r="D559">
        <v>20569288</v>
      </c>
      <c r="E559" t="s">
        <v>3128</v>
      </c>
      <c r="F559" t="s">
        <v>1239</v>
      </c>
      <c r="G559" t="s">
        <v>3129</v>
      </c>
      <c r="H559" t="s">
        <v>1252</v>
      </c>
      <c r="I559" t="s">
        <v>3042</v>
      </c>
      <c r="J559" s="455">
        <v>46203</v>
      </c>
      <c r="U559" s="455">
        <v>46203</v>
      </c>
    </row>
    <row r="560" spans="1:21">
      <c r="A560" t="s">
        <v>1751</v>
      </c>
      <c r="B560" t="s">
        <v>3660</v>
      </c>
      <c r="C560" t="s">
        <v>1751</v>
      </c>
      <c r="D560">
        <v>20541737</v>
      </c>
      <c r="E560" t="s">
        <v>3128</v>
      </c>
      <c r="F560" t="s">
        <v>1782</v>
      </c>
      <c r="G560" t="s">
        <v>3141</v>
      </c>
      <c r="H560" t="s">
        <v>1252</v>
      </c>
      <c r="J560" s="455">
        <v>46175</v>
      </c>
      <c r="U560" s="455">
        <v>46222</v>
      </c>
    </row>
    <row r="561" spans="1:21">
      <c r="A561" t="s">
        <v>1751</v>
      </c>
      <c r="B561" t="s">
        <v>3661</v>
      </c>
      <c r="C561" t="s">
        <v>1751</v>
      </c>
      <c r="D561">
        <v>20556559</v>
      </c>
      <c r="E561" t="s">
        <v>3128</v>
      </c>
      <c r="F561" t="s">
        <v>1241</v>
      </c>
      <c r="G561" t="s">
        <v>3141</v>
      </c>
      <c r="H561" t="s">
        <v>1247</v>
      </c>
      <c r="J561" s="455">
        <v>46189</v>
      </c>
      <c r="U561" s="455">
        <v>46204</v>
      </c>
    </row>
    <row r="562" spans="1:21">
      <c r="A562" t="s">
        <v>1751</v>
      </c>
      <c r="B562" t="s">
        <v>3662</v>
      </c>
      <c r="C562" t="s">
        <v>1751</v>
      </c>
      <c r="D562">
        <v>20553126</v>
      </c>
      <c r="E562" t="s">
        <v>3133</v>
      </c>
      <c r="F562" t="s">
        <v>1241</v>
      </c>
      <c r="G562" t="s">
        <v>3134</v>
      </c>
      <c r="H562" t="s">
        <v>1247</v>
      </c>
      <c r="I562" t="s">
        <v>3200</v>
      </c>
      <c r="J562" s="455">
        <v>46185</v>
      </c>
      <c r="K562" s="455">
        <v>46185</v>
      </c>
      <c r="R562" s="455">
        <v>46196</v>
      </c>
      <c r="U562" s="455">
        <v>46192</v>
      </c>
    </row>
    <row r="563" spans="1:21">
      <c r="A563" t="s">
        <v>1751</v>
      </c>
      <c r="B563" t="s">
        <v>3662</v>
      </c>
      <c r="C563" t="s">
        <v>1751</v>
      </c>
      <c r="D563">
        <v>20553092</v>
      </c>
      <c r="E563" t="s">
        <v>3128</v>
      </c>
      <c r="F563" t="s">
        <v>1237</v>
      </c>
      <c r="G563" t="s">
        <v>3143</v>
      </c>
      <c r="H563" t="s">
        <v>1248</v>
      </c>
      <c r="I563" t="s">
        <v>3200</v>
      </c>
      <c r="J563" s="455">
        <v>46185</v>
      </c>
      <c r="U563" s="455">
        <v>46185</v>
      </c>
    </row>
    <row r="564" spans="1:21">
      <c r="A564" t="s">
        <v>1751</v>
      </c>
      <c r="B564" t="s">
        <v>3663</v>
      </c>
      <c r="C564" t="s">
        <v>1751</v>
      </c>
      <c r="D564">
        <v>20539256</v>
      </c>
      <c r="E564" t="s">
        <v>3133</v>
      </c>
      <c r="F564" t="s">
        <v>1241</v>
      </c>
      <c r="G564" t="s">
        <v>3134</v>
      </c>
      <c r="H564" t="s">
        <v>1247</v>
      </c>
      <c r="I564" t="s">
        <v>3529</v>
      </c>
      <c r="J564" s="455">
        <v>46172</v>
      </c>
      <c r="K564" s="455">
        <v>46172</v>
      </c>
      <c r="R564" s="455">
        <v>46190</v>
      </c>
      <c r="U564" s="455">
        <v>46172</v>
      </c>
    </row>
    <row r="565" spans="1:21">
      <c r="A565" t="s">
        <v>1751</v>
      </c>
      <c r="B565" t="s">
        <v>3663</v>
      </c>
      <c r="C565" t="s">
        <v>1751</v>
      </c>
      <c r="D565">
        <v>20534124</v>
      </c>
      <c r="E565" t="s">
        <v>3133</v>
      </c>
      <c r="F565" t="s">
        <v>1241</v>
      </c>
      <c r="G565" t="s">
        <v>3134</v>
      </c>
      <c r="H565" t="s">
        <v>1247</v>
      </c>
      <c r="I565" t="s">
        <v>2173</v>
      </c>
      <c r="J565" s="455">
        <v>46165</v>
      </c>
      <c r="K565" s="455">
        <v>46165</v>
      </c>
      <c r="R565" s="455">
        <v>46190</v>
      </c>
      <c r="U565" s="455">
        <v>46174</v>
      </c>
    </row>
    <row r="566" spans="1:21">
      <c r="A566" t="s">
        <v>1751</v>
      </c>
      <c r="B566" t="s">
        <v>3664</v>
      </c>
      <c r="C566" t="s">
        <v>1751</v>
      </c>
      <c r="D566">
        <v>20541812</v>
      </c>
      <c r="E566" t="s">
        <v>3190</v>
      </c>
      <c r="F566" t="s">
        <v>1241</v>
      </c>
      <c r="G566" t="s">
        <v>3129</v>
      </c>
      <c r="H566" t="s">
        <v>3131</v>
      </c>
      <c r="J566" s="455">
        <v>46175</v>
      </c>
      <c r="R566" s="455">
        <v>46177</v>
      </c>
      <c r="U566" s="455">
        <v>46175</v>
      </c>
    </row>
    <row r="567" spans="1:21">
      <c r="A567" t="s">
        <v>1751</v>
      </c>
      <c r="B567" t="s">
        <v>3665</v>
      </c>
      <c r="C567" t="s">
        <v>1751</v>
      </c>
      <c r="D567">
        <v>20533060</v>
      </c>
      <c r="E567" t="s">
        <v>3133</v>
      </c>
      <c r="F567" t="s">
        <v>1242</v>
      </c>
      <c r="G567" t="s">
        <v>3134</v>
      </c>
      <c r="H567" t="s">
        <v>1247</v>
      </c>
      <c r="I567" t="s">
        <v>1529</v>
      </c>
      <c r="J567" s="455">
        <v>46163</v>
      </c>
      <c r="K567" s="455">
        <v>46163</v>
      </c>
      <c r="L567" s="455">
        <v>46164</v>
      </c>
      <c r="S567" s="455">
        <v>46177</v>
      </c>
      <c r="U567" s="455">
        <v>46183</v>
      </c>
    </row>
    <row r="568" spans="1:21">
      <c r="A568" t="s">
        <v>1751</v>
      </c>
      <c r="B568" t="s">
        <v>3665</v>
      </c>
      <c r="C568" t="s">
        <v>1751</v>
      </c>
      <c r="D568">
        <v>20535188</v>
      </c>
      <c r="E568" t="s">
        <v>3133</v>
      </c>
      <c r="F568" t="s">
        <v>1782</v>
      </c>
      <c r="G568" t="s">
        <v>3134</v>
      </c>
      <c r="H568" t="s">
        <v>1247</v>
      </c>
      <c r="I568" t="s">
        <v>1572</v>
      </c>
      <c r="J568" s="455">
        <v>46167</v>
      </c>
      <c r="K568" s="455">
        <v>46167</v>
      </c>
      <c r="R568" s="455">
        <v>46190</v>
      </c>
      <c r="U568" s="455">
        <v>46183</v>
      </c>
    </row>
    <row r="569" spans="1:21">
      <c r="A569" t="s">
        <v>1751</v>
      </c>
      <c r="B569" t="s">
        <v>3666</v>
      </c>
      <c r="C569" t="s">
        <v>1751</v>
      </c>
      <c r="D569">
        <v>20555498</v>
      </c>
      <c r="E569" t="s">
        <v>3128</v>
      </c>
      <c r="F569" t="s">
        <v>1241</v>
      </c>
      <c r="G569" t="s">
        <v>3137</v>
      </c>
      <c r="H569" t="s">
        <v>1251</v>
      </c>
      <c r="J569" s="455">
        <v>46188</v>
      </c>
      <c r="U569" s="455">
        <v>46188</v>
      </c>
    </row>
    <row r="570" spans="1:21">
      <c r="A570" t="s">
        <v>1751</v>
      </c>
      <c r="B570" t="s">
        <v>3667</v>
      </c>
      <c r="C570" t="s">
        <v>1751</v>
      </c>
      <c r="D570">
        <v>20548143</v>
      </c>
      <c r="E570" t="s">
        <v>3128</v>
      </c>
      <c r="F570" t="s">
        <v>1242</v>
      </c>
      <c r="G570" t="s">
        <v>3129</v>
      </c>
      <c r="H570" t="s">
        <v>3377</v>
      </c>
      <c r="J570" s="455">
        <v>46181</v>
      </c>
      <c r="U570" s="455">
        <v>46181</v>
      </c>
    </row>
    <row r="571" spans="1:21">
      <c r="A571" t="s">
        <v>1751</v>
      </c>
      <c r="B571" t="s">
        <v>3668</v>
      </c>
      <c r="C571" t="s">
        <v>1751</v>
      </c>
      <c r="D571">
        <v>20540666</v>
      </c>
      <c r="E571" t="s">
        <v>3128</v>
      </c>
      <c r="F571" t="s">
        <v>1239</v>
      </c>
      <c r="G571" t="s">
        <v>3143</v>
      </c>
      <c r="H571" t="s">
        <v>1251</v>
      </c>
      <c r="I571" t="s">
        <v>3385</v>
      </c>
      <c r="J571" s="455">
        <v>46174</v>
      </c>
      <c r="U571" s="455">
        <v>46174</v>
      </c>
    </row>
    <row r="572" spans="1:21">
      <c r="A572" t="s">
        <v>1751</v>
      </c>
      <c r="B572" t="s">
        <v>3669</v>
      </c>
      <c r="C572" t="s">
        <v>1751</v>
      </c>
      <c r="D572">
        <v>20567192</v>
      </c>
      <c r="E572" t="s">
        <v>3128</v>
      </c>
      <c r="F572" t="s">
        <v>1239</v>
      </c>
      <c r="G572" t="s">
        <v>2009</v>
      </c>
      <c r="H572" t="s">
        <v>1252</v>
      </c>
      <c r="J572" s="455">
        <v>46200</v>
      </c>
      <c r="U572" s="455">
        <v>46200</v>
      </c>
    </row>
    <row r="573" spans="1:21">
      <c r="A573" t="s">
        <v>1751</v>
      </c>
      <c r="B573" t="s">
        <v>3670</v>
      </c>
      <c r="C573" t="s">
        <v>1751</v>
      </c>
      <c r="D573">
        <v>20569685</v>
      </c>
      <c r="E573" t="s">
        <v>3128</v>
      </c>
      <c r="F573" t="s">
        <v>1241</v>
      </c>
      <c r="G573" t="s">
        <v>3134</v>
      </c>
      <c r="H573" t="s">
        <v>1252</v>
      </c>
      <c r="J573" s="455">
        <v>46203</v>
      </c>
      <c r="U573" s="455">
        <v>46219</v>
      </c>
    </row>
    <row r="574" spans="1:21">
      <c r="A574" t="s">
        <v>1751</v>
      </c>
      <c r="B574" t="s">
        <v>3109</v>
      </c>
      <c r="C574" t="s">
        <v>1751</v>
      </c>
      <c r="D574">
        <v>20531015</v>
      </c>
      <c r="E574" t="s">
        <v>3133</v>
      </c>
      <c r="F574" t="s">
        <v>1782</v>
      </c>
      <c r="G574" t="s">
        <v>3134</v>
      </c>
      <c r="H574" t="s">
        <v>1247</v>
      </c>
      <c r="J574" s="455">
        <v>46161</v>
      </c>
      <c r="K574" s="455">
        <v>46161</v>
      </c>
      <c r="R574" s="455">
        <v>46190</v>
      </c>
      <c r="U574" s="455">
        <v>46161</v>
      </c>
    </row>
    <row r="575" spans="1:21">
      <c r="A575" t="s">
        <v>1751</v>
      </c>
      <c r="B575" t="s">
        <v>3109</v>
      </c>
      <c r="C575" t="s">
        <v>1751</v>
      </c>
      <c r="D575">
        <v>20569506</v>
      </c>
      <c r="E575" t="s">
        <v>3128</v>
      </c>
      <c r="F575" t="s">
        <v>1912</v>
      </c>
      <c r="G575" t="s">
        <v>3137</v>
      </c>
      <c r="H575" t="s">
        <v>1247</v>
      </c>
      <c r="J575" s="455">
        <v>46203</v>
      </c>
      <c r="U575" s="455">
        <v>46203</v>
      </c>
    </row>
    <row r="576" spans="1:21">
      <c r="A576" t="s">
        <v>1751</v>
      </c>
      <c r="B576" t="s">
        <v>3671</v>
      </c>
      <c r="C576" t="s">
        <v>1751</v>
      </c>
      <c r="D576">
        <v>20551701</v>
      </c>
      <c r="E576" t="s">
        <v>3190</v>
      </c>
      <c r="F576" t="s">
        <v>1239</v>
      </c>
      <c r="G576" t="s">
        <v>3143</v>
      </c>
      <c r="H576" t="s">
        <v>1248</v>
      </c>
      <c r="J576" s="455">
        <v>46184</v>
      </c>
      <c r="R576" s="455">
        <v>46184</v>
      </c>
      <c r="U576" s="455">
        <v>46184</v>
      </c>
    </row>
    <row r="577" spans="1:21">
      <c r="A577" t="s">
        <v>1751</v>
      </c>
      <c r="B577" t="s">
        <v>3672</v>
      </c>
      <c r="C577" t="s">
        <v>1751</v>
      </c>
      <c r="D577">
        <v>20547407</v>
      </c>
      <c r="E577" t="s">
        <v>3128</v>
      </c>
      <c r="F577" t="s">
        <v>1241</v>
      </c>
      <c r="G577" t="s">
        <v>3141</v>
      </c>
      <c r="H577" t="s">
        <v>1252</v>
      </c>
      <c r="J577" s="455">
        <v>46180</v>
      </c>
      <c r="U577" s="455">
        <v>46210</v>
      </c>
    </row>
    <row r="578" spans="1:21">
      <c r="A578" t="s">
        <v>1751</v>
      </c>
      <c r="B578" t="s">
        <v>3672</v>
      </c>
      <c r="C578" t="s">
        <v>1751</v>
      </c>
      <c r="D578">
        <v>20547408</v>
      </c>
      <c r="E578" t="s">
        <v>3128</v>
      </c>
      <c r="F578" t="s">
        <v>1241</v>
      </c>
      <c r="G578" t="s">
        <v>3134</v>
      </c>
      <c r="H578" t="s">
        <v>1252</v>
      </c>
      <c r="J578" s="455">
        <v>46180</v>
      </c>
      <c r="U578" s="455">
        <v>46210</v>
      </c>
    </row>
    <row r="579" spans="1:21">
      <c r="A579" t="s">
        <v>1751</v>
      </c>
      <c r="B579" t="s">
        <v>3673</v>
      </c>
      <c r="C579" t="s">
        <v>1751</v>
      </c>
      <c r="D579">
        <v>20554672</v>
      </c>
      <c r="E579" t="s">
        <v>3128</v>
      </c>
      <c r="F579" t="s">
        <v>1782</v>
      </c>
      <c r="G579" t="s">
        <v>3141</v>
      </c>
      <c r="H579" t="s">
        <v>1252</v>
      </c>
      <c r="J579" s="455">
        <v>46186</v>
      </c>
      <c r="U579" s="455">
        <v>46249</v>
      </c>
    </row>
    <row r="580" spans="1:21">
      <c r="A580" t="s">
        <v>1751</v>
      </c>
      <c r="B580" t="s">
        <v>3674</v>
      </c>
      <c r="C580" t="s">
        <v>1751</v>
      </c>
      <c r="D580">
        <v>20563316</v>
      </c>
      <c r="E580" t="s">
        <v>3128</v>
      </c>
      <c r="F580" t="s">
        <v>1237</v>
      </c>
      <c r="G580" t="s">
        <v>3134</v>
      </c>
      <c r="H580" t="s">
        <v>3165</v>
      </c>
      <c r="I580" t="s">
        <v>2148</v>
      </c>
      <c r="J580" s="455">
        <v>46196</v>
      </c>
      <c r="U580" s="455">
        <v>46255</v>
      </c>
    </row>
    <row r="581" spans="1:21">
      <c r="A581" t="s">
        <v>1751</v>
      </c>
      <c r="B581" t="s">
        <v>2557</v>
      </c>
      <c r="C581" t="s">
        <v>1751</v>
      </c>
      <c r="D581">
        <v>20537577</v>
      </c>
      <c r="E581" t="s">
        <v>3142</v>
      </c>
      <c r="F581" t="s">
        <v>1242</v>
      </c>
      <c r="G581" t="s">
        <v>3137</v>
      </c>
      <c r="H581" t="s">
        <v>1252</v>
      </c>
      <c r="I581" t="s">
        <v>2556</v>
      </c>
      <c r="J581" s="455">
        <v>46170</v>
      </c>
      <c r="K581" s="455">
        <v>46170</v>
      </c>
      <c r="L581" s="455">
        <v>46171</v>
      </c>
      <c r="M581" s="455">
        <v>46175</v>
      </c>
      <c r="N581" s="455">
        <v>46175</v>
      </c>
      <c r="P581" s="455">
        <v>46175</v>
      </c>
      <c r="Q581" s="455">
        <v>46175</v>
      </c>
      <c r="U581" s="455">
        <v>46178</v>
      </c>
    </row>
    <row r="582" spans="1:21">
      <c r="A582" t="s">
        <v>1751</v>
      </c>
      <c r="B582" t="s">
        <v>3675</v>
      </c>
      <c r="C582" t="s">
        <v>1751</v>
      </c>
      <c r="D582">
        <v>20564430</v>
      </c>
      <c r="E582" t="s">
        <v>3128</v>
      </c>
      <c r="F582" t="s">
        <v>1241</v>
      </c>
      <c r="G582" t="s">
        <v>2009</v>
      </c>
      <c r="H582" t="s">
        <v>3377</v>
      </c>
      <c r="J582" s="455">
        <v>46197</v>
      </c>
      <c r="U582" s="455">
        <v>46162</v>
      </c>
    </row>
    <row r="583" spans="1:21">
      <c r="A583" t="s">
        <v>1751</v>
      </c>
      <c r="B583" t="s">
        <v>3676</v>
      </c>
      <c r="C583" t="s">
        <v>1751</v>
      </c>
      <c r="D583">
        <v>20535910</v>
      </c>
      <c r="E583" t="s">
        <v>3133</v>
      </c>
      <c r="F583" t="s">
        <v>1241</v>
      </c>
      <c r="G583" t="s">
        <v>3134</v>
      </c>
      <c r="H583" t="s">
        <v>1247</v>
      </c>
      <c r="I583" t="s">
        <v>3258</v>
      </c>
      <c r="J583" s="455">
        <v>46168</v>
      </c>
      <c r="K583" s="455">
        <v>46168</v>
      </c>
      <c r="R583" s="455">
        <v>46190</v>
      </c>
      <c r="U583" s="455">
        <v>46168</v>
      </c>
    </row>
    <row r="584" spans="1:21">
      <c r="A584" t="s">
        <v>1751</v>
      </c>
      <c r="B584" t="s">
        <v>3677</v>
      </c>
      <c r="C584" t="s">
        <v>1751</v>
      </c>
      <c r="D584">
        <v>20473412</v>
      </c>
      <c r="E584" t="s">
        <v>3133</v>
      </c>
      <c r="F584" t="s">
        <v>1799</v>
      </c>
      <c r="G584" t="s">
        <v>3134</v>
      </c>
      <c r="H584" t="s">
        <v>1247</v>
      </c>
      <c r="J584" s="455">
        <v>46098</v>
      </c>
      <c r="K584" s="455">
        <v>46098</v>
      </c>
      <c r="R584" s="455">
        <v>46177</v>
      </c>
      <c r="U584" s="455">
        <v>46098</v>
      </c>
    </row>
    <row r="585" spans="1:21">
      <c r="A585" t="s">
        <v>1751</v>
      </c>
      <c r="B585" t="s">
        <v>3678</v>
      </c>
      <c r="C585" t="s">
        <v>1751</v>
      </c>
      <c r="D585">
        <v>20552313</v>
      </c>
      <c r="E585" t="s">
        <v>3133</v>
      </c>
      <c r="F585" t="s">
        <v>1241</v>
      </c>
      <c r="G585" t="s">
        <v>3134</v>
      </c>
      <c r="H585" t="s">
        <v>1247</v>
      </c>
      <c r="J585" s="455">
        <v>46184</v>
      </c>
      <c r="K585" s="455">
        <v>46184</v>
      </c>
      <c r="R585" s="455">
        <v>46190</v>
      </c>
      <c r="U585" s="455">
        <v>46184</v>
      </c>
    </row>
    <row r="586" spans="1:21">
      <c r="A586" t="s">
        <v>1751</v>
      </c>
      <c r="B586" t="s">
        <v>3678</v>
      </c>
      <c r="C586" t="s">
        <v>1751</v>
      </c>
      <c r="D586">
        <v>20547269</v>
      </c>
      <c r="E586" t="s">
        <v>3133</v>
      </c>
      <c r="F586" t="s">
        <v>1238</v>
      </c>
      <c r="G586" t="s">
        <v>3134</v>
      </c>
      <c r="H586" t="s">
        <v>1247</v>
      </c>
      <c r="I586" t="s">
        <v>2487</v>
      </c>
      <c r="J586" s="455">
        <v>46179</v>
      </c>
      <c r="K586" s="455">
        <v>46179</v>
      </c>
      <c r="L586" s="455">
        <v>46182</v>
      </c>
      <c r="S586" s="455">
        <v>46182</v>
      </c>
      <c r="U586" s="455">
        <v>46248</v>
      </c>
    </row>
    <row r="587" spans="1:21">
      <c r="A587" t="s">
        <v>1751</v>
      </c>
      <c r="B587" t="s">
        <v>3678</v>
      </c>
      <c r="C587" t="s">
        <v>1751</v>
      </c>
      <c r="D587">
        <v>20543489</v>
      </c>
      <c r="E587" t="s">
        <v>3128</v>
      </c>
      <c r="F587" t="s">
        <v>1782</v>
      </c>
      <c r="G587" t="s">
        <v>3129</v>
      </c>
      <c r="H587" t="s">
        <v>3131</v>
      </c>
      <c r="J587" s="455">
        <v>46176</v>
      </c>
      <c r="U587" s="455">
        <v>46176</v>
      </c>
    </row>
    <row r="588" spans="1:21">
      <c r="A588" t="s">
        <v>1751</v>
      </c>
      <c r="B588" t="s">
        <v>3679</v>
      </c>
      <c r="C588" t="s">
        <v>1751</v>
      </c>
      <c r="D588">
        <v>20565800</v>
      </c>
      <c r="E588" t="s">
        <v>3128</v>
      </c>
      <c r="F588" t="s">
        <v>1241</v>
      </c>
      <c r="G588" t="s">
        <v>3141</v>
      </c>
      <c r="H588" t="s">
        <v>1252</v>
      </c>
      <c r="J588" s="455">
        <v>46198</v>
      </c>
      <c r="U588" s="455">
        <v>46277</v>
      </c>
    </row>
    <row r="589" spans="1:21">
      <c r="A589" t="s">
        <v>1751</v>
      </c>
      <c r="B589" t="s">
        <v>3680</v>
      </c>
      <c r="C589" t="s">
        <v>1751</v>
      </c>
      <c r="D589">
        <v>20548799</v>
      </c>
      <c r="E589" t="s">
        <v>3128</v>
      </c>
      <c r="F589" t="s">
        <v>1241</v>
      </c>
      <c r="G589" t="s">
        <v>3134</v>
      </c>
      <c r="H589" t="s">
        <v>3165</v>
      </c>
      <c r="J589" s="455">
        <v>46181</v>
      </c>
      <c r="U589" s="455">
        <v>46211</v>
      </c>
    </row>
    <row r="590" spans="1:21">
      <c r="A590" t="s">
        <v>1751</v>
      </c>
      <c r="B590" t="s">
        <v>3681</v>
      </c>
      <c r="C590" t="s">
        <v>1751</v>
      </c>
      <c r="D590">
        <v>20563610</v>
      </c>
      <c r="E590" t="s">
        <v>3128</v>
      </c>
      <c r="F590" t="s">
        <v>1241</v>
      </c>
      <c r="G590" t="s">
        <v>3141</v>
      </c>
      <c r="H590" t="s">
        <v>3358</v>
      </c>
      <c r="J590" s="455">
        <v>46196</v>
      </c>
      <c r="U590" s="455">
        <v>46196</v>
      </c>
    </row>
    <row r="591" spans="1:21">
      <c r="A591" t="s">
        <v>1751</v>
      </c>
      <c r="B591" t="s">
        <v>3682</v>
      </c>
      <c r="C591" t="s">
        <v>1751</v>
      </c>
      <c r="D591">
        <v>20540157</v>
      </c>
      <c r="E591" t="s">
        <v>3133</v>
      </c>
      <c r="F591" t="s">
        <v>1239</v>
      </c>
      <c r="G591" t="s">
        <v>3141</v>
      </c>
      <c r="H591" t="s">
        <v>1252</v>
      </c>
      <c r="I591" t="s">
        <v>2148</v>
      </c>
      <c r="J591" s="455">
        <v>46173</v>
      </c>
      <c r="K591" s="455">
        <v>46190</v>
      </c>
      <c r="R591" s="455">
        <v>46196</v>
      </c>
      <c r="U591" s="455">
        <v>46176</v>
      </c>
    </row>
    <row r="592" spans="1:21">
      <c r="A592" t="s">
        <v>1751</v>
      </c>
      <c r="B592" t="s">
        <v>3682</v>
      </c>
      <c r="C592" t="s">
        <v>1751</v>
      </c>
      <c r="D592">
        <v>20558968</v>
      </c>
      <c r="E592" t="s">
        <v>3133</v>
      </c>
      <c r="F592" t="s">
        <v>1241</v>
      </c>
      <c r="G592" t="s">
        <v>3134</v>
      </c>
      <c r="H592" t="s">
        <v>3515</v>
      </c>
      <c r="J592" s="455">
        <v>46190</v>
      </c>
      <c r="K592" s="455">
        <v>46190</v>
      </c>
      <c r="R592" s="455">
        <v>46197</v>
      </c>
      <c r="U592" s="455">
        <v>46190</v>
      </c>
    </row>
    <row r="593" spans="1:21">
      <c r="A593" t="s">
        <v>1751</v>
      </c>
      <c r="B593" t="s">
        <v>3683</v>
      </c>
      <c r="C593" t="s">
        <v>1751</v>
      </c>
      <c r="D593">
        <v>20562112</v>
      </c>
      <c r="E593" t="s">
        <v>1897</v>
      </c>
      <c r="F593" t="s">
        <v>1239</v>
      </c>
      <c r="G593" t="s">
        <v>3129</v>
      </c>
      <c r="H593" t="s">
        <v>3131</v>
      </c>
      <c r="I593" t="s">
        <v>3170</v>
      </c>
      <c r="J593" s="455">
        <v>46195</v>
      </c>
      <c r="K593" s="455">
        <v>46195</v>
      </c>
      <c r="U593" s="455">
        <v>46195</v>
      </c>
    </row>
    <row r="594" spans="1:21">
      <c r="A594" t="s">
        <v>1751</v>
      </c>
      <c r="B594" t="s">
        <v>3684</v>
      </c>
      <c r="C594" t="s">
        <v>1751</v>
      </c>
      <c r="D594">
        <v>20546862</v>
      </c>
      <c r="E594" t="s">
        <v>3128</v>
      </c>
      <c r="F594" t="s">
        <v>1241</v>
      </c>
      <c r="G594" t="s">
        <v>3143</v>
      </c>
      <c r="H594" t="s">
        <v>3685</v>
      </c>
      <c r="I594" t="s">
        <v>3344</v>
      </c>
      <c r="J594" s="455">
        <v>46179</v>
      </c>
      <c r="U594" s="455">
        <v>46203</v>
      </c>
    </row>
    <row r="595" spans="1:21">
      <c r="A595" t="s">
        <v>1751</v>
      </c>
      <c r="B595" t="s">
        <v>3686</v>
      </c>
      <c r="C595" t="s">
        <v>1751</v>
      </c>
      <c r="D595">
        <v>20554252</v>
      </c>
      <c r="E595" t="s">
        <v>3128</v>
      </c>
      <c r="F595" t="s">
        <v>1241</v>
      </c>
      <c r="G595" t="s">
        <v>3129</v>
      </c>
      <c r="H595" t="s">
        <v>3377</v>
      </c>
      <c r="J595" s="455">
        <v>46186</v>
      </c>
      <c r="U595" s="455">
        <v>46186</v>
      </c>
    </row>
    <row r="596" spans="1:21">
      <c r="A596" t="s">
        <v>1751</v>
      </c>
      <c r="B596" t="s">
        <v>3687</v>
      </c>
      <c r="C596" t="s">
        <v>1751</v>
      </c>
      <c r="D596">
        <v>20548528</v>
      </c>
      <c r="E596" t="s">
        <v>3128</v>
      </c>
      <c r="F596" t="s">
        <v>1241</v>
      </c>
      <c r="G596" t="s">
        <v>3141</v>
      </c>
      <c r="H596" t="s">
        <v>1252</v>
      </c>
      <c r="J596" s="455">
        <v>46181</v>
      </c>
      <c r="U596" s="455">
        <v>46228</v>
      </c>
    </row>
    <row r="597" spans="1:21">
      <c r="A597" t="s">
        <v>1751</v>
      </c>
      <c r="B597" t="s">
        <v>3688</v>
      </c>
      <c r="C597" t="s">
        <v>1751</v>
      </c>
      <c r="D597">
        <v>20547085</v>
      </c>
      <c r="E597" t="s">
        <v>3128</v>
      </c>
      <c r="F597" t="s">
        <v>1241</v>
      </c>
      <c r="G597" t="s">
        <v>3129</v>
      </c>
      <c r="H597" t="s">
        <v>3131</v>
      </c>
      <c r="J597" s="455">
        <v>46179</v>
      </c>
      <c r="U597" s="455">
        <v>46179</v>
      </c>
    </row>
    <row r="598" spans="1:21">
      <c r="A598" t="s">
        <v>1751</v>
      </c>
      <c r="B598" t="s">
        <v>3689</v>
      </c>
      <c r="C598" t="s">
        <v>1751</v>
      </c>
      <c r="D598">
        <v>20524934</v>
      </c>
      <c r="E598" t="s">
        <v>3133</v>
      </c>
      <c r="F598" t="s">
        <v>1241</v>
      </c>
      <c r="G598" t="s">
        <v>3134</v>
      </c>
      <c r="H598" t="s">
        <v>1247</v>
      </c>
      <c r="I598" t="s">
        <v>2405</v>
      </c>
      <c r="J598" s="455">
        <v>46155</v>
      </c>
      <c r="K598" s="455">
        <v>46155</v>
      </c>
      <c r="R598" s="455">
        <v>46189</v>
      </c>
      <c r="U598" s="455">
        <v>46155</v>
      </c>
    </row>
    <row r="599" spans="1:21">
      <c r="A599" t="s">
        <v>1751</v>
      </c>
      <c r="B599" t="s">
        <v>3690</v>
      </c>
      <c r="C599" t="s">
        <v>1751</v>
      </c>
      <c r="D599">
        <v>20561095</v>
      </c>
      <c r="E599" t="s">
        <v>3128</v>
      </c>
      <c r="F599" t="s">
        <v>1782</v>
      </c>
      <c r="G599" t="s">
        <v>3137</v>
      </c>
      <c r="H599" t="s">
        <v>1252</v>
      </c>
      <c r="J599" s="455">
        <v>46193</v>
      </c>
      <c r="U599" s="455">
        <v>46265</v>
      </c>
    </row>
    <row r="600" spans="1:21">
      <c r="A600" t="s">
        <v>1751</v>
      </c>
      <c r="B600" t="s">
        <v>3691</v>
      </c>
      <c r="C600" t="s">
        <v>1751</v>
      </c>
      <c r="D600">
        <v>20565136</v>
      </c>
      <c r="E600" t="s">
        <v>3128</v>
      </c>
      <c r="F600" t="s">
        <v>1243</v>
      </c>
      <c r="G600" t="s">
        <v>3129</v>
      </c>
      <c r="H600" t="s">
        <v>3131</v>
      </c>
      <c r="J600" s="455">
        <v>46198</v>
      </c>
      <c r="U600" s="455">
        <v>46198</v>
      </c>
    </row>
    <row r="601" spans="1:21">
      <c r="A601" t="s">
        <v>1751</v>
      </c>
      <c r="B601" t="s">
        <v>3692</v>
      </c>
      <c r="C601" t="s">
        <v>1751</v>
      </c>
      <c r="D601">
        <v>20557282</v>
      </c>
      <c r="E601" t="s">
        <v>3128</v>
      </c>
      <c r="F601" t="s">
        <v>1782</v>
      </c>
      <c r="G601" t="s">
        <v>3129</v>
      </c>
      <c r="H601" t="s">
        <v>3377</v>
      </c>
      <c r="J601" s="455">
        <v>46189</v>
      </c>
      <c r="U601" s="455">
        <v>46189</v>
      </c>
    </row>
    <row r="602" spans="1:21">
      <c r="A602" t="s">
        <v>1751</v>
      </c>
      <c r="B602" t="s">
        <v>3693</v>
      </c>
      <c r="C602" t="s">
        <v>1751</v>
      </c>
      <c r="D602">
        <v>20561609</v>
      </c>
      <c r="E602" t="s">
        <v>3128</v>
      </c>
      <c r="F602" t="s">
        <v>1241</v>
      </c>
      <c r="G602" t="s">
        <v>3134</v>
      </c>
      <c r="H602" t="s">
        <v>3165</v>
      </c>
      <c r="J602" s="455">
        <v>46194</v>
      </c>
      <c r="U602" s="455">
        <v>46195</v>
      </c>
    </row>
    <row r="603" spans="1:21">
      <c r="A603" t="s">
        <v>1751</v>
      </c>
      <c r="B603" t="s">
        <v>3694</v>
      </c>
      <c r="C603" t="s">
        <v>1751</v>
      </c>
      <c r="D603">
        <v>20542775</v>
      </c>
      <c r="E603" t="s">
        <v>3128</v>
      </c>
      <c r="F603" t="s">
        <v>1782</v>
      </c>
      <c r="G603" t="s">
        <v>3141</v>
      </c>
      <c r="H603" t="s">
        <v>1252</v>
      </c>
      <c r="J603" s="455">
        <v>46176</v>
      </c>
      <c r="U603" s="455">
        <v>46176</v>
      </c>
    </row>
    <row r="604" spans="1:21">
      <c r="A604" t="s">
        <v>1751</v>
      </c>
      <c r="B604" t="s">
        <v>3695</v>
      </c>
      <c r="C604" t="s">
        <v>1751</v>
      </c>
      <c r="D604">
        <v>20542828</v>
      </c>
      <c r="E604" t="s">
        <v>3128</v>
      </c>
      <c r="F604" t="s">
        <v>1242</v>
      </c>
      <c r="G604" t="s">
        <v>3143</v>
      </c>
      <c r="H604" t="s">
        <v>1251</v>
      </c>
      <c r="I604" t="s">
        <v>1917</v>
      </c>
      <c r="J604" s="455">
        <v>46176</v>
      </c>
      <c r="U604" s="455">
        <v>46270</v>
      </c>
    </row>
    <row r="605" spans="1:21">
      <c r="A605" t="s">
        <v>1751</v>
      </c>
      <c r="B605" t="s">
        <v>3696</v>
      </c>
      <c r="C605" t="s">
        <v>1751</v>
      </c>
      <c r="D605">
        <v>20563982</v>
      </c>
      <c r="E605" t="s">
        <v>3128</v>
      </c>
      <c r="F605" t="s">
        <v>1241</v>
      </c>
      <c r="G605" t="s">
        <v>3141</v>
      </c>
      <c r="H605" t="s">
        <v>1252</v>
      </c>
      <c r="J605" s="455">
        <v>46197</v>
      </c>
      <c r="U605" s="455">
        <v>46203</v>
      </c>
    </row>
    <row r="606" spans="1:21">
      <c r="A606" t="s">
        <v>1751</v>
      </c>
      <c r="B606" t="s">
        <v>3697</v>
      </c>
      <c r="C606" t="s">
        <v>1751</v>
      </c>
      <c r="D606">
        <v>20543859</v>
      </c>
      <c r="E606" t="s">
        <v>3128</v>
      </c>
      <c r="F606" t="s">
        <v>1241</v>
      </c>
      <c r="G606" t="s">
        <v>3137</v>
      </c>
      <c r="H606" t="s">
        <v>1252</v>
      </c>
      <c r="J606" s="455">
        <v>46176</v>
      </c>
      <c r="U606" s="455">
        <v>46178</v>
      </c>
    </row>
    <row r="607" spans="1:21">
      <c r="A607" t="s">
        <v>1751</v>
      </c>
      <c r="B607" t="s">
        <v>3697</v>
      </c>
      <c r="C607" t="s">
        <v>1751</v>
      </c>
      <c r="D607">
        <v>20543857</v>
      </c>
      <c r="E607" t="s">
        <v>3128</v>
      </c>
      <c r="F607" t="s">
        <v>1782</v>
      </c>
      <c r="G607" t="s">
        <v>3134</v>
      </c>
      <c r="H607" t="s">
        <v>1252</v>
      </c>
      <c r="J607" s="455">
        <v>46176</v>
      </c>
      <c r="U607" s="455">
        <v>46178</v>
      </c>
    </row>
    <row r="608" spans="1:21">
      <c r="A608" t="s">
        <v>1751</v>
      </c>
      <c r="B608" t="s">
        <v>3698</v>
      </c>
      <c r="C608" t="s">
        <v>1751</v>
      </c>
      <c r="D608">
        <v>20509546</v>
      </c>
      <c r="E608" t="s">
        <v>3133</v>
      </c>
      <c r="F608" t="s">
        <v>1242</v>
      </c>
      <c r="G608" t="s">
        <v>3134</v>
      </c>
      <c r="H608" t="s">
        <v>1247</v>
      </c>
      <c r="J608" s="455">
        <v>46137</v>
      </c>
      <c r="K608" s="455">
        <v>46137</v>
      </c>
      <c r="R608" s="455">
        <v>46189</v>
      </c>
      <c r="U608" s="455">
        <v>46137</v>
      </c>
    </row>
    <row r="609" spans="1:21">
      <c r="A609" t="s">
        <v>1751</v>
      </c>
      <c r="B609" t="s">
        <v>3698</v>
      </c>
      <c r="C609" t="s">
        <v>1751</v>
      </c>
      <c r="D609">
        <v>20504425</v>
      </c>
      <c r="E609" t="s">
        <v>3133</v>
      </c>
      <c r="F609" t="s">
        <v>1782</v>
      </c>
      <c r="G609" t="s">
        <v>3129</v>
      </c>
      <c r="H609" t="s">
        <v>3377</v>
      </c>
      <c r="J609" s="455">
        <v>46133</v>
      </c>
      <c r="K609" s="455">
        <v>46137</v>
      </c>
      <c r="R609" s="455">
        <v>46189</v>
      </c>
      <c r="U609" s="455">
        <v>46148</v>
      </c>
    </row>
    <row r="610" spans="1:21">
      <c r="A610" t="s">
        <v>1751</v>
      </c>
      <c r="B610" t="s">
        <v>3699</v>
      </c>
      <c r="C610" t="s">
        <v>1751</v>
      </c>
      <c r="D610">
        <v>20546471</v>
      </c>
      <c r="E610" t="s">
        <v>3128</v>
      </c>
      <c r="F610" t="s">
        <v>1782</v>
      </c>
      <c r="G610" t="s">
        <v>3134</v>
      </c>
      <c r="H610" t="s">
        <v>3165</v>
      </c>
      <c r="J610" s="455">
        <v>46179</v>
      </c>
      <c r="U610" s="455">
        <v>46254</v>
      </c>
    </row>
    <row r="611" spans="1:21">
      <c r="A611" t="s">
        <v>1751</v>
      </c>
      <c r="B611" t="s">
        <v>2969</v>
      </c>
      <c r="C611" t="s">
        <v>1751</v>
      </c>
      <c r="D611">
        <v>20540696</v>
      </c>
      <c r="E611" t="s">
        <v>3133</v>
      </c>
      <c r="F611" t="s">
        <v>1241</v>
      </c>
      <c r="G611" t="s">
        <v>3134</v>
      </c>
      <c r="H611" t="s">
        <v>1249</v>
      </c>
      <c r="I611" t="s">
        <v>1910</v>
      </c>
      <c r="J611" s="455">
        <v>46174</v>
      </c>
      <c r="K611" s="455">
        <v>46174</v>
      </c>
      <c r="R611" s="455">
        <v>46190</v>
      </c>
      <c r="U611" s="455">
        <v>46199</v>
      </c>
    </row>
    <row r="612" spans="1:21">
      <c r="A612" t="s">
        <v>1751</v>
      </c>
      <c r="B612" t="s">
        <v>3700</v>
      </c>
      <c r="C612" t="s">
        <v>1751</v>
      </c>
      <c r="D612">
        <v>20549196</v>
      </c>
      <c r="E612" t="s">
        <v>3128</v>
      </c>
      <c r="F612" t="s">
        <v>1241</v>
      </c>
      <c r="G612" t="s">
        <v>3129</v>
      </c>
      <c r="H612" t="s">
        <v>1252</v>
      </c>
      <c r="J612" s="455">
        <v>46182</v>
      </c>
      <c r="U612" s="455">
        <v>46182</v>
      </c>
    </row>
    <row r="613" spans="1:21">
      <c r="A613" t="s">
        <v>1751</v>
      </c>
      <c r="B613" t="s">
        <v>3701</v>
      </c>
      <c r="C613" t="s">
        <v>1751</v>
      </c>
      <c r="D613">
        <v>20549921</v>
      </c>
      <c r="E613" t="s">
        <v>3128</v>
      </c>
      <c r="F613" t="s">
        <v>1241</v>
      </c>
      <c r="G613" t="s">
        <v>3134</v>
      </c>
      <c r="H613" t="s">
        <v>3165</v>
      </c>
      <c r="J613" s="455">
        <v>46182</v>
      </c>
      <c r="U613" s="455">
        <v>46184</v>
      </c>
    </row>
    <row r="614" spans="1:21">
      <c r="A614" t="s">
        <v>1751</v>
      </c>
      <c r="B614" t="s">
        <v>3702</v>
      </c>
      <c r="C614" t="s">
        <v>1751</v>
      </c>
      <c r="D614">
        <v>20565791</v>
      </c>
      <c r="E614" t="s">
        <v>3128</v>
      </c>
      <c r="F614" t="s">
        <v>1239</v>
      </c>
      <c r="G614" t="s">
        <v>3141</v>
      </c>
      <c r="H614" t="s">
        <v>1247</v>
      </c>
      <c r="I614" t="s">
        <v>3703</v>
      </c>
      <c r="J614" s="455">
        <v>46198</v>
      </c>
      <c r="U614" s="455">
        <v>46375</v>
      </c>
    </row>
    <row r="615" spans="1:21">
      <c r="A615" t="s">
        <v>1751</v>
      </c>
      <c r="B615" t="s">
        <v>3704</v>
      </c>
      <c r="C615" t="s">
        <v>1751</v>
      </c>
      <c r="D615">
        <v>20553592</v>
      </c>
      <c r="E615" t="s">
        <v>3128</v>
      </c>
      <c r="F615" t="s">
        <v>1782</v>
      </c>
      <c r="G615" t="s">
        <v>3129</v>
      </c>
      <c r="H615" t="s">
        <v>1253</v>
      </c>
      <c r="J615" s="455">
        <v>46185</v>
      </c>
      <c r="U615" s="455">
        <v>46185</v>
      </c>
    </row>
    <row r="616" spans="1:21">
      <c r="A616" t="s">
        <v>1751</v>
      </c>
      <c r="B616" t="s">
        <v>3705</v>
      </c>
      <c r="C616" t="s">
        <v>1751</v>
      </c>
      <c r="D616">
        <v>20566846</v>
      </c>
      <c r="E616" t="s">
        <v>3128</v>
      </c>
      <c r="F616" t="s">
        <v>1241</v>
      </c>
      <c r="G616" t="s">
        <v>3137</v>
      </c>
      <c r="H616" t="s">
        <v>1252</v>
      </c>
      <c r="J616" s="455">
        <v>46199</v>
      </c>
      <c r="U616" s="455">
        <v>46203</v>
      </c>
    </row>
    <row r="617" spans="1:21">
      <c r="A617" t="s">
        <v>1751</v>
      </c>
      <c r="B617" t="s">
        <v>3706</v>
      </c>
      <c r="C617" t="s">
        <v>1751</v>
      </c>
      <c r="D617">
        <v>20544430</v>
      </c>
      <c r="E617" t="s">
        <v>3128</v>
      </c>
      <c r="F617" t="s">
        <v>1912</v>
      </c>
      <c r="G617" t="s">
        <v>3137</v>
      </c>
      <c r="H617" t="s">
        <v>1247</v>
      </c>
      <c r="J617" s="455">
        <v>46176</v>
      </c>
      <c r="U617" s="455">
        <v>46176</v>
      </c>
    </row>
    <row r="618" spans="1:21">
      <c r="A618" t="s">
        <v>1751</v>
      </c>
      <c r="B618" t="s">
        <v>3707</v>
      </c>
      <c r="C618" t="s">
        <v>1751</v>
      </c>
      <c r="D618">
        <v>20544429</v>
      </c>
      <c r="E618" t="s">
        <v>3128</v>
      </c>
      <c r="F618" t="s">
        <v>1782</v>
      </c>
      <c r="G618" t="s">
        <v>3134</v>
      </c>
      <c r="H618" t="s">
        <v>3165</v>
      </c>
      <c r="J618" s="455">
        <v>46176</v>
      </c>
      <c r="U618" s="455">
        <v>46178</v>
      </c>
    </row>
    <row r="619" spans="1:21">
      <c r="A619" t="s">
        <v>1751</v>
      </c>
      <c r="B619" t="s">
        <v>3708</v>
      </c>
      <c r="C619" t="s">
        <v>1751</v>
      </c>
      <c r="D619">
        <v>20557418</v>
      </c>
      <c r="E619" t="s">
        <v>3128</v>
      </c>
      <c r="F619" t="s">
        <v>1242</v>
      </c>
      <c r="G619" t="s">
        <v>3143</v>
      </c>
      <c r="H619" t="s">
        <v>1248</v>
      </c>
      <c r="I619" t="s">
        <v>3055</v>
      </c>
      <c r="J619" s="455">
        <v>46189</v>
      </c>
      <c r="U619" s="455">
        <v>46213</v>
      </c>
    </row>
    <row r="620" spans="1:21">
      <c r="A620" t="s">
        <v>1751</v>
      </c>
      <c r="B620" t="s">
        <v>3709</v>
      </c>
      <c r="C620" t="s">
        <v>1751</v>
      </c>
      <c r="D620">
        <v>20565598</v>
      </c>
      <c r="E620" t="s">
        <v>3128</v>
      </c>
      <c r="F620" t="s">
        <v>1241</v>
      </c>
      <c r="G620" t="s">
        <v>3141</v>
      </c>
      <c r="H620" t="s">
        <v>1252</v>
      </c>
      <c r="J620" s="455">
        <v>46198</v>
      </c>
      <c r="U620" s="455">
        <v>46199</v>
      </c>
    </row>
    <row r="621" spans="1:21">
      <c r="A621" t="s">
        <v>1751</v>
      </c>
      <c r="B621" t="s">
        <v>3710</v>
      </c>
      <c r="C621" t="s">
        <v>1751</v>
      </c>
      <c r="D621">
        <v>20526922</v>
      </c>
      <c r="E621" t="s">
        <v>3133</v>
      </c>
      <c r="F621" t="s">
        <v>1241</v>
      </c>
      <c r="G621" t="s">
        <v>3134</v>
      </c>
      <c r="H621" t="s">
        <v>1247</v>
      </c>
      <c r="I621" t="s">
        <v>1913</v>
      </c>
      <c r="J621" s="455">
        <v>46157</v>
      </c>
      <c r="K621" s="455">
        <v>46157</v>
      </c>
      <c r="R621" s="455">
        <v>46190</v>
      </c>
      <c r="U621" s="455">
        <v>46157</v>
      </c>
    </row>
    <row r="622" spans="1:21">
      <c r="A622" t="s">
        <v>1751</v>
      </c>
      <c r="B622" t="s">
        <v>3711</v>
      </c>
      <c r="C622" t="s">
        <v>1751</v>
      </c>
      <c r="D622">
        <v>20555698</v>
      </c>
      <c r="E622" t="s">
        <v>3128</v>
      </c>
      <c r="F622" t="s">
        <v>1241</v>
      </c>
      <c r="G622" t="s">
        <v>3134</v>
      </c>
      <c r="H622" t="s">
        <v>1252</v>
      </c>
      <c r="J622" s="455">
        <v>46188</v>
      </c>
      <c r="U622" s="455">
        <v>46204</v>
      </c>
    </row>
    <row r="623" spans="1:21">
      <c r="A623" t="s">
        <v>1751</v>
      </c>
      <c r="B623" t="s">
        <v>2994</v>
      </c>
      <c r="C623" t="s">
        <v>1751</v>
      </c>
      <c r="D623">
        <v>20551636</v>
      </c>
      <c r="E623" t="s">
        <v>3142</v>
      </c>
      <c r="F623" t="s">
        <v>1242</v>
      </c>
      <c r="G623" t="s">
        <v>3137</v>
      </c>
      <c r="H623" t="s">
        <v>1252</v>
      </c>
      <c r="I623" t="s">
        <v>2466</v>
      </c>
      <c r="J623" s="455">
        <v>46184</v>
      </c>
      <c r="K623" s="455">
        <v>46186</v>
      </c>
      <c r="L623" s="455">
        <v>46187</v>
      </c>
      <c r="M623" s="455">
        <v>46189</v>
      </c>
      <c r="N623" s="455">
        <v>46191</v>
      </c>
      <c r="P623" s="455">
        <v>46192</v>
      </c>
      <c r="Q623" s="455">
        <v>46195</v>
      </c>
      <c r="U623" s="455">
        <v>46206</v>
      </c>
    </row>
    <row r="624" spans="1:21">
      <c r="A624" t="s">
        <v>1751</v>
      </c>
      <c r="B624" t="s">
        <v>3712</v>
      </c>
      <c r="C624" t="s">
        <v>1751</v>
      </c>
      <c r="D624">
        <v>20560854</v>
      </c>
      <c r="E624" t="s">
        <v>3128</v>
      </c>
      <c r="F624" t="s">
        <v>1782</v>
      </c>
      <c r="G624" t="s">
        <v>3141</v>
      </c>
      <c r="H624" t="s">
        <v>1252</v>
      </c>
      <c r="J624" s="455">
        <v>46192</v>
      </c>
      <c r="U624" s="455">
        <v>46235</v>
      </c>
    </row>
    <row r="625" spans="1:21">
      <c r="A625" t="s">
        <v>1751</v>
      </c>
      <c r="B625" t="s">
        <v>3713</v>
      </c>
      <c r="C625" t="s">
        <v>1751</v>
      </c>
      <c r="D625">
        <v>20508511</v>
      </c>
      <c r="E625" t="s">
        <v>3133</v>
      </c>
      <c r="F625" t="s">
        <v>1241</v>
      </c>
      <c r="G625" t="s">
        <v>3134</v>
      </c>
      <c r="H625" t="s">
        <v>1247</v>
      </c>
      <c r="I625" t="s">
        <v>3307</v>
      </c>
      <c r="J625" s="455">
        <v>46135</v>
      </c>
      <c r="K625" s="455">
        <v>46135</v>
      </c>
      <c r="R625" s="455">
        <v>46189</v>
      </c>
      <c r="U625" s="455">
        <v>46135</v>
      </c>
    </row>
    <row r="626" spans="1:21">
      <c r="A626" t="s">
        <v>1751</v>
      </c>
      <c r="B626" t="s">
        <v>3714</v>
      </c>
      <c r="C626" t="s">
        <v>1751</v>
      </c>
      <c r="D626">
        <v>20556075</v>
      </c>
      <c r="E626" t="s">
        <v>3128</v>
      </c>
      <c r="F626" t="s">
        <v>1241</v>
      </c>
      <c r="G626" t="s">
        <v>3137</v>
      </c>
      <c r="H626" t="s">
        <v>1252</v>
      </c>
      <c r="J626" s="455">
        <v>46188</v>
      </c>
      <c r="U626" s="455">
        <v>46210</v>
      </c>
    </row>
    <row r="627" spans="1:21">
      <c r="A627" t="s">
        <v>1751</v>
      </c>
      <c r="B627" t="s">
        <v>1957</v>
      </c>
      <c r="C627" t="s">
        <v>1751</v>
      </c>
      <c r="D627">
        <v>20474504</v>
      </c>
      <c r="E627" t="s">
        <v>3133</v>
      </c>
      <c r="F627" t="s">
        <v>1238</v>
      </c>
      <c r="G627" t="s">
        <v>3134</v>
      </c>
      <c r="H627" t="s">
        <v>1247</v>
      </c>
      <c r="I627" t="s">
        <v>1956</v>
      </c>
      <c r="J627" s="455">
        <v>46099</v>
      </c>
      <c r="K627" s="455">
        <v>46099</v>
      </c>
      <c r="R627" s="455">
        <v>46177</v>
      </c>
      <c r="U627" s="455">
        <v>46099</v>
      </c>
    </row>
    <row r="628" spans="1:21">
      <c r="A628" t="s">
        <v>1751</v>
      </c>
      <c r="B628" t="s">
        <v>3715</v>
      </c>
      <c r="C628" t="s">
        <v>1751</v>
      </c>
      <c r="D628">
        <v>20555700</v>
      </c>
      <c r="E628" t="s">
        <v>3128</v>
      </c>
      <c r="F628" t="s">
        <v>1241</v>
      </c>
      <c r="G628" t="s">
        <v>3129</v>
      </c>
      <c r="H628" t="s">
        <v>3487</v>
      </c>
      <c r="J628" s="455">
        <v>46188</v>
      </c>
      <c r="U628" s="455">
        <v>46188</v>
      </c>
    </row>
    <row r="629" spans="1:21">
      <c r="A629" t="s">
        <v>1751</v>
      </c>
      <c r="B629" t="s">
        <v>3716</v>
      </c>
      <c r="C629" t="s">
        <v>1751</v>
      </c>
      <c r="D629">
        <v>20516379</v>
      </c>
      <c r="E629" t="s">
        <v>3133</v>
      </c>
      <c r="F629" t="s">
        <v>1912</v>
      </c>
      <c r="G629" t="s">
        <v>3134</v>
      </c>
      <c r="H629" t="s">
        <v>1247</v>
      </c>
      <c r="J629" s="455">
        <v>46146</v>
      </c>
      <c r="K629" s="455">
        <v>46146</v>
      </c>
      <c r="R629" s="455">
        <v>46189</v>
      </c>
      <c r="U629" s="455">
        <v>46146</v>
      </c>
    </row>
    <row r="630" spans="1:21">
      <c r="A630" t="s">
        <v>1751</v>
      </c>
      <c r="B630" t="s">
        <v>3717</v>
      </c>
      <c r="C630" t="s">
        <v>1751</v>
      </c>
      <c r="D630">
        <v>20568975</v>
      </c>
      <c r="E630" t="s">
        <v>3128</v>
      </c>
      <c r="F630" t="s">
        <v>1782</v>
      </c>
      <c r="G630" t="s">
        <v>3134</v>
      </c>
      <c r="H630" t="s">
        <v>3165</v>
      </c>
      <c r="J630" s="455">
        <v>46202</v>
      </c>
      <c r="U630" s="455">
        <v>46295</v>
      </c>
    </row>
    <row r="631" spans="1:21">
      <c r="A631" t="s">
        <v>1751</v>
      </c>
      <c r="B631" t="s">
        <v>3718</v>
      </c>
      <c r="C631" t="s">
        <v>1751</v>
      </c>
      <c r="D631">
        <v>20550832</v>
      </c>
      <c r="E631" t="s">
        <v>3128</v>
      </c>
      <c r="F631" t="s">
        <v>1241</v>
      </c>
      <c r="G631" t="s">
        <v>3129</v>
      </c>
      <c r="H631" t="s">
        <v>1252</v>
      </c>
      <c r="I631" t="s">
        <v>1808</v>
      </c>
      <c r="J631" s="455">
        <v>46183</v>
      </c>
      <c r="U631" s="455">
        <v>46183</v>
      </c>
    </row>
    <row r="632" spans="1:21">
      <c r="A632" t="s">
        <v>1751</v>
      </c>
      <c r="B632" t="s">
        <v>3719</v>
      </c>
      <c r="C632" t="s">
        <v>1751</v>
      </c>
      <c r="D632">
        <v>20559253</v>
      </c>
      <c r="E632" t="s">
        <v>3128</v>
      </c>
      <c r="F632" t="s">
        <v>1241</v>
      </c>
      <c r="G632" t="s">
        <v>3141</v>
      </c>
      <c r="H632" t="s">
        <v>1252</v>
      </c>
      <c r="J632" s="455">
        <v>46190</v>
      </c>
      <c r="U632" s="455">
        <v>46197</v>
      </c>
    </row>
    <row r="633" spans="1:21">
      <c r="A633" t="s">
        <v>1751</v>
      </c>
      <c r="B633" t="s">
        <v>3720</v>
      </c>
      <c r="C633" t="s">
        <v>1751</v>
      </c>
      <c r="D633">
        <v>20567954</v>
      </c>
      <c r="E633" t="s">
        <v>3128</v>
      </c>
      <c r="F633" t="s">
        <v>1782</v>
      </c>
      <c r="G633" t="s">
        <v>3137</v>
      </c>
      <c r="H633" t="s">
        <v>1252</v>
      </c>
      <c r="I633" t="s">
        <v>1917</v>
      </c>
      <c r="J633" s="455">
        <v>46202</v>
      </c>
      <c r="U633" s="455">
        <v>46227</v>
      </c>
    </row>
    <row r="634" spans="1:21">
      <c r="A634" t="s">
        <v>1751</v>
      </c>
      <c r="B634" t="s">
        <v>3721</v>
      </c>
      <c r="C634" t="s">
        <v>1751</v>
      </c>
      <c r="D634">
        <v>20542932</v>
      </c>
      <c r="E634" t="s">
        <v>3190</v>
      </c>
      <c r="F634" t="s">
        <v>1242</v>
      </c>
      <c r="G634" t="s">
        <v>3143</v>
      </c>
      <c r="H634" t="s">
        <v>1252</v>
      </c>
      <c r="I634" t="s">
        <v>1917</v>
      </c>
      <c r="J634" s="455">
        <v>46176</v>
      </c>
      <c r="R634" s="455">
        <v>46176</v>
      </c>
      <c r="U634" s="455">
        <v>46177</v>
      </c>
    </row>
    <row r="635" spans="1:21">
      <c r="A635" t="s">
        <v>1751</v>
      </c>
      <c r="B635" t="s">
        <v>3722</v>
      </c>
      <c r="C635" t="s">
        <v>1751</v>
      </c>
      <c r="D635">
        <v>20536317</v>
      </c>
      <c r="E635" t="s">
        <v>1897</v>
      </c>
      <c r="F635" t="s">
        <v>1243</v>
      </c>
      <c r="G635" t="s">
        <v>2009</v>
      </c>
      <c r="H635" t="s">
        <v>1252</v>
      </c>
      <c r="I635" t="s">
        <v>2640</v>
      </c>
      <c r="J635" s="455">
        <v>46168</v>
      </c>
      <c r="K635" s="455">
        <v>46189</v>
      </c>
      <c r="U635" s="455">
        <v>46200</v>
      </c>
    </row>
    <row r="636" spans="1:21">
      <c r="A636" t="s">
        <v>1751</v>
      </c>
      <c r="B636" t="s">
        <v>3723</v>
      </c>
      <c r="C636" t="s">
        <v>1751</v>
      </c>
      <c r="D636">
        <v>20552175</v>
      </c>
      <c r="E636" t="s">
        <v>1907</v>
      </c>
      <c r="F636" t="s">
        <v>1239</v>
      </c>
      <c r="G636" t="s">
        <v>3137</v>
      </c>
      <c r="H636" t="s">
        <v>1247</v>
      </c>
      <c r="I636" t="s">
        <v>3179</v>
      </c>
      <c r="J636" s="455">
        <v>46184</v>
      </c>
      <c r="K636" s="455">
        <v>46191</v>
      </c>
      <c r="L636" s="455">
        <v>46191</v>
      </c>
      <c r="O636" s="455">
        <v>46205</v>
      </c>
      <c r="U636" s="455">
        <v>46204</v>
      </c>
    </row>
    <row r="637" spans="1:21">
      <c r="A637" t="s">
        <v>1751</v>
      </c>
      <c r="B637" t="s">
        <v>3724</v>
      </c>
      <c r="C637" t="s">
        <v>1751</v>
      </c>
      <c r="D637">
        <v>20549696</v>
      </c>
      <c r="E637" t="s">
        <v>3128</v>
      </c>
      <c r="F637" t="s">
        <v>1242</v>
      </c>
      <c r="G637" t="s">
        <v>3137</v>
      </c>
      <c r="H637" t="s">
        <v>1252</v>
      </c>
      <c r="I637" t="s">
        <v>3385</v>
      </c>
      <c r="J637" s="455">
        <v>46182</v>
      </c>
      <c r="U637" s="455">
        <v>46182</v>
      </c>
    </row>
    <row r="638" spans="1:21">
      <c r="A638" t="s">
        <v>1751</v>
      </c>
      <c r="B638" t="s">
        <v>3725</v>
      </c>
      <c r="C638" t="s">
        <v>1751</v>
      </c>
      <c r="D638">
        <v>20564004</v>
      </c>
      <c r="E638" t="s">
        <v>3128</v>
      </c>
      <c r="F638" t="s">
        <v>1242</v>
      </c>
      <c r="G638" t="s">
        <v>3129</v>
      </c>
      <c r="H638" t="s">
        <v>1253</v>
      </c>
      <c r="I638" t="s">
        <v>3200</v>
      </c>
      <c r="J638" s="455">
        <v>46197</v>
      </c>
      <c r="U638" s="455">
        <v>46204</v>
      </c>
    </row>
    <row r="639" spans="1:21">
      <c r="A639" t="s">
        <v>1751</v>
      </c>
      <c r="B639" t="s">
        <v>3726</v>
      </c>
      <c r="C639" t="s">
        <v>1751</v>
      </c>
      <c r="D639">
        <v>20549326</v>
      </c>
      <c r="E639" t="s">
        <v>3128</v>
      </c>
      <c r="F639" t="s">
        <v>1241</v>
      </c>
      <c r="G639" t="s">
        <v>3129</v>
      </c>
      <c r="H639" t="s">
        <v>3131</v>
      </c>
      <c r="J639" s="455">
        <v>46182</v>
      </c>
      <c r="U639" s="455">
        <v>46182</v>
      </c>
    </row>
    <row r="640" spans="1:21">
      <c r="A640" t="s">
        <v>1751</v>
      </c>
      <c r="B640" t="s">
        <v>3727</v>
      </c>
      <c r="C640" t="s">
        <v>1751</v>
      </c>
      <c r="D640">
        <v>20500459</v>
      </c>
      <c r="E640" t="s">
        <v>3133</v>
      </c>
      <c r="F640" t="s">
        <v>1241</v>
      </c>
      <c r="G640" t="s">
        <v>3134</v>
      </c>
      <c r="H640" t="s">
        <v>1247</v>
      </c>
      <c r="J640" s="455">
        <v>46130</v>
      </c>
      <c r="K640" s="455">
        <v>46130</v>
      </c>
      <c r="R640" s="455">
        <v>46181</v>
      </c>
      <c r="U640" s="455">
        <v>46130</v>
      </c>
    </row>
    <row r="641" spans="1:21">
      <c r="A641" t="s">
        <v>1751</v>
      </c>
      <c r="B641" t="s">
        <v>3728</v>
      </c>
      <c r="C641" t="s">
        <v>1751</v>
      </c>
      <c r="D641">
        <v>20547262</v>
      </c>
      <c r="E641" t="s">
        <v>3128</v>
      </c>
      <c r="F641" t="s">
        <v>1782</v>
      </c>
      <c r="G641" t="s">
        <v>3141</v>
      </c>
      <c r="H641" t="s">
        <v>1252</v>
      </c>
      <c r="J641" s="455">
        <v>46179</v>
      </c>
      <c r="U641" s="455">
        <v>46179</v>
      </c>
    </row>
    <row r="642" spans="1:21">
      <c r="A642" t="s">
        <v>1751</v>
      </c>
      <c r="B642" t="s">
        <v>3729</v>
      </c>
      <c r="C642" t="s">
        <v>1751</v>
      </c>
      <c r="D642">
        <v>20545113</v>
      </c>
      <c r="E642" t="s">
        <v>3128</v>
      </c>
      <c r="F642" t="s">
        <v>1241</v>
      </c>
      <c r="G642" t="s">
        <v>3129</v>
      </c>
      <c r="H642" t="s">
        <v>1253</v>
      </c>
      <c r="J642" s="455">
        <v>46177</v>
      </c>
      <c r="U642" s="455">
        <v>46177</v>
      </c>
    </row>
    <row r="643" spans="1:21">
      <c r="A643" t="s">
        <v>1751</v>
      </c>
      <c r="B643" t="s">
        <v>3730</v>
      </c>
      <c r="C643" t="s">
        <v>1751</v>
      </c>
      <c r="D643">
        <v>20548542</v>
      </c>
      <c r="E643" t="s">
        <v>3128</v>
      </c>
      <c r="F643" t="s">
        <v>1241</v>
      </c>
      <c r="G643" t="s">
        <v>3134</v>
      </c>
      <c r="H643" t="s">
        <v>3165</v>
      </c>
      <c r="J643" s="455">
        <v>46181</v>
      </c>
      <c r="U643" s="455">
        <v>46183</v>
      </c>
    </row>
    <row r="644" spans="1:21">
      <c r="A644" t="s">
        <v>1751</v>
      </c>
      <c r="B644" t="s">
        <v>3731</v>
      </c>
      <c r="C644" t="s">
        <v>1751</v>
      </c>
      <c r="D644">
        <v>20562162</v>
      </c>
      <c r="E644" t="s">
        <v>3128</v>
      </c>
      <c r="F644" t="s">
        <v>1239</v>
      </c>
      <c r="G644" t="s">
        <v>2009</v>
      </c>
      <c r="H644" t="s">
        <v>1251</v>
      </c>
      <c r="I644" t="s">
        <v>2148</v>
      </c>
      <c r="J644" s="455">
        <v>46195</v>
      </c>
      <c r="U644" s="455">
        <v>46195</v>
      </c>
    </row>
    <row r="645" spans="1:21">
      <c r="A645" t="s">
        <v>1751</v>
      </c>
      <c r="B645" t="s">
        <v>3732</v>
      </c>
      <c r="C645" t="s">
        <v>1751</v>
      </c>
      <c r="D645">
        <v>20563793</v>
      </c>
      <c r="E645" t="s">
        <v>3128</v>
      </c>
      <c r="F645" t="s">
        <v>1241</v>
      </c>
      <c r="G645" t="s">
        <v>3134</v>
      </c>
      <c r="H645" t="s">
        <v>3165</v>
      </c>
      <c r="J645" s="455">
        <v>46196</v>
      </c>
      <c r="U645" s="455">
        <v>46238</v>
      </c>
    </row>
    <row r="646" spans="1:21">
      <c r="A646" t="s">
        <v>1751</v>
      </c>
      <c r="B646" t="s">
        <v>3733</v>
      </c>
      <c r="C646" t="s">
        <v>1751</v>
      </c>
      <c r="D646">
        <v>20541938</v>
      </c>
      <c r="E646" t="s">
        <v>3133</v>
      </c>
      <c r="F646" t="s">
        <v>1238</v>
      </c>
      <c r="G646" t="s">
        <v>3129</v>
      </c>
      <c r="H646" t="s">
        <v>1253</v>
      </c>
      <c r="I646" t="s">
        <v>2664</v>
      </c>
      <c r="J646" s="455">
        <v>46175</v>
      </c>
      <c r="K646" s="455">
        <v>46192</v>
      </c>
      <c r="L646" s="455">
        <v>46192</v>
      </c>
      <c r="S646" s="455">
        <v>46193</v>
      </c>
      <c r="U646" s="455">
        <v>46255</v>
      </c>
    </row>
    <row r="647" spans="1:21">
      <c r="A647" t="s">
        <v>1751</v>
      </c>
      <c r="B647" t="s">
        <v>3733</v>
      </c>
      <c r="C647" t="s">
        <v>1751</v>
      </c>
      <c r="D647">
        <v>20564328</v>
      </c>
      <c r="E647" t="s">
        <v>1897</v>
      </c>
      <c r="F647" t="s">
        <v>1241</v>
      </c>
      <c r="G647" t="s">
        <v>3134</v>
      </c>
      <c r="H647" t="s">
        <v>1253</v>
      </c>
      <c r="J647" s="455">
        <v>46197</v>
      </c>
      <c r="K647" s="455">
        <v>46197</v>
      </c>
      <c r="U647" s="455">
        <v>46197</v>
      </c>
    </row>
    <row r="648" spans="1:21">
      <c r="A648" t="s">
        <v>1751</v>
      </c>
      <c r="B648" t="s">
        <v>3734</v>
      </c>
      <c r="C648" t="s">
        <v>1751</v>
      </c>
      <c r="D648">
        <v>20566745</v>
      </c>
      <c r="E648" t="s">
        <v>3128</v>
      </c>
      <c r="F648" t="s">
        <v>1239</v>
      </c>
      <c r="G648" t="s">
        <v>3137</v>
      </c>
      <c r="H648" t="s">
        <v>1251</v>
      </c>
      <c r="I648" t="s">
        <v>3385</v>
      </c>
      <c r="J648" s="455">
        <v>46199</v>
      </c>
      <c r="U648" s="455">
        <v>46199</v>
      </c>
    </row>
    <row r="649" spans="1:21">
      <c r="A649" t="s">
        <v>1751</v>
      </c>
      <c r="B649" t="s">
        <v>3735</v>
      </c>
      <c r="C649" t="s">
        <v>1751</v>
      </c>
      <c r="D649">
        <v>20558674</v>
      </c>
      <c r="E649" t="s">
        <v>1897</v>
      </c>
      <c r="F649" t="s">
        <v>1241</v>
      </c>
      <c r="G649" t="s">
        <v>3134</v>
      </c>
      <c r="H649" t="s">
        <v>1247</v>
      </c>
      <c r="I649" t="s">
        <v>2449</v>
      </c>
      <c r="J649" s="455">
        <v>46190</v>
      </c>
      <c r="K649" s="455">
        <v>46190</v>
      </c>
      <c r="U649" s="455">
        <v>46234</v>
      </c>
    </row>
    <row r="650" spans="1:21">
      <c r="A650" t="s">
        <v>1751</v>
      </c>
      <c r="B650" t="s">
        <v>3736</v>
      </c>
      <c r="C650" t="s">
        <v>1751</v>
      </c>
      <c r="D650">
        <v>20569001</v>
      </c>
      <c r="E650" t="s">
        <v>3128</v>
      </c>
      <c r="F650" t="s">
        <v>1782</v>
      </c>
      <c r="G650" t="s">
        <v>3141</v>
      </c>
      <c r="H650" t="s">
        <v>1252</v>
      </c>
      <c r="J650" s="455">
        <v>46203</v>
      </c>
      <c r="U650" s="455">
        <v>46235</v>
      </c>
    </row>
    <row r="651" spans="1:21">
      <c r="A651" t="s">
        <v>1751</v>
      </c>
      <c r="B651" t="s">
        <v>3737</v>
      </c>
      <c r="C651" t="s">
        <v>1751</v>
      </c>
      <c r="D651">
        <v>20516202</v>
      </c>
      <c r="E651" t="s">
        <v>3133</v>
      </c>
      <c r="F651" t="s">
        <v>1912</v>
      </c>
      <c r="G651" t="s">
        <v>3134</v>
      </c>
      <c r="H651" t="s">
        <v>1247</v>
      </c>
      <c r="I651" t="s">
        <v>3200</v>
      </c>
      <c r="J651" s="455">
        <v>46146</v>
      </c>
      <c r="K651" s="455">
        <v>46146</v>
      </c>
      <c r="R651" s="455">
        <v>46185</v>
      </c>
      <c r="U651" s="455">
        <v>46146</v>
      </c>
    </row>
    <row r="652" spans="1:21">
      <c r="A652" t="s">
        <v>1751</v>
      </c>
      <c r="B652" t="s">
        <v>3738</v>
      </c>
      <c r="C652" t="s">
        <v>1751</v>
      </c>
      <c r="D652">
        <v>20551503</v>
      </c>
      <c r="E652" t="s">
        <v>3133</v>
      </c>
      <c r="F652" t="s">
        <v>1241</v>
      </c>
      <c r="G652" t="s">
        <v>3134</v>
      </c>
      <c r="H652" t="s">
        <v>1247</v>
      </c>
      <c r="I652" t="s">
        <v>1528</v>
      </c>
      <c r="J652" s="455">
        <v>46183</v>
      </c>
      <c r="K652" s="455">
        <v>46183</v>
      </c>
      <c r="R652" s="455">
        <v>46196</v>
      </c>
      <c r="U652" s="455">
        <v>46186</v>
      </c>
    </row>
    <row r="653" spans="1:21">
      <c r="A653" t="s">
        <v>1751</v>
      </c>
      <c r="B653" t="s">
        <v>3739</v>
      </c>
      <c r="C653" t="s">
        <v>1751</v>
      </c>
      <c r="D653">
        <v>20563754</v>
      </c>
      <c r="E653" t="s">
        <v>3128</v>
      </c>
      <c r="F653" t="s">
        <v>1241</v>
      </c>
      <c r="G653" t="s">
        <v>3137</v>
      </c>
      <c r="H653" t="s">
        <v>1252</v>
      </c>
      <c r="J653" s="455">
        <v>46196</v>
      </c>
      <c r="U653" s="455">
        <v>46200</v>
      </c>
    </row>
    <row r="654" spans="1:21">
      <c r="A654" t="s">
        <v>1751</v>
      </c>
      <c r="B654" t="s">
        <v>3740</v>
      </c>
      <c r="C654" t="s">
        <v>1751</v>
      </c>
      <c r="D654">
        <v>20564026</v>
      </c>
      <c r="E654" t="s">
        <v>3128</v>
      </c>
      <c r="F654" t="s">
        <v>1241</v>
      </c>
      <c r="G654" t="s">
        <v>3129</v>
      </c>
      <c r="H654" t="s">
        <v>1252</v>
      </c>
      <c r="J654" s="455">
        <v>46197</v>
      </c>
      <c r="U654" s="455">
        <v>46197</v>
      </c>
    </row>
    <row r="655" spans="1:21">
      <c r="A655" t="s">
        <v>1751</v>
      </c>
      <c r="B655" t="s">
        <v>3741</v>
      </c>
      <c r="C655" t="s">
        <v>1751</v>
      </c>
      <c r="D655">
        <v>20528585</v>
      </c>
      <c r="E655" t="s">
        <v>3133</v>
      </c>
      <c r="F655" t="s">
        <v>1241</v>
      </c>
      <c r="G655" t="s">
        <v>3134</v>
      </c>
      <c r="H655" t="s">
        <v>1247</v>
      </c>
      <c r="J655" s="455">
        <v>46159</v>
      </c>
      <c r="K655" s="455">
        <v>46159</v>
      </c>
      <c r="R655" s="455">
        <v>46190</v>
      </c>
      <c r="U655" s="455">
        <v>46172</v>
      </c>
    </row>
    <row r="656" spans="1:21">
      <c r="A656" t="s">
        <v>1751</v>
      </c>
      <c r="B656" t="s">
        <v>10990</v>
      </c>
      <c r="C656" t="s">
        <v>1751</v>
      </c>
      <c r="D656">
        <v>20563666</v>
      </c>
      <c r="E656" t="s">
        <v>3128</v>
      </c>
      <c r="F656" t="s">
        <v>1241</v>
      </c>
      <c r="G656" t="s">
        <v>3129</v>
      </c>
      <c r="H656" t="s">
        <v>1252</v>
      </c>
      <c r="J656" s="455">
        <v>46196</v>
      </c>
      <c r="U656" s="455">
        <v>46196</v>
      </c>
    </row>
    <row r="657" spans="1:21">
      <c r="A657" t="s">
        <v>1751</v>
      </c>
      <c r="B657" t="s">
        <v>3742</v>
      </c>
      <c r="C657" t="s">
        <v>1751</v>
      </c>
      <c r="D657">
        <v>20568833</v>
      </c>
      <c r="E657" t="s">
        <v>3128</v>
      </c>
      <c r="F657" t="s">
        <v>1241</v>
      </c>
      <c r="G657" t="s">
        <v>2009</v>
      </c>
      <c r="H657" t="s">
        <v>1251</v>
      </c>
      <c r="J657" s="455">
        <v>46202</v>
      </c>
      <c r="U657" s="455">
        <v>46202</v>
      </c>
    </row>
    <row r="658" spans="1:21">
      <c r="A658" t="s">
        <v>1751</v>
      </c>
      <c r="B658" t="s">
        <v>3743</v>
      </c>
      <c r="C658" t="s">
        <v>1751</v>
      </c>
      <c r="D658">
        <v>20546510</v>
      </c>
      <c r="E658" t="s">
        <v>3128</v>
      </c>
      <c r="F658" t="s">
        <v>1241</v>
      </c>
      <c r="G658" t="s">
        <v>3134</v>
      </c>
      <c r="H658" t="s">
        <v>1252</v>
      </c>
      <c r="J658" s="455">
        <v>46179</v>
      </c>
      <c r="U658" s="455">
        <v>46204</v>
      </c>
    </row>
    <row r="659" spans="1:21">
      <c r="A659" t="s">
        <v>1751</v>
      </c>
      <c r="B659" t="s">
        <v>3744</v>
      </c>
      <c r="C659" t="s">
        <v>1751</v>
      </c>
      <c r="D659">
        <v>20565065</v>
      </c>
      <c r="E659" t="s">
        <v>1907</v>
      </c>
      <c r="F659" t="s">
        <v>1239</v>
      </c>
      <c r="G659" t="s">
        <v>3141</v>
      </c>
      <c r="H659" t="s">
        <v>1247</v>
      </c>
      <c r="I659" t="s">
        <v>2148</v>
      </c>
      <c r="J659" s="455">
        <v>46198</v>
      </c>
      <c r="K659" s="455">
        <v>46199</v>
      </c>
      <c r="L659" s="455">
        <v>46200</v>
      </c>
      <c r="U659" s="455">
        <v>46204</v>
      </c>
    </row>
    <row r="660" spans="1:21">
      <c r="A660" t="s">
        <v>1751</v>
      </c>
      <c r="B660" t="s">
        <v>3745</v>
      </c>
      <c r="C660" t="s">
        <v>1751</v>
      </c>
      <c r="D660">
        <v>20567205</v>
      </c>
      <c r="E660" t="s">
        <v>1897</v>
      </c>
      <c r="F660" t="s">
        <v>1241</v>
      </c>
      <c r="G660" t="s">
        <v>3134</v>
      </c>
      <c r="H660" t="s">
        <v>1247</v>
      </c>
      <c r="J660" s="455">
        <v>46200</v>
      </c>
      <c r="K660" s="455">
        <v>46200</v>
      </c>
      <c r="U660" s="455">
        <v>46200</v>
      </c>
    </row>
    <row r="661" spans="1:21">
      <c r="A661" t="s">
        <v>1751</v>
      </c>
      <c r="B661" t="s">
        <v>3746</v>
      </c>
      <c r="C661" t="s">
        <v>1751</v>
      </c>
      <c r="D661">
        <v>20528676</v>
      </c>
      <c r="E661" t="s">
        <v>3142</v>
      </c>
      <c r="F661" t="s">
        <v>1242</v>
      </c>
      <c r="G661" t="s">
        <v>2009</v>
      </c>
      <c r="H661" t="s">
        <v>1247</v>
      </c>
      <c r="I661" t="s">
        <v>3747</v>
      </c>
      <c r="J661" s="455">
        <v>46159</v>
      </c>
      <c r="K661" s="455">
        <v>46176</v>
      </c>
      <c r="L661" s="455">
        <v>46177</v>
      </c>
      <c r="M661" s="455">
        <v>46181</v>
      </c>
      <c r="N661" s="455">
        <v>46182</v>
      </c>
      <c r="P661" s="455">
        <v>46182</v>
      </c>
      <c r="Q661" s="455">
        <v>46182</v>
      </c>
      <c r="U661" s="455">
        <v>46203</v>
      </c>
    </row>
    <row r="662" spans="1:21">
      <c r="A662" t="s">
        <v>1751</v>
      </c>
      <c r="B662" t="s">
        <v>3748</v>
      </c>
      <c r="C662" t="s">
        <v>1751</v>
      </c>
      <c r="D662">
        <v>20542999</v>
      </c>
      <c r="E662" t="s">
        <v>3128</v>
      </c>
      <c r="F662" t="s">
        <v>1237</v>
      </c>
      <c r="G662" t="s">
        <v>3141</v>
      </c>
      <c r="H662" t="s">
        <v>1248</v>
      </c>
      <c r="J662" s="455">
        <v>46176</v>
      </c>
      <c r="U662" s="455">
        <v>46241</v>
      </c>
    </row>
    <row r="663" spans="1:21">
      <c r="A663" t="s">
        <v>1751</v>
      </c>
      <c r="B663" t="s">
        <v>3749</v>
      </c>
      <c r="C663" t="s">
        <v>1751</v>
      </c>
      <c r="D663">
        <v>20568025</v>
      </c>
      <c r="E663" t="s">
        <v>1907</v>
      </c>
      <c r="F663" t="s">
        <v>1239</v>
      </c>
      <c r="G663" t="s">
        <v>3134</v>
      </c>
      <c r="H663" t="s">
        <v>1247</v>
      </c>
      <c r="I663" t="s">
        <v>2179</v>
      </c>
      <c r="J663" s="455">
        <v>46202</v>
      </c>
      <c r="K663" s="455">
        <v>46202</v>
      </c>
      <c r="L663" s="455">
        <v>46203</v>
      </c>
      <c r="U663" s="455">
        <v>46214</v>
      </c>
    </row>
    <row r="664" spans="1:21">
      <c r="A664" t="s">
        <v>1751</v>
      </c>
      <c r="B664" t="s">
        <v>3750</v>
      </c>
      <c r="C664" t="s">
        <v>1751</v>
      </c>
      <c r="D664">
        <v>20568250</v>
      </c>
      <c r="E664" t="s">
        <v>3128</v>
      </c>
      <c r="F664" t="s">
        <v>1237</v>
      </c>
      <c r="G664" t="s">
        <v>3141</v>
      </c>
      <c r="H664" t="s">
        <v>1252</v>
      </c>
      <c r="J664" s="455">
        <v>46202</v>
      </c>
      <c r="U664" s="455">
        <v>46206</v>
      </c>
    </row>
    <row r="665" spans="1:21">
      <c r="A665" t="s">
        <v>1751</v>
      </c>
      <c r="B665" t="s">
        <v>3751</v>
      </c>
      <c r="C665" t="s">
        <v>1751</v>
      </c>
      <c r="D665">
        <v>20535329</v>
      </c>
      <c r="E665" t="s">
        <v>3133</v>
      </c>
      <c r="F665" t="s">
        <v>1241</v>
      </c>
      <c r="G665" t="s">
        <v>3141</v>
      </c>
      <c r="H665" t="s">
        <v>1252</v>
      </c>
      <c r="I665" t="s">
        <v>3055</v>
      </c>
      <c r="J665" s="455">
        <v>46167</v>
      </c>
      <c r="K665" s="455">
        <v>46176</v>
      </c>
      <c r="R665" s="455">
        <v>46190</v>
      </c>
      <c r="U665" s="455">
        <v>46202</v>
      </c>
    </row>
    <row r="666" spans="1:21">
      <c r="A666" t="s">
        <v>1751</v>
      </c>
      <c r="B666" t="s">
        <v>3751</v>
      </c>
      <c r="C666" t="s">
        <v>1751</v>
      </c>
      <c r="D666">
        <v>20559906</v>
      </c>
      <c r="E666" t="s">
        <v>3133</v>
      </c>
      <c r="F666" t="s">
        <v>1241</v>
      </c>
      <c r="G666" t="s">
        <v>3141</v>
      </c>
      <c r="H666" t="s">
        <v>1252</v>
      </c>
      <c r="I666" t="s">
        <v>3752</v>
      </c>
      <c r="J666" s="455">
        <v>46191</v>
      </c>
      <c r="K666" s="455">
        <v>46192</v>
      </c>
      <c r="L666" s="455">
        <v>46198</v>
      </c>
      <c r="U666" s="455">
        <v>46202</v>
      </c>
    </row>
    <row r="667" spans="1:21">
      <c r="A667" t="s">
        <v>1751</v>
      </c>
      <c r="B667" t="s">
        <v>3753</v>
      </c>
      <c r="C667" t="s">
        <v>1751</v>
      </c>
      <c r="D667">
        <v>20567380</v>
      </c>
      <c r="E667" t="s">
        <v>3128</v>
      </c>
      <c r="F667" t="s">
        <v>1241</v>
      </c>
      <c r="G667" t="s">
        <v>3129</v>
      </c>
      <c r="H667" t="s">
        <v>1252</v>
      </c>
      <c r="J667" s="455">
        <v>46200</v>
      </c>
      <c r="U667" s="455">
        <v>46204</v>
      </c>
    </row>
    <row r="668" spans="1:21">
      <c r="A668" t="s">
        <v>1751</v>
      </c>
      <c r="B668" t="s">
        <v>3754</v>
      </c>
      <c r="C668" t="s">
        <v>1751</v>
      </c>
      <c r="D668">
        <v>20562627</v>
      </c>
      <c r="E668" t="s">
        <v>1901</v>
      </c>
      <c r="F668" t="s">
        <v>1237</v>
      </c>
      <c r="G668" t="s">
        <v>3143</v>
      </c>
      <c r="H668" t="s">
        <v>1248</v>
      </c>
      <c r="I668" t="s">
        <v>2640</v>
      </c>
      <c r="J668" s="455">
        <v>46195</v>
      </c>
      <c r="K668" s="455">
        <v>46199</v>
      </c>
      <c r="L668" s="455">
        <v>46199</v>
      </c>
      <c r="U668" s="455">
        <v>46228</v>
      </c>
    </row>
    <row r="669" spans="1:21">
      <c r="A669" t="s">
        <v>1751</v>
      </c>
      <c r="B669" t="s">
        <v>3755</v>
      </c>
      <c r="C669" t="s">
        <v>1751</v>
      </c>
      <c r="D669">
        <v>20561126</v>
      </c>
      <c r="E669" t="s">
        <v>3128</v>
      </c>
      <c r="F669" t="s">
        <v>1782</v>
      </c>
      <c r="G669" t="s">
        <v>3134</v>
      </c>
      <c r="H669" t="s">
        <v>1252</v>
      </c>
      <c r="J669" s="455">
        <v>46193</v>
      </c>
      <c r="U669" s="455">
        <v>46203</v>
      </c>
    </row>
    <row r="670" spans="1:21">
      <c r="A670" t="s">
        <v>1751</v>
      </c>
      <c r="B670" t="s">
        <v>3756</v>
      </c>
      <c r="C670" t="s">
        <v>1751</v>
      </c>
      <c r="D670">
        <v>20567150</v>
      </c>
      <c r="E670" t="s">
        <v>3128</v>
      </c>
      <c r="F670" t="s">
        <v>1239</v>
      </c>
      <c r="G670" t="s">
        <v>2009</v>
      </c>
      <c r="H670" t="s">
        <v>1249</v>
      </c>
      <c r="J670" s="455">
        <v>46200</v>
      </c>
      <c r="U670" s="455">
        <v>46200</v>
      </c>
    </row>
    <row r="671" spans="1:21">
      <c r="A671" t="s">
        <v>1751</v>
      </c>
      <c r="B671" t="s">
        <v>3757</v>
      </c>
      <c r="C671" t="s">
        <v>1751</v>
      </c>
      <c r="D671">
        <v>20553735</v>
      </c>
      <c r="E671" t="s">
        <v>3128</v>
      </c>
      <c r="F671" t="s">
        <v>1782</v>
      </c>
      <c r="G671" t="s">
        <v>3129</v>
      </c>
      <c r="H671" t="s">
        <v>1252</v>
      </c>
      <c r="J671" s="455">
        <v>46185</v>
      </c>
      <c r="U671" s="455">
        <v>46185</v>
      </c>
    </row>
    <row r="672" spans="1:21">
      <c r="A672" t="s">
        <v>1751</v>
      </c>
      <c r="B672" t="s">
        <v>3758</v>
      </c>
      <c r="C672" t="s">
        <v>1751</v>
      </c>
      <c r="D672">
        <v>20551432</v>
      </c>
      <c r="E672" t="s">
        <v>3128</v>
      </c>
      <c r="F672" t="s">
        <v>1241</v>
      </c>
      <c r="G672" t="s">
        <v>3141</v>
      </c>
      <c r="H672" t="s">
        <v>1252</v>
      </c>
      <c r="J672" s="455">
        <v>46183</v>
      </c>
      <c r="U672" s="455">
        <v>46228</v>
      </c>
    </row>
    <row r="673" spans="1:21">
      <c r="A673" t="s">
        <v>1751</v>
      </c>
      <c r="B673" t="s">
        <v>3759</v>
      </c>
      <c r="C673" t="s">
        <v>1751</v>
      </c>
      <c r="D673">
        <v>20542267</v>
      </c>
      <c r="E673" t="s">
        <v>3128</v>
      </c>
      <c r="F673" t="s">
        <v>1243</v>
      </c>
      <c r="G673" t="s">
        <v>3141</v>
      </c>
      <c r="H673" t="s">
        <v>1247</v>
      </c>
      <c r="J673" s="455">
        <v>46175</v>
      </c>
      <c r="U673" s="455">
        <v>46175</v>
      </c>
    </row>
    <row r="674" spans="1:21">
      <c r="A674" t="s">
        <v>1751</v>
      </c>
      <c r="B674" t="s">
        <v>3759</v>
      </c>
      <c r="C674" t="s">
        <v>1751</v>
      </c>
      <c r="D674">
        <v>20545258</v>
      </c>
      <c r="E674" t="s">
        <v>3142</v>
      </c>
      <c r="F674" t="s">
        <v>1243</v>
      </c>
      <c r="G674" t="s">
        <v>3134</v>
      </c>
      <c r="H674" t="s">
        <v>1247</v>
      </c>
      <c r="I674" t="s">
        <v>3760</v>
      </c>
      <c r="J674" s="455">
        <v>46177</v>
      </c>
      <c r="K674" s="455">
        <v>46177</v>
      </c>
      <c r="L674" s="455">
        <v>46182</v>
      </c>
      <c r="M674" s="455">
        <v>46184</v>
      </c>
      <c r="N674" s="455">
        <v>46184</v>
      </c>
      <c r="O674" s="455">
        <v>46200</v>
      </c>
      <c r="P674" s="455">
        <v>46200</v>
      </c>
      <c r="Q674" s="455">
        <v>46202</v>
      </c>
      <c r="U674" s="455">
        <v>46200</v>
      </c>
    </row>
    <row r="675" spans="1:21">
      <c r="A675" t="s">
        <v>1751</v>
      </c>
      <c r="B675" t="s">
        <v>3761</v>
      </c>
      <c r="C675" t="s">
        <v>1751</v>
      </c>
      <c r="D675">
        <v>20567742</v>
      </c>
      <c r="E675" t="s">
        <v>3128</v>
      </c>
      <c r="F675" t="s">
        <v>1782</v>
      </c>
      <c r="G675" t="s">
        <v>3137</v>
      </c>
      <c r="H675" t="s">
        <v>1252</v>
      </c>
      <c r="J675" s="455">
        <v>46201</v>
      </c>
      <c r="U675" s="455">
        <v>46203</v>
      </c>
    </row>
    <row r="676" spans="1:21">
      <c r="A676" t="s">
        <v>1751</v>
      </c>
      <c r="B676" t="s">
        <v>3762</v>
      </c>
      <c r="C676" t="s">
        <v>1751</v>
      </c>
      <c r="D676">
        <v>20564207</v>
      </c>
      <c r="E676" t="s">
        <v>3128</v>
      </c>
      <c r="F676" t="s">
        <v>1241</v>
      </c>
      <c r="G676" t="s">
        <v>3129</v>
      </c>
      <c r="H676" t="s">
        <v>1252</v>
      </c>
      <c r="J676" s="455">
        <v>46197</v>
      </c>
      <c r="U676" s="455">
        <v>46296</v>
      </c>
    </row>
    <row r="677" spans="1:21">
      <c r="A677" t="s">
        <v>1751</v>
      </c>
      <c r="B677" t="s">
        <v>3763</v>
      </c>
      <c r="C677" t="s">
        <v>1751</v>
      </c>
      <c r="D677">
        <v>20562962</v>
      </c>
      <c r="E677" t="s">
        <v>3128</v>
      </c>
      <c r="F677" t="s">
        <v>1241</v>
      </c>
      <c r="G677" t="s">
        <v>3134</v>
      </c>
      <c r="H677" t="s">
        <v>3165</v>
      </c>
      <c r="J677" s="455">
        <v>46195</v>
      </c>
      <c r="U677" s="455">
        <v>46197</v>
      </c>
    </row>
    <row r="678" spans="1:21">
      <c r="A678" t="s">
        <v>1751</v>
      </c>
      <c r="B678" t="s">
        <v>3764</v>
      </c>
      <c r="C678" t="s">
        <v>1751</v>
      </c>
      <c r="D678">
        <v>20566331</v>
      </c>
      <c r="E678" t="s">
        <v>3128</v>
      </c>
      <c r="F678" t="s">
        <v>1243</v>
      </c>
      <c r="G678" t="s">
        <v>2009</v>
      </c>
      <c r="H678" t="s">
        <v>1248</v>
      </c>
      <c r="J678" s="455">
        <v>46199</v>
      </c>
      <c r="U678" s="455">
        <v>46199</v>
      </c>
    </row>
    <row r="679" spans="1:21">
      <c r="A679" t="s">
        <v>1751</v>
      </c>
      <c r="B679" t="s">
        <v>3765</v>
      </c>
      <c r="C679" t="s">
        <v>1751</v>
      </c>
      <c r="D679">
        <v>20564113</v>
      </c>
      <c r="E679" t="s">
        <v>3128</v>
      </c>
      <c r="F679" t="s">
        <v>1241</v>
      </c>
      <c r="G679" t="s">
        <v>3134</v>
      </c>
      <c r="H679" t="s">
        <v>3165</v>
      </c>
      <c r="J679" s="455">
        <v>46197</v>
      </c>
      <c r="U679" s="455">
        <v>46198</v>
      </c>
    </row>
    <row r="680" spans="1:21">
      <c r="A680" t="s">
        <v>1751</v>
      </c>
      <c r="B680" t="s">
        <v>3766</v>
      </c>
      <c r="C680" t="s">
        <v>1751</v>
      </c>
      <c r="D680">
        <v>20566150</v>
      </c>
      <c r="E680" t="s">
        <v>3128</v>
      </c>
      <c r="F680" t="s">
        <v>1241</v>
      </c>
      <c r="G680" t="s">
        <v>2009</v>
      </c>
      <c r="H680" t="s">
        <v>1252</v>
      </c>
      <c r="J680" s="455">
        <v>46199</v>
      </c>
      <c r="U680" s="455">
        <v>46223</v>
      </c>
    </row>
    <row r="681" spans="1:21">
      <c r="A681" t="s">
        <v>1751</v>
      </c>
      <c r="B681" t="s">
        <v>3767</v>
      </c>
      <c r="C681" t="s">
        <v>1751</v>
      </c>
      <c r="D681">
        <v>20526547</v>
      </c>
      <c r="E681" t="s">
        <v>3133</v>
      </c>
      <c r="F681" t="s">
        <v>1241</v>
      </c>
      <c r="G681" t="s">
        <v>3134</v>
      </c>
      <c r="H681" t="s">
        <v>1247</v>
      </c>
      <c r="I681" t="s">
        <v>3363</v>
      </c>
      <c r="J681" s="455">
        <v>46156</v>
      </c>
      <c r="K681" s="455">
        <v>46156</v>
      </c>
      <c r="R681" s="455">
        <v>46190</v>
      </c>
      <c r="U681" s="455">
        <v>46156</v>
      </c>
    </row>
    <row r="682" spans="1:21">
      <c r="A682" t="s">
        <v>1751</v>
      </c>
      <c r="B682" t="s">
        <v>3768</v>
      </c>
      <c r="C682" t="s">
        <v>1751</v>
      </c>
      <c r="D682">
        <v>20565844</v>
      </c>
      <c r="E682" t="s">
        <v>3128</v>
      </c>
      <c r="F682" t="s">
        <v>1782</v>
      </c>
      <c r="G682" t="s">
        <v>3141</v>
      </c>
      <c r="H682" t="s">
        <v>1252</v>
      </c>
      <c r="J682" s="455">
        <v>46198</v>
      </c>
      <c r="U682" s="455">
        <v>46220</v>
      </c>
    </row>
    <row r="683" spans="1:21">
      <c r="A683" t="s">
        <v>1751</v>
      </c>
      <c r="B683" t="s">
        <v>3769</v>
      </c>
      <c r="C683" t="s">
        <v>1751</v>
      </c>
      <c r="D683">
        <v>20541517</v>
      </c>
      <c r="E683" t="s">
        <v>3128</v>
      </c>
      <c r="F683" t="s">
        <v>1782</v>
      </c>
      <c r="G683" t="s">
        <v>3141</v>
      </c>
      <c r="H683" t="s">
        <v>1252</v>
      </c>
      <c r="J683" s="455">
        <v>46175</v>
      </c>
      <c r="U683" s="455">
        <v>46188</v>
      </c>
    </row>
    <row r="684" spans="1:21">
      <c r="A684" t="s">
        <v>1751</v>
      </c>
      <c r="B684" t="s">
        <v>3770</v>
      </c>
      <c r="C684" t="s">
        <v>1751</v>
      </c>
      <c r="D684">
        <v>20564847</v>
      </c>
      <c r="E684" t="s">
        <v>3128</v>
      </c>
      <c r="F684" t="s">
        <v>1241</v>
      </c>
      <c r="G684" t="s">
        <v>3134</v>
      </c>
      <c r="H684" t="s">
        <v>3165</v>
      </c>
      <c r="J684" s="455">
        <v>46197</v>
      </c>
      <c r="U684" s="455">
        <v>46242</v>
      </c>
    </row>
    <row r="685" spans="1:21">
      <c r="A685" t="s">
        <v>1751</v>
      </c>
      <c r="B685" t="s">
        <v>3771</v>
      </c>
      <c r="C685" t="s">
        <v>1751</v>
      </c>
      <c r="D685">
        <v>20569415</v>
      </c>
      <c r="E685" t="s">
        <v>3128</v>
      </c>
      <c r="F685" t="s">
        <v>1241</v>
      </c>
      <c r="G685" t="s">
        <v>3134</v>
      </c>
      <c r="H685" t="s">
        <v>1252</v>
      </c>
      <c r="J685" s="455">
        <v>46203</v>
      </c>
      <c r="U685" s="455">
        <v>46310</v>
      </c>
    </row>
    <row r="686" spans="1:21">
      <c r="A686" t="s">
        <v>1751</v>
      </c>
      <c r="B686" t="s">
        <v>2424</v>
      </c>
      <c r="C686" t="s">
        <v>1751</v>
      </c>
      <c r="D686">
        <v>20530068</v>
      </c>
      <c r="E686" t="s">
        <v>3142</v>
      </c>
      <c r="F686" t="s">
        <v>1239</v>
      </c>
      <c r="G686" t="s">
        <v>3134</v>
      </c>
      <c r="H686" t="s">
        <v>1252</v>
      </c>
      <c r="I686" t="s">
        <v>1947</v>
      </c>
      <c r="J686" s="455">
        <v>46160</v>
      </c>
      <c r="K686" s="455">
        <v>46160</v>
      </c>
      <c r="L686" s="455">
        <v>46161</v>
      </c>
      <c r="M686" s="455">
        <v>46164</v>
      </c>
      <c r="N686" s="455">
        <v>46164</v>
      </c>
      <c r="P686" s="455">
        <v>46164</v>
      </c>
      <c r="Q686" s="455">
        <v>46164</v>
      </c>
      <c r="U686" s="455">
        <v>46182</v>
      </c>
    </row>
    <row r="687" spans="1:21">
      <c r="A687" t="s">
        <v>1751</v>
      </c>
      <c r="B687" t="s">
        <v>3772</v>
      </c>
      <c r="C687" t="s">
        <v>1751</v>
      </c>
      <c r="D687">
        <v>20509941</v>
      </c>
      <c r="E687" t="s">
        <v>3133</v>
      </c>
      <c r="F687" t="s">
        <v>1242</v>
      </c>
      <c r="G687" t="s">
        <v>3134</v>
      </c>
      <c r="H687" t="s">
        <v>1247</v>
      </c>
      <c r="I687" t="s">
        <v>3451</v>
      </c>
      <c r="J687" s="455">
        <v>46137</v>
      </c>
      <c r="K687" s="455">
        <v>46137</v>
      </c>
      <c r="R687" s="455">
        <v>46189</v>
      </c>
      <c r="U687" s="455">
        <v>46141</v>
      </c>
    </row>
    <row r="688" spans="1:21">
      <c r="A688" t="s">
        <v>1751</v>
      </c>
      <c r="B688" t="s">
        <v>3773</v>
      </c>
      <c r="C688" t="s">
        <v>1751</v>
      </c>
      <c r="D688">
        <v>20569319</v>
      </c>
      <c r="E688" t="s">
        <v>3128</v>
      </c>
      <c r="F688" t="s">
        <v>1238</v>
      </c>
      <c r="G688" t="s">
        <v>3143</v>
      </c>
      <c r="H688" t="s">
        <v>1252</v>
      </c>
      <c r="I688" t="s">
        <v>3170</v>
      </c>
      <c r="J688" s="455">
        <v>46203</v>
      </c>
      <c r="U688" s="455">
        <v>46263</v>
      </c>
    </row>
    <row r="689" spans="1:21">
      <c r="A689" t="s">
        <v>1751</v>
      </c>
      <c r="B689" t="s">
        <v>3774</v>
      </c>
      <c r="C689" t="s">
        <v>1751</v>
      </c>
      <c r="D689">
        <v>20546412</v>
      </c>
      <c r="E689" t="s">
        <v>3128</v>
      </c>
      <c r="F689" t="s">
        <v>1782</v>
      </c>
      <c r="G689" t="s">
        <v>3141</v>
      </c>
      <c r="H689" t="s">
        <v>1252</v>
      </c>
      <c r="J689" s="455">
        <v>46178</v>
      </c>
      <c r="U689" s="455">
        <v>46195</v>
      </c>
    </row>
    <row r="690" spans="1:21">
      <c r="A690" t="s">
        <v>1751</v>
      </c>
      <c r="B690" t="s">
        <v>3775</v>
      </c>
      <c r="C690" t="s">
        <v>1751</v>
      </c>
      <c r="D690">
        <v>20559026</v>
      </c>
      <c r="E690" t="s">
        <v>3128</v>
      </c>
      <c r="F690" t="s">
        <v>1241</v>
      </c>
      <c r="G690" t="s">
        <v>3129</v>
      </c>
      <c r="H690" t="s">
        <v>3131</v>
      </c>
      <c r="J690" s="455">
        <v>46190</v>
      </c>
      <c r="U690" s="455">
        <v>46190</v>
      </c>
    </row>
    <row r="691" spans="1:21">
      <c r="A691" t="s">
        <v>1751</v>
      </c>
      <c r="B691" t="s">
        <v>3776</v>
      </c>
      <c r="C691" t="s">
        <v>1751</v>
      </c>
      <c r="D691">
        <v>20541550</v>
      </c>
      <c r="E691" t="s">
        <v>3128</v>
      </c>
      <c r="F691" t="s">
        <v>1782</v>
      </c>
      <c r="G691" t="s">
        <v>3129</v>
      </c>
      <c r="H691" t="s">
        <v>1252</v>
      </c>
      <c r="J691" s="455">
        <v>46175</v>
      </c>
      <c r="U691" s="455">
        <v>46175</v>
      </c>
    </row>
    <row r="692" spans="1:21">
      <c r="A692" t="s">
        <v>1751</v>
      </c>
      <c r="B692" t="s">
        <v>3777</v>
      </c>
      <c r="C692" t="s">
        <v>1751</v>
      </c>
      <c r="D692">
        <v>20559205</v>
      </c>
      <c r="E692" t="s">
        <v>3128</v>
      </c>
      <c r="F692" t="s">
        <v>1241</v>
      </c>
      <c r="G692" t="s">
        <v>3134</v>
      </c>
      <c r="H692" t="s">
        <v>3165</v>
      </c>
      <c r="J692" s="455">
        <v>46190</v>
      </c>
      <c r="U692" s="455">
        <v>46191</v>
      </c>
    </row>
    <row r="693" spans="1:21">
      <c r="A693" t="s">
        <v>1751</v>
      </c>
      <c r="B693" t="s">
        <v>3778</v>
      </c>
      <c r="C693" t="s">
        <v>1751</v>
      </c>
      <c r="D693">
        <v>20516874</v>
      </c>
      <c r="E693" t="s">
        <v>3133</v>
      </c>
      <c r="F693" t="s">
        <v>1912</v>
      </c>
      <c r="G693" t="s">
        <v>3134</v>
      </c>
      <c r="H693" t="s">
        <v>1247</v>
      </c>
      <c r="J693" s="455">
        <v>46146</v>
      </c>
      <c r="K693" s="455">
        <v>46146</v>
      </c>
      <c r="R693" s="455">
        <v>46189</v>
      </c>
      <c r="U693" s="455">
        <v>46146</v>
      </c>
    </row>
    <row r="694" spans="1:21">
      <c r="A694" t="s">
        <v>1751</v>
      </c>
      <c r="B694" t="s">
        <v>3778</v>
      </c>
      <c r="C694" t="s">
        <v>1751</v>
      </c>
      <c r="D694">
        <v>20516769</v>
      </c>
      <c r="E694" t="s">
        <v>3133</v>
      </c>
      <c r="F694" t="s">
        <v>1242</v>
      </c>
      <c r="G694" t="s">
        <v>3143</v>
      </c>
      <c r="H694" t="s">
        <v>1247</v>
      </c>
      <c r="I694" t="s">
        <v>1834</v>
      </c>
      <c r="J694" s="455">
        <v>46146</v>
      </c>
      <c r="K694" s="455">
        <v>46146</v>
      </c>
      <c r="R694" s="455">
        <v>46189</v>
      </c>
      <c r="U694" s="455">
        <v>46165</v>
      </c>
    </row>
    <row r="695" spans="1:21">
      <c r="A695" t="s">
        <v>1751</v>
      </c>
      <c r="B695" t="s">
        <v>2712</v>
      </c>
      <c r="C695" t="s">
        <v>1751</v>
      </c>
      <c r="D695">
        <v>20519606</v>
      </c>
      <c r="E695" t="s">
        <v>3133</v>
      </c>
      <c r="F695" t="s">
        <v>1782</v>
      </c>
      <c r="G695" t="s">
        <v>3129</v>
      </c>
      <c r="H695" t="s">
        <v>1248</v>
      </c>
      <c r="J695" s="455">
        <v>46149</v>
      </c>
      <c r="K695" s="455">
        <v>46150</v>
      </c>
      <c r="R695" s="455">
        <v>46189</v>
      </c>
      <c r="U695" s="455">
        <v>46149</v>
      </c>
    </row>
    <row r="696" spans="1:21">
      <c r="A696" t="s">
        <v>1751</v>
      </c>
      <c r="B696" t="s">
        <v>3779</v>
      </c>
      <c r="C696" t="s">
        <v>1751</v>
      </c>
      <c r="D696">
        <v>20537700</v>
      </c>
      <c r="E696" t="s">
        <v>3133</v>
      </c>
      <c r="F696" t="s">
        <v>1241</v>
      </c>
      <c r="G696" t="s">
        <v>3134</v>
      </c>
      <c r="H696" t="s">
        <v>1249</v>
      </c>
      <c r="I696" t="s">
        <v>3752</v>
      </c>
      <c r="J696" s="455">
        <v>46170</v>
      </c>
      <c r="K696" s="455">
        <v>46170</v>
      </c>
      <c r="R696" s="455">
        <v>46190</v>
      </c>
      <c r="U696" s="455">
        <v>46183</v>
      </c>
    </row>
    <row r="697" spans="1:21">
      <c r="A697" t="s">
        <v>1751</v>
      </c>
      <c r="B697" t="s">
        <v>3780</v>
      </c>
      <c r="C697" t="s">
        <v>1751</v>
      </c>
      <c r="D697">
        <v>20560359</v>
      </c>
      <c r="E697" t="s">
        <v>3128</v>
      </c>
      <c r="F697" t="s">
        <v>1782</v>
      </c>
      <c r="G697" t="s">
        <v>3141</v>
      </c>
      <c r="H697" t="s">
        <v>1252</v>
      </c>
      <c r="J697" s="455">
        <v>46191</v>
      </c>
      <c r="U697" s="455">
        <v>46252</v>
      </c>
    </row>
    <row r="698" spans="1:21">
      <c r="A698" t="s">
        <v>1751</v>
      </c>
      <c r="B698" t="s">
        <v>3781</v>
      </c>
      <c r="C698" t="s">
        <v>1751</v>
      </c>
      <c r="D698">
        <v>20547846</v>
      </c>
      <c r="E698" t="s">
        <v>3128</v>
      </c>
      <c r="F698" t="s">
        <v>1242</v>
      </c>
      <c r="G698" t="s">
        <v>3134</v>
      </c>
      <c r="H698" t="s">
        <v>3165</v>
      </c>
      <c r="J698" s="455">
        <v>46181</v>
      </c>
      <c r="U698" s="455">
        <v>46182</v>
      </c>
    </row>
    <row r="699" spans="1:21">
      <c r="A699" t="s">
        <v>1751</v>
      </c>
      <c r="B699" t="s">
        <v>3782</v>
      </c>
      <c r="C699" t="s">
        <v>1751</v>
      </c>
      <c r="D699">
        <v>20558869</v>
      </c>
      <c r="E699" t="s">
        <v>3128</v>
      </c>
      <c r="F699" t="s">
        <v>1239</v>
      </c>
      <c r="G699" t="s">
        <v>3143</v>
      </c>
      <c r="H699" t="s">
        <v>1249</v>
      </c>
      <c r="J699" s="455">
        <v>46190</v>
      </c>
      <c r="U699" s="455">
        <v>46190</v>
      </c>
    </row>
    <row r="700" spans="1:21">
      <c r="A700" t="s">
        <v>1751</v>
      </c>
      <c r="B700" t="s">
        <v>3783</v>
      </c>
      <c r="C700" t="s">
        <v>1751</v>
      </c>
      <c r="D700">
        <v>20562816</v>
      </c>
      <c r="E700" t="s">
        <v>3128</v>
      </c>
      <c r="F700" t="s">
        <v>1241</v>
      </c>
      <c r="G700" t="s">
        <v>3134</v>
      </c>
      <c r="H700" t="s">
        <v>1252</v>
      </c>
      <c r="J700" s="455">
        <v>46195</v>
      </c>
      <c r="U700" s="455">
        <v>46203</v>
      </c>
    </row>
    <row r="701" spans="1:21">
      <c r="A701" t="s">
        <v>1751</v>
      </c>
      <c r="B701" t="s">
        <v>3784</v>
      </c>
      <c r="C701" t="s">
        <v>1751</v>
      </c>
      <c r="D701">
        <v>20554835</v>
      </c>
      <c r="E701" t="s">
        <v>3133</v>
      </c>
      <c r="F701" t="s">
        <v>1241</v>
      </c>
      <c r="G701" t="s">
        <v>3134</v>
      </c>
      <c r="H701" t="s">
        <v>1247</v>
      </c>
      <c r="I701" t="s">
        <v>1540</v>
      </c>
      <c r="J701" s="455">
        <v>46187</v>
      </c>
      <c r="K701" s="455">
        <v>46187</v>
      </c>
      <c r="R701" s="455">
        <v>46197</v>
      </c>
      <c r="U701" s="455">
        <v>46188</v>
      </c>
    </row>
    <row r="702" spans="1:21">
      <c r="A702" t="s">
        <v>1751</v>
      </c>
      <c r="B702" t="s">
        <v>3785</v>
      </c>
      <c r="C702" t="s">
        <v>1751</v>
      </c>
      <c r="D702">
        <v>20568338</v>
      </c>
      <c r="E702" t="s">
        <v>3128</v>
      </c>
      <c r="F702" t="s">
        <v>1237</v>
      </c>
      <c r="G702" t="s">
        <v>3143</v>
      </c>
      <c r="H702" t="s">
        <v>1252</v>
      </c>
      <c r="J702" s="455">
        <v>46202</v>
      </c>
      <c r="U702" s="455">
        <v>46227</v>
      </c>
    </row>
    <row r="703" spans="1:21">
      <c r="A703" t="s">
        <v>1751</v>
      </c>
      <c r="B703" t="s">
        <v>3786</v>
      </c>
      <c r="C703" t="s">
        <v>1751</v>
      </c>
      <c r="D703">
        <v>20554285</v>
      </c>
      <c r="E703" t="s">
        <v>3128</v>
      </c>
      <c r="F703" t="s">
        <v>1782</v>
      </c>
      <c r="G703" t="s">
        <v>3129</v>
      </c>
      <c r="H703" t="s">
        <v>1252</v>
      </c>
      <c r="J703" s="455">
        <v>46186</v>
      </c>
      <c r="U703" s="455">
        <v>46312</v>
      </c>
    </row>
    <row r="704" spans="1:21">
      <c r="A704" t="s">
        <v>1751</v>
      </c>
      <c r="B704" t="s">
        <v>3787</v>
      </c>
      <c r="C704" t="s">
        <v>1751</v>
      </c>
      <c r="D704">
        <v>20562806</v>
      </c>
      <c r="E704" t="s">
        <v>3128</v>
      </c>
      <c r="F704" t="s">
        <v>1241</v>
      </c>
      <c r="G704" t="s">
        <v>3137</v>
      </c>
      <c r="H704" t="s">
        <v>1252</v>
      </c>
      <c r="J704" s="455">
        <v>46195</v>
      </c>
      <c r="U704" s="455">
        <v>46204</v>
      </c>
    </row>
    <row r="705" spans="1:21">
      <c r="A705" t="s">
        <v>1751</v>
      </c>
      <c r="B705" t="s">
        <v>3788</v>
      </c>
      <c r="C705" t="s">
        <v>1751</v>
      </c>
      <c r="D705">
        <v>20566727</v>
      </c>
      <c r="E705" t="s">
        <v>3128</v>
      </c>
      <c r="F705" t="s">
        <v>1241</v>
      </c>
      <c r="G705" t="s">
        <v>3137</v>
      </c>
      <c r="H705" t="s">
        <v>1252</v>
      </c>
      <c r="I705" t="s">
        <v>2539</v>
      </c>
      <c r="J705" s="455">
        <v>46199</v>
      </c>
      <c r="U705" s="455">
        <v>46220</v>
      </c>
    </row>
    <row r="706" spans="1:21">
      <c r="A706" t="s">
        <v>1751</v>
      </c>
      <c r="B706" t="s">
        <v>3789</v>
      </c>
      <c r="C706" t="s">
        <v>1751</v>
      </c>
      <c r="D706">
        <v>20546924</v>
      </c>
      <c r="E706" t="s">
        <v>3133</v>
      </c>
      <c r="F706" t="s">
        <v>1241</v>
      </c>
      <c r="G706" t="s">
        <v>3134</v>
      </c>
      <c r="H706" t="s">
        <v>1247</v>
      </c>
      <c r="J706" s="455">
        <v>46179</v>
      </c>
      <c r="K706" s="455">
        <v>46179</v>
      </c>
      <c r="R706" s="455">
        <v>46196</v>
      </c>
      <c r="U706" s="455">
        <v>46179</v>
      </c>
    </row>
    <row r="707" spans="1:21">
      <c r="A707" t="s">
        <v>1751</v>
      </c>
      <c r="B707" t="s">
        <v>3790</v>
      </c>
      <c r="C707" t="s">
        <v>1751</v>
      </c>
      <c r="D707">
        <v>20541715</v>
      </c>
      <c r="E707" t="s">
        <v>3133</v>
      </c>
      <c r="F707" t="s">
        <v>1782</v>
      </c>
      <c r="G707" t="s">
        <v>3134</v>
      </c>
      <c r="H707" t="s">
        <v>1247</v>
      </c>
      <c r="J707" s="455">
        <v>46175</v>
      </c>
      <c r="K707" s="455">
        <v>46175</v>
      </c>
      <c r="R707" s="455">
        <v>46190</v>
      </c>
      <c r="U707" s="455">
        <v>46175</v>
      </c>
    </row>
    <row r="708" spans="1:21">
      <c r="A708" t="s">
        <v>1751</v>
      </c>
      <c r="B708" t="s">
        <v>3791</v>
      </c>
      <c r="C708" t="s">
        <v>1751</v>
      </c>
      <c r="D708">
        <v>20504370</v>
      </c>
      <c r="E708" t="s">
        <v>3133</v>
      </c>
      <c r="F708" t="s">
        <v>1238</v>
      </c>
      <c r="G708" t="s">
        <v>3134</v>
      </c>
      <c r="H708" t="s">
        <v>1252</v>
      </c>
      <c r="I708" t="s">
        <v>1574</v>
      </c>
      <c r="J708" s="455">
        <v>46133</v>
      </c>
      <c r="K708" s="455">
        <v>46133</v>
      </c>
      <c r="R708" s="455">
        <v>46189</v>
      </c>
      <c r="U708" s="455">
        <v>46137</v>
      </c>
    </row>
    <row r="709" spans="1:21">
      <c r="A709" t="s">
        <v>1751</v>
      </c>
      <c r="B709" t="s">
        <v>3791</v>
      </c>
      <c r="C709" t="s">
        <v>1751</v>
      </c>
      <c r="D709">
        <v>20504371</v>
      </c>
      <c r="E709" t="s">
        <v>3133</v>
      </c>
      <c r="F709" t="s">
        <v>1238</v>
      </c>
      <c r="G709" t="s">
        <v>3134</v>
      </c>
      <c r="H709" t="s">
        <v>1247</v>
      </c>
      <c r="I709" t="s">
        <v>1524</v>
      </c>
      <c r="J709" s="455">
        <v>46133</v>
      </c>
      <c r="K709" s="455">
        <v>46133</v>
      </c>
      <c r="R709" s="455">
        <v>46189</v>
      </c>
      <c r="U709" s="455">
        <v>46133</v>
      </c>
    </row>
    <row r="710" spans="1:21">
      <c r="A710" t="s">
        <v>1751</v>
      </c>
      <c r="B710" t="s">
        <v>3792</v>
      </c>
      <c r="C710" t="s">
        <v>1751</v>
      </c>
      <c r="D710">
        <v>20542889</v>
      </c>
      <c r="E710" t="s">
        <v>3128</v>
      </c>
      <c r="F710" t="s">
        <v>1782</v>
      </c>
      <c r="G710" t="s">
        <v>3129</v>
      </c>
      <c r="H710" t="s">
        <v>1252</v>
      </c>
      <c r="J710" s="455">
        <v>46176</v>
      </c>
      <c r="U710" s="455">
        <v>46204</v>
      </c>
    </row>
    <row r="711" spans="1:21">
      <c r="A711" t="s">
        <v>1751</v>
      </c>
      <c r="B711" t="s">
        <v>3793</v>
      </c>
      <c r="C711" t="s">
        <v>1751</v>
      </c>
      <c r="D711">
        <v>20554042</v>
      </c>
      <c r="E711" t="s">
        <v>3128</v>
      </c>
      <c r="F711" t="s">
        <v>1782</v>
      </c>
      <c r="G711" t="s">
        <v>3134</v>
      </c>
      <c r="H711" t="s">
        <v>3165</v>
      </c>
      <c r="J711" s="455">
        <v>46185</v>
      </c>
      <c r="U711" s="455">
        <v>46296</v>
      </c>
    </row>
    <row r="712" spans="1:21">
      <c r="A712" t="s">
        <v>1751</v>
      </c>
      <c r="B712" t="s">
        <v>3794</v>
      </c>
      <c r="C712" t="s">
        <v>1751</v>
      </c>
      <c r="D712">
        <v>20556764</v>
      </c>
      <c r="E712" t="s">
        <v>3128</v>
      </c>
      <c r="F712" t="s">
        <v>1782</v>
      </c>
      <c r="G712" t="s">
        <v>3129</v>
      </c>
      <c r="H712" t="s">
        <v>3131</v>
      </c>
      <c r="J712" s="455">
        <v>46189</v>
      </c>
      <c r="U712" s="455">
        <v>46189</v>
      </c>
    </row>
    <row r="713" spans="1:21">
      <c r="A713" t="s">
        <v>1751</v>
      </c>
      <c r="B713" t="s">
        <v>3795</v>
      </c>
      <c r="C713" t="s">
        <v>1751</v>
      </c>
      <c r="D713">
        <v>20544415</v>
      </c>
      <c r="E713" t="s">
        <v>3142</v>
      </c>
      <c r="F713" t="s">
        <v>1238</v>
      </c>
      <c r="G713" t="s">
        <v>3143</v>
      </c>
      <c r="H713" t="s">
        <v>1247</v>
      </c>
      <c r="I713" t="s">
        <v>1578</v>
      </c>
      <c r="J713" s="455">
        <v>46176</v>
      </c>
      <c r="K713" s="455">
        <v>46176</v>
      </c>
      <c r="L713" s="455">
        <v>46183</v>
      </c>
      <c r="M713" s="455">
        <v>46189</v>
      </c>
      <c r="N713" s="455">
        <v>46189</v>
      </c>
      <c r="P713" s="455">
        <v>46190</v>
      </c>
      <c r="Q713" s="455">
        <v>46190</v>
      </c>
      <c r="U713" s="455">
        <v>46200</v>
      </c>
    </row>
    <row r="714" spans="1:21">
      <c r="A714" t="s">
        <v>1751</v>
      </c>
      <c r="B714" t="s">
        <v>3796</v>
      </c>
      <c r="C714" t="s">
        <v>1751</v>
      </c>
      <c r="D714">
        <v>20488371</v>
      </c>
      <c r="E714" t="s">
        <v>3133</v>
      </c>
      <c r="F714" t="s">
        <v>1241</v>
      </c>
      <c r="G714" t="s">
        <v>3134</v>
      </c>
      <c r="H714" t="s">
        <v>1247</v>
      </c>
      <c r="J714" s="455">
        <v>46118</v>
      </c>
      <c r="K714" s="455">
        <v>46118</v>
      </c>
      <c r="R714" s="455">
        <v>46181</v>
      </c>
      <c r="U714" s="455">
        <v>46118</v>
      </c>
    </row>
    <row r="715" spans="1:21">
      <c r="A715" t="s">
        <v>1751</v>
      </c>
      <c r="B715" t="s">
        <v>3797</v>
      </c>
      <c r="C715" t="s">
        <v>1751</v>
      </c>
      <c r="D715">
        <v>20559134</v>
      </c>
      <c r="E715" t="s">
        <v>1897</v>
      </c>
      <c r="F715" t="s">
        <v>1241</v>
      </c>
      <c r="G715" t="s">
        <v>3143</v>
      </c>
      <c r="H715" t="s">
        <v>1249</v>
      </c>
      <c r="J715" s="455">
        <v>46190</v>
      </c>
      <c r="K715" s="455">
        <v>46193</v>
      </c>
      <c r="U715" s="455">
        <v>46244</v>
      </c>
    </row>
    <row r="716" spans="1:21">
      <c r="A716" t="s">
        <v>1751</v>
      </c>
      <c r="B716" t="s">
        <v>3798</v>
      </c>
      <c r="C716" t="s">
        <v>1751</v>
      </c>
      <c r="D716">
        <v>20554790</v>
      </c>
      <c r="E716" t="s">
        <v>3128</v>
      </c>
      <c r="F716" t="s">
        <v>1241</v>
      </c>
      <c r="G716" t="s">
        <v>3141</v>
      </c>
      <c r="H716" t="s">
        <v>1252</v>
      </c>
      <c r="J716" s="455">
        <v>46187</v>
      </c>
      <c r="U716" s="455">
        <v>46303</v>
      </c>
    </row>
    <row r="717" spans="1:21">
      <c r="A717" t="s">
        <v>1751</v>
      </c>
      <c r="B717" t="s">
        <v>3799</v>
      </c>
      <c r="C717" t="s">
        <v>1751</v>
      </c>
      <c r="D717">
        <v>20564630</v>
      </c>
      <c r="E717" t="s">
        <v>3128</v>
      </c>
      <c r="F717" t="s">
        <v>1241</v>
      </c>
      <c r="G717" t="s">
        <v>3137</v>
      </c>
      <c r="H717" t="s">
        <v>1252</v>
      </c>
      <c r="J717" s="455">
        <v>46197</v>
      </c>
      <c r="U717" s="455">
        <v>46257</v>
      </c>
    </row>
    <row r="718" spans="1:21">
      <c r="A718" t="s">
        <v>1751</v>
      </c>
      <c r="B718" t="s">
        <v>3800</v>
      </c>
      <c r="C718" t="s">
        <v>1751</v>
      </c>
      <c r="D718">
        <v>20555745</v>
      </c>
      <c r="E718" t="s">
        <v>3128</v>
      </c>
      <c r="F718" t="s">
        <v>1242</v>
      </c>
      <c r="G718" t="s">
        <v>3129</v>
      </c>
      <c r="H718" t="s">
        <v>3131</v>
      </c>
      <c r="J718" s="455">
        <v>46188</v>
      </c>
      <c r="U718" s="455">
        <v>46188</v>
      </c>
    </row>
    <row r="719" spans="1:21">
      <c r="A719" t="s">
        <v>1751</v>
      </c>
      <c r="B719" t="s">
        <v>3801</v>
      </c>
      <c r="C719" t="s">
        <v>1751</v>
      </c>
      <c r="D719">
        <v>20542434</v>
      </c>
      <c r="E719" t="s">
        <v>3190</v>
      </c>
      <c r="F719" t="s">
        <v>1782</v>
      </c>
      <c r="G719" t="s">
        <v>3129</v>
      </c>
      <c r="H719" t="s">
        <v>3131</v>
      </c>
      <c r="J719" s="455">
        <v>46175</v>
      </c>
      <c r="R719" s="455">
        <v>46176</v>
      </c>
      <c r="U719" s="455">
        <v>46175</v>
      </c>
    </row>
    <row r="720" spans="1:21">
      <c r="A720" t="s">
        <v>1751</v>
      </c>
      <c r="B720" t="s">
        <v>3802</v>
      </c>
      <c r="C720" t="s">
        <v>1751</v>
      </c>
      <c r="D720">
        <v>20537983</v>
      </c>
      <c r="E720" t="s">
        <v>3133</v>
      </c>
      <c r="F720" t="s">
        <v>1782</v>
      </c>
      <c r="G720" t="s">
        <v>3134</v>
      </c>
      <c r="H720" t="s">
        <v>3165</v>
      </c>
      <c r="I720" t="s">
        <v>2941</v>
      </c>
      <c r="J720" s="455">
        <v>46170</v>
      </c>
      <c r="K720" s="455">
        <v>46171</v>
      </c>
      <c r="R720" s="455">
        <v>46190</v>
      </c>
      <c r="U720" s="455">
        <v>46206</v>
      </c>
    </row>
    <row r="721" spans="1:21">
      <c r="A721" t="s">
        <v>1751</v>
      </c>
      <c r="B721" t="s">
        <v>3803</v>
      </c>
      <c r="C721" t="s">
        <v>1751</v>
      </c>
      <c r="D721">
        <v>20548692</v>
      </c>
      <c r="E721" t="s">
        <v>3128</v>
      </c>
      <c r="F721" t="s">
        <v>1241</v>
      </c>
      <c r="G721" t="s">
        <v>3143</v>
      </c>
      <c r="H721" t="s">
        <v>1247</v>
      </c>
      <c r="J721" s="455">
        <v>46181</v>
      </c>
      <c r="U721" s="455">
        <v>46181</v>
      </c>
    </row>
    <row r="722" spans="1:21">
      <c r="A722" t="s">
        <v>1751</v>
      </c>
      <c r="B722" t="s">
        <v>3804</v>
      </c>
      <c r="C722" t="s">
        <v>1751</v>
      </c>
      <c r="D722">
        <v>20543875</v>
      </c>
      <c r="E722" t="s">
        <v>3128</v>
      </c>
      <c r="F722" t="s">
        <v>1782</v>
      </c>
      <c r="G722" t="s">
        <v>3134</v>
      </c>
      <c r="H722" t="s">
        <v>3165</v>
      </c>
      <c r="J722" s="455">
        <v>46176</v>
      </c>
      <c r="U722" s="455">
        <v>46224</v>
      </c>
    </row>
    <row r="723" spans="1:21">
      <c r="A723" t="s">
        <v>1751</v>
      </c>
      <c r="B723" t="s">
        <v>3805</v>
      </c>
      <c r="C723" t="s">
        <v>1751</v>
      </c>
      <c r="D723">
        <v>20544410</v>
      </c>
      <c r="E723" t="s">
        <v>3133</v>
      </c>
      <c r="F723" t="s">
        <v>1241</v>
      </c>
      <c r="G723" t="s">
        <v>3134</v>
      </c>
      <c r="H723" t="s">
        <v>1247</v>
      </c>
      <c r="J723" s="455">
        <v>46176</v>
      </c>
      <c r="K723" s="455">
        <v>46176</v>
      </c>
      <c r="R723" s="455">
        <v>46190</v>
      </c>
      <c r="U723" s="455">
        <v>46176</v>
      </c>
    </row>
    <row r="724" spans="1:21">
      <c r="A724" t="s">
        <v>1751</v>
      </c>
      <c r="B724" t="s">
        <v>2951</v>
      </c>
      <c r="C724" t="s">
        <v>1751</v>
      </c>
      <c r="D724">
        <v>20557672</v>
      </c>
      <c r="E724" t="s">
        <v>3142</v>
      </c>
      <c r="F724" t="s">
        <v>1243</v>
      </c>
      <c r="G724" t="s">
        <v>3143</v>
      </c>
      <c r="H724" t="s">
        <v>1248</v>
      </c>
      <c r="I724" t="s">
        <v>2652</v>
      </c>
      <c r="J724" s="455">
        <v>46189</v>
      </c>
      <c r="K724" s="455">
        <v>46190</v>
      </c>
      <c r="L724" s="455">
        <v>46191</v>
      </c>
      <c r="M724" s="455">
        <v>46197</v>
      </c>
      <c r="N724" s="455">
        <v>46197</v>
      </c>
      <c r="P724" s="455">
        <v>46197</v>
      </c>
      <c r="Q724" s="455">
        <v>46198</v>
      </c>
      <c r="U724" s="455">
        <v>46213</v>
      </c>
    </row>
    <row r="725" spans="1:21">
      <c r="A725" t="s">
        <v>1751</v>
      </c>
      <c r="B725" t="s">
        <v>3806</v>
      </c>
      <c r="C725" t="s">
        <v>1751</v>
      </c>
      <c r="D725">
        <v>20548020</v>
      </c>
      <c r="E725" t="s">
        <v>3128</v>
      </c>
      <c r="F725" t="s">
        <v>1238</v>
      </c>
      <c r="G725" t="s">
        <v>3143</v>
      </c>
      <c r="H725" t="s">
        <v>1249</v>
      </c>
      <c r="I725" t="s">
        <v>3170</v>
      </c>
      <c r="J725" s="455">
        <v>46181</v>
      </c>
      <c r="U725" s="455">
        <v>46203</v>
      </c>
    </row>
    <row r="726" spans="1:21">
      <c r="A726" t="s">
        <v>1751</v>
      </c>
      <c r="B726" t="s">
        <v>1962</v>
      </c>
      <c r="C726" t="s">
        <v>1751</v>
      </c>
      <c r="D726">
        <v>20552426</v>
      </c>
      <c r="E726" t="s">
        <v>3133</v>
      </c>
      <c r="F726" t="s">
        <v>1241</v>
      </c>
      <c r="G726" t="s">
        <v>3134</v>
      </c>
      <c r="H726" t="s">
        <v>1247</v>
      </c>
      <c r="I726" t="s">
        <v>2134</v>
      </c>
      <c r="J726" s="455">
        <v>46184</v>
      </c>
      <c r="K726" s="455">
        <v>46184</v>
      </c>
      <c r="R726" s="455">
        <v>46196</v>
      </c>
      <c r="U726" s="455">
        <v>46184</v>
      </c>
    </row>
    <row r="727" spans="1:21">
      <c r="A727" t="s">
        <v>1751</v>
      </c>
      <c r="B727" t="s">
        <v>3807</v>
      </c>
      <c r="C727" t="s">
        <v>1751</v>
      </c>
      <c r="D727">
        <v>20545872</v>
      </c>
      <c r="E727" t="s">
        <v>3128</v>
      </c>
      <c r="F727" t="s">
        <v>1782</v>
      </c>
      <c r="G727" t="s">
        <v>3141</v>
      </c>
      <c r="H727" t="s">
        <v>1252</v>
      </c>
      <c r="J727" s="455">
        <v>46178</v>
      </c>
      <c r="U727" s="455">
        <v>46199</v>
      </c>
    </row>
    <row r="728" spans="1:21">
      <c r="A728" t="s">
        <v>1751</v>
      </c>
      <c r="B728" t="s">
        <v>3808</v>
      </c>
      <c r="C728" t="s">
        <v>1751</v>
      </c>
      <c r="D728">
        <v>20549895</v>
      </c>
      <c r="E728" t="s">
        <v>3133</v>
      </c>
      <c r="F728" t="s">
        <v>1241</v>
      </c>
      <c r="G728" t="s">
        <v>3134</v>
      </c>
      <c r="H728" t="s">
        <v>1247</v>
      </c>
      <c r="J728" s="455">
        <v>46182</v>
      </c>
      <c r="K728" s="455">
        <v>46182</v>
      </c>
      <c r="R728" s="455">
        <v>46196</v>
      </c>
      <c r="U728" s="455">
        <v>46203</v>
      </c>
    </row>
    <row r="729" spans="1:21">
      <c r="A729" t="s">
        <v>1751</v>
      </c>
      <c r="B729" t="s">
        <v>3809</v>
      </c>
      <c r="C729" t="s">
        <v>1751</v>
      </c>
      <c r="D729">
        <v>20534481</v>
      </c>
      <c r="E729" t="s">
        <v>3133</v>
      </c>
      <c r="F729" t="s">
        <v>1239</v>
      </c>
      <c r="G729" t="s">
        <v>3134</v>
      </c>
      <c r="H729" t="s">
        <v>1247</v>
      </c>
      <c r="I729" t="s">
        <v>3179</v>
      </c>
      <c r="J729" s="455">
        <v>46165</v>
      </c>
      <c r="K729" s="455">
        <v>46165</v>
      </c>
      <c r="L729" s="455">
        <v>46165</v>
      </c>
      <c r="M729" s="455">
        <v>46170</v>
      </c>
      <c r="N729" s="455">
        <v>46171</v>
      </c>
      <c r="R729" s="455">
        <v>46183</v>
      </c>
      <c r="U729" s="455">
        <v>46183</v>
      </c>
    </row>
    <row r="730" spans="1:21">
      <c r="A730" t="s">
        <v>1751</v>
      </c>
      <c r="B730" t="s">
        <v>3810</v>
      </c>
      <c r="C730" t="s">
        <v>1751</v>
      </c>
      <c r="D730">
        <v>20564500</v>
      </c>
      <c r="E730" t="s">
        <v>3128</v>
      </c>
      <c r="F730" t="s">
        <v>1241</v>
      </c>
      <c r="G730" t="s">
        <v>3134</v>
      </c>
      <c r="H730" t="s">
        <v>3165</v>
      </c>
      <c r="J730" s="455">
        <v>46197</v>
      </c>
      <c r="U730" s="455">
        <v>46266</v>
      </c>
    </row>
    <row r="731" spans="1:21">
      <c r="A731" t="s">
        <v>1751</v>
      </c>
      <c r="B731" t="s">
        <v>3811</v>
      </c>
      <c r="C731" t="s">
        <v>1751</v>
      </c>
      <c r="D731">
        <v>20564790</v>
      </c>
      <c r="E731" t="s">
        <v>3128</v>
      </c>
      <c r="F731" t="s">
        <v>1241</v>
      </c>
      <c r="G731" t="s">
        <v>3141</v>
      </c>
      <c r="H731" t="s">
        <v>1252</v>
      </c>
      <c r="J731" s="455">
        <v>46197</v>
      </c>
      <c r="U731" s="455">
        <v>46197</v>
      </c>
    </row>
    <row r="732" spans="1:21">
      <c r="A732" t="s">
        <v>1751</v>
      </c>
      <c r="B732" t="s">
        <v>3812</v>
      </c>
      <c r="C732" t="s">
        <v>1751</v>
      </c>
      <c r="D732">
        <v>20566049</v>
      </c>
      <c r="E732" t="s">
        <v>3128</v>
      </c>
      <c r="F732" t="s">
        <v>1241</v>
      </c>
      <c r="G732" t="s">
        <v>3137</v>
      </c>
      <c r="H732" t="s">
        <v>1252</v>
      </c>
      <c r="J732" s="455">
        <v>46199</v>
      </c>
      <c r="U732" s="455">
        <v>46199</v>
      </c>
    </row>
    <row r="733" spans="1:21">
      <c r="A733" t="s">
        <v>1751</v>
      </c>
      <c r="B733" t="s">
        <v>3813</v>
      </c>
      <c r="C733" t="s">
        <v>1751</v>
      </c>
      <c r="D733">
        <v>20558140</v>
      </c>
      <c r="E733" t="s">
        <v>1901</v>
      </c>
      <c r="F733" t="s">
        <v>1243</v>
      </c>
      <c r="G733" t="s">
        <v>3134</v>
      </c>
      <c r="H733" t="s">
        <v>1247</v>
      </c>
      <c r="I733" t="s">
        <v>1956</v>
      </c>
      <c r="J733" s="455">
        <v>46189</v>
      </c>
      <c r="K733" s="455">
        <v>46189</v>
      </c>
      <c r="L733" s="455">
        <v>46197</v>
      </c>
      <c r="O733" s="455">
        <v>46211</v>
      </c>
      <c r="U733" s="455">
        <v>46203</v>
      </c>
    </row>
    <row r="734" spans="1:21">
      <c r="A734" t="s">
        <v>1751</v>
      </c>
      <c r="B734" t="s">
        <v>3814</v>
      </c>
      <c r="C734" t="s">
        <v>1751</v>
      </c>
      <c r="D734">
        <v>20547298</v>
      </c>
      <c r="E734" t="s">
        <v>3128</v>
      </c>
      <c r="F734" t="s">
        <v>1782</v>
      </c>
      <c r="G734" t="s">
        <v>3141</v>
      </c>
      <c r="H734" t="s">
        <v>1252</v>
      </c>
      <c r="J734" s="455">
        <v>46179</v>
      </c>
      <c r="U734" s="455">
        <v>46204</v>
      </c>
    </row>
    <row r="735" spans="1:21">
      <c r="A735" t="s">
        <v>1751</v>
      </c>
      <c r="B735" t="s">
        <v>3815</v>
      </c>
      <c r="C735" t="s">
        <v>1751</v>
      </c>
      <c r="D735">
        <v>20550496</v>
      </c>
      <c r="E735" t="s">
        <v>3128</v>
      </c>
      <c r="F735" t="s">
        <v>1782</v>
      </c>
      <c r="G735" t="s">
        <v>3129</v>
      </c>
      <c r="H735" t="s">
        <v>1253</v>
      </c>
      <c r="J735" s="455">
        <v>46183</v>
      </c>
      <c r="U735" s="455">
        <v>46183</v>
      </c>
    </row>
    <row r="736" spans="1:21">
      <c r="A736" t="s">
        <v>1751</v>
      </c>
      <c r="B736" t="s">
        <v>3816</v>
      </c>
      <c r="C736" t="s">
        <v>1751</v>
      </c>
      <c r="D736">
        <v>20516536</v>
      </c>
      <c r="E736" t="s">
        <v>3133</v>
      </c>
      <c r="F736" t="s">
        <v>1238</v>
      </c>
      <c r="G736" t="s">
        <v>2009</v>
      </c>
      <c r="H736" t="s">
        <v>1251</v>
      </c>
      <c r="I736" t="s">
        <v>2562</v>
      </c>
      <c r="J736" s="455">
        <v>46146</v>
      </c>
      <c r="K736" s="455">
        <v>46147</v>
      </c>
      <c r="R736" s="455">
        <v>46190</v>
      </c>
      <c r="U736" s="455">
        <v>46188</v>
      </c>
    </row>
    <row r="737" spans="1:21">
      <c r="A737" t="s">
        <v>1751</v>
      </c>
      <c r="B737" t="s">
        <v>3816</v>
      </c>
      <c r="C737" t="s">
        <v>1751</v>
      </c>
      <c r="D737">
        <v>20517642</v>
      </c>
      <c r="E737" t="s">
        <v>3142</v>
      </c>
      <c r="F737" t="s">
        <v>1238</v>
      </c>
      <c r="G737" t="s">
        <v>3134</v>
      </c>
      <c r="H737" t="s">
        <v>1247</v>
      </c>
      <c r="I737" t="s">
        <v>2127</v>
      </c>
      <c r="J737" s="455">
        <v>46147</v>
      </c>
      <c r="K737" s="455">
        <v>46147</v>
      </c>
      <c r="L737" s="455">
        <v>46147</v>
      </c>
      <c r="M737" s="455">
        <v>46184</v>
      </c>
      <c r="N737" s="455">
        <v>46185</v>
      </c>
      <c r="P737" s="455">
        <v>46185</v>
      </c>
      <c r="Q737" s="455">
        <v>46185</v>
      </c>
      <c r="T737" s="455">
        <v>46176</v>
      </c>
      <c r="U737" s="455">
        <v>46193</v>
      </c>
    </row>
    <row r="738" spans="1:21">
      <c r="A738" t="s">
        <v>1751</v>
      </c>
      <c r="B738" t="s">
        <v>3816</v>
      </c>
      <c r="C738" t="s">
        <v>1751</v>
      </c>
      <c r="D738">
        <v>20550378</v>
      </c>
      <c r="E738" t="s">
        <v>3128</v>
      </c>
      <c r="F738" t="s">
        <v>1782</v>
      </c>
      <c r="G738" t="s">
        <v>3129</v>
      </c>
      <c r="H738" t="s">
        <v>3377</v>
      </c>
      <c r="J738" s="455">
        <v>46183</v>
      </c>
      <c r="U738" s="455">
        <v>46183</v>
      </c>
    </row>
    <row r="739" spans="1:21">
      <c r="A739" t="s">
        <v>1751</v>
      </c>
      <c r="B739" t="s">
        <v>3817</v>
      </c>
      <c r="C739" t="s">
        <v>1751</v>
      </c>
      <c r="D739">
        <v>20488439</v>
      </c>
      <c r="E739" t="s">
        <v>3133</v>
      </c>
      <c r="F739" t="s">
        <v>1782</v>
      </c>
      <c r="G739" t="s">
        <v>3134</v>
      </c>
      <c r="H739" t="s">
        <v>1247</v>
      </c>
      <c r="J739" s="455">
        <v>46118</v>
      </c>
      <c r="K739" s="455">
        <v>46118</v>
      </c>
      <c r="R739" s="455">
        <v>46181</v>
      </c>
      <c r="U739" s="455">
        <v>46135</v>
      </c>
    </row>
    <row r="740" spans="1:21">
      <c r="A740" t="s">
        <v>1751</v>
      </c>
      <c r="B740" t="s">
        <v>3818</v>
      </c>
      <c r="C740" t="s">
        <v>1751</v>
      </c>
      <c r="D740">
        <v>20519117</v>
      </c>
      <c r="E740" t="s">
        <v>3133</v>
      </c>
      <c r="F740" t="s">
        <v>1241</v>
      </c>
      <c r="G740" t="s">
        <v>3134</v>
      </c>
      <c r="H740" t="s">
        <v>1247</v>
      </c>
      <c r="I740" t="s">
        <v>1559</v>
      </c>
      <c r="J740" s="455">
        <v>46149</v>
      </c>
      <c r="K740" s="455">
        <v>46149</v>
      </c>
      <c r="R740" s="455">
        <v>46189</v>
      </c>
      <c r="U740" s="455">
        <v>46149</v>
      </c>
    </row>
    <row r="741" spans="1:21">
      <c r="A741" t="s">
        <v>1751</v>
      </c>
      <c r="B741" t="s">
        <v>3819</v>
      </c>
      <c r="C741" t="s">
        <v>1751</v>
      </c>
      <c r="D741">
        <v>20558803</v>
      </c>
      <c r="E741" t="s">
        <v>3133</v>
      </c>
      <c r="F741" t="s">
        <v>1237</v>
      </c>
      <c r="G741" t="s">
        <v>3143</v>
      </c>
      <c r="H741" t="s">
        <v>1249</v>
      </c>
      <c r="I741" t="s">
        <v>3200</v>
      </c>
      <c r="J741" s="455">
        <v>46190</v>
      </c>
      <c r="K741" s="455">
        <v>46190</v>
      </c>
      <c r="L741" s="455">
        <v>46190</v>
      </c>
      <c r="S741" s="455">
        <v>46195</v>
      </c>
      <c r="U741" s="455">
        <v>46204</v>
      </c>
    </row>
    <row r="742" spans="1:21">
      <c r="A742" t="s">
        <v>1751</v>
      </c>
      <c r="B742" t="s">
        <v>3820</v>
      </c>
      <c r="C742" t="s">
        <v>1751</v>
      </c>
      <c r="D742">
        <v>20546893</v>
      </c>
      <c r="E742" t="s">
        <v>3128</v>
      </c>
      <c r="F742" t="s">
        <v>1241</v>
      </c>
      <c r="G742" t="s">
        <v>3129</v>
      </c>
      <c r="H742" t="s">
        <v>3377</v>
      </c>
      <c r="J742" s="455">
        <v>46179</v>
      </c>
      <c r="U742" s="455">
        <v>46179</v>
      </c>
    </row>
    <row r="743" spans="1:21">
      <c r="A743" t="s">
        <v>1751</v>
      </c>
      <c r="B743" t="s">
        <v>3821</v>
      </c>
      <c r="C743" t="s">
        <v>1751</v>
      </c>
      <c r="D743">
        <v>20525209</v>
      </c>
      <c r="E743" t="s">
        <v>3133</v>
      </c>
      <c r="F743" t="s">
        <v>1241</v>
      </c>
      <c r="G743" t="s">
        <v>3134</v>
      </c>
      <c r="H743" t="s">
        <v>1247</v>
      </c>
      <c r="J743" s="455">
        <v>46156</v>
      </c>
      <c r="K743" s="455">
        <v>46156</v>
      </c>
      <c r="R743" s="455">
        <v>46190</v>
      </c>
      <c r="U743" s="455">
        <v>46156</v>
      </c>
    </row>
    <row r="744" spans="1:21">
      <c r="A744" t="s">
        <v>1751</v>
      </c>
      <c r="B744" t="s">
        <v>3822</v>
      </c>
      <c r="C744" t="s">
        <v>1751</v>
      </c>
      <c r="D744">
        <v>20554548</v>
      </c>
      <c r="E744" t="s">
        <v>3133</v>
      </c>
      <c r="F744" t="s">
        <v>1241</v>
      </c>
      <c r="G744" t="s">
        <v>3134</v>
      </c>
      <c r="H744" t="s">
        <v>1249</v>
      </c>
      <c r="I744" t="s">
        <v>2640</v>
      </c>
      <c r="J744" s="455">
        <v>46186</v>
      </c>
      <c r="K744" s="455">
        <v>46186</v>
      </c>
      <c r="R744" s="455">
        <v>46197</v>
      </c>
      <c r="U744" s="455">
        <v>46198</v>
      </c>
    </row>
    <row r="745" spans="1:21">
      <c r="A745" t="s">
        <v>1751</v>
      </c>
      <c r="B745" t="s">
        <v>3823</v>
      </c>
      <c r="C745" t="s">
        <v>1751</v>
      </c>
      <c r="D745">
        <v>20541767</v>
      </c>
      <c r="E745" t="s">
        <v>3128</v>
      </c>
      <c r="F745" t="s">
        <v>1239</v>
      </c>
      <c r="G745" t="s">
        <v>3143</v>
      </c>
      <c r="H745" t="s">
        <v>1249</v>
      </c>
      <c r="I745" t="s">
        <v>3385</v>
      </c>
      <c r="J745" s="455">
        <v>46175</v>
      </c>
      <c r="U745" s="455">
        <v>46175</v>
      </c>
    </row>
    <row r="746" spans="1:21">
      <c r="A746" t="s">
        <v>1751</v>
      </c>
      <c r="B746" t="s">
        <v>3824</v>
      </c>
      <c r="C746" t="s">
        <v>1751</v>
      </c>
      <c r="D746">
        <v>20554519</v>
      </c>
      <c r="E746" t="s">
        <v>3133</v>
      </c>
      <c r="F746" t="s">
        <v>1782</v>
      </c>
      <c r="G746" t="s">
        <v>3134</v>
      </c>
      <c r="H746" t="s">
        <v>1249</v>
      </c>
      <c r="J746" s="455">
        <v>46186</v>
      </c>
      <c r="K746" s="455">
        <v>46186</v>
      </c>
      <c r="R746" s="455">
        <v>46190</v>
      </c>
      <c r="U746" s="455">
        <v>46186</v>
      </c>
    </row>
    <row r="747" spans="1:21">
      <c r="A747" t="s">
        <v>1751</v>
      </c>
      <c r="B747" t="s">
        <v>3824</v>
      </c>
      <c r="C747" t="s">
        <v>1751</v>
      </c>
      <c r="D747">
        <v>20564172</v>
      </c>
      <c r="E747" t="s">
        <v>3128</v>
      </c>
      <c r="F747" t="s">
        <v>1912</v>
      </c>
      <c r="G747" t="s">
        <v>2009</v>
      </c>
      <c r="H747" t="s">
        <v>1249</v>
      </c>
      <c r="J747" s="455">
        <v>46197</v>
      </c>
      <c r="U747" s="455">
        <v>46197</v>
      </c>
    </row>
    <row r="748" spans="1:21">
      <c r="A748" t="s">
        <v>1751</v>
      </c>
      <c r="B748" t="s">
        <v>3062</v>
      </c>
      <c r="C748" t="s">
        <v>1751</v>
      </c>
      <c r="D748">
        <v>20554518</v>
      </c>
      <c r="E748" t="s">
        <v>1907</v>
      </c>
      <c r="F748" t="s">
        <v>1241</v>
      </c>
      <c r="G748" t="s">
        <v>3134</v>
      </c>
      <c r="H748" t="s">
        <v>1249</v>
      </c>
      <c r="I748" t="s">
        <v>2676</v>
      </c>
      <c r="J748" s="455">
        <v>46186</v>
      </c>
      <c r="K748" s="455">
        <v>46186</v>
      </c>
      <c r="L748" s="455">
        <v>46197</v>
      </c>
      <c r="O748" s="455">
        <v>46213</v>
      </c>
      <c r="T748" s="455">
        <v>46197</v>
      </c>
      <c r="U748" s="455">
        <v>46224</v>
      </c>
    </row>
    <row r="749" spans="1:21">
      <c r="A749" t="s">
        <v>1751</v>
      </c>
      <c r="B749" t="s">
        <v>3825</v>
      </c>
      <c r="C749" t="s">
        <v>1751</v>
      </c>
      <c r="D749">
        <v>20551047</v>
      </c>
      <c r="E749" t="s">
        <v>3128</v>
      </c>
      <c r="F749" t="s">
        <v>1238</v>
      </c>
      <c r="G749" t="s">
        <v>3137</v>
      </c>
      <c r="H749" t="s">
        <v>1252</v>
      </c>
      <c r="I749" t="s">
        <v>3385</v>
      </c>
      <c r="J749" s="455">
        <v>46183</v>
      </c>
      <c r="U749" s="455">
        <v>46192</v>
      </c>
    </row>
    <row r="750" spans="1:21">
      <c r="A750" t="s">
        <v>1751</v>
      </c>
      <c r="B750" t="s">
        <v>3826</v>
      </c>
      <c r="C750" t="s">
        <v>1751</v>
      </c>
      <c r="D750">
        <v>20483406</v>
      </c>
      <c r="E750" t="s">
        <v>3133</v>
      </c>
      <c r="F750" t="s">
        <v>1241</v>
      </c>
      <c r="G750" t="s">
        <v>3134</v>
      </c>
      <c r="H750" t="s">
        <v>1247</v>
      </c>
      <c r="I750" t="s">
        <v>2127</v>
      </c>
      <c r="J750" s="455">
        <v>46111</v>
      </c>
      <c r="K750" s="455">
        <v>46111</v>
      </c>
      <c r="R750" s="455">
        <v>46177</v>
      </c>
      <c r="U750" s="455">
        <v>46153</v>
      </c>
    </row>
    <row r="751" spans="1:21">
      <c r="A751" t="s">
        <v>1751</v>
      </c>
      <c r="B751" t="s">
        <v>3826</v>
      </c>
      <c r="C751" t="s">
        <v>1751</v>
      </c>
      <c r="D751">
        <v>20493720</v>
      </c>
      <c r="E751" t="s">
        <v>3133</v>
      </c>
      <c r="F751" t="s">
        <v>1242</v>
      </c>
      <c r="G751" t="s">
        <v>3134</v>
      </c>
      <c r="H751" t="s">
        <v>1247</v>
      </c>
      <c r="J751" s="455">
        <v>46125</v>
      </c>
      <c r="K751" s="455">
        <v>46125</v>
      </c>
      <c r="R751" s="455">
        <v>46181</v>
      </c>
      <c r="U751" s="455">
        <v>46142</v>
      </c>
    </row>
    <row r="752" spans="1:21">
      <c r="A752" t="s">
        <v>1751</v>
      </c>
      <c r="B752" t="s">
        <v>2661</v>
      </c>
      <c r="C752" t="s">
        <v>1751</v>
      </c>
      <c r="D752">
        <v>20516715</v>
      </c>
      <c r="E752" t="s">
        <v>3133</v>
      </c>
      <c r="F752" t="s">
        <v>1238</v>
      </c>
      <c r="G752" t="s">
        <v>3134</v>
      </c>
      <c r="H752" t="s">
        <v>1247</v>
      </c>
      <c r="I752" t="s">
        <v>1808</v>
      </c>
      <c r="J752" s="455">
        <v>46146</v>
      </c>
      <c r="K752" s="455">
        <v>46146</v>
      </c>
      <c r="R752" s="455">
        <v>46178</v>
      </c>
      <c r="U752" s="455">
        <v>46148</v>
      </c>
    </row>
    <row r="753" spans="1:21">
      <c r="A753" t="s">
        <v>1751</v>
      </c>
      <c r="B753" t="s">
        <v>3827</v>
      </c>
      <c r="C753" t="s">
        <v>1751</v>
      </c>
      <c r="D753">
        <v>20552384</v>
      </c>
      <c r="E753" t="s">
        <v>3128</v>
      </c>
      <c r="F753" t="s">
        <v>1237</v>
      </c>
      <c r="G753" t="s">
        <v>3143</v>
      </c>
      <c r="H753" t="s">
        <v>1249</v>
      </c>
      <c r="I753" t="s">
        <v>3200</v>
      </c>
      <c r="J753" s="455">
        <v>46184</v>
      </c>
      <c r="U753" s="455">
        <v>46184</v>
      </c>
    </row>
    <row r="754" spans="1:21">
      <c r="A754" t="s">
        <v>1751</v>
      </c>
      <c r="B754" t="s">
        <v>3828</v>
      </c>
      <c r="C754" t="s">
        <v>1751</v>
      </c>
      <c r="D754">
        <v>20561515</v>
      </c>
      <c r="E754" t="s">
        <v>3128</v>
      </c>
      <c r="F754" t="s">
        <v>1241</v>
      </c>
      <c r="G754" t="s">
        <v>3143</v>
      </c>
      <c r="H754" t="s">
        <v>1251</v>
      </c>
      <c r="J754" s="455">
        <v>46193</v>
      </c>
      <c r="U754" s="455">
        <v>46193</v>
      </c>
    </row>
    <row r="755" spans="1:21">
      <c r="A755" t="s">
        <v>1751</v>
      </c>
      <c r="B755" t="s">
        <v>3829</v>
      </c>
      <c r="C755" t="s">
        <v>1751</v>
      </c>
      <c r="D755">
        <v>20550865</v>
      </c>
      <c r="E755" t="s">
        <v>3128</v>
      </c>
      <c r="F755" t="s">
        <v>1238</v>
      </c>
      <c r="G755" t="s">
        <v>3143</v>
      </c>
      <c r="H755" t="s">
        <v>1252</v>
      </c>
      <c r="I755" t="s">
        <v>3385</v>
      </c>
      <c r="J755" s="455">
        <v>46183</v>
      </c>
      <c r="U755" s="455">
        <v>46266</v>
      </c>
    </row>
    <row r="756" spans="1:21">
      <c r="A756" t="s">
        <v>1751</v>
      </c>
      <c r="B756" t="s">
        <v>3830</v>
      </c>
      <c r="C756" t="s">
        <v>1751</v>
      </c>
      <c r="D756">
        <v>20568707</v>
      </c>
      <c r="E756" t="s">
        <v>3128</v>
      </c>
      <c r="F756" t="s">
        <v>1782</v>
      </c>
      <c r="G756" t="s">
        <v>3134</v>
      </c>
      <c r="H756" t="s">
        <v>1252</v>
      </c>
      <c r="J756" s="455">
        <v>46202</v>
      </c>
      <c r="U756" s="455">
        <v>46222</v>
      </c>
    </row>
    <row r="757" spans="1:21">
      <c r="A757" t="s">
        <v>1751</v>
      </c>
      <c r="B757" t="s">
        <v>3831</v>
      </c>
      <c r="C757" t="s">
        <v>1751</v>
      </c>
      <c r="D757">
        <v>20540905</v>
      </c>
      <c r="E757" t="s">
        <v>3142</v>
      </c>
      <c r="F757" t="s">
        <v>1239</v>
      </c>
      <c r="G757" t="s">
        <v>3143</v>
      </c>
      <c r="H757" t="s">
        <v>3165</v>
      </c>
      <c r="I757" t="s">
        <v>3832</v>
      </c>
      <c r="J757" s="455">
        <v>46174</v>
      </c>
      <c r="K757" s="455">
        <v>46174</v>
      </c>
      <c r="L757" s="455">
        <v>46175</v>
      </c>
      <c r="M757" s="455">
        <v>46182</v>
      </c>
      <c r="N757" s="455">
        <v>46183</v>
      </c>
      <c r="P757" s="455">
        <v>46184</v>
      </c>
      <c r="Q757" s="455">
        <v>46184</v>
      </c>
      <c r="U757" s="455">
        <v>46186</v>
      </c>
    </row>
    <row r="758" spans="1:21">
      <c r="A758" t="s">
        <v>1751</v>
      </c>
      <c r="B758" t="s">
        <v>3833</v>
      </c>
      <c r="C758" t="s">
        <v>1751</v>
      </c>
      <c r="D758">
        <v>20568286</v>
      </c>
      <c r="E758" t="s">
        <v>1897</v>
      </c>
      <c r="F758" t="s">
        <v>1782</v>
      </c>
      <c r="G758" t="s">
        <v>3129</v>
      </c>
      <c r="H758" t="s">
        <v>1253</v>
      </c>
      <c r="J758" s="455">
        <v>46202</v>
      </c>
      <c r="K758" s="455">
        <v>46202</v>
      </c>
      <c r="U758" s="455">
        <v>46202</v>
      </c>
    </row>
    <row r="759" spans="1:21">
      <c r="A759" t="s">
        <v>1751</v>
      </c>
      <c r="B759" t="s">
        <v>3834</v>
      </c>
      <c r="C759" t="s">
        <v>1751</v>
      </c>
      <c r="D759">
        <v>20560519</v>
      </c>
      <c r="E759" t="s">
        <v>1897</v>
      </c>
      <c r="F759" t="s">
        <v>1241</v>
      </c>
      <c r="G759" t="s">
        <v>3137</v>
      </c>
      <c r="H759" t="s">
        <v>1252</v>
      </c>
      <c r="J759" s="455">
        <v>46192</v>
      </c>
      <c r="K759" s="455">
        <v>46192</v>
      </c>
      <c r="U759" s="455">
        <v>46204</v>
      </c>
    </row>
    <row r="760" spans="1:21">
      <c r="A760" t="s">
        <v>1751</v>
      </c>
      <c r="B760" t="s">
        <v>3835</v>
      </c>
      <c r="C760" t="s">
        <v>1751</v>
      </c>
      <c r="D760">
        <v>20547733</v>
      </c>
      <c r="E760" t="s">
        <v>3128</v>
      </c>
      <c r="F760" t="s">
        <v>1242</v>
      </c>
      <c r="G760" t="s">
        <v>3134</v>
      </c>
      <c r="H760" t="s">
        <v>3165</v>
      </c>
      <c r="J760" s="455">
        <v>46180</v>
      </c>
      <c r="U760" s="455">
        <v>46198</v>
      </c>
    </row>
    <row r="761" spans="1:21">
      <c r="A761" t="s">
        <v>1751</v>
      </c>
      <c r="B761" t="s">
        <v>3836</v>
      </c>
      <c r="C761" t="s">
        <v>1751</v>
      </c>
      <c r="D761">
        <v>20544320</v>
      </c>
      <c r="E761" t="s">
        <v>3133</v>
      </c>
      <c r="F761" t="s">
        <v>1238</v>
      </c>
      <c r="G761" t="s">
        <v>3141</v>
      </c>
      <c r="H761" t="s">
        <v>1249</v>
      </c>
      <c r="I761" t="s">
        <v>2413</v>
      </c>
      <c r="J761" s="455">
        <v>46176</v>
      </c>
      <c r="K761" s="455">
        <v>46177</v>
      </c>
      <c r="R761" s="455">
        <v>46190</v>
      </c>
      <c r="U761" s="455">
        <v>46228</v>
      </c>
    </row>
    <row r="762" spans="1:21">
      <c r="A762" t="s">
        <v>1751</v>
      </c>
      <c r="B762" t="s">
        <v>3837</v>
      </c>
      <c r="C762" t="s">
        <v>1751</v>
      </c>
      <c r="D762">
        <v>20556187</v>
      </c>
      <c r="E762" t="s">
        <v>3128</v>
      </c>
      <c r="F762" t="s">
        <v>1782</v>
      </c>
      <c r="G762" t="s">
        <v>3129</v>
      </c>
      <c r="H762" t="s">
        <v>3377</v>
      </c>
      <c r="J762" s="455">
        <v>46188</v>
      </c>
      <c r="U762" s="455">
        <v>46188</v>
      </c>
    </row>
    <row r="763" spans="1:21">
      <c r="A763" t="s">
        <v>1751</v>
      </c>
      <c r="B763" t="s">
        <v>3838</v>
      </c>
      <c r="C763" t="s">
        <v>1751</v>
      </c>
      <c r="D763">
        <v>20539402</v>
      </c>
      <c r="E763" t="s">
        <v>3133</v>
      </c>
      <c r="F763" t="s">
        <v>1241</v>
      </c>
      <c r="G763" t="s">
        <v>2009</v>
      </c>
      <c r="H763" t="s">
        <v>1247</v>
      </c>
      <c r="I763" t="s">
        <v>3752</v>
      </c>
      <c r="J763" s="455">
        <v>46172</v>
      </c>
      <c r="K763" s="455">
        <v>46172</v>
      </c>
      <c r="R763" s="455">
        <v>46189</v>
      </c>
      <c r="U763" s="455">
        <v>46204</v>
      </c>
    </row>
    <row r="764" spans="1:21">
      <c r="A764" t="s">
        <v>1751</v>
      </c>
      <c r="B764" t="s">
        <v>3839</v>
      </c>
      <c r="C764" t="s">
        <v>1751</v>
      </c>
      <c r="D764">
        <v>20528161</v>
      </c>
      <c r="E764" t="s">
        <v>3133</v>
      </c>
      <c r="F764" t="s">
        <v>1242</v>
      </c>
      <c r="G764" t="s">
        <v>3134</v>
      </c>
      <c r="H764" t="s">
        <v>1249</v>
      </c>
      <c r="I764" t="s">
        <v>3198</v>
      </c>
      <c r="J764" s="455">
        <v>46158</v>
      </c>
      <c r="K764" s="455">
        <v>46158</v>
      </c>
      <c r="R764" s="455">
        <v>46190</v>
      </c>
      <c r="U764" s="455">
        <v>46179</v>
      </c>
    </row>
    <row r="765" spans="1:21">
      <c r="A765" t="s">
        <v>1751</v>
      </c>
      <c r="B765" t="s">
        <v>3840</v>
      </c>
      <c r="C765" t="s">
        <v>1751</v>
      </c>
      <c r="D765">
        <v>20528787</v>
      </c>
      <c r="E765" t="s">
        <v>3142</v>
      </c>
      <c r="F765" t="s">
        <v>1242</v>
      </c>
      <c r="G765" t="s">
        <v>3134</v>
      </c>
      <c r="H765" t="s">
        <v>1247</v>
      </c>
      <c r="I765" t="s">
        <v>3198</v>
      </c>
      <c r="J765" s="455">
        <v>46159</v>
      </c>
      <c r="K765" s="455">
        <v>46159</v>
      </c>
      <c r="L765" s="455">
        <v>46179</v>
      </c>
      <c r="M765" s="455">
        <v>46183</v>
      </c>
      <c r="N765" s="455">
        <v>46183</v>
      </c>
      <c r="P765" s="455">
        <v>46183</v>
      </c>
      <c r="Q765" s="455">
        <v>46183</v>
      </c>
      <c r="U765" s="455">
        <v>46200</v>
      </c>
    </row>
    <row r="766" spans="1:21">
      <c r="A766" t="s">
        <v>1751</v>
      </c>
      <c r="B766" t="s">
        <v>3841</v>
      </c>
      <c r="C766" t="s">
        <v>1751</v>
      </c>
      <c r="D766">
        <v>20564661</v>
      </c>
      <c r="E766" t="s">
        <v>3128</v>
      </c>
      <c r="F766" t="s">
        <v>1242</v>
      </c>
      <c r="G766" t="s">
        <v>3143</v>
      </c>
      <c r="H766" t="s">
        <v>1252</v>
      </c>
      <c r="I766" t="s">
        <v>3168</v>
      </c>
      <c r="J766" s="455">
        <v>46197</v>
      </c>
      <c r="U766" s="455">
        <v>46221</v>
      </c>
    </row>
    <row r="767" spans="1:21">
      <c r="A767" t="s">
        <v>1751</v>
      </c>
      <c r="B767" t="s">
        <v>3842</v>
      </c>
      <c r="C767" t="s">
        <v>1751</v>
      </c>
      <c r="D767">
        <v>20559805</v>
      </c>
      <c r="E767" t="s">
        <v>3128</v>
      </c>
      <c r="F767" t="s">
        <v>1782</v>
      </c>
      <c r="G767" t="s">
        <v>3143</v>
      </c>
      <c r="H767" t="s">
        <v>1249</v>
      </c>
      <c r="J767" s="455">
        <v>46191</v>
      </c>
      <c r="L767" s="455">
        <v>46217</v>
      </c>
      <c r="U767" s="455">
        <v>46191</v>
      </c>
    </row>
    <row r="768" spans="1:21">
      <c r="A768" t="s">
        <v>1751</v>
      </c>
      <c r="B768" t="s">
        <v>3843</v>
      </c>
      <c r="C768" t="s">
        <v>1751</v>
      </c>
      <c r="D768">
        <v>20519055</v>
      </c>
      <c r="E768" t="s">
        <v>3133</v>
      </c>
      <c r="F768" t="s">
        <v>1238</v>
      </c>
      <c r="G768" t="s">
        <v>3134</v>
      </c>
      <c r="H768" t="s">
        <v>1247</v>
      </c>
      <c r="I768" t="s">
        <v>2131</v>
      </c>
      <c r="J768" s="455">
        <v>46149</v>
      </c>
      <c r="K768" s="455">
        <v>46149</v>
      </c>
      <c r="R768" s="455">
        <v>46189</v>
      </c>
      <c r="U768" s="455">
        <v>46178</v>
      </c>
    </row>
    <row r="769" spans="1:21">
      <c r="A769" t="s">
        <v>1751</v>
      </c>
      <c r="B769" t="s">
        <v>3844</v>
      </c>
      <c r="C769" t="s">
        <v>1751</v>
      </c>
      <c r="D769">
        <v>20566129</v>
      </c>
      <c r="E769" t="s">
        <v>1907</v>
      </c>
      <c r="F769" t="s">
        <v>1782</v>
      </c>
      <c r="G769" t="s">
        <v>3143</v>
      </c>
      <c r="H769" t="s">
        <v>1249</v>
      </c>
      <c r="I769" t="s">
        <v>3845</v>
      </c>
      <c r="J769" s="455">
        <v>46199</v>
      </c>
      <c r="K769" s="455">
        <v>46199</v>
      </c>
      <c r="L769" s="455">
        <v>46203</v>
      </c>
      <c r="U769" s="455">
        <v>46210</v>
      </c>
    </row>
    <row r="770" spans="1:21">
      <c r="A770" t="s">
        <v>1751</v>
      </c>
      <c r="B770" t="s">
        <v>3846</v>
      </c>
      <c r="C770" t="s">
        <v>1751</v>
      </c>
      <c r="D770">
        <v>20561756</v>
      </c>
      <c r="E770" t="s">
        <v>3128</v>
      </c>
      <c r="F770" t="s">
        <v>1241</v>
      </c>
      <c r="G770" t="s">
        <v>3141</v>
      </c>
      <c r="H770" t="s">
        <v>1252</v>
      </c>
      <c r="J770" s="455">
        <v>46194</v>
      </c>
      <c r="U770" s="455">
        <v>46254</v>
      </c>
    </row>
    <row r="771" spans="1:21">
      <c r="A771" t="s">
        <v>1751</v>
      </c>
      <c r="B771" t="s">
        <v>3847</v>
      </c>
      <c r="C771" t="s">
        <v>1751</v>
      </c>
      <c r="D771">
        <v>20566649</v>
      </c>
      <c r="E771" t="s">
        <v>3128</v>
      </c>
      <c r="F771" t="s">
        <v>1782</v>
      </c>
      <c r="G771" t="s">
        <v>3129</v>
      </c>
      <c r="H771" t="s">
        <v>3131</v>
      </c>
      <c r="J771" s="455">
        <v>46199</v>
      </c>
      <c r="U771" s="455">
        <v>46199</v>
      </c>
    </row>
    <row r="772" spans="1:21">
      <c r="A772" t="s">
        <v>1751</v>
      </c>
      <c r="B772" t="s">
        <v>3848</v>
      </c>
      <c r="C772" t="s">
        <v>1751</v>
      </c>
      <c r="D772">
        <v>20563474</v>
      </c>
      <c r="E772" t="s">
        <v>3128</v>
      </c>
      <c r="F772" t="s">
        <v>1239</v>
      </c>
      <c r="G772" t="s">
        <v>3143</v>
      </c>
      <c r="H772" t="s">
        <v>1249</v>
      </c>
      <c r="I772" t="s">
        <v>3849</v>
      </c>
      <c r="J772" s="455">
        <v>46196</v>
      </c>
      <c r="U772" s="455">
        <v>46196</v>
      </c>
    </row>
    <row r="773" spans="1:21">
      <c r="A773" t="s">
        <v>1751</v>
      </c>
      <c r="B773" t="s">
        <v>3850</v>
      </c>
      <c r="C773" t="s">
        <v>1751</v>
      </c>
      <c r="D773">
        <v>20515475</v>
      </c>
      <c r="E773" t="s">
        <v>3133</v>
      </c>
      <c r="F773" t="s">
        <v>1912</v>
      </c>
      <c r="G773" t="s">
        <v>3134</v>
      </c>
      <c r="H773" t="s">
        <v>1247</v>
      </c>
      <c r="I773" t="s">
        <v>3851</v>
      </c>
      <c r="J773" s="455">
        <v>46144</v>
      </c>
      <c r="K773" s="455">
        <v>46144</v>
      </c>
      <c r="R773" s="455">
        <v>46189</v>
      </c>
      <c r="U773" s="455">
        <v>46157</v>
      </c>
    </row>
    <row r="774" spans="1:21">
      <c r="A774" t="s">
        <v>1751</v>
      </c>
      <c r="B774" t="s">
        <v>3850</v>
      </c>
      <c r="C774" t="s">
        <v>1751</v>
      </c>
      <c r="D774">
        <v>20515476</v>
      </c>
      <c r="E774" t="s">
        <v>3133</v>
      </c>
      <c r="F774" t="s">
        <v>1241</v>
      </c>
      <c r="G774" t="s">
        <v>3134</v>
      </c>
      <c r="H774" t="s">
        <v>1247</v>
      </c>
      <c r="J774" s="455">
        <v>46144</v>
      </c>
      <c r="K774" s="455">
        <v>46144</v>
      </c>
      <c r="R774" s="455">
        <v>46189</v>
      </c>
      <c r="U774" s="455">
        <v>46146</v>
      </c>
    </row>
    <row r="775" spans="1:21">
      <c r="A775" t="s">
        <v>1751</v>
      </c>
      <c r="B775" t="s">
        <v>3852</v>
      </c>
      <c r="C775" t="s">
        <v>1751</v>
      </c>
      <c r="D775">
        <v>20560622</v>
      </c>
      <c r="E775" t="s">
        <v>3128</v>
      </c>
      <c r="F775" t="s">
        <v>1241</v>
      </c>
      <c r="G775" t="s">
        <v>3129</v>
      </c>
      <c r="H775" t="s">
        <v>1252</v>
      </c>
      <c r="J775" s="455">
        <v>46192</v>
      </c>
      <c r="U775" s="455">
        <v>46192</v>
      </c>
    </row>
    <row r="776" spans="1:21">
      <c r="A776" t="s">
        <v>1751</v>
      </c>
      <c r="B776" t="s">
        <v>3853</v>
      </c>
      <c r="C776" t="s">
        <v>1751</v>
      </c>
      <c r="D776">
        <v>20448090</v>
      </c>
      <c r="E776" t="s">
        <v>3133</v>
      </c>
      <c r="F776" t="s">
        <v>1799</v>
      </c>
      <c r="G776" t="s">
        <v>3134</v>
      </c>
      <c r="H776" t="s">
        <v>3685</v>
      </c>
      <c r="I776" t="s">
        <v>1929</v>
      </c>
      <c r="J776" s="455">
        <v>46065</v>
      </c>
      <c r="K776" s="455">
        <v>46065</v>
      </c>
      <c r="R776" s="455">
        <v>46177</v>
      </c>
      <c r="U776" s="455">
        <v>46081</v>
      </c>
    </row>
    <row r="777" spans="1:21">
      <c r="A777" t="s">
        <v>1751</v>
      </c>
      <c r="B777" t="s">
        <v>3854</v>
      </c>
      <c r="C777" t="s">
        <v>1751</v>
      </c>
      <c r="D777">
        <v>20556410</v>
      </c>
      <c r="E777" t="s">
        <v>3128</v>
      </c>
      <c r="F777" t="s">
        <v>1782</v>
      </c>
      <c r="G777" t="s">
        <v>3141</v>
      </c>
      <c r="H777" t="s">
        <v>1252</v>
      </c>
      <c r="J777" s="455">
        <v>46188</v>
      </c>
      <c r="U777" s="455">
        <v>46204</v>
      </c>
    </row>
    <row r="778" spans="1:21">
      <c r="A778" t="s">
        <v>1751</v>
      </c>
      <c r="B778" t="s">
        <v>3855</v>
      </c>
      <c r="C778" t="s">
        <v>1751</v>
      </c>
      <c r="D778">
        <v>20567505</v>
      </c>
      <c r="E778" t="s">
        <v>3128</v>
      </c>
      <c r="F778" t="s">
        <v>1782</v>
      </c>
      <c r="G778" t="s">
        <v>3134</v>
      </c>
      <c r="H778" t="s">
        <v>1252</v>
      </c>
      <c r="J778" s="455">
        <v>46200</v>
      </c>
      <c r="U778" s="455">
        <v>46212</v>
      </c>
    </row>
    <row r="779" spans="1:21">
      <c r="A779" t="s">
        <v>1751</v>
      </c>
      <c r="B779" t="s">
        <v>3856</v>
      </c>
      <c r="C779" t="s">
        <v>1751</v>
      </c>
      <c r="D779">
        <v>20556464</v>
      </c>
      <c r="E779" t="s">
        <v>3128</v>
      </c>
      <c r="F779" t="s">
        <v>1782</v>
      </c>
      <c r="G779" t="s">
        <v>3134</v>
      </c>
      <c r="H779" t="s">
        <v>1252</v>
      </c>
      <c r="J779" s="455">
        <v>46188</v>
      </c>
      <c r="U779" s="455">
        <v>46204</v>
      </c>
    </row>
    <row r="780" spans="1:21">
      <c r="A780" t="s">
        <v>1751</v>
      </c>
      <c r="B780" t="s">
        <v>3857</v>
      </c>
      <c r="C780" t="s">
        <v>1751</v>
      </c>
      <c r="D780">
        <v>20545573</v>
      </c>
      <c r="E780" t="s">
        <v>3128</v>
      </c>
      <c r="F780" t="s">
        <v>1242</v>
      </c>
      <c r="G780" t="s">
        <v>2009</v>
      </c>
      <c r="H780" t="s">
        <v>1247</v>
      </c>
      <c r="J780" s="455">
        <v>46178</v>
      </c>
      <c r="U780" s="455">
        <v>46178</v>
      </c>
    </row>
    <row r="781" spans="1:21">
      <c r="A781" t="s">
        <v>1751</v>
      </c>
      <c r="B781" t="s">
        <v>3858</v>
      </c>
      <c r="C781" t="s">
        <v>1751</v>
      </c>
      <c r="D781">
        <v>20562490</v>
      </c>
      <c r="E781" t="s">
        <v>3128</v>
      </c>
      <c r="F781" t="s">
        <v>1241</v>
      </c>
      <c r="G781" t="s">
        <v>3137</v>
      </c>
      <c r="H781" t="s">
        <v>1252</v>
      </c>
      <c r="J781" s="455">
        <v>46195</v>
      </c>
      <c r="U781" s="455">
        <v>46202</v>
      </c>
    </row>
    <row r="782" spans="1:21">
      <c r="A782" t="s">
        <v>1751</v>
      </c>
      <c r="B782" t="s">
        <v>3859</v>
      </c>
      <c r="C782" t="s">
        <v>1751</v>
      </c>
      <c r="D782">
        <v>20562052</v>
      </c>
      <c r="E782" t="s">
        <v>3128</v>
      </c>
      <c r="F782" t="s">
        <v>1241</v>
      </c>
      <c r="G782" t="s">
        <v>3141</v>
      </c>
      <c r="H782" t="s">
        <v>1252</v>
      </c>
      <c r="J782" s="455">
        <v>46195</v>
      </c>
      <c r="U782" s="455">
        <v>46198</v>
      </c>
    </row>
    <row r="783" spans="1:21">
      <c r="A783" t="s">
        <v>1751</v>
      </c>
      <c r="B783" t="s">
        <v>3860</v>
      </c>
      <c r="C783" t="s">
        <v>1751</v>
      </c>
      <c r="D783">
        <v>20562224</v>
      </c>
      <c r="E783" t="s">
        <v>3128</v>
      </c>
      <c r="F783" t="s">
        <v>1241</v>
      </c>
      <c r="G783" t="s">
        <v>3134</v>
      </c>
      <c r="H783" t="s">
        <v>1252</v>
      </c>
      <c r="J783" s="455">
        <v>46195</v>
      </c>
      <c r="U783" s="455">
        <v>46225</v>
      </c>
    </row>
    <row r="784" spans="1:21">
      <c r="A784" t="s">
        <v>1751</v>
      </c>
      <c r="B784" t="s">
        <v>3861</v>
      </c>
      <c r="C784" t="s">
        <v>1751</v>
      </c>
      <c r="D784">
        <v>20556584</v>
      </c>
      <c r="E784" t="s">
        <v>3128</v>
      </c>
      <c r="F784" t="s">
        <v>1241</v>
      </c>
      <c r="G784" t="s">
        <v>3141</v>
      </c>
      <c r="H784" t="s">
        <v>1252</v>
      </c>
      <c r="J784" s="455">
        <v>46189</v>
      </c>
      <c r="U784" s="455">
        <v>46195</v>
      </c>
    </row>
    <row r="785" spans="1:21">
      <c r="A785" t="s">
        <v>1751</v>
      </c>
      <c r="B785" t="s">
        <v>3862</v>
      </c>
      <c r="C785" t="s">
        <v>1751</v>
      </c>
      <c r="D785">
        <v>20560308</v>
      </c>
      <c r="E785" t="s">
        <v>3128</v>
      </c>
      <c r="F785" t="s">
        <v>1782</v>
      </c>
      <c r="G785" t="s">
        <v>3141</v>
      </c>
      <c r="H785" t="s">
        <v>1252</v>
      </c>
      <c r="J785" s="455">
        <v>46191</v>
      </c>
      <c r="U785" s="455">
        <v>46252</v>
      </c>
    </row>
    <row r="786" spans="1:21">
      <c r="A786" t="s">
        <v>1751</v>
      </c>
      <c r="B786" t="s">
        <v>3863</v>
      </c>
      <c r="C786" t="s">
        <v>1751</v>
      </c>
      <c r="D786">
        <v>20522043</v>
      </c>
      <c r="E786" t="s">
        <v>3133</v>
      </c>
      <c r="F786" t="s">
        <v>1912</v>
      </c>
      <c r="G786" t="s">
        <v>3134</v>
      </c>
      <c r="H786" t="s">
        <v>1247</v>
      </c>
      <c r="I786" t="s">
        <v>3055</v>
      </c>
      <c r="J786" s="455">
        <v>46153</v>
      </c>
      <c r="K786" s="455">
        <v>46153</v>
      </c>
      <c r="R786" s="455">
        <v>46189</v>
      </c>
      <c r="U786" s="455">
        <v>46153</v>
      </c>
    </row>
    <row r="787" spans="1:21">
      <c r="A787" t="s">
        <v>1751</v>
      </c>
      <c r="B787" t="s">
        <v>3864</v>
      </c>
      <c r="C787" t="s">
        <v>1751</v>
      </c>
      <c r="D787">
        <v>20567716</v>
      </c>
      <c r="E787" t="s">
        <v>3128</v>
      </c>
      <c r="F787" t="s">
        <v>1782</v>
      </c>
      <c r="G787" t="s">
        <v>3137</v>
      </c>
      <c r="H787" t="s">
        <v>1252</v>
      </c>
      <c r="J787" s="455">
        <v>46201</v>
      </c>
      <c r="U787" s="455">
        <v>46222</v>
      </c>
    </row>
    <row r="788" spans="1:21">
      <c r="A788" t="s">
        <v>1751</v>
      </c>
      <c r="B788" t="s">
        <v>10991</v>
      </c>
      <c r="C788" t="s">
        <v>1751</v>
      </c>
      <c r="D788">
        <v>20564827</v>
      </c>
      <c r="E788" t="s">
        <v>3128</v>
      </c>
      <c r="F788" t="s">
        <v>1241</v>
      </c>
      <c r="G788" t="s">
        <v>3134</v>
      </c>
      <c r="H788" t="s">
        <v>1252</v>
      </c>
      <c r="J788" s="455">
        <v>46197</v>
      </c>
      <c r="U788" s="455">
        <v>46198</v>
      </c>
    </row>
    <row r="789" spans="1:21">
      <c r="A789" t="s">
        <v>1751</v>
      </c>
      <c r="B789" t="s">
        <v>10991</v>
      </c>
      <c r="C789" t="s">
        <v>1751</v>
      </c>
      <c r="D789">
        <v>20531120</v>
      </c>
      <c r="E789" t="s">
        <v>3133</v>
      </c>
      <c r="F789" t="s">
        <v>1782</v>
      </c>
      <c r="G789" t="s">
        <v>3141</v>
      </c>
      <c r="H789" t="s">
        <v>1252</v>
      </c>
      <c r="I789" t="s">
        <v>2482</v>
      </c>
      <c r="J789" s="455">
        <v>46161</v>
      </c>
      <c r="K789" s="455">
        <v>46163</v>
      </c>
      <c r="R789" s="455">
        <v>46190</v>
      </c>
      <c r="U789" s="455">
        <v>46248</v>
      </c>
    </row>
    <row r="790" spans="1:21">
      <c r="A790" t="s">
        <v>1751</v>
      </c>
      <c r="B790" t="s">
        <v>3866</v>
      </c>
      <c r="C790" t="s">
        <v>1751</v>
      </c>
      <c r="D790">
        <v>20568420</v>
      </c>
      <c r="E790" t="s">
        <v>3128</v>
      </c>
      <c r="F790" t="s">
        <v>1782</v>
      </c>
      <c r="G790" t="s">
        <v>3141</v>
      </c>
      <c r="H790" t="s">
        <v>1252</v>
      </c>
      <c r="J790" s="455">
        <v>46202</v>
      </c>
      <c r="U790" s="455">
        <v>46241</v>
      </c>
    </row>
    <row r="791" spans="1:21">
      <c r="A791" t="s">
        <v>1751</v>
      </c>
      <c r="B791" t="s">
        <v>3867</v>
      </c>
      <c r="C791" t="s">
        <v>1751</v>
      </c>
      <c r="D791">
        <v>20567935</v>
      </c>
      <c r="E791" t="s">
        <v>3128</v>
      </c>
      <c r="F791" t="s">
        <v>1782</v>
      </c>
      <c r="G791" t="s">
        <v>3134</v>
      </c>
      <c r="H791" t="s">
        <v>3165</v>
      </c>
      <c r="J791" s="455">
        <v>46201</v>
      </c>
      <c r="U791" s="455">
        <v>46266</v>
      </c>
    </row>
    <row r="792" spans="1:21">
      <c r="A792" t="s">
        <v>1751</v>
      </c>
      <c r="B792" t="s">
        <v>3868</v>
      </c>
      <c r="C792" t="s">
        <v>1751</v>
      </c>
      <c r="D792">
        <v>20541784</v>
      </c>
      <c r="E792" t="s">
        <v>3128</v>
      </c>
      <c r="F792" t="s">
        <v>1782</v>
      </c>
      <c r="G792" t="s">
        <v>3134</v>
      </c>
      <c r="H792" t="s">
        <v>3165</v>
      </c>
      <c r="J792" s="455">
        <v>46175</v>
      </c>
      <c r="U792" s="455">
        <v>46204</v>
      </c>
    </row>
    <row r="793" spans="1:21">
      <c r="A793" t="s">
        <v>1751</v>
      </c>
      <c r="B793" t="s">
        <v>3869</v>
      </c>
      <c r="C793" t="s">
        <v>1751</v>
      </c>
      <c r="D793">
        <v>20548298</v>
      </c>
      <c r="E793" t="s">
        <v>3128</v>
      </c>
      <c r="F793" t="s">
        <v>1241</v>
      </c>
      <c r="G793" t="s">
        <v>3129</v>
      </c>
      <c r="H793" t="s">
        <v>1253</v>
      </c>
      <c r="J793" s="455">
        <v>46181</v>
      </c>
      <c r="U793" s="455">
        <v>46181</v>
      </c>
    </row>
    <row r="794" spans="1:21">
      <c r="A794" t="s">
        <v>1751</v>
      </c>
      <c r="B794" t="s">
        <v>3870</v>
      </c>
      <c r="C794" t="s">
        <v>1751</v>
      </c>
      <c r="D794">
        <v>20558959</v>
      </c>
      <c r="E794" t="s">
        <v>3128</v>
      </c>
      <c r="F794" t="s">
        <v>1237</v>
      </c>
      <c r="G794" t="s">
        <v>3137</v>
      </c>
      <c r="H794" t="s">
        <v>1252</v>
      </c>
      <c r="I794" t="s">
        <v>2148</v>
      </c>
      <c r="J794" s="455">
        <v>46190</v>
      </c>
      <c r="U794" s="455">
        <v>46191</v>
      </c>
    </row>
    <row r="795" spans="1:21">
      <c r="A795" t="s">
        <v>1751</v>
      </c>
      <c r="B795" t="s">
        <v>3871</v>
      </c>
      <c r="C795" t="s">
        <v>1751</v>
      </c>
      <c r="D795">
        <v>20492324</v>
      </c>
      <c r="E795" t="s">
        <v>3142</v>
      </c>
      <c r="F795" t="s">
        <v>1242</v>
      </c>
      <c r="G795" t="s">
        <v>3143</v>
      </c>
      <c r="H795" t="s">
        <v>1248</v>
      </c>
      <c r="I795" t="s">
        <v>3872</v>
      </c>
      <c r="J795" s="455">
        <v>46123</v>
      </c>
      <c r="K795" s="455">
        <v>46129</v>
      </c>
      <c r="L795" s="455">
        <v>46143</v>
      </c>
      <c r="M795" s="455">
        <v>46149</v>
      </c>
      <c r="N795" s="455">
        <v>46149</v>
      </c>
      <c r="P795" s="455">
        <v>46149</v>
      </c>
      <c r="Q795" s="455">
        <v>46149</v>
      </c>
      <c r="U795" s="455">
        <v>46179</v>
      </c>
    </row>
    <row r="796" spans="1:21">
      <c r="A796" t="s">
        <v>1751</v>
      </c>
      <c r="B796" t="s">
        <v>3873</v>
      </c>
      <c r="C796" t="s">
        <v>1751</v>
      </c>
      <c r="D796">
        <v>20547374</v>
      </c>
      <c r="E796" t="s">
        <v>3128</v>
      </c>
      <c r="F796" t="s">
        <v>1782</v>
      </c>
      <c r="G796" t="s">
        <v>3141</v>
      </c>
      <c r="H796" t="s">
        <v>1252</v>
      </c>
      <c r="J796" s="455">
        <v>46179</v>
      </c>
      <c r="U796" s="455">
        <v>46207</v>
      </c>
    </row>
    <row r="797" spans="1:21">
      <c r="A797" t="s">
        <v>1751</v>
      </c>
      <c r="B797" t="s">
        <v>3874</v>
      </c>
      <c r="C797" t="s">
        <v>1751</v>
      </c>
      <c r="D797">
        <v>20548813</v>
      </c>
      <c r="E797" t="s">
        <v>3133</v>
      </c>
      <c r="F797" t="s">
        <v>1238</v>
      </c>
      <c r="G797" t="s">
        <v>3141</v>
      </c>
      <c r="H797" t="s">
        <v>1252</v>
      </c>
      <c r="I797" t="s">
        <v>3307</v>
      </c>
      <c r="J797" s="455">
        <v>46181</v>
      </c>
      <c r="K797" s="455">
        <v>46182</v>
      </c>
      <c r="L797" s="455">
        <v>46182</v>
      </c>
      <c r="R797" s="455">
        <v>46191</v>
      </c>
      <c r="U797" s="455">
        <v>46203</v>
      </c>
    </row>
    <row r="798" spans="1:21">
      <c r="A798" t="s">
        <v>1751</v>
      </c>
      <c r="B798" t="s">
        <v>3875</v>
      </c>
      <c r="C798" t="s">
        <v>1751</v>
      </c>
      <c r="D798">
        <v>20540842</v>
      </c>
      <c r="E798" t="s">
        <v>3128</v>
      </c>
      <c r="F798" t="s">
        <v>1237</v>
      </c>
      <c r="G798" t="s">
        <v>3143</v>
      </c>
      <c r="H798" t="s">
        <v>1251</v>
      </c>
      <c r="I798" t="s">
        <v>3170</v>
      </c>
      <c r="J798" s="455">
        <v>46174</v>
      </c>
      <c r="U798" s="455">
        <v>46218</v>
      </c>
    </row>
    <row r="799" spans="1:21">
      <c r="A799" t="s">
        <v>1751</v>
      </c>
      <c r="B799" t="s">
        <v>3876</v>
      </c>
      <c r="C799" t="s">
        <v>1751</v>
      </c>
      <c r="D799">
        <v>20558866</v>
      </c>
      <c r="E799" t="s">
        <v>3142</v>
      </c>
      <c r="F799" t="s">
        <v>1239</v>
      </c>
      <c r="G799" t="s">
        <v>3134</v>
      </c>
      <c r="H799" t="s">
        <v>1247</v>
      </c>
      <c r="I799" t="s">
        <v>3877</v>
      </c>
      <c r="J799" s="455">
        <v>46190</v>
      </c>
      <c r="K799" s="455">
        <v>46190</v>
      </c>
      <c r="L799" s="455">
        <v>46190</v>
      </c>
      <c r="M799" s="455">
        <v>46195</v>
      </c>
      <c r="N799" s="455">
        <v>46196</v>
      </c>
      <c r="O799" s="455">
        <v>46196</v>
      </c>
      <c r="P799" s="455">
        <v>46196</v>
      </c>
      <c r="Q799" s="455">
        <v>46196</v>
      </c>
      <c r="U799" s="455">
        <v>46211</v>
      </c>
    </row>
    <row r="800" spans="1:21">
      <c r="A800" t="s">
        <v>1751</v>
      </c>
      <c r="B800" t="s">
        <v>3878</v>
      </c>
      <c r="C800" t="s">
        <v>1751</v>
      </c>
      <c r="D800">
        <v>20501792</v>
      </c>
      <c r="E800" t="s">
        <v>3133</v>
      </c>
      <c r="F800" t="s">
        <v>3285</v>
      </c>
      <c r="G800" t="s">
        <v>3134</v>
      </c>
      <c r="H800" t="s">
        <v>3165</v>
      </c>
      <c r="I800" t="s">
        <v>3042</v>
      </c>
      <c r="J800" s="455">
        <v>46131</v>
      </c>
      <c r="K800" s="455">
        <v>46135</v>
      </c>
      <c r="L800" s="455">
        <v>46141</v>
      </c>
      <c r="M800" s="455">
        <v>46150</v>
      </c>
      <c r="N800" s="455">
        <v>46150</v>
      </c>
      <c r="P800" s="455">
        <v>46150</v>
      </c>
      <c r="Q800" s="455">
        <v>46150</v>
      </c>
      <c r="R800" s="455">
        <v>46197</v>
      </c>
      <c r="U800" s="455">
        <v>46195</v>
      </c>
    </row>
    <row r="801" spans="1:21">
      <c r="A801" t="s">
        <v>1751</v>
      </c>
      <c r="B801" t="s">
        <v>3879</v>
      </c>
      <c r="C801" t="s">
        <v>1751</v>
      </c>
      <c r="D801">
        <v>20524032</v>
      </c>
      <c r="E801" t="s">
        <v>3133</v>
      </c>
      <c r="F801" t="s">
        <v>1782</v>
      </c>
      <c r="G801" t="s">
        <v>3134</v>
      </c>
      <c r="H801" t="s">
        <v>1247</v>
      </c>
      <c r="J801" s="455">
        <v>46155</v>
      </c>
      <c r="K801" s="455">
        <v>46155</v>
      </c>
      <c r="R801" s="455">
        <v>46190</v>
      </c>
      <c r="U801" s="455">
        <v>46186</v>
      </c>
    </row>
    <row r="802" spans="1:21">
      <c r="A802" t="s">
        <v>1751</v>
      </c>
      <c r="B802" t="s">
        <v>3879</v>
      </c>
      <c r="C802" t="s">
        <v>1751</v>
      </c>
      <c r="D802">
        <v>20524031</v>
      </c>
      <c r="E802" t="s">
        <v>3133</v>
      </c>
      <c r="F802" t="s">
        <v>1241</v>
      </c>
      <c r="G802" t="s">
        <v>3134</v>
      </c>
      <c r="H802" t="s">
        <v>1247</v>
      </c>
      <c r="J802" s="455">
        <v>46155</v>
      </c>
      <c r="K802" s="455">
        <v>46155</v>
      </c>
      <c r="R802" s="455">
        <v>46190</v>
      </c>
      <c r="U802" s="455">
        <v>46155</v>
      </c>
    </row>
    <row r="803" spans="1:21">
      <c r="A803" t="s">
        <v>1751</v>
      </c>
      <c r="B803" t="s">
        <v>3880</v>
      </c>
      <c r="C803" t="s">
        <v>1751</v>
      </c>
      <c r="D803">
        <v>20523925</v>
      </c>
      <c r="E803" t="s">
        <v>3133</v>
      </c>
      <c r="F803" t="s">
        <v>1241</v>
      </c>
      <c r="G803" t="s">
        <v>3134</v>
      </c>
      <c r="H803" t="s">
        <v>1247</v>
      </c>
      <c r="J803" s="455">
        <v>46155</v>
      </c>
      <c r="K803" s="455">
        <v>46155</v>
      </c>
      <c r="R803" s="455">
        <v>46190</v>
      </c>
      <c r="U803" s="455">
        <v>46155</v>
      </c>
    </row>
    <row r="804" spans="1:21">
      <c r="A804" t="s">
        <v>1751</v>
      </c>
      <c r="B804" t="s">
        <v>3881</v>
      </c>
      <c r="C804" t="s">
        <v>1751</v>
      </c>
      <c r="D804">
        <v>20524036</v>
      </c>
      <c r="E804" t="s">
        <v>3142</v>
      </c>
      <c r="F804" t="s">
        <v>1241</v>
      </c>
      <c r="G804" t="s">
        <v>3134</v>
      </c>
      <c r="H804" t="s">
        <v>1249</v>
      </c>
      <c r="I804" t="s">
        <v>1574</v>
      </c>
      <c r="J804" s="455">
        <v>46155</v>
      </c>
      <c r="K804" s="455">
        <v>46155</v>
      </c>
      <c r="L804" s="455">
        <v>46155</v>
      </c>
      <c r="M804" s="455">
        <v>46157</v>
      </c>
      <c r="N804" s="455">
        <v>46157</v>
      </c>
      <c r="O804" s="455">
        <v>46157</v>
      </c>
      <c r="P804" s="455">
        <v>46157</v>
      </c>
      <c r="Q804" s="455">
        <v>46157</v>
      </c>
      <c r="U804" s="455">
        <v>46199</v>
      </c>
    </row>
    <row r="805" spans="1:21">
      <c r="A805" t="s">
        <v>1751</v>
      </c>
      <c r="B805" t="s">
        <v>3882</v>
      </c>
      <c r="C805" t="s">
        <v>1751</v>
      </c>
      <c r="D805">
        <v>20552115</v>
      </c>
      <c r="E805" t="s">
        <v>3128</v>
      </c>
      <c r="F805" t="s">
        <v>1782</v>
      </c>
      <c r="G805" t="s">
        <v>3129</v>
      </c>
      <c r="H805" t="s">
        <v>3131</v>
      </c>
      <c r="J805" s="455">
        <v>46184</v>
      </c>
      <c r="U805" s="455">
        <v>46184</v>
      </c>
    </row>
    <row r="806" spans="1:21">
      <c r="A806" t="s">
        <v>1751</v>
      </c>
      <c r="B806" t="s">
        <v>3883</v>
      </c>
      <c r="C806" t="s">
        <v>1751</v>
      </c>
      <c r="D806">
        <v>20552312</v>
      </c>
      <c r="E806" t="s">
        <v>3128</v>
      </c>
      <c r="F806" t="s">
        <v>1239</v>
      </c>
      <c r="G806" t="s">
        <v>3143</v>
      </c>
      <c r="H806" t="s">
        <v>1252</v>
      </c>
      <c r="I806" t="s">
        <v>3344</v>
      </c>
      <c r="J806" s="455">
        <v>46184</v>
      </c>
      <c r="U806" s="455">
        <v>46184</v>
      </c>
    </row>
    <row r="807" spans="1:21">
      <c r="A807" t="s">
        <v>1751</v>
      </c>
      <c r="B807" t="s">
        <v>2995</v>
      </c>
      <c r="C807" t="s">
        <v>1751</v>
      </c>
      <c r="D807">
        <v>20559733</v>
      </c>
      <c r="E807" t="s">
        <v>3142</v>
      </c>
      <c r="F807" t="s">
        <v>1239</v>
      </c>
      <c r="G807" t="s">
        <v>3143</v>
      </c>
      <c r="H807" t="s">
        <v>1252</v>
      </c>
      <c r="I807" t="s">
        <v>2470</v>
      </c>
      <c r="J807" s="455">
        <v>46191</v>
      </c>
      <c r="K807" s="455">
        <v>46193</v>
      </c>
      <c r="L807" s="455">
        <v>46193</v>
      </c>
      <c r="M807" s="455">
        <v>46196</v>
      </c>
      <c r="N807" s="455">
        <v>46196</v>
      </c>
      <c r="P807" s="455">
        <v>46196</v>
      </c>
      <c r="Q807" s="455">
        <v>46197</v>
      </c>
      <c r="U807" s="455">
        <v>46234</v>
      </c>
    </row>
    <row r="808" spans="1:21">
      <c r="A808" t="s">
        <v>1751</v>
      </c>
      <c r="B808" t="s">
        <v>2996</v>
      </c>
      <c r="C808" t="s">
        <v>1751</v>
      </c>
      <c r="D808">
        <v>20566024</v>
      </c>
      <c r="E808" t="s">
        <v>1907</v>
      </c>
      <c r="F808" t="s">
        <v>1242</v>
      </c>
      <c r="G808" t="s">
        <v>3137</v>
      </c>
      <c r="H808" t="s">
        <v>1251</v>
      </c>
      <c r="I808" t="s">
        <v>2472</v>
      </c>
      <c r="J808" s="455">
        <v>46199</v>
      </c>
      <c r="K808" s="455">
        <v>46203</v>
      </c>
      <c r="L808" s="455">
        <v>46203</v>
      </c>
      <c r="U808" s="455">
        <v>46249</v>
      </c>
    </row>
    <row r="809" spans="1:21">
      <c r="A809" t="s">
        <v>1751</v>
      </c>
      <c r="B809" t="s">
        <v>3884</v>
      </c>
      <c r="C809" t="s">
        <v>1751</v>
      </c>
      <c r="D809">
        <v>20533926</v>
      </c>
      <c r="E809" t="s">
        <v>3133</v>
      </c>
      <c r="F809" t="s">
        <v>1241</v>
      </c>
      <c r="G809" t="s">
        <v>3134</v>
      </c>
      <c r="H809" t="s">
        <v>1248</v>
      </c>
      <c r="J809" s="455">
        <v>46164</v>
      </c>
      <c r="K809" s="455">
        <v>46164</v>
      </c>
      <c r="R809" s="455">
        <v>46190</v>
      </c>
      <c r="U809" s="455">
        <v>46185</v>
      </c>
    </row>
    <row r="810" spans="1:21">
      <c r="A810" t="s">
        <v>1751</v>
      </c>
      <c r="B810" t="s">
        <v>3885</v>
      </c>
      <c r="C810" t="s">
        <v>1751</v>
      </c>
      <c r="D810">
        <v>20540547</v>
      </c>
      <c r="E810" t="s">
        <v>3128</v>
      </c>
      <c r="F810" t="s">
        <v>1237</v>
      </c>
      <c r="G810" t="s">
        <v>3134</v>
      </c>
      <c r="H810" t="s">
        <v>1252</v>
      </c>
      <c r="I810" t="s">
        <v>3832</v>
      </c>
      <c r="J810" s="455">
        <v>46174</v>
      </c>
      <c r="U810" s="455">
        <v>46199</v>
      </c>
    </row>
    <row r="811" spans="1:21">
      <c r="A811" t="s">
        <v>1751</v>
      </c>
      <c r="B811" t="s">
        <v>3886</v>
      </c>
      <c r="C811" t="s">
        <v>1751</v>
      </c>
      <c r="D811">
        <v>20534956</v>
      </c>
      <c r="E811" t="s">
        <v>3133</v>
      </c>
      <c r="F811" t="s">
        <v>1241</v>
      </c>
      <c r="G811" t="s">
        <v>3134</v>
      </c>
      <c r="H811" t="s">
        <v>1252</v>
      </c>
      <c r="I811" t="s">
        <v>2449</v>
      </c>
      <c r="J811" s="455">
        <v>46166</v>
      </c>
      <c r="K811" s="455">
        <v>46166</v>
      </c>
      <c r="R811" s="455">
        <v>46190</v>
      </c>
      <c r="U811" s="455">
        <v>46234</v>
      </c>
    </row>
    <row r="812" spans="1:21">
      <c r="A812" t="s">
        <v>1751</v>
      </c>
      <c r="B812" t="s">
        <v>3887</v>
      </c>
      <c r="C812" t="s">
        <v>1751</v>
      </c>
      <c r="D812">
        <v>20537626</v>
      </c>
      <c r="E812" t="s">
        <v>3133</v>
      </c>
      <c r="F812" t="s">
        <v>1782</v>
      </c>
      <c r="G812" t="s">
        <v>3134</v>
      </c>
      <c r="H812" t="s">
        <v>1247</v>
      </c>
      <c r="I812" t="s">
        <v>3055</v>
      </c>
      <c r="J812" s="455">
        <v>46170</v>
      </c>
      <c r="K812" s="455">
        <v>46170</v>
      </c>
      <c r="L812" s="455">
        <v>46170</v>
      </c>
      <c r="S812" s="455">
        <v>46174</v>
      </c>
      <c r="U812" s="455">
        <v>46188</v>
      </c>
    </row>
    <row r="813" spans="1:21">
      <c r="A813" t="s">
        <v>1751</v>
      </c>
      <c r="B813" t="s">
        <v>3887</v>
      </c>
      <c r="C813" t="s">
        <v>1751</v>
      </c>
      <c r="D813">
        <v>20551484</v>
      </c>
      <c r="E813" t="s">
        <v>3128</v>
      </c>
      <c r="F813" t="s">
        <v>1242</v>
      </c>
      <c r="G813" t="s">
        <v>3143</v>
      </c>
      <c r="H813" t="s">
        <v>3131</v>
      </c>
      <c r="J813" s="455">
        <v>46183</v>
      </c>
      <c r="U813" s="455">
        <v>46183</v>
      </c>
    </row>
    <row r="814" spans="1:21">
      <c r="A814" t="s">
        <v>1751</v>
      </c>
      <c r="B814" t="s">
        <v>3888</v>
      </c>
      <c r="C814" t="s">
        <v>1751</v>
      </c>
      <c r="D814">
        <v>20547897</v>
      </c>
      <c r="E814" t="s">
        <v>3128</v>
      </c>
      <c r="F814" t="s">
        <v>1241</v>
      </c>
      <c r="G814" t="s">
        <v>3129</v>
      </c>
      <c r="H814" t="s">
        <v>1252</v>
      </c>
      <c r="J814" s="455">
        <v>46181</v>
      </c>
      <c r="U814" s="455">
        <v>46181</v>
      </c>
    </row>
    <row r="815" spans="1:21">
      <c r="A815" t="s">
        <v>1751</v>
      </c>
      <c r="B815" t="s">
        <v>3889</v>
      </c>
      <c r="C815" t="s">
        <v>1751</v>
      </c>
      <c r="D815">
        <v>20566255</v>
      </c>
      <c r="E815" t="s">
        <v>3128</v>
      </c>
      <c r="F815" t="s">
        <v>1241</v>
      </c>
      <c r="G815" t="s">
        <v>3137</v>
      </c>
      <c r="H815" t="s">
        <v>1252</v>
      </c>
      <c r="J815" s="455">
        <v>46199</v>
      </c>
      <c r="U815" s="455">
        <v>46248</v>
      </c>
    </row>
    <row r="816" spans="1:21">
      <c r="A816" t="s">
        <v>1751</v>
      </c>
      <c r="B816" t="s">
        <v>3890</v>
      </c>
      <c r="C816" t="s">
        <v>1751</v>
      </c>
      <c r="D816">
        <v>20559956</v>
      </c>
      <c r="E816" t="s">
        <v>3128</v>
      </c>
      <c r="F816" t="s">
        <v>1782</v>
      </c>
      <c r="G816" t="s">
        <v>3141</v>
      </c>
      <c r="H816" t="s">
        <v>1252</v>
      </c>
      <c r="J816" s="455">
        <v>46191</v>
      </c>
      <c r="U816" s="455">
        <v>46213</v>
      </c>
    </row>
    <row r="817" spans="1:21">
      <c r="A817" t="s">
        <v>1751</v>
      </c>
      <c r="B817" t="s">
        <v>3891</v>
      </c>
      <c r="C817" t="s">
        <v>1751</v>
      </c>
      <c r="D817">
        <v>20560746</v>
      </c>
      <c r="E817" t="s">
        <v>3128</v>
      </c>
      <c r="F817" t="s">
        <v>1782</v>
      </c>
      <c r="G817" t="s">
        <v>3129</v>
      </c>
      <c r="H817" t="s">
        <v>3131</v>
      </c>
      <c r="J817" s="455">
        <v>46192</v>
      </c>
      <c r="U817" s="455">
        <v>46192</v>
      </c>
    </row>
    <row r="818" spans="1:21">
      <c r="A818" t="s">
        <v>1751</v>
      </c>
      <c r="B818" t="s">
        <v>3892</v>
      </c>
      <c r="C818" t="s">
        <v>1751</v>
      </c>
      <c r="D818">
        <v>20566405</v>
      </c>
      <c r="E818" t="s">
        <v>1897</v>
      </c>
      <c r="F818" t="s">
        <v>1237</v>
      </c>
      <c r="G818" t="s">
        <v>3143</v>
      </c>
      <c r="H818" t="s">
        <v>1248</v>
      </c>
      <c r="I818" t="s">
        <v>3168</v>
      </c>
      <c r="J818" s="455">
        <v>46199</v>
      </c>
      <c r="K818" s="455">
        <v>46199</v>
      </c>
      <c r="U818" s="455">
        <v>46199</v>
      </c>
    </row>
    <row r="819" spans="1:21">
      <c r="A819" t="s">
        <v>1751</v>
      </c>
      <c r="B819" t="s">
        <v>3893</v>
      </c>
      <c r="C819" t="s">
        <v>1751</v>
      </c>
      <c r="D819">
        <v>20548684</v>
      </c>
      <c r="E819" t="s">
        <v>3128</v>
      </c>
      <c r="F819" t="s">
        <v>1238</v>
      </c>
      <c r="G819" t="s">
        <v>3141</v>
      </c>
      <c r="H819" t="s">
        <v>1248</v>
      </c>
      <c r="J819" s="455">
        <v>46181</v>
      </c>
      <c r="U819" s="455">
        <v>46188</v>
      </c>
    </row>
    <row r="820" spans="1:21">
      <c r="A820" t="s">
        <v>1751</v>
      </c>
      <c r="B820" t="s">
        <v>3894</v>
      </c>
      <c r="C820" t="s">
        <v>1751</v>
      </c>
      <c r="D820">
        <v>20565838</v>
      </c>
      <c r="E820" t="s">
        <v>3128</v>
      </c>
      <c r="F820" t="s">
        <v>1241</v>
      </c>
      <c r="G820" t="s">
        <v>3141</v>
      </c>
      <c r="H820" t="s">
        <v>1252</v>
      </c>
      <c r="J820" s="455">
        <v>46198</v>
      </c>
      <c r="U820" s="455">
        <v>46204</v>
      </c>
    </row>
    <row r="821" spans="1:21">
      <c r="A821" t="s">
        <v>1751</v>
      </c>
      <c r="B821" t="s">
        <v>3895</v>
      </c>
      <c r="C821" t="s">
        <v>1751</v>
      </c>
      <c r="D821">
        <v>20549662</v>
      </c>
      <c r="E821" t="s">
        <v>3128</v>
      </c>
      <c r="F821" t="s">
        <v>1241</v>
      </c>
      <c r="G821" t="s">
        <v>3129</v>
      </c>
      <c r="H821" t="s">
        <v>3131</v>
      </c>
      <c r="J821" s="455">
        <v>46182</v>
      </c>
      <c r="U821" s="455">
        <v>46182</v>
      </c>
    </row>
    <row r="822" spans="1:21">
      <c r="A822" t="s">
        <v>1751</v>
      </c>
      <c r="B822" t="s">
        <v>3896</v>
      </c>
      <c r="C822" t="s">
        <v>1751</v>
      </c>
      <c r="D822">
        <v>20509703</v>
      </c>
      <c r="E822" t="s">
        <v>3133</v>
      </c>
      <c r="F822" t="s">
        <v>1782</v>
      </c>
      <c r="G822" t="s">
        <v>3134</v>
      </c>
      <c r="H822" t="s">
        <v>1247</v>
      </c>
      <c r="J822" s="455">
        <v>46137</v>
      </c>
      <c r="K822" s="455">
        <v>46137</v>
      </c>
      <c r="R822" s="455">
        <v>46189</v>
      </c>
      <c r="U822" s="455">
        <v>46153</v>
      </c>
    </row>
    <row r="823" spans="1:21">
      <c r="A823" t="s">
        <v>1751</v>
      </c>
      <c r="B823" t="s">
        <v>3896</v>
      </c>
      <c r="C823" t="s">
        <v>1751</v>
      </c>
      <c r="D823">
        <v>20487623</v>
      </c>
      <c r="E823" t="s">
        <v>3133</v>
      </c>
      <c r="F823" t="s">
        <v>1782</v>
      </c>
      <c r="G823" t="s">
        <v>3134</v>
      </c>
      <c r="H823" t="s">
        <v>1252</v>
      </c>
      <c r="J823" s="455">
        <v>46117</v>
      </c>
      <c r="K823" s="455">
        <v>46140</v>
      </c>
      <c r="R823" s="455">
        <v>46181</v>
      </c>
      <c r="U823" s="455">
        <v>46153</v>
      </c>
    </row>
    <row r="824" spans="1:21">
      <c r="A824" t="s">
        <v>1751</v>
      </c>
      <c r="B824" t="s">
        <v>3897</v>
      </c>
      <c r="C824" t="s">
        <v>1751</v>
      </c>
      <c r="D824">
        <v>20561254</v>
      </c>
      <c r="E824" t="s">
        <v>1897</v>
      </c>
      <c r="F824" t="s">
        <v>1241</v>
      </c>
      <c r="G824" t="s">
        <v>3134</v>
      </c>
      <c r="H824" t="s">
        <v>1247</v>
      </c>
      <c r="I824" t="s">
        <v>2986</v>
      </c>
      <c r="J824" s="455">
        <v>46193</v>
      </c>
      <c r="K824" s="455">
        <v>46193</v>
      </c>
      <c r="U824" s="455">
        <v>46199</v>
      </c>
    </row>
    <row r="825" spans="1:21">
      <c r="A825" t="s">
        <v>1751</v>
      </c>
      <c r="B825" t="s">
        <v>3897</v>
      </c>
      <c r="C825" t="s">
        <v>1751</v>
      </c>
      <c r="D825">
        <v>20562219</v>
      </c>
      <c r="E825" t="s">
        <v>3133</v>
      </c>
      <c r="F825" t="s">
        <v>1912</v>
      </c>
      <c r="G825" t="s">
        <v>2009</v>
      </c>
      <c r="H825" t="s">
        <v>1247</v>
      </c>
      <c r="J825" s="455">
        <v>46195</v>
      </c>
      <c r="K825" s="455">
        <v>46196</v>
      </c>
      <c r="R825" s="455">
        <v>46197</v>
      </c>
      <c r="U825" s="455">
        <v>46195</v>
      </c>
    </row>
    <row r="826" spans="1:21">
      <c r="A826" t="s">
        <v>1751</v>
      </c>
      <c r="B826" t="s">
        <v>3897</v>
      </c>
      <c r="C826" t="s">
        <v>1751</v>
      </c>
      <c r="D826">
        <v>20528518</v>
      </c>
      <c r="E826" t="s">
        <v>3133</v>
      </c>
      <c r="F826" t="s">
        <v>1241</v>
      </c>
      <c r="G826" t="s">
        <v>3137</v>
      </c>
      <c r="H826" t="s">
        <v>1247</v>
      </c>
      <c r="I826" t="s">
        <v>1923</v>
      </c>
      <c r="J826" s="455">
        <v>46158</v>
      </c>
      <c r="K826" s="455">
        <v>46159</v>
      </c>
      <c r="R826" s="455">
        <v>46197</v>
      </c>
      <c r="U826" s="455">
        <v>46200</v>
      </c>
    </row>
    <row r="827" spans="1:21">
      <c r="A827" t="s">
        <v>1751</v>
      </c>
      <c r="B827" t="s">
        <v>3897</v>
      </c>
      <c r="C827" t="s">
        <v>1751</v>
      </c>
      <c r="D827">
        <v>20544859</v>
      </c>
      <c r="E827" t="s">
        <v>3133</v>
      </c>
      <c r="F827" t="s">
        <v>1241</v>
      </c>
      <c r="G827" t="s">
        <v>3134</v>
      </c>
      <c r="H827" t="s">
        <v>1247</v>
      </c>
      <c r="J827" s="455">
        <v>46177</v>
      </c>
      <c r="K827" s="455">
        <v>46177</v>
      </c>
      <c r="R827" s="455">
        <v>46190</v>
      </c>
      <c r="U827" s="455">
        <v>46177</v>
      </c>
    </row>
    <row r="828" spans="1:21">
      <c r="A828" t="s">
        <v>1751</v>
      </c>
      <c r="B828" t="s">
        <v>3897</v>
      </c>
      <c r="C828" t="s">
        <v>1751</v>
      </c>
      <c r="D828">
        <v>20528926</v>
      </c>
      <c r="E828" t="s">
        <v>3133</v>
      </c>
      <c r="F828" t="s">
        <v>1239</v>
      </c>
      <c r="G828" t="s">
        <v>3134</v>
      </c>
      <c r="H828" t="s">
        <v>1247</v>
      </c>
      <c r="J828" s="455">
        <v>46159</v>
      </c>
      <c r="K828" s="455">
        <v>46159</v>
      </c>
      <c r="R828" s="455">
        <v>46190</v>
      </c>
      <c r="U828" s="455">
        <v>46171</v>
      </c>
    </row>
    <row r="829" spans="1:21">
      <c r="A829" t="s">
        <v>1751</v>
      </c>
      <c r="B829" t="s">
        <v>3898</v>
      </c>
      <c r="C829" t="s">
        <v>1751</v>
      </c>
      <c r="D829">
        <v>20557667</v>
      </c>
      <c r="E829" t="s">
        <v>3128</v>
      </c>
      <c r="F829" t="s">
        <v>1782</v>
      </c>
      <c r="G829" t="s">
        <v>3141</v>
      </c>
      <c r="H829" t="s">
        <v>1252</v>
      </c>
      <c r="J829" s="455">
        <v>46189</v>
      </c>
      <c r="U829" s="455">
        <v>46227</v>
      </c>
    </row>
    <row r="830" spans="1:21">
      <c r="A830" t="s">
        <v>1751</v>
      </c>
      <c r="B830" t="s">
        <v>3899</v>
      </c>
      <c r="C830" t="s">
        <v>1751</v>
      </c>
      <c r="D830">
        <v>20533449</v>
      </c>
      <c r="E830" t="s">
        <v>3142</v>
      </c>
      <c r="F830" t="s">
        <v>1238</v>
      </c>
      <c r="G830" t="s">
        <v>2009</v>
      </c>
      <c r="H830" t="s">
        <v>1247</v>
      </c>
      <c r="I830" t="s">
        <v>1950</v>
      </c>
      <c r="J830" s="455">
        <v>46164</v>
      </c>
      <c r="K830" s="455">
        <v>46165</v>
      </c>
      <c r="L830" s="455">
        <v>46165</v>
      </c>
      <c r="M830" s="455">
        <v>46183</v>
      </c>
      <c r="N830" s="455">
        <v>46183</v>
      </c>
      <c r="P830" s="455">
        <v>46183</v>
      </c>
      <c r="Q830" s="455">
        <v>46184</v>
      </c>
      <c r="U830" s="455">
        <v>46188</v>
      </c>
    </row>
    <row r="831" spans="1:21">
      <c r="A831" t="s">
        <v>1751</v>
      </c>
      <c r="B831" t="s">
        <v>3900</v>
      </c>
      <c r="C831" t="s">
        <v>1751</v>
      </c>
      <c r="D831">
        <v>20551529</v>
      </c>
      <c r="E831" t="s">
        <v>3128</v>
      </c>
      <c r="F831" t="s">
        <v>1241</v>
      </c>
      <c r="G831" t="s">
        <v>3141</v>
      </c>
      <c r="H831" t="s">
        <v>1252</v>
      </c>
      <c r="J831" s="455">
        <v>46183</v>
      </c>
      <c r="U831" s="455">
        <v>46184</v>
      </c>
    </row>
    <row r="832" spans="1:21">
      <c r="A832" t="s">
        <v>1751</v>
      </c>
      <c r="B832" t="s">
        <v>3900</v>
      </c>
      <c r="C832" t="s">
        <v>1751</v>
      </c>
      <c r="D832">
        <v>20554413</v>
      </c>
      <c r="E832" t="s">
        <v>3128</v>
      </c>
      <c r="F832" t="s">
        <v>1241</v>
      </c>
      <c r="G832" t="s">
        <v>3129</v>
      </c>
      <c r="H832" t="s">
        <v>1252</v>
      </c>
      <c r="I832" t="s">
        <v>2134</v>
      </c>
      <c r="J832" s="455">
        <v>46186</v>
      </c>
      <c r="U832" s="455">
        <v>46186</v>
      </c>
    </row>
    <row r="833" spans="1:21">
      <c r="A833" t="s">
        <v>1751</v>
      </c>
      <c r="B833" t="s">
        <v>3901</v>
      </c>
      <c r="C833" t="s">
        <v>1751</v>
      </c>
      <c r="D833">
        <v>20514956</v>
      </c>
      <c r="E833" t="s">
        <v>3133</v>
      </c>
      <c r="F833" t="s">
        <v>1912</v>
      </c>
      <c r="G833" t="s">
        <v>3134</v>
      </c>
      <c r="H833" t="s">
        <v>1247</v>
      </c>
      <c r="J833" s="455">
        <v>46143</v>
      </c>
      <c r="K833" s="455">
        <v>46143</v>
      </c>
      <c r="R833" s="455">
        <v>46189</v>
      </c>
      <c r="U833" s="455">
        <v>46178</v>
      </c>
    </row>
    <row r="834" spans="1:21">
      <c r="A834" t="s">
        <v>1751</v>
      </c>
      <c r="B834" t="s">
        <v>3902</v>
      </c>
      <c r="C834" t="s">
        <v>1751</v>
      </c>
      <c r="D834">
        <v>20564942</v>
      </c>
      <c r="E834" t="s">
        <v>3128</v>
      </c>
      <c r="F834" t="s">
        <v>1241</v>
      </c>
      <c r="G834" t="s">
        <v>3137</v>
      </c>
      <c r="H834" t="s">
        <v>1252</v>
      </c>
      <c r="J834" s="455">
        <v>46198</v>
      </c>
      <c r="U834" s="455">
        <v>46235</v>
      </c>
    </row>
    <row r="835" spans="1:21">
      <c r="A835" t="s">
        <v>1751</v>
      </c>
      <c r="B835" t="s">
        <v>3903</v>
      </c>
      <c r="C835" t="s">
        <v>1751</v>
      </c>
      <c r="D835">
        <v>20569216</v>
      </c>
      <c r="E835" t="s">
        <v>3128</v>
      </c>
      <c r="F835" t="s">
        <v>1241</v>
      </c>
      <c r="G835" t="s">
        <v>2009</v>
      </c>
      <c r="H835" t="s">
        <v>1248</v>
      </c>
      <c r="J835" s="455">
        <v>46203</v>
      </c>
      <c r="U835" s="455">
        <v>46203</v>
      </c>
    </row>
    <row r="836" spans="1:21">
      <c r="A836" t="s">
        <v>1751</v>
      </c>
      <c r="B836" t="s">
        <v>3904</v>
      </c>
      <c r="C836" t="s">
        <v>1751</v>
      </c>
      <c r="D836">
        <v>20472951</v>
      </c>
      <c r="E836" t="s">
        <v>3133</v>
      </c>
      <c r="F836" t="s">
        <v>1241</v>
      </c>
      <c r="G836" t="s">
        <v>3134</v>
      </c>
      <c r="H836" t="s">
        <v>1247</v>
      </c>
      <c r="I836" t="s">
        <v>3277</v>
      </c>
      <c r="J836" s="455">
        <v>46097</v>
      </c>
      <c r="K836" s="455">
        <v>46097</v>
      </c>
      <c r="R836" s="455">
        <v>46177</v>
      </c>
      <c r="U836" s="455">
        <v>46143</v>
      </c>
    </row>
    <row r="837" spans="1:21">
      <c r="A837" t="s">
        <v>1751</v>
      </c>
      <c r="B837" t="s">
        <v>3905</v>
      </c>
      <c r="C837" t="s">
        <v>1751</v>
      </c>
      <c r="D837">
        <v>20555785</v>
      </c>
      <c r="E837" t="s">
        <v>3128</v>
      </c>
      <c r="F837" t="s">
        <v>1241</v>
      </c>
      <c r="G837" t="s">
        <v>2009</v>
      </c>
      <c r="H837" t="s">
        <v>1251</v>
      </c>
      <c r="J837" s="455">
        <v>46188</v>
      </c>
      <c r="U837" s="455">
        <v>46188</v>
      </c>
    </row>
    <row r="838" spans="1:21">
      <c r="A838" t="s">
        <v>1751</v>
      </c>
      <c r="B838" t="s">
        <v>3906</v>
      </c>
      <c r="C838" t="s">
        <v>1751</v>
      </c>
      <c r="D838">
        <v>20559242</v>
      </c>
      <c r="E838" t="s">
        <v>3128</v>
      </c>
      <c r="F838" t="s">
        <v>1238</v>
      </c>
      <c r="G838" t="s">
        <v>3141</v>
      </c>
      <c r="H838" t="s">
        <v>1251</v>
      </c>
      <c r="J838" s="455">
        <v>46190</v>
      </c>
      <c r="U838" s="455">
        <v>46242</v>
      </c>
    </row>
    <row r="839" spans="1:21">
      <c r="A839" t="s">
        <v>1751</v>
      </c>
      <c r="B839" t="s">
        <v>3907</v>
      </c>
      <c r="C839" t="s">
        <v>1751</v>
      </c>
      <c r="D839">
        <v>20542506</v>
      </c>
      <c r="E839" t="s">
        <v>3128</v>
      </c>
      <c r="F839" t="s">
        <v>1782</v>
      </c>
      <c r="G839" t="s">
        <v>3141</v>
      </c>
      <c r="H839" t="s">
        <v>1252</v>
      </c>
      <c r="J839" s="455">
        <v>46175</v>
      </c>
      <c r="U839" s="455">
        <v>46176</v>
      </c>
    </row>
    <row r="840" spans="1:21">
      <c r="A840" t="s">
        <v>1751</v>
      </c>
      <c r="B840" t="s">
        <v>3908</v>
      </c>
      <c r="C840" t="s">
        <v>1751</v>
      </c>
      <c r="D840">
        <v>20544696</v>
      </c>
      <c r="E840" t="s">
        <v>3128</v>
      </c>
      <c r="F840" t="s">
        <v>1782</v>
      </c>
      <c r="G840" t="s">
        <v>3129</v>
      </c>
      <c r="H840" t="s">
        <v>1252</v>
      </c>
      <c r="J840" s="455">
        <v>46177</v>
      </c>
      <c r="U840" s="455">
        <v>46177</v>
      </c>
    </row>
    <row r="841" spans="1:21">
      <c r="A841" t="s">
        <v>1751</v>
      </c>
      <c r="B841" t="s">
        <v>3909</v>
      </c>
      <c r="C841" t="s">
        <v>1751</v>
      </c>
      <c r="D841">
        <v>20559977</v>
      </c>
      <c r="E841" t="s">
        <v>1897</v>
      </c>
      <c r="F841" t="s">
        <v>1241</v>
      </c>
      <c r="G841" t="s">
        <v>3134</v>
      </c>
      <c r="H841" t="s">
        <v>1252</v>
      </c>
      <c r="I841" t="s">
        <v>2173</v>
      </c>
      <c r="J841" s="455">
        <v>46191</v>
      </c>
      <c r="K841" s="455">
        <v>46191</v>
      </c>
      <c r="U841" s="455">
        <v>46202</v>
      </c>
    </row>
    <row r="842" spans="1:21">
      <c r="A842" t="s">
        <v>1751</v>
      </c>
      <c r="B842" t="s">
        <v>3910</v>
      </c>
      <c r="C842" t="s">
        <v>1751</v>
      </c>
      <c r="D842">
        <v>20564681</v>
      </c>
      <c r="E842" t="s">
        <v>1897</v>
      </c>
      <c r="F842" t="s">
        <v>1241</v>
      </c>
      <c r="G842" t="s">
        <v>3134</v>
      </c>
      <c r="H842" t="s">
        <v>1247</v>
      </c>
      <c r="I842" t="s">
        <v>2455</v>
      </c>
      <c r="J842" s="455">
        <v>46197</v>
      </c>
      <c r="K842" s="455">
        <v>46197</v>
      </c>
      <c r="U842" s="455">
        <v>46204</v>
      </c>
    </row>
    <row r="843" spans="1:21">
      <c r="A843" t="s">
        <v>1751</v>
      </c>
      <c r="B843" t="s">
        <v>3911</v>
      </c>
      <c r="C843" t="s">
        <v>1751</v>
      </c>
      <c r="D843">
        <v>20557425</v>
      </c>
      <c r="E843" t="s">
        <v>3128</v>
      </c>
      <c r="F843" t="s">
        <v>1782</v>
      </c>
      <c r="G843" t="s">
        <v>3141</v>
      </c>
      <c r="H843" t="s">
        <v>1252</v>
      </c>
      <c r="J843" s="455">
        <v>46189</v>
      </c>
      <c r="U843" s="455">
        <v>46206</v>
      </c>
    </row>
    <row r="844" spans="1:21">
      <c r="A844" t="s">
        <v>1751</v>
      </c>
      <c r="B844" t="s">
        <v>3912</v>
      </c>
      <c r="C844" t="s">
        <v>1751</v>
      </c>
      <c r="D844">
        <v>20552779</v>
      </c>
      <c r="E844" t="s">
        <v>3128</v>
      </c>
      <c r="F844" t="s">
        <v>1782</v>
      </c>
      <c r="G844" t="s">
        <v>3129</v>
      </c>
      <c r="H844" t="s">
        <v>3131</v>
      </c>
      <c r="J844" s="455">
        <v>46185</v>
      </c>
      <c r="U844" s="455">
        <v>46185</v>
      </c>
    </row>
    <row r="845" spans="1:21">
      <c r="A845" t="s">
        <v>1751</v>
      </c>
      <c r="B845" t="s">
        <v>3913</v>
      </c>
      <c r="C845" t="s">
        <v>1751</v>
      </c>
      <c r="D845">
        <v>20533551</v>
      </c>
      <c r="E845" t="s">
        <v>3133</v>
      </c>
      <c r="F845" t="s">
        <v>1242</v>
      </c>
      <c r="G845" t="s">
        <v>3134</v>
      </c>
      <c r="H845" t="s">
        <v>1252</v>
      </c>
      <c r="I845" t="s">
        <v>2466</v>
      </c>
      <c r="J845" s="455">
        <v>46164</v>
      </c>
      <c r="K845" s="455">
        <v>46170</v>
      </c>
      <c r="R845" s="455">
        <v>46189</v>
      </c>
      <c r="U845" s="455">
        <v>46185</v>
      </c>
    </row>
    <row r="846" spans="1:21">
      <c r="A846" t="s">
        <v>1751</v>
      </c>
      <c r="B846" t="s">
        <v>3914</v>
      </c>
      <c r="C846" t="s">
        <v>1751</v>
      </c>
      <c r="D846">
        <v>20491459</v>
      </c>
      <c r="E846" t="s">
        <v>3133</v>
      </c>
      <c r="F846" t="s">
        <v>1241</v>
      </c>
      <c r="G846" t="s">
        <v>3134</v>
      </c>
      <c r="H846" t="s">
        <v>1247</v>
      </c>
      <c r="I846" t="s">
        <v>2990</v>
      </c>
      <c r="J846" s="455">
        <v>46122</v>
      </c>
      <c r="K846" s="455">
        <v>46122</v>
      </c>
      <c r="R846" s="455">
        <v>46190</v>
      </c>
      <c r="U846" s="455">
        <v>46252</v>
      </c>
    </row>
    <row r="847" spans="1:21">
      <c r="A847" t="s">
        <v>1751</v>
      </c>
      <c r="B847" t="s">
        <v>3915</v>
      </c>
      <c r="C847" t="s">
        <v>1751</v>
      </c>
      <c r="D847">
        <v>20490537</v>
      </c>
      <c r="E847" t="s">
        <v>3133</v>
      </c>
      <c r="F847" t="s">
        <v>3285</v>
      </c>
      <c r="G847" t="s">
        <v>3134</v>
      </c>
      <c r="H847" t="s">
        <v>1247</v>
      </c>
      <c r="I847" t="s">
        <v>1532</v>
      </c>
      <c r="J847" s="455">
        <v>46120</v>
      </c>
      <c r="K847" s="455">
        <v>46120</v>
      </c>
      <c r="R847" s="455">
        <v>46181</v>
      </c>
      <c r="U847" s="455">
        <v>46141</v>
      </c>
    </row>
    <row r="848" spans="1:21">
      <c r="A848" t="s">
        <v>1751</v>
      </c>
      <c r="B848" t="s">
        <v>3916</v>
      </c>
      <c r="C848" t="s">
        <v>1751</v>
      </c>
      <c r="D848">
        <v>20554175</v>
      </c>
      <c r="E848" t="s">
        <v>3128</v>
      </c>
      <c r="F848" t="s">
        <v>1782</v>
      </c>
      <c r="G848" t="s">
        <v>3141</v>
      </c>
      <c r="H848" t="s">
        <v>1252</v>
      </c>
      <c r="J848" s="455">
        <v>46186</v>
      </c>
      <c r="U848" s="455">
        <v>46211</v>
      </c>
    </row>
    <row r="849" spans="1:21">
      <c r="A849" t="s">
        <v>1751</v>
      </c>
      <c r="B849" t="s">
        <v>3917</v>
      </c>
      <c r="C849" t="s">
        <v>1751</v>
      </c>
      <c r="D849">
        <v>20551066</v>
      </c>
      <c r="E849" t="s">
        <v>3128</v>
      </c>
      <c r="F849" t="s">
        <v>1241</v>
      </c>
      <c r="G849" t="s">
        <v>3134</v>
      </c>
      <c r="H849" t="s">
        <v>3165</v>
      </c>
      <c r="J849" s="455">
        <v>46183</v>
      </c>
      <c r="U849" s="455">
        <v>46204</v>
      </c>
    </row>
    <row r="850" spans="1:21">
      <c r="A850" t="s">
        <v>1751</v>
      </c>
      <c r="B850" t="s">
        <v>3918</v>
      </c>
      <c r="C850" t="s">
        <v>1751</v>
      </c>
      <c r="D850">
        <v>20504367</v>
      </c>
      <c r="E850" t="s">
        <v>3133</v>
      </c>
      <c r="F850" t="s">
        <v>1241</v>
      </c>
      <c r="G850" t="s">
        <v>3134</v>
      </c>
      <c r="H850" t="s">
        <v>1247</v>
      </c>
      <c r="J850" s="455">
        <v>46133</v>
      </c>
      <c r="K850" s="455">
        <v>46133</v>
      </c>
      <c r="R850" s="455">
        <v>46189</v>
      </c>
      <c r="U850" s="455">
        <v>46167</v>
      </c>
    </row>
    <row r="851" spans="1:21">
      <c r="A851" t="s">
        <v>1751</v>
      </c>
      <c r="B851" t="s">
        <v>3919</v>
      </c>
      <c r="C851" t="s">
        <v>1751</v>
      </c>
      <c r="D851">
        <v>20568342</v>
      </c>
      <c r="E851" t="s">
        <v>3128</v>
      </c>
      <c r="F851" t="s">
        <v>1782</v>
      </c>
      <c r="G851" t="s">
        <v>3141</v>
      </c>
      <c r="H851" t="s">
        <v>1252</v>
      </c>
      <c r="J851" s="455">
        <v>46202</v>
      </c>
      <c r="U851" s="455">
        <v>46310</v>
      </c>
    </row>
    <row r="852" spans="1:21">
      <c r="A852" t="s">
        <v>1751</v>
      </c>
      <c r="B852" t="s">
        <v>3920</v>
      </c>
      <c r="C852" t="s">
        <v>1751</v>
      </c>
      <c r="D852">
        <v>20569765</v>
      </c>
      <c r="E852" t="s">
        <v>3128</v>
      </c>
      <c r="F852" t="s">
        <v>1241</v>
      </c>
      <c r="G852" t="s">
        <v>3134</v>
      </c>
      <c r="H852" t="s">
        <v>1252</v>
      </c>
      <c r="J852" s="455">
        <v>46203</v>
      </c>
      <c r="U852" s="455">
        <v>46264</v>
      </c>
    </row>
    <row r="853" spans="1:21">
      <c r="A853" t="s">
        <v>1751</v>
      </c>
      <c r="B853" t="s">
        <v>3921</v>
      </c>
      <c r="C853" t="s">
        <v>1751</v>
      </c>
      <c r="D853">
        <v>20554989</v>
      </c>
      <c r="E853" t="s">
        <v>3128</v>
      </c>
      <c r="F853" t="s">
        <v>1241</v>
      </c>
      <c r="G853" t="s">
        <v>3134</v>
      </c>
      <c r="H853" t="s">
        <v>1252</v>
      </c>
      <c r="J853" s="455">
        <v>46187</v>
      </c>
      <c r="U853" s="455">
        <v>46203</v>
      </c>
    </row>
    <row r="854" spans="1:21">
      <c r="A854" t="s">
        <v>1751</v>
      </c>
      <c r="B854" t="s">
        <v>3922</v>
      </c>
      <c r="C854" t="s">
        <v>1751</v>
      </c>
      <c r="D854">
        <v>20557552</v>
      </c>
      <c r="E854" t="s">
        <v>3128</v>
      </c>
      <c r="F854" t="s">
        <v>1243</v>
      </c>
      <c r="G854" t="s">
        <v>3143</v>
      </c>
      <c r="H854" t="s">
        <v>1252</v>
      </c>
      <c r="J854" s="455">
        <v>46189</v>
      </c>
      <c r="U854" s="455">
        <v>46189</v>
      </c>
    </row>
    <row r="855" spans="1:21">
      <c r="A855" t="s">
        <v>1751</v>
      </c>
      <c r="B855" t="s">
        <v>3923</v>
      </c>
      <c r="C855" t="s">
        <v>1751</v>
      </c>
      <c r="D855">
        <v>20562539</v>
      </c>
      <c r="E855" t="s">
        <v>3128</v>
      </c>
      <c r="F855" t="s">
        <v>1241</v>
      </c>
      <c r="G855" t="s">
        <v>3134</v>
      </c>
      <c r="H855" t="s">
        <v>3165</v>
      </c>
      <c r="J855" s="455">
        <v>46195</v>
      </c>
      <c r="U855" s="455">
        <v>46254</v>
      </c>
    </row>
    <row r="856" spans="1:21">
      <c r="A856" t="s">
        <v>1751</v>
      </c>
      <c r="B856" t="s">
        <v>3924</v>
      </c>
      <c r="C856" t="s">
        <v>1751</v>
      </c>
      <c r="D856">
        <v>20550904</v>
      </c>
      <c r="E856" t="s">
        <v>3128</v>
      </c>
      <c r="F856" t="s">
        <v>1242</v>
      </c>
      <c r="G856" t="s">
        <v>3137</v>
      </c>
      <c r="H856" t="s">
        <v>1251</v>
      </c>
      <c r="J856" s="455">
        <v>46183</v>
      </c>
      <c r="U856" s="455">
        <v>46183</v>
      </c>
    </row>
    <row r="857" spans="1:21">
      <c r="A857" t="s">
        <v>1751</v>
      </c>
      <c r="B857" t="s">
        <v>3925</v>
      </c>
      <c r="C857" t="s">
        <v>1751</v>
      </c>
      <c r="D857">
        <v>20568746</v>
      </c>
      <c r="E857" t="s">
        <v>1897</v>
      </c>
      <c r="F857" t="s">
        <v>1782</v>
      </c>
      <c r="G857" t="s">
        <v>3137</v>
      </c>
      <c r="H857" t="s">
        <v>1252</v>
      </c>
      <c r="I857" t="s">
        <v>1963</v>
      </c>
      <c r="J857" s="455">
        <v>46202</v>
      </c>
      <c r="K857" s="455">
        <v>46202</v>
      </c>
      <c r="U857" s="455">
        <v>46230</v>
      </c>
    </row>
    <row r="858" spans="1:21">
      <c r="A858" t="s">
        <v>1751</v>
      </c>
      <c r="B858" t="s">
        <v>3926</v>
      </c>
      <c r="C858" t="s">
        <v>1751</v>
      </c>
      <c r="D858">
        <v>20562063</v>
      </c>
      <c r="E858" t="s">
        <v>1897</v>
      </c>
      <c r="F858" t="s">
        <v>1241</v>
      </c>
      <c r="G858" t="s">
        <v>3134</v>
      </c>
      <c r="H858" t="s">
        <v>1248</v>
      </c>
      <c r="I858" t="s">
        <v>1554</v>
      </c>
      <c r="J858" s="455">
        <v>46195</v>
      </c>
      <c r="K858" s="455">
        <v>46195</v>
      </c>
      <c r="U858" s="455">
        <v>46232</v>
      </c>
    </row>
    <row r="859" spans="1:21">
      <c r="A859" t="s">
        <v>1751</v>
      </c>
      <c r="B859" t="s">
        <v>3927</v>
      </c>
      <c r="C859" t="s">
        <v>1751</v>
      </c>
      <c r="D859">
        <v>20559090</v>
      </c>
      <c r="E859" t="s">
        <v>3128</v>
      </c>
      <c r="F859" t="s">
        <v>1241</v>
      </c>
      <c r="G859" t="s">
        <v>3137</v>
      </c>
      <c r="H859" t="s">
        <v>1252</v>
      </c>
      <c r="J859" s="455">
        <v>46190</v>
      </c>
      <c r="U859" s="455">
        <v>46204</v>
      </c>
    </row>
    <row r="860" spans="1:21">
      <c r="A860" t="s">
        <v>1751</v>
      </c>
      <c r="B860" t="s">
        <v>3928</v>
      </c>
      <c r="C860" t="s">
        <v>1751</v>
      </c>
      <c r="D860">
        <v>20549113</v>
      </c>
      <c r="E860" t="s">
        <v>3128</v>
      </c>
      <c r="F860" t="s">
        <v>1241</v>
      </c>
      <c r="G860" t="s">
        <v>3141</v>
      </c>
      <c r="H860" t="s">
        <v>1248</v>
      </c>
      <c r="J860" s="455">
        <v>46182</v>
      </c>
      <c r="U860" s="455">
        <v>46182</v>
      </c>
    </row>
    <row r="861" spans="1:21">
      <c r="A861" t="s">
        <v>1751</v>
      </c>
      <c r="B861" t="s">
        <v>3929</v>
      </c>
      <c r="C861" t="s">
        <v>1751</v>
      </c>
      <c r="D861">
        <v>20518936</v>
      </c>
      <c r="E861" t="s">
        <v>3133</v>
      </c>
      <c r="F861" t="s">
        <v>1912</v>
      </c>
      <c r="G861" t="s">
        <v>3134</v>
      </c>
      <c r="H861" t="s">
        <v>1247</v>
      </c>
      <c r="I861" t="s">
        <v>2171</v>
      </c>
      <c r="J861" s="455">
        <v>46148</v>
      </c>
      <c r="K861" s="455">
        <v>46148</v>
      </c>
      <c r="R861" s="455">
        <v>46185</v>
      </c>
      <c r="U861" s="455">
        <v>46150</v>
      </c>
    </row>
    <row r="862" spans="1:21">
      <c r="A862" t="s">
        <v>1751</v>
      </c>
      <c r="B862" t="s">
        <v>3930</v>
      </c>
      <c r="C862" t="s">
        <v>1751</v>
      </c>
      <c r="D862">
        <v>20518464</v>
      </c>
      <c r="E862" t="s">
        <v>3133</v>
      </c>
      <c r="F862" t="s">
        <v>1912</v>
      </c>
      <c r="G862" t="s">
        <v>3134</v>
      </c>
      <c r="H862" t="s">
        <v>1247</v>
      </c>
      <c r="J862" s="455">
        <v>46148</v>
      </c>
      <c r="K862" s="455">
        <v>46148</v>
      </c>
      <c r="R862" s="455">
        <v>46189</v>
      </c>
      <c r="U862" s="455">
        <v>46148</v>
      </c>
    </row>
    <row r="863" spans="1:21">
      <c r="A863" t="s">
        <v>1751</v>
      </c>
      <c r="B863" t="s">
        <v>3930</v>
      </c>
      <c r="C863" t="s">
        <v>1751</v>
      </c>
      <c r="D863">
        <v>20518400</v>
      </c>
      <c r="E863" t="s">
        <v>3133</v>
      </c>
      <c r="F863" t="s">
        <v>1782</v>
      </c>
      <c r="G863" t="s">
        <v>3129</v>
      </c>
      <c r="H863" t="s">
        <v>3131</v>
      </c>
      <c r="I863" t="s">
        <v>1587</v>
      </c>
      <c r="J863" s="455">
        <v>46148</v>
      </c>
      <c r="K863" s="455">
        <v>46148</v>
      </c>
      <c r="R863" s="455">
        <v>46189</v>
      </c>
      <c r="U863" s="455">
        <v>46148</v>
      </c>
    </row>
    <row r="864" spans="1:21">
      <c r="A864" t="s">
        <v>1751</v>
      </c>
      <c r="B864" t="s">
        <v>3931</v>
      </c>
      <c r="C864" t="s">
        <v>1751</v>
      </c>
      <c r="D864">
        <v>20554249</v>
      </c>
      <c r="E864" t="s">
        <v>3133</v>
      </c>
      <c r="F864" t="s">
        <v>1241</v>
      </c>
      <c r="G864" t="s">
        <v>3134</v>
      </c>
      <c r="H864" t="s">
        <v>1247</v>
      </c>
      <c r="J864" s="455">
        <v>46186</v>
      </c>
      <c r="K864" s="455">
        <v>46186</v>
      </c>
      <c r="R864" s="455">
        <v>46197</v>
      </c>
      <c r="U864" s="455">
        <v>46186</v>
      </c>
    </row>
    <row r="865" spans="1:21">
      <c r="A865" t="s">
        <v>1751</v>
      </c>
      <c r="B865" t="s">
        <v>3932</v>
      </c>
      <c r="C865" t="s">
        <v>1751</v>
      </c>
      <c r="D865">
        <v>20564737</v>
      </c>
      <c r="E865" t="s">
        <v>1897</v>
      </c>
      <c r="F865" t="s">
        <v>1241</v>
      </c>
      <c r="G865" t="s">
        <v>3134</v>
      </c>
      <c r="H865" t="s">
        <v>1247</v>
      </c>
      <c r="J865" s="455">
        <v>46197</v>
      </c>
      <c r="K865" s="455">
        <v>46197</v>
      </c>
      <c r="U865" s="455">
        <v>46197</v>
      </c>
    </row>
    <row r="866" spans="1:21">
      <c r="A866" t="s">
        <v>1751</v>
      </c>
      <c r="B866" t="s">
        <v>3932</v>
      </c>
      <c r="C866" t="s">
        <v>1751</v>
      </c>
      <c r="D866">
        <v>20561068</v>
      </c>
      <c r="E866" t="s">
        <v>3128</v>
      </c>
      <c r="F866" t="s">
        <v>1241</v>
      </c>
      <c r="G866" t="s">
        <v>3129</v>
      </c>
      <c r="H866" t="s">
        <v>3377</v>
      </c>
      <c r="J866" s="455">
        <v>46193</v>
      </c>
      <c r="U866" s="455">
        <v>46193</v>
      </c>
    </row>
    <row r="867" spans="1:21">
      <c r="A867" t="s">
        <v>1751</v>
      </c>
      <c r="B867" t="s">
        <v>3932</v>
      </c>
      <c r="C867" t="s">
        <v>1751</v>
      </c>
      <c r="D867">
        <v>20561073</v>
      </c>
      <c r="E867" t="s">
        <v>3133</v>
      </c>
      <c r="F867" t="s">
        <v>1239</v>
      </c>
      <c r="G867" t="s">
        <v>3134</v>
      </c>
      <c r="H867" t="s">
        <v>1247</v>
      </c>
      <c r="I867" t="s">
        <v>3849</v>
      </c>
      <c r="J867" s="455">
        <v>46193</v>
      </c>
      <c r="K867" s="455">
        <v>46193</v>
      </c>
      <c r="L867" s="455">
        <v>46193</v>
      </c>
      <c r="S867" s="455">
        <v>46197</v>
      </c>
      <c r="U867" s="455">
        <v>46204</v>
      </c>
    </row>
    <row r="868" spans="1:21">
      <c r="A868" t="s">
        <v>1751</v>
      </c>
      <c r="B868" t="s">
        <v>3933</v>
      </c>
      <c r="C868" t="s">
        <v>1751</v>
      </c>
      <c r="D868">
        <v>20546438</v>
      </c>
      <c r="E868" t="s">
        <v>3128</v>
      </c>
      <c r="F868" t="s">
        <v>1782</v>
      </c>
      <c r="G868" t="s">
        <v>3137</v>
      </c>
      <c r="H868" t="s">
        <v>1252</v>
      </c>
      <c r="J868" s="455">
        <v>46179</v>
      </c>
      <c r="U868" s="455">
        <v>46296</v>
      </c>
    </row>
    <row r="869" spans="1:21">
      <c r="A869" t="s">
        <v>1751</v>
      </c>
      <c r="B869" t="s">
        <v>3934</v>
      </c>
      <c r="C869" t="s">
        <v>1751</v>
      </c>
      <c r="D869">
        <v>20558544</v>
      </c>
      <c r="E869" t="s">
        <v>3128</v>
      </c>
      <c r="F869" t="s">
        <v>1782</v>
      </c>
      <c r="G869" t="s">
        <v>3141</v>
      </c>
      <c r="H869" t="s">
        <v>1252</v>
      </c>
      <c r="J869" s="455">
        <v>46189</v>
      </c>
      <c r="U869" s="455">
        <v>46199</v>
      </c>
    </row>
    <row r="870" spans="1:21">
      <c r="A870" t="s">
        <v>1751</v>
      </c>
      <c r="B870" t="s">
        <v>3935</v>
      </c>
      <c r="C870" t="s">
        <v>1751</v>
      </c>
      <c r="D870">
        <v>20561458</v>
      </c>
      <c r="E870" t="s">
        <v>3128</v>
      </c>
      <c r="F870" t="s">
        <v>1782</v>
      </c>
      <c r="G870" t="s">
        <v>3141</v>
      </c>
      <c r="H870" t="s">
        <v>1252</v>
      </c>
      <c r="J870" s="455">
        <v>46193</v>
      </c>
      <c r="U870" s="455">
        <v>46204</v>
      </c>
    </row>
    <row r="871" spans="1:21">
      <c r="A871" t="s">
        <v>1751</v>
      </c>
      <c r="B871" t="s">
        <v>1115</v>
      </c>
      <c r="C871" t="s">
        <v>1751</v>
      </c>
      <c r="D871">
        <v>20566717</v>
      </c>
      <c r="E871" t="s">
        <v>2008</v>
      </c>
      <c r="F871" t="s">
        <v>1241</v>
      </c>
      <c r="G871" t="s">
        <v>3134</v>
      </c>
      <c r="H871" t="s">
        <v>1247</v>
      </c>
      <c r="I871" t="s">
        <v>2964</v>
      </c>
      <c r="J871" s="455">
        <v>46199</v>
      </c>
      <c r="K871" s="455">
        <v>46199</v>
      </c>
      <c r="L871" s="455">
        <v>46200</v>
      </c>
      <c r="M871" s="455">
        <v>46202</v>
      </c>
      <c r="N871" s="455">
        <v>46202</v>
      </c>
      <c r="U871" s="455">
        <v>46219</v>
      </c>
    </row>
    <row r="872" spans="1:21">
      <c r="A872" t="s">
        <v>1751</v>
      </c>
      <c r="B872" t="s">
        <v>3936</v>
      </c>
      <c r="C872" t="s">
        <v>1751</v>
      </c>
      <c r="D872">
        <v>20549810</v>
      </c>
      <c r="E872" t="s">
        <v>3128</v>
      </c>
      <c r="F872" t="s">
        <v>1241</v>
      </c>
      <c r="G872" t="s">
        <v>3141</v>
      </c>
      <c r="H872" t="s">
        <v>1252</v>
      </c>
      <c r="J872" s="455">
        <v>46182</v>
      </c>
      <c r="U872" s="455">
        <v>46203</v>
      </c>
    </row>
    <row r="873" spans="1:21">
      <c r="A873" t="s">
        <v>1751</v>
      </c>
      <c r="B873" t="s">
        <v>3937</v>
      </c>
      <c r="C873" t="s">
        <v>1751</v>
      </c>
      <c r="D873">
        <v>20546816</v>
      </c>
      <c r="E873" t="s">
        <v>3128</v>
      </c>
      <c r="F873" t="s">
        <v>1241</v>
      </c>
      <c r="G873" t="s">
        <v>3143</v>
      </c>
      <c r="H873" t="s">
        <v>1251</v>
      </c>
      <c r="I873" t="s">
        <v>1917</v>
      </c>
      <c r="J873" s="455">
        <v>46179</v>
      </c>
      <c r="U873" s="455">
        <v>46179</v>
      </c>
    </row>
    <row r="874" spans="1:21">
      <c r="A874" t="s">
        <v>1751</v>
      </c>
      <c r="B874" t="s">
        <v>3938</v>
      </c>
      <c r="C874" t="s">
        <v>1751</v>
      </c>
      <c r="D874">
        <v>20560377</v>
      </c>
      <c r="E874" t="s">
        <v>3128</v>
      </c>
      <c r="F874" t="s">
        <v>1782</v>
      </c>
      <c r="G874" t="s">
        <v>3134</v>
      </c>
      <c r="H874" t="s">
        <v>3165</v>
      </c>
      <c r="J874" s="455">
        <v>46191</v>
      </c>
      <c r="U874" s="455">
        <v>46204</v>
      </c>
    </row>
    <row r="875" spans="1:21">
      <c r="A875" t="s">
        <v>1751</v>
      </c>
      <c r="B875" t="s">
        <v>3939</v>
      </c>
      <c r="C875" t="s">
        <v>1751</v>
      </c>
      <c r="D875">
        <v>20565277</v>
      </c>
      <c r="E875" t="s">
        <v>3128</v>
      </c>
      <c r="F875" t="s">
        <v>1782</v>
      </c>
      <c r="G875" t="s">
        <v>3129</v>
      </c>
      <c r="H875" t="s">
        <v>1253</v>
      </c>
      <c r="I875" t="s">
        <v>1565</v>
      </c>
      <c r="J875" s="455">
        <v>46198</v>
      </c>
      <c r="U875" s="455">
        <v>46198</v>
      </c>
    </row>
    <row r="876" spans="1:21">
      <c r="A876" t="s">
        <v>1751</v>
      </c>
      <c r="B876" t="s">
        <v>3940</v>
      </c>
      <c r="C876" t="s">
        <v>1751</v>
      </c>
      <c r="D876">
        <v>20544800</v>
      </c>
      <c r="E876" t="s">
        <v>3128</v>
      </c>
      <c r="F876" t="s">
        <v>1241</v>
      </c>
      <c r="G876" t="s">
        <v>3141</v>
      </c>
      <c r="H876" t="s">
        <v>1252</v>
      </c>
      <c r="J876" s="455">
        <v>46177</v>
      </c>
      <c r="U876" s="455">
        <v>46177</v>
      </c>
    </row>
    <row r="877" spans="1:21">
      <c r="A877" t="s">
        <v>1751</v>
      </c>
      <c r="B877" t="s">
        <v>3941</v>
      </c>
      <c r="C877" t="s">
        <v>1751</v>
      </c>
      <c r="D877">
        <v>20565737</v>
      </c>
      <c r="E877" t="s">
        <v>3128</v>
      </c>
      <c r="F877" t="s">
        <v>1241</v>
      </c>
      <c r="G877" t="s">
        <v>3141</v>
      </c>
      <c r="H877" t="s">
        <v>1252</v>
      </c>
      <c r="J877" s="455">
        <v>46198</v>
      </c>
      <c r="U877" s="455">
        <v>46258</v>
      </c>
    </row>
    <row r="878" spans="1:21">
      <c r="A878" t="s">
        <v>1751</v>
      </c>
      <c r="B878" t="s">
        <v>3942</v>
      </c>
      <c r="C878" t="s">
        <v>1751</v>
      </c>
      <c r="D878">
        <v>20562776</v>
      </c>
      <c r="E878" t="s">
        <v>3128</v>
      </c>
      <c r="F878" t="s">
        <v>1241</v>
      </c>
      <c r="G878" t="s">
        <v>3137</v>
      </c>
      <c r="H878" t="s">
        <v>1252</v>
      </c>
      <c r="J878" s="455">
        <v>46195</v>
      </c>
      <c r="U878" s="455">
        <v>46204</v>
      </c>
    </row>
    <row r="879" spans="1:21">
      <c r="A879" t="s">
        <v>1751</v>
      </c>
      <c r="B879" t="s">
        <v>3943</v>
      </c>
      <c r="C879" t="s">
        <v>1751</v>
      </c>
      <c r="D879">
        <v>20563044</v>
      </c>
      <c r="E879" t="s">
        <v>3128</v>
      </c>
      <c r="F879" t="s">
        <v>1241</v>
      </c>
      <c r="G879" t="s">
        <v>3141</v>
      </c>
      <c r="H879" t="s">
        <v>1252</v>
      </c>
      <c r="J879" s="455">
        <v>46196</v>
      </c>
      <c r="U879" s="455">
        <v>46234</v>
      </c>
    </row>
    <row r="880" spans="1:21">
      <c r="A880" t="s">
        <v>1751</v>
      </c>
      <c r="B880" t="s">
        <v>3944</v>
      </c>
      <c r="C880" t="s">
        <v>1751</v>
      </c>
      <c r="D880">
        <v>20566135</v>
      </c>
      <c r="E880" t="s">
        <v>1897</v>
      </c>
      <c r="F880" t="s">
        <v>1241</v>
      </c>
      <c r="G880" t="s">
        <v>3134</v>
      </c>
      <c r="H880" t="s">
        <v>1247</v>
      </c>
      <c r="I880" t="s">
        <v>2134</v>
      </c>
      <c r="J880" s="455">
        <v>46199</v>
      </c>
      <c r="K880" s="455">
        <v>46199</v>
      </c>
      <c r="U880" s="455">
        <v>46218</v>
      </c>
    </row>
    <row r="881" spans="1:21">
      <c r="A881" t="s">
        <v>1751</v>
      </c>
      <c r="B881" t="s">
        <v>3945</v>
      </c>
      <c r="C881" t="s">
        <v>1751</v>
      </c>
      <c r="D881">
        <v>20568900</v>
      </c>
      <c r="E881" t="s">
        <v>3128</v>
      </c>
      <c r="F881" t="s">
        <v>1782</v>
      </c>
      <c r="G881" t="s">
        <v>3137</v>
      </c>
      <c r="H881" t="s">
        <v>1252</v>
      </c>
      <c r="J881" s="455">
        <v>46202</v>
      </c>
      <c r="U881" s="455">
        <v>46752</v>
      </c>
    </row>
    <row r="882" spans="1:21">
      <c r="A882" t="s">
        <v>1751</v>
      </c>
      <c r="B882" t="s">
        <v>3946</v>
      </c>
      <c r="C882" t="s">
        <v>1751</v>
      </c>
      <c r="D882">
        <v>20559338</v>
      </c>
      <c r="E882" t="s">
        <v>3128</v>
      </c>
      <c r="F882" t="s">
        <v>1241</v>
      </c>
      <c r="G882" t="s">
        <v>3141</v>
      </c>
      <c r="H882" t="s">
        <v>1252</v>
      </c>
      <c r="J882" s="455">
        <v>46190</v>
      </c>
      <c r="U882" s="455">
        <v>46204</v>
      </c>
    </row>
    <row r="883" spans="1:21">
      <c r="A883" t="s">
        <v>1751</v>
      </c>
      <c r="B883" t="s">
        <v>3947</v>
      </c>
      <c r="C883" t="s">
        <v>1751</v>
      </c>
      <c r="D883">
        <v>20502862</v>
      </c>
      <c r="E883" t="s">
        <v>3133</v>
      </c>
      <c r="F883" t="s">
        <v>1799</v>
      </c>
      <c r="G883" t="s">
        <v>3134</v>
      </c>
      <c r="H883" t="s">
        <v>1247</v>
      </c>
      <c r="J883" s="455">
        <v>46132</v>
      </c>
      <c r="K883" s="455">
        <v>46132</v>
      </c>
      <c r="R883" s="455">
        <v>46189</v>
      </c>
      <c r="U883" s="455">
        <v>46188</v>
      </c>
    </row>
    <row r="884" spans="1:21">
      <c r="A884" t="s">
        <v>1751</v>
      </c>
      <c r="B884" t="s">
        <v>1939</v>
      </c>
      <c r="C884" t="s">
        <v>1751</v>
      </c>
      <c r="D884">
        <v>20465610</v>
      </c>
      <c r="E884" t="s">
        <v>3133</v>
      </c>
      <c r="F884" t="s">
        <v>1239</v>
      </c>
      <c r="G884" t="s">
        <v>3134</v>
      </c>
      <c r="H884" t="s">
        <v>1940</v>
      </c>
      <c r="I884" t="s">
        <v>1938</v>
      </c>
      <c r="J884" s="455">
        <v>46090</v>
      </c>
      <c r="K884" s="455">
        <v>46090</v>
      </c>
      <c r="R884" s="455">
        <v>46177</v>
      </c>
      <c r="U884" s="455">
        <v>46113</v>
      </c>
    </row>
    <row r="885" spans="1:21">
      <c r="A885" t="s">
        <v>1751</v>
      </c>
      <c r="B885" t="s">
        <v>3948</v>
      </c>
      <c r="C885" t="s">
        <v>1751</v>
      </c>
      <c r="D885">
        <v>20565846</v>
      </c>
      <c r="E885" t="s">
        <v>1897</v>
      </c>
      <c r="F885" t="s">
        <v>1241</v>
      </c>
      <c r="G885" t="s">
        <v>3134</v>
      </c>
      <c r="H885" t="s">
        <v>1247</v>
      </c>
      <c r="I885" t="s">
        <v>2173</v>
      </c>
      <c r="J885" s="455">
        <v>46198</v>
      </c>
      <c r="K885" s="455">
        <v>46198</v>
      </c>
      <c r="U885" s="455">
        <v>46209</v>
      </c>
    </row>
    <row r="886" spans="1:21">
      <c r="A886" t="s">
        <v>1751</v>
      </c>
      <c r="B886" t="s">
        <v>3949</v>
      </c>
      <c r="C886" t="s">
        <v>1751</v>
      </c>
      <c r="D886">
        <v>20555884</v>
      </c>
      <c r="E886" t="s">
        <v>3133</v>
      </c>
      <c r="F886" t="s">
        <v>1238</v>
      </c>
      <c r="G886" t="s">
        <v>3143</v>
      </c>
      <c r="H886" t="s">
        <v>1252</v>
      </c>
      <c r="I886" t="s">
        <v>1963</v>
      </c>
      <c r="J886" s="455">
        <v>46188</v>
      </c>
      <c r="K886" s="455">
        <v>46188</v>
      </c>
      <c r="L886" s="455">
        <v>46188</v>
      </c>
      <c r="S886" s="455">
        <v>46193</v>
      </c>
      <c r="U886" s="455">
        <v>46193</v>
      </c>
    </row>
    <row r="887" spans="1:21">
      <c r="A887" t="s">
        <v>1751</v>
      </c>
      <c r="B887" t="s">
        <v>3950</v>
      </c>
      <c r="C887" t="s">
        <v>1751</v>
      </c>
      <c r="D887">
        <v>20562737</v>
      </c>
      <c r="E887" t="s">
        <v>3128</v>
      </c>
      <c r="F887" t="s">
        <v>1241</v>
      </c>
      <c r="G887" t="s">
        <v>3134</v>
      </c>
      <c r="H887" t="s">
        <v>3165</v>
      </c>
      <c r="J887" s="455">
        <v>46195</v>
      </c>
      <c r="U887" s="455">
        <v>46235</v>
      </c>
    </row>
    <row r="888" spans="1:21">
      <c r="A888" t="s">
        <v>1751</v>
      </c>
      <c r="B888" t="s">
        <v>3951</v>
      </c>
      <c r="C888" t="s">
        <v>1751</v>
      </c>
      <c r="D888">
        <v>20541217</v>
      </c>
      <c r="E888" t="s">
        <v>3128</v>
      </c>
      <c r="F888" t="s">
        <v>1241</v>
      </c>
      <c r="G888" t="s">
        <v>3137</v>
      </c>
      <c r="H888" t="s">
        <v>1252</v>
      </c>
      <c r="J888" s="455">
        <v>46174</v>
      </c>
      <c r="U888" s="455">
        <v>46187</v>
      </c>
    </row>
    <row r="889" spans="1:21">
      <c r="A889" t="s">
        <v>1751</v>
      </c>
      <c r="B889" t="s">
        <v>3952</v>
      </c>
      <c r="C889" t="s">
        <v>1751</v>
      </c>
      <c r="D889">
        <v>20556247</v>
      </c>
      <c r="E889" t="s">
        <v>3128</v>
      </c>
      <c r="F889" t="s">
        <v>1237</v>
      </c>
      <c r="G889" t="s">
        <v>3143</v>
      </c>
      <c r="H889" t="s">
        <v>1248</v>
      </c>
      <c r="I889" t="s">
        <v>3385</v>
      </c>
      <c r="J889" s="455">
        <v>46188</v>
      </c>
      <c r="U889" s="455">
        <v>46249</v>
      </c>
    </row>
    <row r="890" spans="1:21">
      <c r="A890" t="s">
        <v>1751</v>
      </c>
      <c r="B890" t="s">
        <v>3953</v>
      </c>
      <c r="C890" t="s">
        <v>1751</v>
      </c>
      <c r="D890">
        <v>20547525</v>
      </c>
      <c r="E890" t="s">
        <v>3128</v>
      </c>
      <c r="F890" t="s">
        <v>1241</v>
      </c>
      <c r="G890" t="s">
        <v>3134</v>
      </c>
      <c r="H890" t="s">
        <v>1252</v>
      </c>
      <c r="J890" s="455">
        <v>46180</v>
      </c>
      <c r="U890" s="455">
        <v>46204</v>
      </c>
    </row>
    <row r="891" spans="1:21">
      <c r="A891" t="s">
        <v>1751</v>
      </c>
      <c r="B891" t="s">
        <v>3954</v>
      </c>
      <c r="C891" t="s">
        <v>1751</v>
      </c>
      <c r="D891">
        <v>20528369</v>
      </c>
      <c r="E891" t="s">
        <v>3133</v>
      </c>
      <c r="F891" t="s">
        <v>1241</v>
      </c>
      <c r="G891" t="s">
        <v>3134</v>
      </c>
      <c r="H891" t="s">
        <v>1247</v>
      </c>
      <c r="I891" t="s">
        <v>3013</v>
      </c>
      <c r="J891" s="455">
        <v>46158</v>
      </c>
      <c r="K891" s="455">
        <v>46158</v>
      </c>
      <c r="R891" s="455">
        <v>46185</v>
      </c>
      <c r="U891" s="455">
        <v>46206</v>
      </c>
    </row>
    <row r="892" spans="1:21">
      <c r="A892" t="s">
        <v>1751</v>
      </c>
      <c r="B892" t="s">
        <v>3955</v>
      </c>
      <c r="C892" t="s">
        <v>1751</v>
      </c>
      <c r="D892">
        <v>20505805</v>
      </c>
      <c r="E892" t="s">
        <v>3133</v>
      </c>
      <c r="F892" t="s">
        <v>1241</v>
      </c>
      <c r="G892" t="s">
        <v>2009</v>
      </c>
      <c r="H892" t="s">
        <v>1252</v>
      </c>
      <c r="J892" s="455">
        <v>46134</v>
      </c>
      <c r="K892" s="455">
        <v>46134</v>
      </c>
      <c r="R892" s="455">
        <v>46189</v>
      </c>
      <c r="U892" s="455">
        <v>46188</v>
      </c>
    </row>
    <row r="893" spans="1:21">
      <c r="A893" t="s">
        <v>1751</v>
      </c>
      <c r="B893" t="s">
        <v>3956</v>
      </c>
      <c r="C893" t="s">
        <v>1751</v>
      </c>
      <c r="D893">
        <v>20544403</v>
      </c>
      <c r="E893" t="s">
        <v>3128</v>
      </c>
      <c r="F893" t="s">
        <v>1782</v>
      </c>
      <c r="G893" t="s">
        <v>3137</v>
      </c>
      <c r="H893" t="s">
        <v>1247</v>
      </c>
      <c r="J893" s="455">
        <v>46176</v>
      </c>
      <c r="U893" s="455">
        <v>46176</v>
      </c>
    </row>
    <row r="894" spans="1:21">
      <c r="A894" t="s">
        <v>1751</v>
      </c>
      <c r="B894" t="s">
        <v>3957</v>
      </c>
      <c r="C894" t="s">
        <v>1751</v>
      </c>
      <c r="D894">
        <v>20516453</v>
      </c>
      <c r="E894" t="s">
        <v>3133</v>
      </c>
      <c r="F894" t="s">
        <v>1242</v>
      </c>
      <c r="G894" t="s">
        <v>2009</v>
      </c>
      <c r="H894" t="s">
        <v>1250</v>
      </c>
      <c r="J894" s="455">
        <v>46146</v>
      </c>
      <c r="K894" s="455">
        <v>46146</v>
      </c>
      <c r="R894" s="455">
        <v>46189</v>
      </c>
      <c r="U894" s="455">
        <v>46165</v>
      </c>
    </row>
    <row r="895" spans="1:21">
      <c r="A895" t="s">
        <v>1751</v>
      </c>
      <c r="B895" t="s">
        <v>3958</v>
      </c>
      <c r="C895" t="s">
        <v>1751</v>
      </c>
      <c r="D895">
        <v>20564518</v>
      </c>
      <c r="E895" t="s">
        <v>1897</v>
      </c>
      <c r="F895" t="s">
        <v>1241</v>
      </c>
      <c r="G895" t="s">
        <v>2009</v>
      </c>
      <c r="H895" t="s">
        <v>1252</v>
      </c>
      <c r="I895" t="s">
        <v>3202</v>
      </c>
      <c r="J895" s="455">
        <v>46197</v>
      </c>
      <c r="K895" s="455">
        <v>46197</v>
      </c>
      <c r="U895" s="455">
        <v>46202</v>
      </c>
    </row>
    <row r="896" spans="1:21">
      <c r="A896" t="s">
        <v>1751</v>
      </c>
      <c r="B896" t="s">
        <v>3959</v>
      </c>
      <c r="C896" t="s">
        <v>1751</v>
      </c>
      <c r="D896">
        <v>20563580</v>
      </c>
      <c r="E896" t="s">
        <v>3128</v>
      </c>
      <c r="F896" t="s">
        <v>1241</v>
      </c>
      <c r="G896" t="s">
        <v>3129</v>
      </c>
      <c r="H896" t="s">
        <v>1251</v>
      </c>
      <c r="I896" t="s">
        <v>1571</v>
      </c>
      <c r="J896" s="455">
        <v>46196</v>
      </c>
      <c r="U896" s="455">
        <v>46235</v>
      </c>
    </row>
    <row r="897" spans="1:21">
      <c r="A897" t="s">
        <v>1751</v>
      </c>
      <c r="B897" t="s">
        <v>3960</v>
      </c>
      <c r="C897" t="s">
        <v>1751</v>
      </c>
      <c r="D897">
        <v>20567682</v>
      </c>
      <c r="E897" t="s">
        <v>3128</v>
      </c>
      <c r="F897" t="s">
        <v>1782</v>
      </c>
      <c r="G897" t="s">
        <v>3141</v>
      </c>
      <c r="H897" t="s">
        <v>1252</v>
      </c>
      <c r="J897" s="455">
        <v>46201</v>
      </c>
      <c r="U897" s="455">
        <v>46235</v>
      </c>
    </row>
    <row r="898" spans="1:21">
      <c r="A898" t="s">
        <v>1751</v>
      </c>
      <c r="B898" t="s">
        <v>3961</v>
      </c>
      <c r="C898" t="s">
        <v>1751</v>
      </c>
      <c r="D898">
        <v>20504653</v>
      </c>
      <c r="E898" t="s">
        <v>3133</v>
      </c>
      <c r="F898" t="s">
        <v>1238</v>
      </c>
      <c r="G898" t="s">
        <v>3134</v>
      </c>
      <c r="H898" t="s">
        <v>1247</v>
      </c>
      <c r="J898" s="455">
        <v>46133</v>
      </c>
      <c r="K898" s="455">
        <v>46133</v>
      </c>
      <c r="R898" s="455">
        <v>46189</v>
      </c>
      <c r="U898" s="455">
        <v>46133</v>
      </c>
    </row>
    <row r="899" spans="1:21">
      <c r="A899" t="s">
        <v>1751</v>
      </c>
      <c r="B899" t="s">
        <v>3962</v>
      </c>
      <c r="C899" t="s">
        <v>1751</v>
      </c>
      <c r="D899">
        <v>20549047</v>
      </c>
      <c r="E899" t="s">
        <v>3133</v>
      </c>
      <c r="F899" t="s">
        <v>1239</v>
      </c>
      <c r="G899" t="s">
        <v>3129</v>
      </c>
      <c r="H899" t="s">
        <v>3131</v>
      </c>
      <c r="I899" t="s">
        <v>2413</v>
      </c>
      <c r="J899" s="455">
        <v>46182</v>
      </c>
      <c r="K899" s="455">
        <v>46182</v>
      </c>
      <c r="L899" s="455">
        <v>46182</v>
      </c>
      <c r="R899" s="455">
        <v>46203</v>
      </c>
      <c r="U899" s="455">
        <v>46214</v>
      </c>
    </row>
    <row r="900" spans="1:21">
      <c r="A900" t="s">
        <v>1751</v>
      </c>
      <c r="B900" t="s">
        <v>3963</v>
      </c>
      <c r="C900" t="s">
        <v>1751</v>
      </c>
      <c r="D900">
        <v>20557528</v>
      </c>
      <c r="E900" t="s">
        <v>3128</v>
      </c>
      <c r="F900" t="s">
        <v>1237</v>
      </c>
      <c r="G900" t="s">
        <v>3143</v>
      </c>
      <c r="H900" t="s">
        <v>1252</v>
      </c>
      <c r="I900" t="s">
        <v>3170</v>
      </c>
      <c r="J900" s="455">
        <v>46189</v>
      </c>
      <c r="U900" s="455">
        <v>46189</v>
      </c>
    </row>
    <row r="901" spans="1:21">
      <c r="A901" t="s">
        <v>1751</v>
      </c>
      <c r="B901" t="s">
        <v>3964</v>
      </c>
      <c r="C901" t="s">
        <v>1751</v>
      </c>
      <c r="D901">
        <v>20548106</v>
      </c>
      <c r="E901" t="s">
        <v>3190</v>
      </c>
      <c r="F901" t="s">
        <v>1237</v>
      </c>
      <c r="G901" t="s">
        <v>3129</v>
      </c>
      <c r="H901" t="s">
        <v>1251</v>
      </c>
      <c r="I901" t="s">
        <v>3168</v>
      </c>
      <c r="J901" s="455">
        <v>46181</v>
      </c>
      <c r="R901" s="455">
        <v>46182</v>
      </c>
      <c r="U901" s="455">
        <v>46263</v>
      </c>
    </row>
    <row r="902" spans="1:21">
      <c r="A902" t="s">
        <v>1751</v>
      </c>
      <c r="B902" t="s">
        <v>3965</v>
      </c>
      <c r="C902" t="s">
        <v>1751</v>
      </c>
      <c r="D902">
        <v>20558845</v>
      </c>
      <c r="E902" t="s">
        <v>3128</v>
      </c>
      <c r="F902" t="s">
        <v>1238</v>
      </c>
      <c r="G902" t="s">
        <v>3143</v>
      </c>
      <c r="H902" t="s">
        <v>1251</v>
      </c>
      <c r="I902" t="s">
        <v>3344</v>
      </c>
      <c r="J902" s="455">
        <v>46190</v>
      </c>
      <c r="U902" s="455">
        <v>46204</v>
      </c>
    </row>
    <row r="903" spans="1:21">
      <c r="A903" t="s">
        <v>1751</v>
      </c>
      <c r="B903" t="s">
        <v>3966</v>
      </c>
      <c r="C903" t="s">
        <v>1751</v>
      </c>
      <c r="D903">
        <v>20565630</v>
      </c>
      <c r="E903" t="s">
        <v>3128</v>
      </c>
      <c r="F903" t="s">
        <v>1241</v>
      </c>
      <c r="G903" t="s">
        <v>3134</v>
      </c>
      <c r="H903" t="s">
        <v>3165</v>
      </c>
      <c r="J903" s="455">
        <v>46198</v>
      </c>
      <c r="U903" s="455">
        <v>46213</v>
      </c>
    </row>
    <row r="904" spans="1:21">
      <c r="A904" t="s">
        <v>1751</v>
      </c>
      <c r="B904" t="s">
        <v>3967</v>
      </c>
      <c r="C904" t="s">
        <v>1751</v>
      </c>
      <c r="D904">
        <v>20566731</v>
      </c>
      <c r="E904" t="s">
        <v>3128</v>
      </c>
      <c r="F904" t="s">
        <v>1241</v>
      </c>
      <c r="G904" t="s">
        <v>2009</v>
      </c>
      <c r="H904" t="s">
        <v>1252</v>
      </c>
      <c r="J904" s="455">
        <v>46199</v>
      </c>
      <c r="U904" s="455">
        <v>46223</v>
      </c>
    </row>
    <row r="905" spans="1:21">
      <c r="A905" t="s">
        <v>1751</v>
      </c>
      <c r="B905" t="s">
        <v>3968</v>
      </c>
      <c r="C905" t="s">
        <v>1751</v>
      </c>
      <c r="D905">
        <v>20565564</v>
      </c>
      <c r="E905" t="s">
        <v>3128</v>
      </c>
      <c r="F905" t="s">
        <v>1241</v>
      </c>
      <c r="G905" t="s">
        <v>3134</v>
      </c>
      <c r="H905" t="s">
        <v>3165</v>
      </c>
      <c r="J905" s="455">
        <v>46198</v>
      </c>
      <c r="U905" s="455">
        <v>46199</v>
      </c>
    </row>
    <row r="906" spans="1:21">
      <c r="A906" t="s">
        <v>1751</v>
      </c>
      <c r="B906" t="s">
        <v>3969</v>
      </c>
      <c r="C906" t="s">
        <v>1751</v>
      </c>
      <c r="D906">
        <v>20547843</v>
      </c>
      <c r="E906" t="s">
        <v>3128</v>
      </c>
      <c r="F906" t="s">
        <v>1782</v>
      </c>
      <c r="G906" t="s">
        <v>3134</v>
      </c>
      <c r="H906" t="s">
        <v>1252</v>
      </c>
      <c r="J906" s="455">
        <v>46181</v>
      </c>
      <c r="U906" s="455">
        <v>46202</v>
      </c>
    </row>
    <row r="907" spans="1:21">
      <c r="A907" t="s">
        <v>1751</v>
      </c>
      <c r="B907" t="s">
        <v>3970</v>
      </c>
      <c r="C907" t="s">
        <v>1751</v>
      </c>
      <c r="D907">
        <v>20548952</v>
      </c>
      <c r="E907" t="s">
        <v>3128</v>
      </c>
      <c r="F907" t="s">
        <v>1241</v>
      </c>
      <c r="G907" t="s">
        <v>3141</v>
      </c>
      <c r="H907" t="s">
        <v>1252</v>
      </c>
      <c r="J907" s="455">
        <v>46182</v>
      </c>
      <c r="U907" s="455">
        <v>46182</v>
      </c>
    </row>
    <row r="908" spans="1:21">
      <c r="A908" t="s">
        <v>1751</v>
      </c>
      <c r="B908" t="s">
        <v>3971</v>
      </c>
      <c r="C908" t="s">
        <v>1751</v>
      </c>
      <c r="D908">
        <v>20563276</v>
      </c>
      <c r="E908" t="s">
        <v>1897</v>
      </c>
      <c r="F908" t="s">
        <v>1241</v>
      </c>
      <c r="G908" t="s">
        <v>3134</v>
      </c>
      <c r="H908" t="s">
        <v>1247</v>
      </c>
      <c r="J908" s="455">
        <v>46196</v>
      </c>
      <c r="K908" s="455">
        <v>46196</v>
      </c>
      <c r="U908" s="455">
        <v>46203</v>
      </c>
    </row>
    <row r="909" spans="1:21">
      <c r="A909" t="s">
        <v>1751</v>
      </c>
      <c r="B909" t="s">
        <v>3971</v>
      </c>
      <c r="C909" t="s">
        <v>1751</v>
      </c>
      <c r="D909">
        <v>20563210</v>
      </c>
      <c r="E909" t="s">
        <v>1897</v>
      </c>
      <c r="F909" t="s">
        <v>1242</v>
      </c>
      <c r="G909" t="s">
        <v>3143</v>
      </c>
      <c r="H909" t="s">
        <v>1251</v>
      </c>
      <c r="I909" t="s">
        <v>3972</v>
      </c>
      <c r="J909" s="455">
        <v>46196</v>
      </c>
      <c r="K909" s="455">
        <v>46197</v>
      </c>
      <c r="U909" s="455">
        <v>46213</v>
      </c>
    </row>
    <row r="910" spans="1:21">
      <c r="A910" t="s">
        <v>1751</v>
      </c>
      <c r="B910" t="s">
        <v>3973</v>
      </c>
      <c r="C910" t="s">
        <v>1751</v>
      </c>
      <c r="D910">
        <v>20562353</v>
      </c>
      <c r="E910" t="s">
        <v>3128</v>
      </c>
      <c r="F910" t="s">
        <v>1241</v>
      </c>
      <c r="G910" t="s">
        <v>3129</v>
      </c>
      <c r="H910" t="s">
        <v>3131</v>
      </c>
      <c r="J910" s="455">
        <v>46195</v>
      </c>
      <c r="U910" s="455">
        <v>46195</v>
      </c>
    </row>
    <row r="911" spans="1:21">
      <c r="A911" t="s">
        <v>1751</v>
      </c>
      <c r="B911" t="s">
        <v>3974</v>
      </c>
      <c r="C911" t="s">
        <v>1751</v>
      </c>
      <c r="D911">
        <v>20546158</v>
      </c>
      <c r="E911" t="s">
        <v>3128</v>
      </c>
      <c r="F911" t="s">
        <v>1782</v>
      </c>
      <c r="G911" t="s">
        <v>3137</v>
      </c>
      <c r="H911" t="s">
        <v>1252</v>
      </c>
      <c r="J911" s="455">
        <v>46178</v>
      </c>
      <c r="U911" s="455">
        <v>46276</v>
      </c>
    </row>
    <row r="912" spans="1:21">
      <c r="A912" t="s">
        <v>1751</v>
      </c>
      <c r="B912" t="s">
        <v>3975</v>
      </c>
      <c r="C912" t="s">
        <v>1751</v>
      </c>
      <c r="D912">
        <v>20473038</v>
      </c>
      <c r="E912" t="s">
        <v>3133</v>
      </c>
      <c r="F912" t="s">
        <v>1799</v>
      </c>
      <c r="G912" t="s">
        <v>3134</v>
      </c>
      <c r="H912" t="s">
        <v>3515</v>
      </c>
      <c r="I912" t="s">
        <v>1839</v>
      </c>
      <c r="J912" s="455">
        <v>46098</v>
      </c>
      <c r="K912" s="455">
        <v>46098</v>
      </c>
      <c r="R912" s="455">
        <v>46177</v>
      </c>
      <c r="U912" s="455">
        <v>46098</v>
      </c>
    </row>
    <row r="913" spans="1:21">
      <c r="A913" t="s">
        <v>1751</v>
      </c>
      <c r="B913" t="s">
        <v>3976</v>
      </c>
      <c r="C913" t="s">
        <v>1751</v>
      </c>
      <c r="D913">
        <v>20560271</v>
      </c>
      <c r="E913" t="s">
        <v>3128</v>
      </c>
      <c r="F913" t="s">
        <v>1782</v>
      </c>
      <c r="G913" t="s">
        <v>3137</v>
      </c>
      <c r="H913" t="s">
        <v>1252</v>
      </c>
      <c r="J913" s="455">
        <v>46191</v>
      </c>
      <c r="U913" s="455">
        <v>46194</v>
      </c>
    </row>
    <row r="914" spans="1:21">
      <c r="A914" t="s">
        <v>1751</v>
      </c>
      <c r="B914" t="s">
        <v>3977</v>
      </c>
      <c r="C914" t="s">
        <v>1751</v>
      </c>
      <c r="D914">
        <v>20540782</v>
      </c>
      <c r="E914" t="s">
        <v>3128</v>
      </c>
      <c r="F914" t="s">
        <v>1237</v>
      </c>
      <c r="G914" t="s">
        <v>3143</v>
      </c>
      <c r="H914" t="s">
        <v>1251</v>
      </c>
      <c r="I914" t="s">
        <v>3170</v>
      </c>
      <c r="J914" s="455">
        <v>46174</v>
      </c>
      <c r="U914" s="455">
        <v>46192</v>
      </c>
    </row>
    <row r="915" spans="1:21">
      <c r="A915" t="s">
        <v>1751</v>
      </c>
      <c r="B915" t="s">
        <v>3978</v>
      </c>
      <c r="C915" t="s">
        <v>1751</v>
      </c>
      <c r="D915">
        <v>20516162</v>
      </c>
      <c r="E915" t="s">
        <v>3133</v>
      </c>
      <c r="F915" t="s">
        <v>1242</v>
      </c>
      <c r="G915" t="s">
        <v>3137</v>
      </c>
      <c r="H915" t="s">
        <v>1247</v>
      </c>
      <c r="I915" t="s">
        <v>2550</v>
      </c>
      <c r="J915" s="455">
        <v>46146</v>
      </c>
      <c r="K915" s="455">
        <v>46148</v>
      </c>
      <c r="L915" s="455">
        <v>46163</v>
      </c>
      <c r="R915" s="455">
        <v>46175</v>
      </c>
      <c r="U915" s="455">
        <v>46178</v>
      </c>
    </row>
    <row r="916" spans="1:21">
      <c r="A916" t="s">
        <v>1751</v>
      </c>
      <c r="B916" t="s">
        <v>3979</v>
      </c>
      <c r="C916" t="s">
        <v>1751</v>
      </c>
      <c r="D916">
        <v>20563465</v>
      </c>
      <c r="E916" t="s">
        <v>3128</v>
      </c>
      <c r="F916" t="s">
        <v>1241</v>
      </c>
      <c r="G916" t="s">
        <v>3137</v>
      </c>
      <c r="H916" t="s">
        <v>1252</v>
      </c>
      <c r="J916" s="455">
        <v>46196</v>
      </c>
      <c r="U916" s="455">
        <v>46206</v>
      </c>
    </row>
    <row r="917" spans="1:21">
      <c r="A917" t="s">
        <v>1751</v>
      </c>
      <c r="B917" t="s">
        <v>3980</v>
      </c>
      <c r="C917" t="s">
        <v>1751</v>
      </c>
      <c r="D917">
        <v>20487829</v>
      </c>
      <c r="E917" t="s">
        <v>3133</v>
      </c>
      <c r="F917" t="s">
        <v>1241</v>
      </c>
      <c r="G917" t="s">
        <v>3134</v>
      </c>
      <c r="H917" t="s">
        <v>1247</v>
      </c>
      <c r="I917" t="s">
        <v>1784</v>
      </c>
      <c r="J917" s="455">
        <v>46118</v>
      </c>
      <c r="K917" s="455">
        <v>46118</v>
      </c>
      <c r="R917" s="455">
        <v>46181</v>
      </c>
      <c r="U917" s="455">
        <v>46118</v>
      </c>
    </row>
    <row r="918" spans="1:21">
      <c r="A918" t="s">
        <v>1751</v>
      </c>
      <c r="B918" t="s">
        <v>3981</v>
      </c>
      <c r="C918" t="s">
        <v>1751</v>
      </c>
      <c r="D918">
        <v>20561574</v>
      </c>
      <c r="E918" t="s">
        <v>1897</v>
      </c>
      <c r="F918" t="s">
        <v>1241</v>
      </c>
      <c r="G918" t="s">
        <v>3134</v>
      </c>
      <c r="H918" t="s">
        <v>1247</v>
      </c>
      <c r="J918" s="455">
        <v>46193</v>
      </c>
      <c r="K918" s="455">
        <v>46193</v>
      </c>
      <c r="U918" s="455">
        <v>46193</v>
      </c>
    </row>
    <row r="919" spans="1:21">
      <c r="A919" t="s">
        <v>1751</v>
      </c>
      <c r="B919" t="s">
        <v>3982</v>
      </c>
      <c r="C919" t="s">
        <v>1751</v>
      </c>
      <c r="D919">
        <v>20567399</v>
      </c>
      <c r="E919" t="s">
        <v>3128</v>
      </c>
      <c r="F919" t="s">
        <v>1241</v>
      </c>
      <c r="G919" t="s">
        <v>3134</v>
      </c>
      <c r="H919" t="s">
        <v>1252</v>
      </c>
      <c r="J919" s="455">
        <v>46200</v>
      </c>
      <c r="U919" s="455">
        <v>46296</v>
      </c>
    </row>
    <row r="920" spans="1:21">
      <c r="A920" t="s">
        <v>1751</v>
      </c>
      <c r="B920" t="s">
        <v>3983</v>
      </c>
      <c r="C920" t="s">
        <v>1751</v>
      </c>
      <c r="D920">
        <v>20555378</v>
      </c>
      <c r="E920" t="s">
        <v>3128</v>
      </c>
      <c r="F920" t="s">
        <v>1241</v>
      </c>
      <c r="G920" t="s">
        <v>3129</v>
      </c>
      <c r="H920" t="s">
        <v>1252</v>
      </c>
      <c r="J920" s="455">
        <v>46187</v>
      </c>
      <c r="U920" s="455">
        <v>46187</v>
      </c>
    </row>
    <row r="921" spans="1:21">
      <c r="A921" t="s">
        <v>1751</v>
      </c>
      <c r="B921" t="s">
        <v>3984</v>
      </c>
      <c r="C921" t="s">
        <v>1751</v>
      </c>
      <c r="D921">
        <v>20518563</v>
      </c>
      <c r="E921" t="s">
        <v>3133</v>
      </c>
      <c r="F921" t="s">
        <v>1912</v>
      </c>
      <c r="G921" t="s">
        <v>3134</v>
      </c>
      <c r="H921" t="s">
        <v>1247</v>
      </c>
      <c r="J921" s="455">
        <v>46148</v>
      </c>
      <c r="K921" s="455">
        <v>46148</v>
      </c>
      <c r="R921" s="455">
        <v>46189</v>
      </c>
      <c r="U921" s="455">
        <v>46148</v>
      </c>
    </row>
    <row r="922" spans="1:21">
      <c r="A922" t="s">
        <v>1751</v>
      </c>
      <c r="B922" t="s">
        <v>3985</v>
      </c>
      <c r="C922" t="s">
        <v>1751</v>
      </c>
      <c r="D922">
        <v>20535313</v>
      </c>
      <c r="E922" t="s">
        <v>3133</v>
      </c>
      <c r="F922" t="s">
        <v>1242</v>
      </c>
      <c r="G922" t="s">
        <v>3134</v>
      </c>
      <c r="H922" t="s">
        <v>1247</v>
      </c>
      <c r="J922" s="455">
        <v>46167</v>
      </c>
      <c r="K922" s="455">
        <v>46167</v>
      </c>
      <c r="R922" s="455">
        <v>46190</v>
      </c>
      <c r="U922" s="455">
        <v>46193</v>
      </c>
    </row>
    <row r="923" spans="1:21">
      <c r="A923" t="s">
        <v>1751</v>
      </c>
      <c r="B923" t="s">
        <v>3985</v>
      </c>
      <c r="C923" t="s">
        <v>1751</v>
      </c>
      <c r="D923">
        <v>20564431</v>
      </c>
      <c r="E923" t="s">
        <v>3128</v>
      </c>
      <c r="F923" t="s">
        <v>1241</v>
      </c>
      <c r="G923" t="s">
        <v>2009</v>
      </c>
      <c r="H923" t="s">
        <v>1247</v>
      </c>
      <c r="J923" s="455">
        <v>46197</v>
      </c>
      <c r="U923" s="455">
        <v>46167</v>
      </c>
    </row>
    <row r="924" spans="1:21">
      <c r="A924" t="s">
        <v>1751</v>
      </c>
      <c r="B924" t="s">
        <v>3986</v>
      </c>
      <c r="C924" t="s">
        <v>1751</v>
      </c>
      <c r="D924">
        <v>20535519</v>
      </c>
      <c r="E924" t="s">
        <v>3133</v>
      </c>
      <c r="F924" t="s">
        <v>1241</v>
      </c>
      <c r="G924" t="s">
        <v>3134</v>
      </c>
      <c r="H924" t="s">
        <v>1247</v>
      </c>
      <c r="I924" t="s">
        <v>1895</v>
      </c>
      <c r="J924" s="455">
        <v>46168</v>
      </c>
      <c r="K924" s="455">
        <v>46168</v>
      </c>
      <c r="R924" s="455">
        <v>46190</v>
      </c>
      <c r="U924" s="455">
        <v>46192</v>
      </c>
    </row>
    <row r="925" spans="1:21">
      <c r="A925" t="s">
        <v>1751</v>
      </c>
      <c r="B925" t="s">
        <v>3987</v>
      </c>
      <c r="C925" t="s">
        <v>1751</v>
      </c>
      <c r="D925">
        <v>20561140</v>
      </c>
      <c r="E925" t="s">
        <v>3128</v>
      </c>
      <c r="F925" t="s">
        <v>1782</v>
      </c>
      <c r="G925" t="s">
        <v>3137</v>
      </c>
      <c r="H925" t="s">
        <v>1252</v>
      </c>
      <c r="J925" s="455">
        <v>46193</v>
      </c>
      <c r="U925" s="455">
        <v>46219</v>
      </c>
    </row>
    <row r="926" spans="1:21">
      <c r="A926" t="s">
        <v>1751</v>
      </c>
      <c r="B926" t="s">
        <v>3988</v>
      </c>
      <c r="C926" t="s">
        <v>1751</v>
      </c>
      <c r="D926">
        <v>20558785</v>
      </c>
      <c r="E926" t="s">
        <v>3128</v>
      </c>
      <c r="F926" t="s">
        <v>1241</v>
      </c>
      <c r="G926" t="s">
        <v>3129</v>
      </c>
      <c r="H926" t="s">
        <v>1252</v>
      </c>
      <c r="J926" s="455">
        <v>46190</v>
      </c>
      <c r="U926" s="455">
        <v>46190</v>
      </c>
    </row>
    <row r="927" spans="1:21">
      <c r="A927" t="s">
        <v>1751</v>
      </c>
      <c r="B927" t="s">
        <v>2402</v>
      </c>
      <c r="C927" t="s">
        <v>1751</v>
      </c>
      <c r="D927">
        <v>20505193</v>
      </c>
      <c r="E927" t="s">
        <v>3133</v>
      </c>
      <c r="F927" t="s">
        <v>1238</v>
      </c>
      <c r="G927" t="s">
        <v>3134</v>
      </c>
      <c r="H927" t="s">
        <v>1247</v>
      </c>
      <c r="J927" s="455">
        <v>46133</v>
      </c>
      <c r="K927" s="455">
        <v>46133</v>
      </c>
      <c r="R927" s="455">
        <v>46189</v>
      </c>
      <c r="U927" s="455">
        <v>46133</v>
      </c>
    </row>
    <row r="928" spans="1:21">
      <c r="A928" t="s">
        <v>1751</v>
      </c>
      <c r="B928" t="s">
        <v>2402</v>
      </c>
      <c r="C928" t="s">
        <v>1751</v>
      </c>
      <c r="D928">
        <v>20510815</v>
      </c>
      <c r="E928" t="s">
        <v>3133</v>
      </c>
      <c r="F928" t="s">
        <v>1782</v>
      </c>
      <c r="G928" t="s">
        <v>3134</v>
      </c>
      <c r="H928" t="s">
        <v>1247</v>
      </c>
      <c r="I928" t="s">
        <v>3363</v>
      </c>
      <c r="J928" s="455">
        <v>46139</v>
      </c>
      <c r="K928" s="455">
        <v>46139</v>
      </c>
      <c r="R928" s="455">
        <v>46189</v>
      </c>
      <c r="U928" s="455">
        <v>46148</v>
      </c>
    </row>
    <row r="929" spans="1:21">
      <c r="A929" t="s">
        <v>1751</v>
      </c>
      <c r="B929" t="s">
        <v>3989</v>
      </c>
      <c r="C929" t="s">
        <v>1751</v>
      </c>
      <c r="D929">
        <v>20553886</v>
      </c>
      <c r="E929" t="s">
        <v>3133</v>
      </c>
      <c r="F929" t="s">
        <v>1238</v>
      </c>
      <c r="G929" t="s">
        <v>3134</v>
      </c>
      <c r="H929" t="s">
        <v>1247</v>
      </c>
      <c r="I929" t="s">
        <v>3179</v>
      </c>
      <c r="J929" s="455">
        <v>46185</v>
      </c>
      <c r="K929" s="455">
        <v>46185</v>
      </c>
      <c r="R929" s="455">
        <v>46190</v>
      </c>
      <c r="U929" s="455">
        <v>46213</v>
      </c>
    </row>
    <row r="930" spans="1:21">
      <c r="A930" t="s">
        <v>1751</v>
      </c>
      <c r="B930" t="s">
        <v>3990</v>
      </c>
      <c r="C930" t="s">
        <v>1751</v>
      </c>
      <c r="D930">
        <v>20565066</v>
      </c>
      <c r="E930" t="s">
        <v>3128</v>
      </c>
      <c r="F930" t="s">
        <v>1241</v>
      </c>
      <c r="G930" t="s">
        <v>3137</v>
      </c>
      <c r="H930" t="s">
        <v>1252</v>
      </c>
      <c r="J930" s="455">
        <v>46198</v>
      </c>
      <c r="U930" s="455">
        <v>46199</v>
      </c>
    </row>
    <row r="931" spans="1:21">
      <c r="A931" t="s">
        <v>1751</v>
      </c>
      <c r="B931" t="s">
        <v>3991</v>
      </c>
      <c r="C931" t="s">
        <v>1751</v>
      </c>
      <c r="D931">
        <v>20548859</v>
      </c>
      <c r="E931" t="s">
        <v>3190</v>
      </c>
      <c r="F931" t="s">
        <v>1242</v>
      </c>
      <c r="G931" t="s">
        <v>3143</v>
      </c>
      <c r="H931" t="s">
        <v>1247</v>
      </c>
      <c r="J931" s="455">
        <v>46181</v>
      </c>
      <c r="R931" s="455">
        <v>46183</v>
      </c>
      <c r="U931" s="455">
        <v>46181</v>
      </c>
    </row>
    <row r="932" spans="1:21">
      <c r="A932" t="s">
        <v>1751</v>
      </c>
      <c r="B932" t="s">
        <v>3038</v>
      </c>
      <c r="C932" t="s">
        <v>1751</v>
      </c>
      <c r="D932">
        <v>20561929</v>
      </c>
      <c r="E932" t="s">
        <v>1907</v>
      </c>
      <c r="F932" t="s">
        <v>1243</v>
      </c>
      <c r="G932" t="s">
        <v>2009</v>
      </c>
      <c r="H932" t="s">
        <v>1251</v>
      </c>
      <c r="I932" t="s">
        <v>2710</v>
      </c>
      <c r="J932" s="455">
        <v>46194</v>
      </c>
      <c r="K932" s="455">
        <v>46195</v>
      </c>
      <c r="L932" s="455">
        <v>46201</v>
      </c>
      <c r="U932" s="455">
        <v>46234</v>
      </c>
    </row>
    <row r="933" spans="1:21">
      <c r="A933" t="s">
        <v>1751</v>
      </c>
      <c r="B933" t="s">
        <v>3992</v>
      </c>
      <c r="C933" t="s">
        <v>1751</v>
      </c>
      <c r="D933">
        <v>20554170</v>
      </c>
      <c r="E933" t="s">
        <v>3133</v>
      </c>
      <c r="F933" t="s">
        <v>1241</v>
      </c>
      <c r="G933" t="s">
        <v>3134</v>
      </c>
      <c r="H933" t="s">
        <v>1247</v>
      </c>
      <c r="I933" t="s">
        <v>2674</v>
      </c>
      <c r="J933" s="455">
        <v>46186</v>
      </c>
      <c r="K933" s="455">
        <v>46186</v>
      </c>
      <c r="R933" s="455">
        <v>46197</v>
      </c>
      <c r="U933" s="455">
        <v>46302</v>
      </c>
    </row>
    <row r="934" spans="1:21">
      <c r="A934" t="s">
        <v>1751</v>
      </c>
      <c r="B934" t="s">
        <v>3993</v>
      </c>
      <c r="C934" t="s">
        <v>1751</v>
      </c>
      <c r="D934">
        <v>20540574</v>
      </c>
      <c r="E934" t="s">
        <v>3128</v>
      </c>
      <c r="F934" t="s">
        <v>1782</v>
      </c>
      <c r="G934" t="s">
        <v>3129</v>
      </c>
      <c r="H934" t="s">
        <v>1252</v>
      </c>
      <c r="J934" s="455">
        <v>46174</v>
      </c>
      <c r="U934" s="455">
        <v>46174</v>
      </c>
    </row>
    <row r="935" spans="1:21">
      <c r="A935" t="s">
        <v>1751</v>
      </c>
      <c r="B935" t="s">
        <v>3994</v>
      </c>
      <c r="C935" t="s">
        <v>1751</v>
      </c>
      <c r="D935">
        <v>20499566</v>
      </c>
      <c r="E935" t="s">
        <v>3133</v>
      </c>
      <c r="F935" t="s">
        <v>1241</v>
      </c>
      <c r="G935" t="s">
        <v>3134</v>
      </c>
      <c r="H935" t="s">
        <v>1247</v>
      </c>
      <c r="I935" t="s">
        <v>1532</v>
      </c>
      <c r="J935" s="455">
        <v>46129</v>
      </c>
      <c r="K935" s="455">
        <v>46129</v>
      </c>
      <c r="R935" s="455">
        <v>46181</v>
      </c>
      <c r="U935" s="455">
        <v>46129</v>
      </c>
    </row>
    <row r="936" spans="1:21">
      <c r="A936" t="s">
        <v>1751</v>
      </c>
      <c r="B936" t="s">
        <v>3995</v>
      </c>
      <c r="C936" t="s">
        <v>1751</v>
      </c>
      <c r="D936">
        <v>20551340</v>
      </c>
      <c r="E936" t="s">
        <v>3128</v>
      </c>
      <c r="F936" t="s">
        <v>1237</v>
      </c>
      <c r="G936" t="s">
        <v>3129</v>
      </c>
      <c r="H936" t="s">
        <v>3377</v>
      </c>
      <c r="I936" t="s">
        <v>2941</v>
      </c>
      <c r="J936" s="455">
        <v>46183</v>
      </c>
      <c r="U936" s="455">
        <v>46199</v>
      </c>
    </row>
    <row r="937" spans="1:21">
      <c r="A937" t="s">
        <v>1751</v>
      </c>
      <c r="B937" t="s">
        <v>3996</v>
      </c>
      <c r="C937" t="s">
        <v>1751</v>
      </c>
      <c r="D937">
        <v>20531866</v>
      </c>
      <c r="E937" t="s">
        <v>3133</v>
      </c>
      <c r="F937" t="s">
        <v>1782</v>
      </c>
      <c r="G937" t="s">
        <v>3129</v>
      </c>
      <c r="H937" t="s">
        <v>1252</v>
      </c>
      <c r="I937" t="s">
        <v>3997</v>
      </c>
      <c r="J937" s="455">
        <v>46162</v>
      </c>
      <c r="K937" s="455">
        <v>46162</v>
      </c>
      <c r="R937" s="455">
        <v>46179</v>
      </c>
      <c r="U937" s="455">
        <v>46164</v>
      </c>
    </row>
    <row r="938" spans="1:21">
      <c r="A938" t="s">
        <v>1751</v>
      </c>
      <c r="B938" t="s">
        <v>1092</v>
      </c>
      <c r="C938" t="s">
        <v>1751</v>
      </c>
      <c r="D938">
        <v>20567181</v>
      </c>
      <c r="E938" t="s">
        <v>3128</v>
      </c>
      <c r="F938" t="s">
        <v>1782</v>
      </c>
      <c r="G938" t="s">
        <v>2009</v>
      </c>
      <c r="H938" t="s">
        <v>2291</v>
      </c>
      <c r="J938" s="455">
        <v>46200</v>
      </c>
      <c r="U938" s="455">
        <v>46200</v>
      </c>
    </row>
    <row r="939" spans="1:21">
      <c r="A939" t="s">
        <v>1751</v>
      </c>
      <c r="B939" t="s">
        <v>3998</v>
      </c>
      <c r="C939" t="s">
        <v>1751</v>
      </c>
      <c r="D939">
        <v>20526487</v>
      </c>
      <c r="E939" t="s">
        <v>3133</v>
      </c>
      <c r="F939" t="s">
        <v>1241</v>
      </c>
      <c r="G939" t="s">
        <v>3134</v>
      </c>
      <c r="H939" t="s">
        <v>1247</v>
      </c>
      <c r="I939" t="s">
        <v>3179</v>
      </c>
      <c r="J939" s="455">
        <v>46156</v>
      </c>
      <c r="K939" s="455">
        <v>46156</v>
      </c>
      <c r="R939" s="455">
        <v>46190</v>
      </c>
      <c r="U939" s="455">
        <v>46174</v>
      </c>
    </row>
    <row r="940" spans="1:21">
      <c r="A940" t="s">
        <v>1751</v>
      </c>
      <c r="B940" t="s">
        <v>3999</v>
      </c>
      <c r="C940" t="s">
        <v>1751</v>
      </c>
      <c r="D940">
        <v>20555971</v>
      </c>
      <c r="E940" t="s">
        <v>3128</v>
      </c>
      <c r="F940" t="s">
        <v>1241</v>
      </c>
      <c r="G940" t="s">
        <v>3141</v>
      </c>
      <c r="H940" t="s">
        <v>1252</v>
      </c>
      <c r="J940" s="455">
        <v>46188</v>
      </c>
      <c r="U940" s="455">
        <v>46192</v>
      </c>
    </row>
    <row r="941" spans="1:21">
      <c r="A941" t="s">
        <v>1751</v>
      </c>
      <c r="B941" t="s">
        <v>4000</v>
      </c>
      <c r="C941" t="s">
        <v>1751</v>
      </c>
      <c r="D941">
        <v>20558705</v>
      </c>
      <c r="E941" t="s">
        <v>3128</v>
      </c>
      <c r="F941" t="s">
        <v>1241</v>
      </c>
      <c r="G941" t="s">
        <v>3129</v>
      </c>
      <c r="H941" t="s">
        <v>3377</v>
      </c>
      <c r="J941" s="455">
        <v>46190</v>
      </c>
      <c r="U941" s="455">
        <v>46195</v>
      </c>
    </row>
    <row r="942" spans="1:21">
      <c r="A942" t="s">
        <v>1751</v>
      </c>
      <c r="B942" t="s">
        <v>4001</v>
      </c>
      <c r="C942" t="s">
        <v>1751</v>
      </c>
      <c r="D942">
        <v>20540827</v>
      </c>
      <c r="E942" t="s">
        <v>3128</v>
      </c>
      <c r="F942" t="s">
        <v>1237</v>
      </c>
      <c r="G942" t="s">
        <v>3141</v>
      </c>
      <c r="H942" t="s">
        <v>1252</v>
      </c>
      <c r="J942" s="455">
        <v>46174</v>
      </c>
      <c r="U942" s="455">
        <v>46181</v>
      </c>
    </row>
    <row r="943" spans="1:21">
      <c r="A943" t="s">
        <v>1751</v>
      </c>
      <c r="B943" t="s">
        <v>4002</v>
      </c>
      <c r="C943" t="s">
        <v>1751</v>
      </c>
      <c r="D943">
        <v>20498173</v>
      </c>
      <c r="E943" t="s">
        <v>3133</v>
      </c>
      <c r="F943" t="s">
        <v>1242</v>
      </c>
      <c r="G943" t="s">
        <v>3134</v>
      </c>
      <c r="H943" t="s">
        <v>1247</v>
      </c>
      <c r="I943" t="s">
        <v>1552</v>
      </c>
      <c r="J943" s="455">
        <v>46128</v>
      </c>
      <c r="K943" s="455">
        <v>46128</v>
      </c>
      <c r="R943" s="455">
        <v>46181</v>
      </c>
      <c r="U943" s="455">
        <v>46134</v>
      </c>
    </row>
    <row r="944" spans="1:21">
      <c r="A944" t="s">
        <v>1751</v>
      </c>
      <c r="B944" t="s">
        <v>4003</v>
      </c>
      <c r="C944" t="s">
        <v>1751</v>
      </c>
      <c r="D944">
        <v>20554604</v>
      </c>
      <c r="E944" t="s">
        <v>3128</v>
      </c>
      <c r="F944" t="s">
        <v>1782</v>
      </c>
      <c r="G944" t="s">
        <v>3134</v>
      </c>
      <c r="H944" t="s">
        <v>1252</v>
      </c>
      <c r="J944" s="455">
        <v>46186</v>
      </c>
      <c r="U944" s="455">
        <v>46204</v>
      </c>
    </row>
    <row r="945" spans="1:21">
      <c r="A945" t="s">
        <v>1751</v>
      </c>
      <c r="B945" t="s">
        <v>4004</v>
      </c>
      <c r="C945" t="s">
        <v>1751</v>
      </c>
      <c r="D945">
        <v>20542566</v>
      </c>
      <c r="E945" t="s">
        <v>3128</v>
      </c>
      <c r="F945" t="s">
        <v>1782</v>
      </c>
      <c r="G945" t="s">
        <v>3137</v>
      </c>
      <c r="H945" t="s">
        <v>1252</v>
      </c>
      <c r="J945" s="455">
        <v>46175</v>
      </c>
      <c r="U945" s="455">
        <v>46236</v>
      </c>
    </row>
    <row r="946" spans="1:21">
      <c r="A946" t="s">
        <v>1751</v>
      </c>
      <c r="B946" t="s">
        <v>4005</v>
      </c>
      <c r="C946" t="s">
        <v>1751</v>
      </c>
      <c r="D946">
        <v>20542804</v>
      </c>
      <c r="E946" t="s">
        <v>3128</v>
      </c>
      <c r="F946" t="s">
        <v>1241</v>
      </c>
      <c r="G946" t="s">
        <v>3129</v>
      </c>
      <c r="H946" t="s">
        <v>1251</v>
      </c>
      <c r="J946" s="455">
        <v>46176</v>
      </c>
      <c r="U946" s="455">
        <v>46207</v>
      </c>
    </row>
    <row r="947" spans="1:21">
      <c r="A947" t="s">
        <v>1751</v>
      </c>
      <c r="B947" t="s">
        <v>4006</v>
      </c>
      <c r="C947" t="s">
        <v>1751</v>
      </c>
      <c r="D947">
        <v>20509686</v>
      </c>
      <c r="E947" t="s">
        <v>3133</v>
      </c>
      <c r="F947" t="s">
        <v>1242</v>
      </c>
      <c r="G947" t="s">
        <v>3134</v>
      </c>
      <c r="H947" t="s">
        <v>1247</v>
      </c>
      <c r="J947" s="455">
        <v>46137</v>
      </c>
      <c r="K947" s="455">
        <v>46137</v>
      </c>
      <c r="R947" s="455">
        <v>46189</v>
      </c>
      <c r="U947" s="455">
        <v>46142</v>
      </c>
    </row>
    <row r="948" spans="1:21">
      <c r="A948" t="s">
        <v>1751</v>
      </c>
      <c r="B948" t="s">
        <v>4007</v>
      </c>
      <c r="C948" t="s">
        <v>1751</v>
      </c>
      <c r="D948">
        <v>20549883</v>
      </c>
      <c r="E948" t="s">
        <v>3128</v>
      </c>
      <c r="F948" t="s">
        <v>1241</v>
      </c>
      <c r="G948" t="s">
        <v>3134</v>
      </c>
      <c r="H948" t="s">
        <v>1252</v>
      </c>
      <c r="J948" s="455">
        <v>46182</v>
      </c>
      <c r="U948" s="455">
        <v>46216</v>
      </c>
    </row>
    <row r="949" spans="1:21">
      <c r="A949" t="s">
        <v>1751</v>
      </c>
      <c r="B949" t="s">
        <v>4008</v>
      </c>
      <c r="C949" t="s">
        <v>1751</v>
      </c>
      <c r="D949">
        <v>20554711</v>
      </c>
      <c r="E949" t="s">
        <v>3133</v>
      </c>
      <c r="F949" t="s">
        <v>1241</v>
      </c>
      <c r="G949" t="s">
        <v>3134</v>
      </c>
      <c r="H949" t="s">
        <v>1247</v>
      </c>
      <c r="J949" s="455">
        <v>46186</v>
      </c>
      <c r="K949" s="455">
        <v>46186</v>
      </c>
      <c r="R949" s="455">
        <v>46190</v>
      </c>
      <c r="U949" s="455">
        <v>46253</v>
      </c>
    </row>
    <row r="950" spans="1:21">
      <c r="A950" t="s">
        <v>1751</v>
      </c>
      <c r="B950" t="s">
        <v>4009</v>
      </c>
      <c r="C950" t="s">
        <v>1751</v>
      </c>
      <c r="D950">
        <v>20541479</v>
      </c>
      <c r="E950" t="s">
        <v>3128</v>
      </c>
      <c r="F950" t="s">
        <v>1241</v>
      </c>
      <c r="G950" t="s">
        <v>3129</v>
      </c>
      <c r="H950" t="s">
        <v>3131</v>
      </c>
      <c r="J950" s="455">
        <v>46175</v>
      </c>
      <c r="U950" s="455">
        <v>46175</v>
      </c>
    </row>
    <row r="951" spans="1:21">
      <c r="A951" t="s">
        <v>1751</v>
      </c>
      <c r="B951" t="s">
        <v>3006</v>
      </c>
      <c r="C951" t="s">
        <v>1751</v>
      </c>
      <c r="D951">
        <v>20528801</v>
      </c>
      <c r="E951" t="s">
        <v>3557</v>
      </c>
      <c r="F951" t="s">
        <v>1239</v>
      </c>
      <c r="G951" t="s">
        <v>3134</v>
      </c>
      <c r="H951" t="s">
        <v>1247</v>
      </c>
      <c r="I951" t="s">
        <v>1801</v>
      </c>
      <c r="J951" s="455">
        <v>46159</v>
      </c>
      <c r="K951" s="455">
        <v>46159</v>
      </c>
      <c r="L951" s="455">
        <v>46171</v>
      </c>
      <c r="M951" s="455">
        <v>46181</v>
      </c>
      <c r="N951" s="455">
        <v>46181</v>
      </c>
      <c r="P951" s="455">
        <v>46203</v>
      </c>
      <c r="U951" s="455">
        <v>46206</v>
      </c>
    </row>
    <row r="952" spans="1:21">
      <c r="A952" t="s">
        <v>1751</v>
      </c>
      <c r="B952" t="s">
        <v>3006</v>
      </c>
      <c r="C952" t="s">
        <v>1751</v>
      </c>
      <c r="D952">
        <v>20520800</v>
      </c>
      <c r="E952" t="s">
        <v>3133</v>
      </c>
      <c r="F952" t="s">
        <v>1912</v>
      </c>
      <c r="G952" t="s">
        <v>3134</v>
      </c>
      <c r="H952" t="s">
        <v>1247</v>
      </c>
      <c r="I952" t="s">
        <v>2576</v>
      </c>
      <c r="J952" s="455">
        <v>46151</v>
      </c>
      <c r="K952" s="455">
        <v>46151</v>
      </c>
      <c r="R952" s="455">
        <v>46189</v>
      </c>
      <c r="U952" s="455">
        <v>46206</v>
      </c>
    </row>
    <row r="953" spans="1:21">
      <c r="A953" t="s">
        <v>1751</v>
      </c>
      <c r="B953" t="s">
        <v>4010</v>
      </c>
      <c r="C953" t="s">
        <v>1751</v>
      </c>
      <c r="D953">
        <v>20549604</v>
      </c>
      <c r="E953" t="s">
        <v>3190</v>
      </c>
      <c r="F953" t="s">
        <v>1243</v>
      </c>
      <c r="G953" t="s">
        <v>3143</v>
      </c>
      <c r="H953" t="s">
        <v>1248</v>
      </c>
      <c r="I953" t="s">
        <v>3533</v>
      </c>
      <c r="J953" s="455">
        <v>46182</v>
      </c>
      <c r="R953" s="455">
        <v>46183</v>
      </c>
      <c r="U953" s="455">
        <v>46182</v>
      </c>
    </row>
    <row r="954" spans="1:21">
      <c r="A954" t="s">
        <v>1751</v>
      </c>
      <c r="B954" t="s">
        <v>4011</v>
      </c>
      <c r="C954" t="s">
        <v>1751</v>
      </c>
      <c r="D954">
        <v>20555534</v>
      </c>
      <c r="E954" t="s">
        <v>3128</v>
      </c>
      <c r="F954" t="s">
        <v>1239</v>
      </c>
      <c r="G954" t="s">
        <v>3143</v>
      </c>
      <c r="H954" t="s">
        <v>3358</v>
      </c>
      <c r="J954" s="455">
        <v>46188</v>
      </c>
      <c r="U954" s="455">
        <v>46188</v>
      </c>
    </row>
    <row r="955" spans="1:21">
      <c r="A955" t="s">
        <v>1751</v>
      </c>
      <c r="B955" t="s">
        <v>4011</v>
      </c>
      <c r="C955" t="s">
        <v>1751</v>
      </c>
      <c r="D955">
        <v>20559185</v>
      </c>
      <c r="E955" t="s">
        <v>3133</v>
      </c>
      <c r="F955" t="s">
        <v>1239</v>
      </c>
      <c r="G955" t="s">
        <v>3134</v>
      </c>
      <c r="H955" t="s">
        <v>1247</v>
      </c>
      <c r="I955" t="s">
        <v>4012</v>
      </c>
      <c r="J955" s="455">
        <v>46190</v>
      </c>
      <c r="K955" s="455">
        <v>46190</v>
      </c>
      <c r="L955" s="455">
        <v>46190</v>
      </c>
      <c r="S955" s="455">
        <v>46191</v>
      </c>
      <c r="U955" s="455">
        <v>46279</v>
      </c>
    </row>
    <row r="956" spans="1:21">
      <c r="A956" t="s">
        <v>1751</v>
      </c>
      <c r="B956" t="s">
        <v>4011</v>
      </c>
      <c r="C956" t="s">
        <v>1751</v>
      </c>
      <c r="D956">
        <v>20559792</v>
      </c>
      <c r="E956" t="s">
        <v>3133</v>
      </c>
      <c r="F956" t="s">
        <v>1241</v>
      </c>
      <c r="G956" t="s">
        <v>3134</v>
      </c>
      <c r="H956" t="s">
        <v>1247</v>
      </c>
      <c r="J956" s="455">
        <v>46191</v>
      </c>
      <c r="K956" s="455">
        <v>46191</v>
      </c>
      <c r="R956" s="455">
        <v>46197</v>
      </c>
      <c r="U956" s="455">
        <v>46191</v>
      </c>
    </row>
    <row r="957" spans="1:21">
      <c r="A957" t="s">
        <v>1751</v>
      </c>
      <c r="B957" t="s">
        <v>4013</v>
      </c>
      <c r="C957" t="s">
        <v>1751</v>
      </c>
      <c r="D957">
        <v>20568994</v>
      </c>
      <c r="E957" t="s">
        <v>3128</v>
      </c>
      <c r="F957" t="s">
        <v>1782</v>
      </c>
      <c r="G957" t="s">
        <v>3137</v>
      </c>
      <c r="H957" t="s">
        <v>1252</v>
      </c>
      <c r="J957" s="455">
        <v>46203</v>
      </c>
      <c r="U957" s="455">
        <v>46235</v>
      </c>
    </row>
    <row r="958" spans="1:21">
      <c r="A958" t="s">
        <v>1751</v>
      </c>
      <c r="B958" t="s">
        <v>4014</v>
      </c>
      <c r="C958" t="s">
        <v>1751</v>
      </c>
      <c r="D958">
        <v>20560539</v>
      </c>
      <c r="E958" t="s">
        <v>3128</v>
      </c>
      <c r="F958" t="s">
        <v>1782</v>
      </c>
      <c r="G958" t="s">
        <v>3137</v>
      </c>
      <c r="H958" t="s">
        <v>1252</v>
      </c>
      <c r="J958" s="455">
        <v>46192</v>
      </c>
      <c r="U958" s="455">
        <v>46199</v>
      </c>
    </row>
    <row r="959" spans="1:21">
      <c r="A959" t="s">
        <v>1751</v>
      </c>
      <c r="B959" t="s">
        <v>4015</v>
      </c>
      <c r="C959" t="s">
        <v>1751</v>
      </c>
      <c r="D959">
        <v>20544510</v>
      </c>
      <c r="E959" t="s">
        <v>3128</v>
      </c>
      <c r="F959" t="s">
        <v>1241</v>
      </c>
      <c r="G959" t="s">
        <v>3134</v>
      </c>
      <c r="H959" t="s">
        <v>3165</v>
      </c>
      <c r="J959" s="455">
        <v>46177</v>
      </c>
      <c r="U959" s="455">
        <v>46178</v>
      </c>
    </row>
    <row r="960" spans="1:21">
      <c r="A960" t="s">
        <v>1751</v>
      </c>
      <c r="B960" t="s">
        <v>4016</v>
      </c>
      <c r="C960" t="s">
        <v>1751</v>
      </c>
      <c r="D960">
        <v>20497684</v>
      </c>
      <c r="E960" t="s">
        <v>3133</v>
      </c>
      <c r="F960" t="s">
        <v>3158</v>
      </c>
      <c r="G960" t="s">
        <v>3134</v>
      </c>
      <c r="H960" t="s">
        <v>1247</v>
      </c>
      <c r="I960" t="s">
        <v>1969</v>
      </c>
      <c r="J960" s="455">
        <v>46128</v>
      </c>
      <c r="K960" s="455">
        <v>46128</v>
      </c>
      <c r="R960" s="455">
        <v>46189</v>
      </c>
      <c r="U960" s="455">
        <v>46172</v>
      </c>
    </row>
    <row r="961" spans="1:21">
      <c r="A961" t="s">
        <v>1751</v>
      </c>
      <c r="B961" t="s">
        <v>4017</v>
      </c>
      <c r="C961" t="s">
        <v>1751</v>
      </c>
      <c r="D961">
        <v>20554481</v>
      </c>
      <c r="E961" t="s">
        <v>3128</v>
      </c>
      <c r="F961" t="s">
        <v>1782</v>
      </c>
      <c r="G961" t="s">
        <v>3134</v>
      </c>
      <c r="H961" t="s">
        <v>3165</v>
      </c>
      <c r="J961" s="455">
        <v>46186</v>
      </c>
      <c r="U961" s="455">
        <v>46187</v>
      </c>
    </row>
    <row r="962" spans="1:21">
      <c r="A962" t="s">
        <v>1751</v>
      </c>
      <c r="B962" t="s">
        <v>4018</v>
      </c>
      <c r="C962" t="s">
        <v>1751</v>
      </c>
      <c r="D962">
        <v>20544481</v>
      </c>
      <c r="E962" t="s">
        <v>3128</v>
      </c>
      <c r="F962" t="s">
        <v>1782</v>
      </c>
      <c r="G962" t="s">
        <v>3141</v>
      </c>
      <c r="H962" t="s">
        <v>1252</v>
      </c>
      <c r="J962" s="455">
        <v>46176</v>
      </c>
      <c r="U962" s="455">
        <v>46195</v>
      </c>
    </row>
    <row r="963" spans="1:21">
      <c r="A963" t="s">
        <v>1751</v>
      </c>
      <c r="B963" t="s">
        <v>4019</v>
      </c>
      <c r="C963" t="s">
        <v>1751</v>
      </c>
      <c r="D963">
        <v>20518677</v>
      </c>
      <c r="E963" t="s">
        <v>3133</v>
      </c>
      <c r="F963" t="s">
        <v>1912</v>
      </c>
      <c r="G963" t="s">
        <v>3134</v>
      </c>
      <c r="H963" t="s">
        <v>1247</v>
      </c>
      <c r="I963" t="s">
        <v>1524</v>
      </c>
      <c r="J963" s="455">
        <v>46148</v>
      </c>
      <c r="K963" s="455">
        <v>46148</v>
      </c>
      <c r="R963" s="455">
        <v>46189</v>
      </c>
      <c r="U963" s="455">
        <v>46171</v>
      </c>
    </row>
    <row r="964" spans="1:21">
      <c r="A964" t="s">
        <v>1751</v>
      </c>
      <c r="B964" t="s">
        <v>4020</v>
      </c>
      <c r="C964" t="s">
        <v>1751</v>
      </c>
      <c r="D964">
        <v>20551905</v>
      </c>
      <c r="E964" t="s">
        <v>3128</v>
      </c>
      <c r="F964" t="s">
        <v>1241</v>
      </c>
      <c r="G964" t="s">
        <v>3141</v>
      </c>
      <c r="H964" t="s">
        <v>1252</v>
      </c>
      <c r="J964" s="455">
        <v>46184</v>
      </c>
      <c r="U964" s="455">
        <v>46204</v>
      </c>
    </row>
    <row r="965" spans="1:21">
      <c r="A965" t="s">
        <v>1751</v>
      </c>
      <c r="B965" t="s">
        <v>4021</v>
      </c>
      <c r="C965" t="s">
        <v>1751</v>
      </c>
      <c r="D965">
        <v>20550126</v>
      </c>
      <c r="E965" t="s">
        <v>3133</v>
      </c>
      <c r="F965" t="s">
        <v>1241</v>
      </c>
      <c r="G965" t="s">
        <v>3134</v>
      </c>
      <c r="H965" t="s">
        <v>1247</v>
      </c>
      <c r="I965" t="s">
        <v>1899</v>
      </c>
      <c r="J965" s="455">
        <v>46183</v>
      </c>
      <c r="K965" s="455">
        <v>46183</v>
      </c>
      <c r="R965" s="455">
        <v>46196</v>
      </c>
      <c r="U965" s="455">
        <v>46183</v>
      </c>
    </row>
    <row r="966" spans="1:21">
      <c r="A966" t="s">
        <v>1751</v>
      </c>
      <c r="B966" t="s">
        <v>4022</v>
      </c>
      <c r="C966" t="s">
        <v>1751</v>
      </c>
      <c r="D966">
        <v>20564268</v>
      </c>
      <c r="E966" t="s">
        <v>3128</v>
      </c>
      <c r="F966" t="s">
        <v>1241</v>
      </c>
      <c r="G966" t="s">
        <v>3141</v>
      </c>
      <c r="H966" t="s">
        <v>1252</v>
      </c>
      <c r="J966" s="455">
        <v>46197</v>
      </c>
      <c r="U966" s="455">
        <v>46209</v>
      </c>
    </row>
    <row r="967" spans="1:21">
      <c r="A967" t="s">
        <v>1751</v>
      </c>
      <c r="B967" t="s">
        <v>4023</v>
      </c>
      <c r="C967" t="s">
        <v>1751</v>
      </c>
      <c r="D967">
        <v>20539072</v>
      </c>
      <c r="E967" t="s">
        <v>3142</v>
      </c>
      <c r="F967" t="s">
        <v>1243</v>
      </c>
      <c r="G967" t="s">
        <v>3143</v>
      </c>
      <c r="H967" t="s">
        <v>1252</v>
      </c>
      <c r="I967" t="s">
        <v>2488</v>
      </c>
      <c r="J967" s="455">
        <v>46171</v>
      </c>
      <c r="K967" s="455">
        <v>46172</v>
      </c>
      <c r="L967" s="455">
        <v>46172</v>
      </c>
      <c r="M967" s="455">
        <v>46178</v>
      </c>
      <c r="N967" s="455">
        <v>46182</v>
      </c>
      <c r="P967" s="455">
        <v>46182</v>
      </c>
      <c r="Q967" s="455">
        <v>46182</v>
      </c>
      <c r="U967" s="455">
        <v>46184</v>
      </c>
    </row>
    <row r="968" spans="1:21">
      <c r="A968" t="s">
        <v>1751</v>
      </c>
      <c r="B968" t="s">
        <v>4023</v>
      </c>
      <c r="C968" t="s">
        <v>1751</v>
      </c>
      <c r="D968">
        <v>20544916</v>
      </c>
      <c r="E968" t="s">
        <v>3128</v>
      </c>
      <c r="F968" t="s">
        <v>1241</v>
      </c>
      <c r="G968" t="s">
        <v>3129</v>
      </c>
      <c r="H968" t="s">
        <v>3131</v>
      </c>
      <c r="J968" s="455">
        <v>46177</v>
      </c>
      <c r="U968" s="455">
        <v>46177</v>
      </c>
    </row>
    <row r="969" spans="1:21">
      <c r="A969" t="s">
        <v>1751</v>
      </c>
      <c r="B969" t="s">
        <v>4024</v>
      </c>
      <c r="C969" t="s">
        <v>1751</v>
      </c>
      <c r="D969">
        <v>20558545</v>
      </c>
      <c r="E969" t="s">
        <v>3128</v>
      </c>
      <c r="F969" t="s">
        <v>1241</v>
      </c>
      <c r="G969" t="s">
        <v>3143</v>
      </c>
      <c r="H969" t="s">
        <v>1247</v>
      </c>
      <c r="J969" s="455">
        <v>46189</v>
      </c>
      <c r="U969" s="455">
        <v>46189</v>
      </c>
    </row>
    <row r="970" spans="1:21">
      <c r="A970" t="s">
        <v>1751</v>
      </c>
      <c r="B970" t="s">
        <v>4025</v>
      </c>
      <c r="C970" t="s">
        <v>1751</v>
      </c>
      <c r="D970">
        <v>20548487</v>
      </c>
      <c r="E970" t="s">
        <v>3128</v>
      </c>
      <c r="F970" t="s">
        <v>1242</v>
      </c>
      <c r="G970" t="s">
        <v>3143</v>
      </c>
      <c r="H970" t="s">
        <v>1247</v>
      </c>
      <c r="I970" t="s">
        <v>1917</v>
      </c>
      <c r="J970" s="455">
        <v>46181</v>
      </c>
      <c r="U970" s="455">
        <v>46181</v>
      </c>
    </row>
    <row r="971" spans="1:21">
      <c r="A971" t="s">
        <v>1751</v>
      </c>
      <c r="B971" t="s">
        <v>4026</v>
      </c>
      <c r="C971" t="s">
        <v>1751</v>
      </c>
      <c r="D971">
        <v>20555717</v>
      </c>
      <c r="E971" t="s">
        <v>3128</v>
      </c>
      <c r="F971" t="s">
        <v>1241</v>
      </c>
      <c r="G971" t="s">
        <v>3137</v>
      </c>
      <c r="H971" t="s">
        <v>1252</v>
      </c>
      <c r="J971" s="455">
        <v>46188</v>
      </c>
      <c r="U971" s="455">
        <v>46221</v>
      </c>
    </row>
    <row r="972" spans="1:21">
      <c r="A972" t="s">
        <v>1751</v>
      </c>
      <c r="B972" t="s">
        <v>4027</v>
      </c>
      <c r="C972" t="s">
        <v>1751</v>
      </c>
      <c r="D972">
        <v>20559607</v>
      </c>
      <c r="E972" t="s">
        <v>3128</v>
      </c>
      <c r="F972" t="s">
        <v>1782</v>
      </c>
      <c r="G972" t="s">
        <v>3141</v>
      </c>
      <c r="H972" t="s">
        <v>1252</v>
      </c>
      <c r="J972" s="455">
        <v>46191</v>
      </c>
      <c r="U972" s="455">
        <v>46341</v>
      </c>
    </row>
    <row r="973" spans="1:21">
      <c r="A973" t="s">
        <v>1751</v>
      </c>
      <c r="B973" t="s">
        <v>4028</v>
      </c>
      <c r="C973" t="s">
        <v>1751</v>
      </c>
      <c r="D973">
        <v>20542091</v>
      </c>
      <c r="E973" t="s">
        <v>3128</v>
      </c>
      <c r="F973" t="s">
        <v>1241</v>
      </c>
      <c r="G973" t="s">
        <v>3129</v>
      </c>
      <c r="H973" t="s">
        <v>1252</v>
      </c>
      <c r="I973" t="s">
        <v>2941</v>
      </c>
      <c r="J973" s="455">
        <v>46175</v>
      </c>
      <c r="U973" s="455">
        <v>46204</v>
      </c>
    </row>
    <row r="974" spans="1:21">
      <c r="A974" t="s">
        <v>1751</v>
      </c>
      <c r="B974" t="s">
        <v>4029</v>
      </c>
      <c r="C974" t="s">
        <v>1751</v>
      </c>
      <c r="D974">
        <v>20540375</v>
      </c>
      <c r="E974" t="s">
        <v>3128</v>
      </c>
      <c r="F974" t="s">
        <v>1242</v>
      </c>
      <c r="G974" t="s">
        <v>3141</v>
      </c>
      <c r="H974" t="s">
        <v>1252</v>
      </c>
      <c r="I974" t="s">
        <v>1917</v>
      </c>
      <c r="J974" s="455">
        <v>46174</v>
      </c>
      <c r="U974" s="455">
        <v>46244</v>
      </c>
    </row>
    <row r="975" spans="1:21">
      <c r="A975" t="s">
        <v>1751</v>
      </c>
      <c r="B975" t="s">
        <v>4030</v>
      </c>
      <c r="C975" t="s">
        <v>1751</v>
      </c>
      <c r="D975">
        <v>20567795</v>
      </c>
      <c r="E975" t="s">
        <v>3128</v>
      </c>
      <c r="F975" t="s">
        <v>1782</v>
      </c>
      <c r="G975" t="s">
        <v>3134</v>
      </c>
      <c r="H975" t="s">
        <v>3165</v>
      </c>
      <c r="J975" s="455">
        <v>46201</v>
      </c>
      <c r="U975" s="455">
        <v>46293</v>
      </c>
    </row>
    <row r="976" spans="1:21">
      <c r="A976" t="s">
        <v>1751</v>
      </c>
      <c r="B976" t="s">
        <v>4031</v>
      </c>
      <c r="C976" t="s">
        <v>1751</v>
      </c>
      <c r="D976">
        <v>20534327</v>
      </c>
      <c r="E976" t="s">
        <v>3133</v>
      </c>
      <c r="F976" t="s">
        <v>1241</v>
      </c>
      <c r="G976" t="s">
        <v>3134</v>
      </c>
      <c r="H976" t="s">
        <v>1247</v>
      </c>
      <c r="I976" t="s">
        <v>1950</v>
      </c>
      <c r="J976" s="455">
        <v>46165</v>
      </c>
      <c r="K976" s="455">
        <v>46165</v>
      </c>
      <c r="R976" s="455">
        <v>46190</v>
      </c>
      <c r="U976" s="455">
        <v>46177</v>
      </c>
    </row>
    <row r="977" spans="1:21">
      <c r="A977" t="s">
        <v>1751</v>
      </c>
      <c r="B977" t="s">
        <v>4032</v>
      </c>
      <c r="C977" t="s">
        <v>1751</v>
      </c>
      <c r="D977">
        <v>20530949</v>
      </c>
      <c r="E977" t="s">
        <v>1897</v>
      </c>
      <c r="F977" t="s">
        <v>1782</v>
      </c>
      <c r="G977" t="s">
        <v>3141</v>
      </c>
      <c r="H977" t="s">
        <v>1252</v>
      </c>
      <c r="I977" t="s">
        <v>2437</v>
      </c>
      <c r="J977" s="455">
        <v>46161</v>
      </c>
      <c r="K977" s="455">
        <v>46197</v>
      </c>
      <c r="U977" s="455">
        <v>46296</v>
      </c>
    </row>
    <row r="978" spans="1:21">
      <c r="A978" t="s">
        <v>1751</v>
      </c>
      <c r="B978" t="s">
        <v>4033</v>
      </c>
      <c r="C978" t="s">
        <v>1751</v>
      </c>
      <c r="D978">
        <v>20543838</v>
      </c>
      <c r="E978" t="s">
        <v>3128</v>
      </c>
      <c r="F978" t="s">
        <v>1782</v>
      </c>
      <c r="G978" t="s">
        <v>3143</v>
      </c>
      <c r="H978" t="s">
        <v>1252</v>
      </c>
      <c r="I978" t="s">
        <v>3170</v>
      </c>
      <c r="J978" s="455">
        <v>46176</v>
      </c>
      <c r="U978" s="455">
        <v>46176</v>
      </c>
    </row>
    <row r="979" spans="1:21">
      <c r="A979" t="s">
        <v>1751</v>
      </c>
      <c r="B979" t="s">
        <v>4034</v>
      </c>
      <c r="C979" t="s">
        <v>1751</v>
      </c>
      <c r="D979">
        <v>20534690</v>
      </c>
      <c r="E979" t="s">
        <v>3133</v>
      </c>
      <c r="F979" t="s">
        <v>1241</v>
      </c>
      <c r="G979" t="s">
        <v>3134</v>
      </c>
      <c r="H979" t="s">
        <v>1247</v>
      </c>
      <c r="J979" s="455">
        <v>46166</v>
      </c>
      <c r="K979" s="455">
        <v>46166</v>
      </c>
      <c r="R979" s="455">
        <v>46190</v>
      </c>
      <c r="U979" s="455">
        <v>46167</v>
      </c>
    </row>
    <row r="980" spans="1:21">
      <c r="A980" t="s">
        <v>1751</v>
      </c>
      <c r="B980" t="s">
        <v>4035</v>
      </c>
      <c r="C980" t="s">
        <v>1751</v>
      </c>
      <c r="D980">
        <v>20554713</v>
      </c>
      <c r="E980" t="s">
        <v>3128</v>
      </c>
      <c r="F980" t="s">
        <v>1241</v>
      </c>
      <c r="G980" t="s">
        <v>3141</v>
      </c>
      <c r="H980" t="s">
        <v>1252</v>
      </c>
      <c r="J980" s="455">
        <v>46186</v>
      </c>
      <c r="U980" s="455">
        <v>46207</v>
      </c>
    </row>
    <row r="981" spans="1:21">
      <c r="A981" t="s">
        <v>1751</v>
      </c>
      <c r="B981" t="s">
        <v>4036</v>
      </c>
      <c r="C981" t="s">
        <v>1751</v>
      </c>
      <c r="D981">
        <v>20567698</v>
      </c>
      <c r="E981" t="s">
        <v>3128</v>
      </c>
      <c r="F981" t="s">
        <v>1782</v>
      </c>
      <c r="G981" t="s">
        <v>3141</v>
      </c>
      <c r="H981" t="s">
        <v>1252</v>
      </c>
      <c r="J981" s="455">
        <v>46201</v>
      </c>
      <c r="U981" s="455">
        <v>46206</v>
      </c>
    </row>
    <row r="982" spans="1:21">
      <c r="A982" t="s">
        <v>1751</v>
      </c>
      <c r="B982" t="s">
        <v>4036</v>
      </c>
      <c r="C982" t="s">
        <v>1751</v>
      </c>
      <c r="D982">
        <v>20567703</v>
      </c>
      <c r="E982" t="s">
        <v>3128</v>
      </c>
      <c r="F982" t="s">
        <v>1782</v>
      </c>
      <c r="G982" t="s">
        <v>3134</v>
      </c>
      <c r="H982" t="s">
        <v>1252</v>
      </c>
      <c r="J982" s="455">
        <v>46201</v>
      </c>
      <c r="U982" s="455">
        <v>46206</v>
      </c>
    </row>
    <row r="983" spans="1:21">
      <c r="A983" t="s">
        <v>1751</v>
      </c>
      <c r="B983" t="s">
        <v>4037</v>
      </c>
      <c r="C983" t="s">
        <v>1751</v>
      </c>
      <c r="D983">
        <v>20559033</v>
      </c>
      <c r="E983" t="s">
        <v>3128</v>
      </c>
      <c r="F983" t="s">
        <v>1241</v>
      </c>
      <c r="G983" t="s">
        <v>3141</v>
      </c>
      <c r="H983" t="s">
        <v>1252</v>
      </c>
      <c r="J983" s="455">
        <v>46190</v>
      </c>
      <c r="U983" s="455">
        <v>46191</v>
      </c>
    </row>
    <row r="984" spans="1:21">
      <c r="A984" t="s">
        <v>1751</v>
      </c>
      <c r="B984" t="s">
        <v>4038</v>
      </c>
      <c r="C984" t="s">
        <v>1751</v>
      </c>
      <c r="D984">
        <v>20550489</v>
      </c>
      <c r="E984" t="s">
        <v>3128</v>
      </c>
      <c r="F984" t="s">
        <v>1241</v>
      </c>
      <c r="G984" t="s">
        <v>3129</v>
      </c>
      <c r="H984" t="s">
        <v>1253</v>
      </c>
      <c r="J984" s="455">
        <v>46183</v>
      </c>
      <c r="U984" s="455">
        <v>46204</v>
      </c>
    </row>
    <row r="985" spans="1:21">
      <c r="A985" t="s">
        <v>1751</v>
      </c>
      <c r="B985" t="s">
        <v>4039</v>
      </c>
      <c r="C985" t="s">
        <v>1751</v>
      </c>
      <c r="D985">
        <v>20548285</v>
      </c>
      <c r="E985" t="s">
        <v>3128</v>
      </c>
      <c r="F985" t="s">
        <v>1241</v>
      </c>
      <c r="G985" t="s">
        <v>3134</v>
      </c>
      <c r="H985" t="s">
        <v>3165</v>
      </c>
      <c r="J985" s="455">
        <v>46181</v>
      </c>
      <c r="U985" s="455">
        <v>46182</v>
      </c>
    </row>
    <row r="986" spans="1:21">
      <c r="A986" t="s">
        <v>1751</v>
      </c>
      <c r="B986" t="s">
        <v>4040</v>
      </c>
      <c r="C986" t="s">
        <v>1751</v>
      </c>
      <c r="D986">
        <v>20465576</v>
      </c>
      <c r="E986" t="s">
        <v>3133</v>
      </c>
      <c r="F986" t="s">
        <v>1243</v>
      </c>
      <c r="G986" t="s">
        <v>3134</v>
      </c>
      <c r="H986" t="s">
        <v>1247</v>
      </c>
      <c r="I986" t="s">
        <v>1931</v>
      </c>
      <c r="J986" s="455">
        <v>46090</v>
      </c>
      <c r="K986" s="455">
        <v>46090</v>
      </c>
      <c r="R986" s="455">
        <v>46177</v>
      </c>
      <c r="U986" s="455">
        <v>46094</v>
      </c>
    </row>
    <row r="987" spans="1:21">
      <c r="A987" t="s">
        <v>1751</v>
      </c>
      <c r="B987" t="s">
        <v>4041</v>
      </c>
      <c r="C987" t="s">
        <v>1751</v>
      </c>
      <c r="D987">
        <v>20561786</v>
      </c>
      <c r="E987" t="s">
        <v>3128</v>
      </c>
      <c r="F987" t="s">
        <v>1241</v>
      </c>
      <c r="G987" t="s">
        <v>3134</v>
      </c>
      <c r="H987" t="s">
        <v>1252</v>
      </c>
      <c r="J987" s="455">
        <v>46194</v>
      </c>
      <c r="U987" s="455">
        <v>46195</v>
      </c>
    </row>
    <row r="988" spans="1:21">
      <c r="A988" t="s">
        <v>1751</v>
      </c>
      <c r="B988" t="s">
        <v>4042</v>
      </c>
      <c r="C988" t="s">
        <v>1751</v>
      </c>
      <c r="D988">
        <v>20549872</v>
      </c>
      <c r="E988" t="s">
        <v>3128</v>
      </c>
      <c r="F988" t="s">
        <v>1241</v>
      </c>
      <c r="G988" t="s">
        <v>2009</v>
      </c>
      <c r="H988" t="s">
        <v>1247</v>
      </c>
      <c r="J988" s="455">
        <v>46182</v>
      </c>
      <c r="U988" s="455">
        <v>46182</v>
      </c>
    </row>
    <row r="989" spans="1:21">
      <c r="A989" t="s">
        <v>1751</v>
      </c>
      <c r="B989" t="s">
        <v>4043</v>
      </c>
      <c r="C989" t="s">
        <v>1751</v>
      </c>
      <c r="D989">
        <v>20554787</v>
      </c>
      <c r="E989" t="s">
        <v>3128</v>
      </c>
      <c r="F989" t="s">
        <v>1241</v>
      </c>
      <c r="G989" t="s">
        <v>3134</v>
      </c>
      <c r="H989" t="s">
        <v>3165</v>
      </c>
      <c r="J989" s="455">
        <v>46187</v>
      </c>
      <c r="U989" s="455">
        <v>46265</v>
      </c>
    </row>
    <row r="990" spans="1:21">
      <c r="A990" t="s">
        <v>1751</v>
      </c>
      <c r="B990" t="s">
        <v>4044</v>
      </c>
      <c r="C990" t="s">
        <v>1751</v>
      </c>
      <c r="D990">
        <v>20548049</v>
      </c>
      <c r="E990" t="s">
        <v>3128</v>
      </c>
      <c r="F990" t="s">
        <v>1242</v>
      </c>
      <c r="G990" t="s">
        <v>3143</v>
      </c>
      <c r="H990" t="s">
        <v>1248</v>
      </c>
      <c r="I990" t="s">
        <v>1917</v>
      </c>
      <c r="J990" s="455">
        <v>46181</v>
      </c>
      <c r="U990" s="455">
        <v>46204</v>
      </c>
    </row>
    <row r="991" spans="1:21">
      <c r="A991" t="s">
        <v>1751</v>
      </c>
      <c r="B991" t="s">
        <v>4045</v>
      </c>
      <c r="C991" t="s">
        <v>1751</v>
      </c>
      <c r="D991">
        <v>20493031</v>
      </c>
      <c r="E991" t="s">
        <v>3133</v>
      </c>
      <c r="F991" t="s">
        <v>1912</v>
      </c>
      <c r="G991" t="s">
        <v>3134</v>
      </c>
      <c r="H991" t="s">
        <v>1247</v>
      </c>
      <c r="J991" s="455">
        <v>46124</v>
      </c>
      <c r="K991" s="455">
        <v>46124</v>
      </c>
      <c r="R991" s="455">
        <v>46181</v>
      </c>
      <c r="U991" s="455">
        <v>46125</v>
      </c>
    </row>
    <row r="992" spans="1:21">
      <c r="A992" t="s">
        <v>1751</v>
      </c>
      <c r="B992" t="s">
        <v>2988</v>
      </c>
      <c r="C992" t="s">
        <v>1751</v>
      </c>
      <c r="D992">
        <v>20569496</v>
      </c>
      <c r="E992" t="s">
        <v>3128</v>
      </c>
      <c r="F992" t="s">
        <v>1242</v>
      </c>
      <c r="G992" t="s">
        <v>3143</v>
      </c>
      <c r="H992" t="s">
        <v>1248</v>
      </c>
      <c r="I992" t="s">
        <v>3042</v>
      </c>
      <c r="J992" s="455">
        <v>46203</v>
      </c>
      <c r="U992" s="455">
        <v>46234</v>
      </c>
    </row>
    <row r="993" spans="1:21">
      <c r="A993" t="s">
        <v>1751</v>
      </c>
      <c r="B993" t="s">
        <v>4046</v>
      </c>
      <c r="C993" t="s">
        <v>1751</v>
      </c>
      <c r="D993">
        <v>20554224</v>
      </c>
      <c r="E993" t="s">
        <v>3133</v>
      </c>
      <c r="F993" t="s">
        <v>1241</v>
      </c>
      <c r="G993" t="s">
        <v>3134</v>
      </c>
      <c r="H993" t="s">
        <v>1247</v>
      </c>
      <c r="I993" t="s">
        <v>1956</v>
      </c>
      <c r="J993" s="455">
        <v>46186</v>
      </c>
      <c r="K993" s="455">
        <v>46186</v>
      </c>
      <c r="R993" s="455">
        <v>46197</v>
      </c>
      <c r="U993" s="455">
        <v>46186</v>
      </c>
    </row>
    <row r="994" spans="1:21">
      <c r="A994" t="s">
        <v>1751</v>
      </c>
      <c r="B994" t="s">
        <v>4046</v>
      </c>
      <c r="C994" t="s">
        <v>1751</v>
      </c>
      <c r="D994">
        <v>20546895</v>
      </c>
      <c r="E994" t="s">
        <v>3133</v>
      </c>
      <c r="F994" t="s">
        <v>1239</v>
      </c>
      <c r="G994" t="s">
        <v>3143</v>
      </c>
      <c r="H994" t="s">
        <v>1247</v>
      </c>
      <c r="I994" t="s">
        <v>1956</v>
      </c>
      <c r="J994" s="455">
        <v>46179</v>
      </c>
      <c r="K994" s="455">
        <v>46180</v>
      </c>
      <c r="L994" s="455">
        <v>46181</v>
      </c>
      <c r="S994" s="455">
        <v>46182</v>
      </c>
      <c r="U994" s="455">
        <v>46200</v>
      </c>
    </row>
    <row r="995" spans="1:21">
      <c r="A995" t="s">
        <v>1751</v>
      </c>
      <c r="B995" t="s">
        <v>4047</v>
      </c>
      <c r="C995" t="s">
        <v>1751</v>
      </c>
      <c r="D995">
        <v>20488952</v>
      </c>
      <c r="E995" t="s">
        <v>3133</v>
      </c>
      <c r="F995" t="s">
        <v>1241</v>
      </c>
      <c r="G995" t="s">
        <v>3134</v>
      </c>
      <c r="H995" t="s">
        <v>1247</v>
      </c>
      <c r="J995" s="455">
        <v>46119</v>
      </c>
      <c r="K995" s="455">
        <v>46119</v>
      </c>
      <c r="R995" s="455">
        <v>46181</v>
      </c>
      <c r="U995" s="455">
        <v>46119</v>
      </c>
    </row>
    <row r="996" spans="1:21">
      <c r="A996" t="s">
        <v>1751</v>
      </c>
      <c r="B996" t="s">
        <v>4048</v>
      </c>
      <c r="C996" t="s">
        <v>1751</v>
      </c>
      <c r="D996">
        <v>20557664</v>
      </c>
      <c r="E996" t="s">
        <v>3128</v>
      </c>
      <c r="F996" t="s">
        <v>1241</v>
      </c>
      <c r="G996" t="s">
        <v>3129</v>
      </c>
      <c r="H996" t="s">
        <v>3131</v>
      </c>
      <c r="J996" s="455">
        <v>46189</v>
      </c>
      <c r="U996" s="455">
        <v>46189</v>
      </c>
    </row>
    <row r="997" spans="1:21">
      <c r="A997" t="s">
        <v>1751</v>
      </c>
      <c r="B997" t="s">
        <v>4049</v>
      </c>
      <c r="C997" t="s">
        <v>1751</v>
      </c>
      <c r="D997">
        <v>20567461</v>
      </c>
      <c r="E997" t="s">
        <v>3128</v>
      </c>
      <c r="F997" t="s">
        <v>1241</v>
      </c>
      <c r="G997" t="s">
        <v>2009</v>
      </c>
      <c r="H997" t="s">
        <v>1252</v>
      </c>
      <c r="J997" s="455">
        <v>46200</v>
      </c>
      <c r="U997" s="455">
        <v>46201</v>
      </c>
    </row>
    <row r="998" spans="1:21">
      <c r="A998" t="s">
        <v>1751</v>
      </c>
      <c r="B998" t="s">
        <v>4050</v>
      </c>
      <c r="C998" t="s">
        <v>1751</v>
      </c>
      <c r="D998">
        <v>20552142</v>
      </c>
      <c r="E998" t="s">
        <v>3128</v>
      </c>
      <c r="F998" t="s">
        <v>1237</v>
      </c>
      <c r="G998" t="s">
        <v>3143</v>
      </c>
      <c r="H998" t="s">
        <v>1248</v>
      </c>
      <c r="I998" t="s">
        <v>2148</v>
      </c>
      <c r="J998" s="455">
        <v>46184</v>
      </c>
      <c r="U998" s="455">
        <v>46184</v>
      </c>
    </row>
    <row r="999" spans="1:21">
      <c r="A999" t="s">
        <v>1751</v>
      </c>
      <c r="B999" t="s">
        <v>4051</v>
      </c>
      <c r="C999" t="s">
        <v>1751</v>
      </c>
      <c r="D999">
        <v>20569697</v>
      </c>
      <c r="E999" t="s">
        <v>3128</v>
      </c>
      <c r="F999" t="s">
        <v>1241</v>
      </c>
      <c r="G999" t="s">
        <v>3134</v>
      </c>
      <c r="H999" t="s">
        <v>1252</v>
      </c>
      <c r="J999" s="455">
        <v>46203</v>
      </c>
      <c r="U999" s="455">
        <v>46220</v>
      </c>
    </row>
    <row r="1000" spans="1:21">
      <c r="A1000" t="s">
        <v>1751</v>
      </c>
      <c r="B1000" t="s">
        <v>4052</v>
      </c>
      <c r="C1000" t="s">
        <v>1751</v>
      </c>
      <c r="D1000">
        <v>20543100</v>
      </c>
      <c r="E1000" t="s">
        <v>3128</v>
      </c>
      <c r="F1000" t="s">
        <v>1782</v>
      </c>
      <c r="G1000" t="s">
        <v>3134</v>
      </c>
      <c r="H1000" t="s">
        <v>3165</v>
      </c>
      <c r="J1000" s="455">
        <v>46176</v>
      </c>
      <c r="U1000" s="455">
        <v>46177</v>
      </c>
    </row>
    <row r="1001" spans="1:21">
      <c r="A1001" t="s">
        <v>1751</v>
      </c>
      <c r="B1001" t="s">
        <v>4053</v>
      </c>
      <c r="C1001" t="s">
        <v>1751</v>
      </c>
      <c r="D1001">
        <v>20560816</v>
      </c>
      <c r="E1001" t="s">
        <v>3128</v>
      </c>
      <c r="F1001" t="s">
        <v>1241</v>
      </c>
      <c r="G1001" t="s">
        <v>3134</v>
      </c>
      <c r="H1001" t="s">
        <v>3165</v>
      </c>
      <c r="J1001" s="455">
        <v>46192</v>
      </c>
      <c r="U1001" s="455">
        <v>46213</v>
      </c>
    </row>
    <row r="1002" spans="1:21">
      <c r="A1002" t="s">
        <v>1751</v>
      </c>
      <c r="B1002" t="s">
        <v>4054</v>
      </c>
      <c r="C1002" t="s">
        <v>1751</v>
      </c>
      <c r="D1002">
        <v>20560556</v>
      </c>
      <c r="E1002" t="s">
        <v>3128</v>
      </c>
      <c r="F1002" t="s">
        <v>1241</v>
      </c>
      <c r="G1002" t="s">
        <v>3137</v>
      </c>
      <c r="H1002" t="s">
        <v>1251</v>
      </c>
      <c r="J1002" s="455">
        <v>46192</v>
      </c>
      <c r="U1002" s="455">
        <v>46192</v>
      </c>
    </row>
    <row r="1003" spans="1:21">
      <c r="A1003" t="s">
        <v>1751</v>
      </c>
      <c r="B1003" t="s">
        <v>4055</v>
      </c>
      <c r="C1003" t="s">
        <v>1751</v>
      </c>
      <c r="D1003">
        <v>20516066</v>
      </c>
      <c r="E1003" t="s">
        <v>3133</v>
      </c>
      <c r="F1003" t="s">
        <v>1242</v>
      </c>
      <c r="G1003" t="s">
        <v>3134</v>
      </c>
      <c r="H1003" t="s">
        <v>1247</v>
      </c>
      <c r="J1003" s="455">
        <v>46146</v>
      </c>
      <c r="K1003" s="455">
        <v>46146</v>
      </c>
      <c r="R1003" s="455">
        <v>46189</v>
      </c>
      <c r="U1003" s="455">
        <v>46146</v>
      </c>
    </row>
    <row r="1004" spans="1:21">
      <c r="A1004" t="s">
        <v>1751</v>
      </c>
      <c r="B1004" t="s">
        <v>4056</v>
      </c>
      <c r="C1004" t="s">
        <v>1751</v>
      </c>
      <c r="D1004">
        <v>20555842</v>
      </c>
      <c r="E1004" t="s">
        <v>3128</v>
      </c>
      <c r="F1004" t="s">
        <v>1239</v>
      </c>
      <c r="G1004" t="s">
        <v>3143</v>
      </c>
      <c r="H1004" t="s">
        <v>1251</v>
      </c>
      <c r="I1004" t="s">
        <v>3105</v>
      </c>
      <c r="J1004" s="455">
        <v>46188</v>
      </c>
      <c r="U1004" s="455">
        <v>46188</v>
      </c>
    </row>
    <row r="1005" spans="1:21">
      <c r="A1005" t="s">
        <v>1751</v>
      </c>
      <c r="B1005" t="s">
        <v>4057</v>
      </c>
      <c r="C1005" t="s">
        <v>1751</v>
      </c>
      <c r="D1005">
        <v>20559070</v>
      </c>
      <c r="E1005" t="s">
        <v>3128</v>
      </c>
      <c r="F1005" t="s">
        <v>1241</v>
      </c>
      <c r="G1005" t="s">
        <v>3129</v>
      </c>
      <c r="H1005" t="s">
        <v>1253</v>
      </c>
      <c r="J1005" s="455">
        <v>46190</v>
      </c>
      <c r="U1005" s="455">
        <v>46190</v>
      </c>
    </row>
    <row r="1006" spans="1:21">
      <c r="A1006" t="s">
        <v>1751</v>
      </c>
      <c r="B1006" t="s">
        <v>4058</v>
      </c>
      <c r="C1006" t="s">
        <v>1751</v>
      </c>
      <c r="D1006">
        <v>20564595</v>
      </c>
      <c r="E1006" t="s">
        <v>3128</v>
      </c>
      <c r="F1006" t="s">
        <v>1241</v>
      </c>
      <c r="G1006" t="s">
        <v>3141</v>
      </c>
      <c r="H1006" t="s">
        <v>1252</v>
      </c>
      <c r="J1006" s="455">
        <v>46197</v>
      </c>
      <c r="U1006" s="455">
        <v>46207</v>
      </c>
    </row>
    <row r="1007" spans="1:21">
      <c r="A1007" t="s">
        <v>1751</v>
      </c>
      <c r="B1007" t="s">
        <v>4059</v>
      </c>
      <c r="C1007" t="s">
        <v>1751</v>
      </c>
      <c r="D1007">
        <v>20553096</v>
      </c>
      <c r="E1007" t="s">
        <v>3128</v>
      </c>
      <c r="F1007" t="s">
        <v>1782</v>
      </c>
      <c r="G1007" t="s">
        <v>3137</v>
      </c>
      <c r="H1007" t="s">
        <v>1252</v>
      </c>
      <c r="J1007" s="455">
        <v>46185</v>
      </c>
      <c r="U1007" s="455">
        <v>46198</v>
      </c>
    </row>
    <row r="1008" spans="1:21">
      <c r="A1008" t="s">
        <v>1751</v>
      </c>
      <c r="B1008" t="s">
        <v>3074</v>
      </c>
      <c r="C1008" t="s">
        <v>1751</v>
      </c>
      <c r="D1008">
        <v>20539149</v>
      </c>
      <c r="E1008" t="s">
        <v>3142</v>
      </c>
      <c r="F1008" t="s">
        <v>1243</v>
      </c>
      <c r="G1008" t="s">
        <v>2009</v>
      </c>
      <c r="H1008" t="s">
        <v>1247</v>
      </c>
      <c r="I1008" t="s">
        <v>2517</v>
      </c>
      <c r="J1008" s="455">
        <v>46171</v>
      </c>
      <c r="K1008" s="455">
        <v>46172</v>
      </c>
      <c r="L1008" s="455">
        <v>46173</v>
      </c>
      <c r="M1008" s="455">
        <v>46181</v>
      </c>
      <c r="N1008" s="455">
        <v>46181</v>
      </c>
      <c r="O1008" s="455">
        <v>46181</v>
      </c>
      <c r="P1008" s="455">
        <v>46181</v>
      </c>
      <c r="Q1008" s="455">
        <v>46181</v>
      </c>
      <c r="U1008" s="455">
        <v>46223</v>
      </c>
    </row>
    <row r="1009" spans="1:21">
      <c r="A1009" t="s">
        <v>1751</v>
      </c>
      <c r="B1009" t="s">
        <v>4060</v>
      </c>
      <c r="C1009" t="s">
        <v>1751</v>
      </c>
      <c r="D1009">
        <v>20566772</v>
      </c>
      <c r="E1009" t="s">
        <v>1907</v>
      </c>
      <c r="F1009" t="s">
        <v>1243</v>
      </c>
      <c r="G1009" t="s">
        <v>3134</v>
      </c>
      <c r="H1009" t="s">
        <v>1248</v>
      </c>
      <c r="I1009" t="s">
        <v>4061</v>
      </c>
      <c r="J1009" s="455">
        <v>46199</v>
      </c>
      <c r="K1009" s="455">
        <v>46199</v>
      </c>
      <c r="L1009" s="455">
        <v>46200</v>
      </c>
      <c r="U1009" s="455">
        <v>46221</v>
      </c>
    </row>
    <row r="1010" spans="1:21">
      <c r="A1010" t="s">
        <v>1751</v>
      </c>
      <c r="B1010" t="s">
        <v>4062</v>
      </c>
      <c r="C1010" t="s">
        <v>1751</v>
      </c>
      <c r="D1010">
        <v>20457011</v>
      </c>
      <c r="E1010" t="s">
        <v>3133</v>
      </c>
      <c r="F1010" t="s">
        <v>1799</v>
      </c>
      <c r="G1010" t="s">
        <v>3134</v>
      </c>
      <c r="H1010" t="s">
        <v>1247</v>
      </c>
      <c r="J1010" s="455">
        <v>46077</v>
      </c>
      <c r="K1010" s="455">
        <v>46077</v>
      </c>
      <c r="R1010" s="455">
        <v>46177</v>
      </c>
      <c r="U1010" s="455">
        <v>46077</v>
      </c>
    </row>
    <row r="1011" spans="1:21">
      <c r="A1011" t="s">
        <v>1751</v>
      </c>
      <c r="B1011" t="s">
        <v>4063</v>
      </c>
      <c r="C1011" t="s">
        <v>1751</v>
      </c>
      <c r="D1011">
        <v>20548186</v>
      </c>
      <c r="E1011" t="s">
        <v>3128</v>
      </c>
      <c r="F1011" t="s">
        <v>1241</v>
      </c>
      <c r="G1011" t="s">
        <v>3134</v>
      </c>
      <c r="H1011" t="s">
        <v>3165</v>
      </c>
      <c r="J1011" s="455">
        <v>46181</v>
      </c>
      <c r="U1011" s="455">
        <v>46203</v>
      </c>
    </row>
    <row r="1012" spans="1:21">
      <c r="A1012" t="s">
        <v>1751</v>
      </c>
      <c r="B1012" t="s">
        <v>4064</v>
      </c>
      <c r="C1012" t="s">
        <v>1751</v>
      </c>
      <c r="D1012">
        <v>20569753</v>
      </c>
      <c r="E1012" t="s">
        <v>3128</v>
      </c>
      <c r="F1012" t="s">
        <v>1241</v>
      </c>
      <c r="G1012" t="s">
        <v>3137</v>
      </c>
      <c r="H1012" t="s">
        <v>1252</v>
      </c>
      <c r="J1012" s="455">
        <v>46203</v>
      </c>
      <c r="U1012" s="455">
        <v>46206</v>
      </c>
    </row>
    <row r="1013" spans="1:21">
      <c r="A1013" t="s">
        <v>1751</v>
      </c>
      <c r="B1013" t="s">
        <v>4065</v>
      </c>
      <c r="C1013" t="s">
        <v>1751</v>
      </c>
      <c r="D1013">
        <v>20480846</v>
      </c>
      <c r="E1013" t="s">
        <v>3133</v>
      </c>
      <c r="F1013" t="s">
        <v>1238</v>
      </c>
      <c r="G1013" t="s">
        <v>3134</v>
      </c>
      <c r="H1013" t="s">
        <v>1252</v>
      </c>
      <c r="I1013" t="s">
        <v>1938</v>
      </c>
      <c r="J1013" s="455">
        <v>46107</v>
      </c>
      <c r="K1013" s="455">
        <v>46107</v>
      </c>
      <c r="R1013" s="455">
        <v>46177</v>
      </c>
      <c r="U1013" s="455">
        <v>46116</v>
      </c>
    </row>
    <row r="1014" spans="1:21">
      <c r="A1014" t="s">
        <v>1751</v>
      </c>
      <c r="B1014" t="s">
        <v>4066</v>
      </c>
      <c r="C1014" t="s">
        <v>1751</v>
      </c>
      <c r="D1014">
        <v>20566485</v>
      </c>
      <c r="E1014" t="s">
        <v>3128</v>
      </c>
      <c r="F1014" t="s">
        <v>1241</v>
      </c>
      <c r="G1014" t="s">
        <v>3129</v>
      </c>
      <c r="H1014" t="s">
        <v>3131</v>
      </c>
      <c r="J1014" s="455">
        <v>46199</v>
      </c>
      <c r="U1014" s="455">
        <v>46199</v>
      </c>
    </row>
    <row r="1015" spans="1:21">
      <c r="A1015" t="s">
        <v>1751</v>
      </c>
      <c r="B1015" t="s">
        <v>4067</v>
      </c>
      <c r="C1015" t="s">
        <v>1751</v>
      </c>
      <c r="D1015">
        <v>20556290</v>
      </c>
      <c r="E1015" t="s">
        <v>3128</v>
      </c>
      <c r="F1015" t="s">
        <v>1238</v>
      </c>
      <c r="G1015" t="s">
        <v>3143</v>
      </c>
      <c r="H1015" t="s">
        <v>1248</v>
      </c>
      <c r="I1015" t="s">
        <v>1956</v>
      </c>
      <c r="J1015" s="455">
        <v>46188</v>
      </c>
      <c r="U1015" s="455">
        <v>46196</v>
      </c>
    </row>
    <row r="1016" spans="1:21">
      <c r="A1016" t="s">
        <v>1751</v>
      </c>
      <c r="B1016" t="s">
        <v>4068</v>
      </c>
      <c r="C1016" t="s">
        <v>1751</v>
      </c>
      <c r="D1016">
        <v>20562796</v>
      </c>
      <c r="E1016" t="s">
        <v>3128</v>
      </c>
      <c r="F1016" t="s">
        <v>1241</v>
      </c>
      <c r="G1016" t="s">
        <v>3137</v>
      </c>
      <c r="H1016" t="s">
        <v>1251</v>
      </c>
      <c r="J1016" s="455">
        <v>46195</v>
      </c>
      <c r="U1016" s="455">
        <v>46195</v>
      </c>
    </row>
    <row r="1017" spans="1:21">
      <c r="A1017" t="s">
        <v>1751</v>
      </c>
      <c r="B1017" t="s">
        <v>3041</v>
      </c>
      <c r="C1017" t="s">
        <v>1751</v>
      </c>
      <c r="D1017">
        <v>20567200</v>
      </c>
      <c r="E1017" t="s">
        <v>3128</v>
      </c>
      <c r="F1017" t="s">
        <v>1241</v>
      </c>
      <c r="G1017" t="s">
        <v>2009</v>
      </c>
      <c r="H1017" t="s">
        <v>1252</v>
      </c>
      <c r="J1017" s="455">
        <v>46200</v>
      </c>
      <c r="U1017" s="455">
        <v>46200</v>
      </c>
    </row>
    <row r="1018" spans="1:21">
      <c r="A1018" t="s">
        <v>1751</v>
      </c>
      <c r="B1018" t="s">
        <v>4069</v>
      </c>
      <c r="C1018" t="s">
        <v>1751</v>
      </c>
      <c r="D1018">
        <v>20562211</v>
      </c>
      <c r="E1018" t="s">
        <v>1897</v>
      </c>
      <c r="F1018" t="s">
        <v>1241</v>
      </c>
      <c r="G1018" t="s">
        <v>3134</v>
      </c>
      <c r="H1018" t="s">
        <v>1247</v>
      </c>
      <c r="I1018" t="s">
        <v>4070</v>
      </c>
      <c r="J1018" s="455">
        <v>46195</v>
      </c>
      <c r="K1018" s="455">
        <v>46195</v>
      </c>
      <c r="U1018" s="455">
        <v>46249</v>
      </c>
    </row>
    <row r="1019" spans="1:21">
      <c r="A1019" t="s">
        <v>1751</v>
      </c>
      <c r="B1019" t="s">
        <v>4071</v>
      </c>
      <c r="C1019" t="s">
        <v>1751</v>
      </c>
      <c r="D1019">
        <v>20568146</v>
      </c>
      <c r="E1019" t="s">
        <v>1897</v>
      </c>
      <c r="F1019" t="s">
        <v>1241</v>
      </c>
      <c r="G1019" t="s">
        <v>3134</v>
      </c>
      <c r="H1019" t="s">
        <v>1247</v>
      </c>
      <c r="I1019" t="s">
        <v>2476</v>
      </c>
      <c r="J1019" s="455">
        <v>46202</v>
      </c>
      <c r="K1019" s="455">
        <v>46202</v>
      </c>
      <c r="U1019" s="455">
        <v>46202</v>
      </c>
    </row>
    <row r="1020" spans="1:21">
      <c r="A1020" t="s">
        <v>1751</v>
      </c>
      <c r="B1020" t="s">
        <v>4072</v>
      </c>
      <c r="C1020" t="s">
        <v>1751</v>
      </c>
      <c r="D1020">
        <v>20561431</v>
      </c>
      <c r="E1020" t="s">
        <v>3128</v>
      </c>
      <c r="F1020" t="s">
        <v>1237</v>
      </c>
      <c r="G1020" t="s">
        <v>2009</v>
      </c>
      <c r="H1020" t="s">
        <v>1252</v>
      </c>
      <c r="I1020" t="s">
        <v>3168</v>
      </c>
      <c r="J1020" s="455">
        <v>46193</v>
      </c>
      <c r="U1020" s="455">
        <v>46205</v>
      </c>
    </row>
    <row r="1021" spans="1:21">
      <c r="A1021" t="s">
        <v>1751</v>
      </c>
      <c r="B1021" t="s">
        <v>4073</v>
      </c>
      <c r="C1021" t="s">
        <v>1751</v>
      </c>
      <c r="D1021">
        <v>20520495</v>
      </c>
      <c r="E1021" t="s">
        <v>3133</v>
      </c>
      <c r="F1021" t="s">
        <v>1241</v>
      </c>
      <c r="G1021" t="s">
        <v>3134</v>
      </c>
      <c r="H1021" t="s">
        <v>1251</v>
      </c>
      <c r="J1021" s="455">
        <v>46150</v>
      </c>
      <c r="K1021" s="455">
        <v>46150</v>
      </c>
      <c r="R1021" s="455">
        <v>46189</v>
      </c>
      <c r="U1021" s="455">
        <v>46179</v>
      </c>
    </row>
    <row r="1022" spans="1:21">
      <c r="A1022" t="s">
        <v>1751</v>
      </c>
      <c r="B1022" t="s">
        <v>4074</v>
      </c>
      <c r="C1022" t="s">
        <v>1751</v>
      </c>
      <c r="D1022">
        <v>20541990</v>
      </c>
      <c r="E1022" t="s">
        <v>3128</v>
      </c>
      <c r="F1022" t="s">
        <v>1782</v>
      </c>
      <c r="G1022" t="s">
        <v>3129</v>
      </c>
      <c r="H1022" t="s">
        <v>1253</v>
      </c>
      <c r="J1022" s="455">
        <v>46175</v>
      </c>
      <c r="U1022" s="455">
        <v>46175</v>
      </c>
    </row>
    <row r="1023" spans="1:21">
      <c r="A1023" t="s">
        <v>1751</v>
      </c>
      <c r="B1023" t="s">
        <v>4074</v>
      </c>
      <c r="C1023" t="s">
        <v>1751</v>
      </c>
      <c r="D1023">
        <v>20542594</v>
      </c>
      <c r="E1023" t="s">
        <v>3133</v>
      </c>
      <c r="F1023" t="s">
        <v>1242</v>
      </c>
      <c r="G1023" t="s">
        <v>3134</v>
      </c>
      <c r="H1023" t="s">
        <v>1247</v>
      </c>
      <c r="I1023" t="s">
        <v>1571</v>
      </c>
      <c r="J1023" s="455">
        <v>46175</v>
      </c>
      <c r="K1023" s="455">
        <v>46175</v>
      </c>
      <c r="L1023" s="455">
        <v>46187</v>
      </c>
      <c r="S1023" s="455">
        <v>46189</v>
      </c>
      <c r="U1023" s="455">
        <v>46204</v>
      </c>
    </row>
    <row r="1024" spans="1:21">
      <c r="A1024" t="s">
        <v>1751</v>
      </c>
      <c r="B1024" t="s">
        <v>4075</v>
      </c>
      <c r="C1024" t="s">
        <v>1751</v>
      </c>
      <c r="D1024">
        <v>20549787</v>
      </c>
      <c r="E1024" t="s">
        <v>3133</v>
      </c>
      <c r="F1024" t="s">
        <v>1241</v>
      </c>
      <c r="G1024" t="s">
        <v>3134</v>
      </c>
      <c r="H1024" t="s">
        <v>1247</v>
      </c>
      <c r="J1024" s="455">
        <v>46182</v>
      </c>
      <c r="K1024" s="455">
        <v>46182</v>
      </c>
      <c r="R1024" s="455">
        <v>46196</v>
      </c>
      <c r="U1024" s="455">
        <v>46206</v>
      </c>
    </row>
    <row r="1025" spans="1:21">
      <c r="A1025" t="s">
        <v>1751</v>
      </c>
      <c r="B1025" t="s">
        <v>4076</v>
      </c>
      <c r="C1025" t="s">
        <v>1751</v>
      </c>
      <c r="D1025">
        <v>20560132</v>
      </c>
      <c r="E1025" t="s">
        <v>3128</v>
      </c>
      <c r="F1025" t="s">
        <v>1782</v>
      </c>
      <c r="G1025" t="s">
        <v>3129</v>
      </c>
      <c r="H1025" t="s">
        <v>1252</v>
      </c>
      <c r="J1025" s="455">
        <v>46191</v>
      </c>
      <c r="U1025" s="455">
        <v>46191</v>
      </c>
    </row>
    <row r="1026" spans="1:21">
      <c r="A1026" t="s">
        <v>1751</v>
      </c>
      <c r="B1026" t="s">
        <v>4076</v>
      </c>
      <c r="C1026" t="s">
        <v>1751</v>
      </c>
      <c r="D1026">
        <v>20543468</v>
      </c>
      <c r="E1026" t="s">
        <v>3128</v>
      </c>
      <c r="F1026" t="s">
        <v>1241</v>
      </c>
      <c r="G1026" t="s">
        <v>3129</v>
      </c>
      <c r="H1026" t="s">
        <v>3131</v>
      </c>
      <c r="J1026" s="455">
        <v>46176</v>
      </c>
      <c r="U1026" s="455">
        <v>46176</v>
      </c>
    </row>
    <row r="1027" spans="1:21">
      <c r="A1027" t="s">
        <v>1751</v>
      </c>
      <c r="B1027" t="s">
        <v>4076</v>
      </c>
      <c r="C1027" t="s">
        <v>1751</v>
      </c>
      <c r="D1027">
        <v>20545434</v>
      </c>
      <c r="E1027" t="s">
        <v>3128</v>
      </c>
      <c r="F1027" t="s">
        <v>1782</v>
      </c>
      <c r="G1027" t="s">
        <v>3129</v>
      </c>
      <c r="H1027" t="s">
        <v>3131</v>
      </c>
      <c r="J1027" s="455">
        <v>46178</v>
      </c>
      <c r="U1027" s="455">
        <v>46178</v>
      </c>
    </row>
    <row r="1028" spans="1:21">
      <c r="A1028" t="s">
        <v>1751</v>
      </c>
      <c r="B1028" t="s">
        <v>4076</v>
      </c>
      <c r="C1028" t="s">
        <v>1751</v>
      </c>
      <c r="D1028">
        <v>20545711</v>
      </c>
      <c r="E1028" t="s">
        <v>3128</v>
      </c>
      <c r="F1028" t="s">
        <v>1782</v>
      </c>
      <c r="G1028" t="s">
        <v>3129</v>
      </c>
      <c r="H1028" t="s">
        <v>3131</v>
      </c>
      <c r="J1028" s="455">
        <v>46178</v>
      </c>
      <c r="U1028" s="455">
        <v>46178</v>
      </c>
    </row>
    <row r="1029" spans="1:21">
      <c r="A1029" t="s">
        <v>1751</v>
      </c>
      <c r="B1029" t="s">
        <v>4076</v>
      </c>
      <c r="C1029" t="s">
        <v>1751</v>
      </c>
      <c r="D1029">
        <v>20547959</v>
      </c>
      <c r="E1029" t="s">
        <v>3128</v>
      </c>
      <c r="F1029" t="s">
        <v>1241</v>
      </c>
      <c r="G1029" t="s">
        <v>3129</v>
      </c>
      <c r="H1029" t="s">
        <v>3131</v>
      </c>
      <c r="J1029" s="455">
        <v>46181</v>
      </c>
      <c r="U1029" s="455">
        <v>46181</v>
      </c>
    </row>
    <row r="1030" spans="1:21">
      <c r="A1030" t="s">
        <v>1751</v>
      </c>
      <c r="B1030" t="s">
        <v>4077</v>
      </c>
      <c r="C1030" t="s">
        <v>1751</v>
      </c>
      <c r="D1030">
        <v>20552263</v>
      </c>
      <c r="E1030" t="s">
        <v>3128</v>
      </c>
      <c r="F1030" t="s">
        <v>1782</v>
      </c>
      <c r="G1030" t="s">
        <v>3129</v>
      </c>
      <c r="H1030" t="s">
        <v>1253</v>
      </c>
      <c r="J1030" s="455">
        <v>46184</v>
      </c>
      <c r="U1030" s="455">
        <v>46184</v>
      </c>
    </row>
    <row r="1031" spans="1:21">
      <c r="A1031" t="s">
        <v>1751</v>
      </c>
      <c r="B1031" t="s">
        <v>4078</v>
      </c>
      <c r="C1031" t="s">
        <v>1751</v>
      </c>
      <c r="D1031">
        <v>20540968</v>
      </c>
      <c r="E1031" t="s">
        <v>3128</v>
      </c>
      <c r="F1031" t="s">
        <v>1782</v>
      </c>
      <c r="G1031" t="s">
        <v>3129</v>
      </c>
      <c r="H1031" t="s">
        <v>3131</v>
      </c>
      <c r="J1031" s="455">
        <v>46174</v>
      </c>
      <c r="U1031" s="455">
        <v>46174</v>
      </c>
    </row>
    <row r="1032" spans="1:21">
      <c r="A1032" t="s">
        <v>1751</v>
      </c>
      <c r="B1032" t="s">
        <v>4079</v>
      </c>
      <c r="C1032" t="s">
        <v>1751</v>
      </c>
      <c r="D1032">
        <v>20549797</v>
      </c>
      <c r="E1032" t="s">
        <v>3128</v>
      </c>
      <c r="F1032" t="s">
        <v>1241</v>
      </c>
      <c r="G1032" t="s">
        <v>3129</v>
      </c>
      <c r="H1032" t="s">
        <v>1252</v>
      </c>
      <c r="I1032" t="s">
        <v>1808</v>
      </c>
      <c r="J1032" s="455">
        <v>46182</v>
      </c>
      <c r="U1032" s="455">
        <v>46183</v>
      </c>
    </row>
    <row r="1033" spans="1:21">
      <c r="A1033" t="s">
        <v>1751</v>
      </c>
      <c r="B1033" t="s">
        <v>4080</v>
      </c>
      <c r="C1033" t="s">
        <v>1751</v>
      </c>
      <c r="D1033">
        <v>20543858</v>
      </c>
      <c r="E1033" t="s">
        <v>3128</v>
      </c>
      <c r="F1033" t="s">
        <v>1241</v>
      </c>
      <c r="G1033" t="s">
        <v>2009</v>
      </c>
      <c r="H1033" t="s">
        <v>1247</v>
      </c>
      <c r="J1033" s="455">
        <v>46176</v>
      </c>
      <c r="U1033" s="455">
        <v>46176</v>
      </c>
    </row>
    <row r="1034" spans="1:21">
      <c r="A1034" t="s">
        <v>1751</v>
      </c>
      <c r="B1034" t="s">
        <v>4080</v>
      </c>
      <c r="C1034" t="s">
        <v>1751</v>
      </c>
      <c r="D1034">
        <v>20540809</v>
      </c>
      <c r="E1034" t="s">
        <v>3128</v>
      </c>
      <c r="F1034" t="s">
        <v>1782</v>
      </c>
      <c r="G1034" t="s">
        <v>3129</v>
      </c>
      <c r="H1034" t="s">
        <v>3377</v>
      </c>
      <c r="J1034" s="455">
        <v>46174</v>
      </c>
      <c r="U1034" s="455">
        <v>46174</v>
      </c>
    </row>
    <row r="1035" spans="1:21">
      <c r="A1035" t="s">
        <v>1751</v>
      </c>
      <c r="B1035" t="s">
        <v>4081</v>
      </c>
      <c r="C1035" t="s">
        <v>1751</v>
      </c>
      <c r="D1035">
        <v>20562273</v>
      </c>
      <c r="E1035" t="s">
        <v>3128</v>
      </c>
      <c r="F1035" t="s">
        <v>1241</v>
      </c>
      <c r="G1035" t="s">
        <v>3129</v>
      </c>
      <c r="H1035" t="s">
        <v>3131</v>
      </c>
      <c r="J1035" s="455">
        <v>46195</v>
      </c>
      <c r="U1035" s="455">
        <v>46195</v>
      </c>
    </row>
    <row r="1036" spans="1:21">
      <c r="A1036" t="s">
        <v>1751</v>
      </c>
      <c r="B1036" t="s">
        <v>4082</v>
      </c>
      <c r="C1036" t="s">
        <v>1751</v>
      </c>
      <c r="D1036">
        <v>20568308</v>
      </c>
      <c r="E1036" t="s">
        <v>3128</v>
      </c>
      <c r="F1036" t="s">
        <v>1782</v>
      </c>
      <c r="G1036" t="s">
        <v>3129</v>
      </c>
      <c r="H1036" t="s">
        <v>1252</v>
      </c>
      <c r="J1036" s="455">
        <v>46202</v>
      </c>
      <c r="U1036" s="455">
        <v>46235</v>
      </c>
    </row>
    <row r="1037" spans="1:21">
      <c r="A1037" t="s">
        <v>1751</v>
      </c>
      <c r="B1037" t="s">
        <v>4083</v>
      </c>
      <c r="C1037" t="s">
        <v>1751</v>
      </c>
      <c r="D1037">
        <v>20555879</v>
      </c>
      <c r="E1037" t="s">
        <v>3128</v>
      </c>
      <c r="F1037" t="s">
        <v>1782</v>
      </c>
      <c r="G1037" t="s">
        <v>3129</v>
      </c>
      <c r="H1037" t="s">
        <v>1253</v>
      </c>
      <c r="I1037" t="s">
        <v>2182</v>
      </c>
      <c r="J1037" s="455">
        <v>46188</v>
      </c>
      <c r="U1037" s="455">
        <v>46188</v>
      </c>
    </row>
    <row r="1038" spans="1:21">
      <c r="A1038" t="s">
        <v>1751</v>
      </c>
      <c r="B1038" t="s">
        <v>4084</v>
      </c>
      <c r="C1038" t="s">
        <v>1751</v>
      </c>
      <c r="D1038">
        <v>20544595</v>
      </c>
      <c r="E1038" t="s">
        <v>3128</v>
      </c>
      <c r="F1038" t="s">
        <v>1241</v>
      </c>
      <c r="G1038" t="s">
        <v>3129</v>
      </c>
      <c r="H1038" t="s">
        <v>1253</v>
      </c>
      <c r="J1038" s="455">
        <v>46177</v>
      </c>
      <c r="U1038" s="455">
        <v>46177</v>
      </c>
    </row>
    <row r="1039" spans="1:21">
      <c r="A1039" t="s">
        <v>1751</v>
      </c>
      <c r="B1039" t="s">
        <v>4085</v>
      </c>
      <c r="C1039" t="s">
        <v>1751</v>
      </c>
      <c r="D1039">
        <v>20540966</v>
      </c>
      <c r="E1039" t="s">
        <v>3128</v>
      </c>
      <c r="F1039" t="s">
        <v>1782</v>
      </c>
      <c r="G1039" t="s">
        <v>3129</v>
      </c>
      <c r="H1039" t="s">
        <v>1253</v>
      </c>
      <c r="J1039" s="455">
        <v>46174</v>
      </c>
      <c r="U1039" s="455">
        <v>46174</v>
      </c>
    </row>
    <row r="1040" spans="1:21">
      <c r="A1040" t="s">
        <v>1751</v>
      </c>
      <c r="B1040" t="s">
        <v>4086</v>
      </c>
      <c r="C1040" t="s">
        <v>1751</v>
      </c>
      <c r="D1040">
        <v>20566272</v>
      </c>
      <c r="E1040" t="s">
        <v>3128</v>
      </c>
      <c r="F1040" t="s">
        <v>1241</v>
      </c>
      <c r="G1040" t="s">
        <v>3129</v>
      </c>
      <c r="H1040" t="s">
        <v>3131</v>
      </c>
      <c r="J1040" s="455">
        <v>46199</v>
      </c>
      <c r="U1040" s="455">
        <v>46199</v>
      </c>
    </row>
    <row r="1041" spans="1:21">
      <c r="A1041" t="s">
        <v>1751</v>
      </c>
      <c r="B1041" t="s">
        <v>4087</v>
      </c>
      <c r="C1041" t="s">
        <v>1751</v>
      </c>
      <c r="D1041">
        <v>20566510</v>
      </c>
      <c r="E1041" t="s">
        <v>3128</v>
      </c>
      <c r="F1041" t="s">
        <v>1241</v>
      </c>
      <c r="G1041" t="s">
        <v>3129</v>
      </c>
      <c r="H1041" t="s">
        <v>1252</v>
      </c>
      <c r="I1041" t="s">
        <v>1565</v>
      </c>
      <c r="J1041" s="455">
        <v>46199</v>
      </c>
      <c r="U1041" s="455">
        <v>46228</v>
      </c>
    </row>
    <row r="1042" spans="1:21">
      <c r="A1042" t="s">
        <v>1751</v>
      </c>
      <c r="B1042" t="s">
        <v>4088</v>
      </c>
      <c r="C1042" t="s">
        <v>1751</v>
      </c>
      <c r="D1042">
        <v>20563546</v>
      </c>
      <c r="E1042" t="s">
        <v>3128</v>
      </c>
      <c r="F1042" t="s">
        <v>1241</v>
      </c>
      <c r="G1042" t="s">
        <v>3129</v>
      </c>
      <c r="H1042" t="s">
        <v>1252</v>
      </c>
      <c r="J1042" s="455">
        <v>46196</v>
      </c>
      <c r="U1042" s="455">
        <v>46196</v>
      </c>
    </row>
    <row r="1043" spans="1:21">
      <c r="A1043" t="s">
        <v>1751</v>
      </c>
      <c r="B1043" t="s">
        <v>4089</v>
      </c>
      <c r="C1043" t="s">
        <v>1751</v>
      </c>
      <c r="D1043">
        <v>20555763</v>
      </c>
      <c r="E1043" t="s">
        <v>3128</v>
      </c>
      <c r="F1043" t="s">
        <v>1241</v>
      </c>
      <c r="G1043" t="s">
        <v>3129</v>
      </c>
      <c r="H1043" t="s">
        <v>3131</v>
      </c>
      <c r="J1043" s="455">
        <v>46188</v>
      </c>
      <c r="U1043" s="455">
        <v>46188</v>
      </c>
    </row>
    <row r="1044" spans="1:21">
      <c r="A1044" t="s">
        <v>1751</v>
      </c>
      <c r="B1044" t="s">
        <v>4090</v>
      </c>
      <c r="C1044" t="s">
        <v>1751</v>
      </c>
      <c r="D1044">
        <v>20541878</v>
      </c>
      <c r="E1044" t="s">
        <v>3128</v>
      </c>
      <c r="F1044" t="s">
        <v>1782</v>
      </c>
      <c r="G1044" t="s">
        <v>3129</v>
      </c>
      <c r="H1044" t="s">
        <v>1252</v>
      </c>
      <c r="J1044" s="455">
        <v>46175</v>
      </c>
      <c r="U1044" s="455">
        <v>46175</v>
      </c>
    </row>
    <row r="1045" spans="1:21">
      <c r="A1045" t="s">
        <v>1751</v>
      </c>
      <c r="B1045" t="s">
        <v>4091</v>
      </c>
      <c r="C1045" t="s">
        <v>1751</v>
      </c>
      <c r="D1045">
        <v>20560625</v>
      </c>
      <c r="E1045" t="s">
        <v>3128</v>
      </c>
      <c r="F1045" t="s">
        <v>1782</v>
      </c>
      <c r="G1045" t="s">
        <v>3129</v>
      </c>
      <c r="H1045" t="s">
        <v>3131</v>
      </c>
      <c r="I1045" t="s">
        <v>2676</v>
      </c>
      <c r="J1045" s="455">
        <v>46192</v>
      </c>
      <c r="U1045" s="455">
        <v>46192</v>
      </c>
    </row>
    <row r="1046" spans="1:21">
      <c r="A1046" t="s">
        <v>1751</v>
      </c>
      <c r="B1046" t="s">
        <v>4092</v>
      </c>
      <c r="C1046" t="s">
        <v>1751</v>
      </c>
      <c r="D1046">
        <v>20540668</v>
      </c>
      <c r="E1046" t="s">
        <v>3128</v>
      </c>
      <c r="F1046" t="s">
        <v>1782</v>
      </c>
      <c r="G1046" t="s">
        <v>3129</v>
      </c>
      <c r="H1046" t="s">
        <v>3131</v>
      </c>
      <c r="J1046" s="455">
        <v>46174</v>
      </c>
      <c r="U1046" s="455">
        <v>46174</v>
      </c>
    </row>
    <row r="1047" spans="1:21">
      <c r="A1047" t="s">
        <v>1751</v>
      </c>
      <c r="B1047" t="s">
        <v>4093</v>
      </c>
      <c r="C1047" t="s">
        <v>1751</v>
      </c>
      <c r="D1047">
        <v>20540618</v>
      </c>
      <c r="E1047" t="s">
        <v>3128</v>
      </c>
      <c r="F1047" t="s">
        <v>1782</v>
      </c>
      <c r="G1047" t="s">
        <v>3129</v>
      </c>
      <c r="H1047" t="s">
        <v>1252</v>
      </c>
      <c r="J1047" s="455">
        <v>46174</v>
      </c>
      <c r="U1047" s="455">
        <v>46174</v>
      </c>
    </row>
    <row r="1048" spans="1:21">
      <c r="A1048" t="s">
        <v>1751</v>
      </c>
      <c r="B1048" t="s">
        <v>4094</v>
      </c>
      <c r="C1048" t="s">
        <v>1751</v>
      </c>
      <c r="D1048">
        <v>20550877</v>
      </c>
      <c r="E1048" t="s">
        <v>3128</v>
      </c>
      <c r="F1048" t="s">
        <v>1241</v>
      </c>
      <c r="G1048" t="s">
        <v>3129</v>
      </c>
      <c r="H1048" t="s">
        <v>1253</v>
      </c>
      <c r="J1048" s="455">
        <v>46183</v>
      </c>
      <c r="U1048" s="455">
        <v>46183</v>
      </c>
    </row>
    <row r="1049" spans="1:21">
      <c r="A1049" t="s">
        <v>1751</v>
      </c>
      <c r="B1049" t="s">
        <v>4095</v>
      </c>
      <c r="C1049" t="s">
        <v>1751</v>
      </c>
      <c r="D1049">
        <v>20566134</v>
      </c>
      <c r="E1049" t="s">
        <v>3128</v>
      </c>
      <c r="F1049" t="s">
        <v>1241</v>
      </c>
      <c r="G1049" t="s">
        <v>3129</v>
      </c>
      <c r="H1049" t="s">
        <v>1252</v>
      </c>
      <c r="J1049" s="455">
        <v>46199</v>
      </c>
      <c r="U1049" s="455">
        <v>46357</v>
      </c>
    </row>
    <row r="1050" spans="1:21">
      <c r="A1050" t="s">
        <v>1751</v>
      </c>
      <c r="B1050" t="s">
        <v>4096</v>
      </c>
      <c r="C1050" t="s">
        <v>1751</v>
      </c>
      <c r="D1050">
        <v>20540517</v>
      </c>
      <c r="E1050" t="s">
        <v>3128</v>
      </c>
      <c r="F1050" t="s">
        <v>1782</v>
      </c>
      <c r="G1050" t="s">
        <v>3129</v>
      </c>
      <c r="H1050" t="s">
        <v>3131</v>
      </c>
      <c r="J1050" s="455">
        <v>46174</v>
      </c>
      <c r="U1050" s="455">
        <v>46174</v>
      </c>
    </row>
    <row r="1051" spans="1:21">
      <c r="A1051" t="s">
        <v>1751</v>
      </c>
      <c r="B1051" t="s">
        <v>4097</v>
      </c>
      <c r="C1051" t="s">
        <v>1751</v>
      </c>
      <c r="D1051">
        <v>20563715</v>
      </c>
      <c r="E1051" t="s">
        <v>3128</v>
      </c>
      <c r="F1051" t="s">
        <v>1241</v>
      </c>
      <c r="G1051" t="s">
        <v>3129</v>
      </c>
      <c r="H1051" t="s">
        <v>1251</v>
      </c>
      <c r="J1051" s="455">
        <v>46196</v>
      </c>
      <c r="U1051" s="455">
        <v>46196</v>
      </c>
    </row>
    <row r="1052" spans="1:21">
      <c r="A1052" t="s">
        <v>1751</v>
      </c>
      <c r="B1052" t="s">
        <v>4098</v>
      </c>
      <c r="C1052" t="s">
        <v>1751</v>
      </c>
      <c r="D1052">
        <v>20546633</v>
      </c>
      <c r="E1052" t="s">
        <v>3128</v>
      </c>
      <c r="F1052" t="s">
        <v>1782</v>
      </c>
      <c r="G1052" t="s">
        <v>3129</v>
      </c>
      <c r="H1052" t="s">
        <v>1252</v>
      </c>
      <c r="J1052" s="455">
        <v>46179</v>
      </c>
      <c r="U1052" s="455">
        <v>46183</v>
      </c>
    </row>
    <row r="1053" spans="1:21">
      <c r="A1053" t="s">
        <v>1751</v>
      </c>
      <c r="B1053" t="s">
        <v>4099</v>
      </c>
      <c r="C1053" t="s">
        <v>1751</v>
      </c>
      <c r="D1053">
        <v>20567184</v>
      </c>
      <c r="E1053" t="s">
        <v>3128</v>
      </c>
      <c r="F1053" t="s">
        <v>1241</v>
      </c>
      <c r="G1053" t="s">
        <v>3129</v>
      </c>
      <c r="H1053" t="s">
        <v>1252</v>
      </c>
      <c r="J1053" s="455">
        <v>46200</v>
      </c>
      <c r="U1053" s="455">
        <v>46388</v>
      </c>
    </row>
    <row r="1054" spans="1:21">
      <c r="A1054" t="s">
        <v>1751</v>
      </c>
      <c r="B1054" t="s">
        <v>4100</v>
      </c>
      <c r="C1054" t="s">
        <v>1751</v>
      </c>
      <c r="D1054">
        <v>20550337</v>
      </c>
      <c r="E1054" t="s">
        <v>3128</v>
      </c>
      <c r="F1054" t="s">
        <v>1241</v>
      </c>
      <c r="G1054" t="s">
        <v>3129</v>
      </c>
      <c r="H1054" t="s">
        <v>1253</v>
      </c>
      <c r="J1054" s="455">
        <v>46183</v>
      </c>
      <c r="U1054" s="455">
        <v>46183</v>
      </c>
    </row>
    <row r="1055" spans="1:21">
      <c r="A1055" t="s">
        <v>1751</v>
      </c>
      <c r="B1055" t="s">
        <v>4101</v>
      </c>
      <c r="C1055" t="s">
        <v>1751</v>
      </c>
      <c r="D1055">
        <v>20559285</v>
      </c>
      <c r="E1055" t="s">
        <v>3128</v>
      </c>
      <c r="F1055" t="s">
        <v>1241</v>
      </c>
      <c r="G1055" t="s">
        <v>3129</v>
      </c>
      <c r="H1055" t="s">
        <v>3131</v>
      </c>
      <c r="J1055" s="455">
        <v>46190</v>
      </c>
      <c r="U1055" s="455">
        <v>46190</v>
      </c>
    </row>
    <row r="1056" spans="1:21">
      <c r="A1056" t="s">
        <v>1751</v>
      </c>
      <c r="B1056" t="s">
        <v>4102</v>
      </c>
      <c r="C1056" t="s">
        <v>1751</v>
      </c>
      <c r="D1056">
        <v>20559163</v>
      </c>
      <c r="E1056" t="s">
        <v>3128</v>
      </c>
      <c r="F1056" t="s">
        <v>1241</v>
      </c>
      <c r="G1056" t="s">
        <v>3129</v>
      </c>
      <c r="H1056" t="s">
        <v>3377</v>
      </c>
      <c r="J1056" s="455">
        <v>46190</v>
      </c>
      <c r="U1056" s="455">
        <v>46190</v>
      </c>
    </row>
    <row r="1057" spans="1:21">
      <c r="A1057" t="s">
        <v>1751</v>
      </c>
      <c r="B1057" t="s">
        <v>4103</v>
      </c>
      <c r="C1057" t="s">
        <v>1751</v>
      </c>
      <c r="D1057">
        <v>20556596</v>
      </c>
      <c r="E1057" t="s">
        <v>3128</v>
      </c>
      <c r="F1057" t="s">
        <v>1782</v>
      </c>
      <c r="G1057" t="s">
        <v>3129</v>
      </c>
      <c r="H1057" t="s">
        <v>1252</v>
      </c>
      <c r="J1057" s="455">
        <v>46189</v>
      </c>
      <c r="U1057" s="455">
        <v>46189</v>
      </c>
    </row>
    <row r="1058" spans="1:21">
      <c r="A1058" t="s">
        <v>1751</v>
      </c>
      <c r="B1058" t="s">
        <v>4104</v>
      </c>
      <c r="C1058" t="s">
        <v>1751</v>
      </c>
      <c r="D1058">
        <v>20552170</v>
      </c>
      <c r="E1058" t="s">
        <v>3128</v>
      </c>
      <c r="F1058" t="s">
        <v>1241</v>
      </c>
      <c r="G1058" t="s">
        <v>3129</v>
      </c>
      <c r="H1058" t="s">
        <v>1252</v>
      </c>
      <c r="J1058" s="455">
        <v>46184</v>
      </c>
      <c r="U1058" s="455">
        <v>46203</v>
      </c>
    </row>
    <row r="1059" spans="1:21">
      <c r="A1059" t="s">
        <v>1751</v>
      </c>
      <c r="B1059" t="s">
        <v>4105</v>
      </c>
      <c r="C1059" t="s">
        <v>1751</v>
      </c>
      <c r="D1059">
        <v>20559149</v>
      </c>
      <c r="E1059" t="s">
        <v>3128</v>
      </c>
      <c r="F1059" t="s">
        <v>1241</v>
      </c>
      <c r="G1059" t="s">
        <v>3129</v>
      </c>
      <c r="H1059" t="s">
        <v>3131</v>
      </c>
      <c r="J1059" s="455">
        <v>46190</v>
      </c>
      <c r="U1059" s="455">
        <v>46190</v>
      </c>
    </row>
    <row r="1060" spans="1:21">
      <c r="A1060" t="s">
        <v>1751</v>
      </c>
      <c r="B1060" t="s">
        <v>4106</v>
      </c>
      <c r="C1060" t="s">
        <v>1751</v>
      </c>
      <c r="D1060">
        <v>20561504</v>
      </c>
      <c r="E1060" t="s">
        <v>3128</v>
      </c>
      <c r="F1060" t="s">
        <v>1782</v>
      </c>
      <c r="G1060" t="s">
        <v>3129</v>
      </c>
      <c r="H1060" t="s">
        <v>3131</v>
      </c>
      <c r="J1060" s="455">
        <v>46193</v>
      </c>
      <c r="U1060" s="455">
        <v>46193</v>
      </c>
    </row>
    <row r="1061" spans="1:21">
      <c r="A1061" t="s">
        <v>1751</v>
      </c>
      <c r="B1061" t="s">
        <v>4107</v>
      </c>
      <c r="C1061" t="s">
        <v>1751</v>
      </c>
      <c r="D1061">
        <v>20566090</v>
      </c>
      <c r="E1061" t="s">
        <v>3128</v>
      </c>
      <c r="F1061" t="s">
        <v>1241</v>
      </c>
      <c r="G1061" t="s">
        <v>3129</v>
      </c>
      <c r="H1061" t="s">
        <v>1252</v>
      </c>
      <c r="J1061" s="455">
        <v>46199</v>
      </c>
      <c r="U1061" s="455">
        <v>46199</v>
      </c>
    </row>
    <row r="1062" spans="1:21">
      <c r="A1062" t="s">
        <v>1751</v>
      </c>
      <c r="B1062" t="s">
        <v>4108</v>
      </c>
      <c r="C1062" t="s">
        <v>1751</v>
      </c>
      <c r="D1062">
        <v>20546578</v>
      </c>
      <c r="E1062" t="s">
        <v>3128</v>
      </c>
      <c r="F1062" t="s">
        <v>1782</v>
      </c>
      <c r="G1062" t="s">
        <v>3129</v>
      </c>
      <c r="H1062" t="s">
        <v>1252</v>
      </c>
      <c r="J1062" s="455">
        <v>46179</v>
      </c>
      <c r="U1062" s="455">
        <v>46179</v>
      </c>
    </row>
    <row r="1063" spans="1:21">
      <c r="A1063" t="s">
        <v>1751</v>
      </c>
      <c r="B1063" t="s">
        <v>4109</v>
      </c>
      <c r="C1063" t="s">
        <v>1751</v>
      </c>
      <c r="D1063">
        <v>20551706</v>
      </c>
      <c r="E1063" t="s">
        <v>3128</v>
      </c>
      <c r="F1063" t="s">
        <v>1238</v>
      </c>
      <c r="G1063" t="s">
        <v>3129</v>
      </c>
      <c r="H1063" t="s">
        <v>3131</v>
      </c>
      <c r="J1063" s="455">
        <v>46184</v>
      </c>
      <c r="U1063" s="455">
        <v>46184</v>
      </c>
    </row>
    <row r="1064" spans="1:21">
      <c r="A1064" t="s">
        <v>1751</v>
      </c>
      <c r="B1064" t="s">
        <v>4110</v>
      </c>
      <c r="C1064" t="s">
        <v>1751</v>
      </c>
      <c r="D1064">
        <v>20556648</v>
      </c>
      <c r="E1064" t="s">
        <v>3128</v>
      </c>
      <c r="F1064" t="s">
        <v>1782</v>
      </c>
      <c r="G1064" t="s">
        <v>3129</v>
      </c>
      <c r="H1064" t="s">
        <v>1252</v>
      </c>
      <c r="J1064" s="455">
        <v>46189</v>
      </c>
      <c r="U1064" s="455">
        <v>46189</v>
      </c>
    </row>
    <row r="1065" spans="1:21">
      <c r="A1065" t="s">
        <v>1751</v>
      </c>
      <c r="B1065" t="s">
        <v>4111</v>
      </c>
      <c r="C1065" t="s">
        <v>1751</v>
      </c>
      <c r="D1065">
        <v>20555782</v>
      </c>
      <c r="E1065" t="s">
        <v>3128</v>
      </c>
      <c r="F1065" t="s">
        <v>1782</v>
      </c>
      <c r="G1065" t="s">
        <v>3129</v>
      </c>
      <c r="H1065" t="s">
        <v>1252</v>
      </c>
      <c r="J1065" s="455">
        <v>46188</v>
      </c>
      <c r="U1065" s="455">
        <v>46188</v>
      </c>
    </row>
    <row r="1066" spans="1:21">
      <c r="A1066" t="s">
        <v>1751</v>
      </c>
      <c r="B1066" t="s">
        <v>4112</v>
      </c>
      <c r="C1066" t="s">
        <v>1751</v>
      </c>
      <c r="D1066">
        <v>20564603</v>
      </c>
      <c r="E1066" t="s">
        <v>3128</v>
      </c>
      <c r="F1066" t="s">
        <v>1782</v>
      </c>
      <c r="G1066" t="s">
        <v>3129</v>
      </c>
      <c r="H1066" t="s">
        <v>3377</v>
      </c>
      <c r="J1066" s="455">
        <v>46197</v>
      </c>
      <c r="U1066" s="455">
        <v>46197</v>
      </c>
    </row>
    <row r="1067" spans="1:21">
      <c r="A1067" t="s">
        <v>1751</v>
      </c>
      <c r="B1067" t="s">
        <v>4113</v>
      </c>
      <c r="C1067" t="s">
        <v>1751</v>
      </c>
      <c r="D1067">
        <v>20563321</v>
      </c>
      <c r="E1067" t="s">
        <v>3128</v>
      </c>
      <c r="F1067" t="s">
        <v>1241</v>
      </c>
      <c r="G1067" t="s">
        <v>3129</v>
      </c>
      <c r="H1067" t="s">
        <v>1252</v>
      </c>
      <c r="J1067" s="455">
        <v>46196</v>
      </c>
      <c r="U1067" s="455">
        <v>46196</v>
      </c>
    </row>
    <row r="1068" spans="1:21">
      <c r="A1068" t="s">
        <v>1751</v>
      </c>
      <c r="B1068" t="s">
        <v>4114</v>
      </c>
      <c r="C1068" t="s">
        <v>1751</v>
      </c>
      <c r="D1068">
        <v>20566602</v>
      </c>
      <c r="E1068" t="s">
        <v>3128</v>
      </c>
      <c r="F1068" t="s">
        <v>1241</v>
      </c>
      <c r="G1068" t="s">
        <v>3129</v>
      </c>
      <c r="H1068" t="s">
        <v>1252</v>
      </c>
      <c r="J1068" s="455">
        <v>46199</v>
      </c>
      <c r="U1068" s="455">
        <v>46202</v>
      </c>
    </row>
    <row r="1069" spans="1:21">
      <c r="A1069" t="s">
        <v>1751</v>
      </c>
      <c r="B1069" t="s">
        <v>4115</v>
      </c>
      <c r="C1069" t="s">
        <v>1751</v>
      </c>
      <c r="D1069">
        <v>20559971</v>
      </c>
      <c r="E1069" t="s">
        <v>3128</v>
      </c>
      <c r="F1069" t="s">
        <v>1782</v>
      </c>
      <c r="G1069" t="s">
        <v>3129</v>
      </c>
      <c r="H1069" t="s">
        <v>1253</v>
      </c>
      <c r="J1069" s="455">
        <v>46191</v>
      </c>
      <c r="U1069" s="455">
        <v>46191</v>
      </c>
    </row>
    <row r="1070" spans="1:21">
      <c r="A1070" t="s">
        <v>1751</v>
      </c>
      <c r="B1070" t="s">
        <v>4116</v>
      </c>
      <c r="C1070" t="s">
        <v>1751</v>
      </c>
      <c r="D1070">
        <v>20554963</v>
      </c>
      <c r="E1070" t="s">
        <v>3128</v>
      </c>
      <c r="F1070" t="s">
        <v>1241</v>
      </c>
      <c r="G1070" t="s">
        <v>3129</v>
      </c>
      <c r="H1070" t="s">
        <v>1253</v>
      </c>
      <c r="J1070" s="455">
        <v>46187</v>
      </c>
      <c r="U1070" s="455">
        <v>46187</v>
      </c>
    </row>
    <row r="1071" spans="1:21">
      <c r="A1071" t="s">
        <v>1751</v>
      </c>
      <c r="B1071" t="s">
        <v>4117</v>
      </c>
      <c r="C1071" t="s">
        <v>1751</v>
      </c>
      <c r="D1071">
        <v>20541810</v>
      </c>
      <c r="E1071" t="s">
        <v>3128</v>
      </c>
      <c r="F1071" t="s">
        <v>1782</v>
      </c>
      <c r="G1071" t="s">
        <v>3129</v>
      </c>
      <c r="H1071" t="s">
        <v>3131</v>
      </c>
      <c r="J1071" s="455">
        <v>46175</v>
      </c>
      <c r="U1071" s="455">
        <v>46175</v>
      </c>
    </row>
    <row r="1072" spans="1:21">
      <c r="A1072" t="s">
        <v>1751</v>
      </c>
      <c r="B1072" t="s">
        <v>4118</v>
      </c>
      <c r="C1072" t="s">
        <v>1751</v>
      </c>
      <c r="D1072">
        <v>20557511</v>
      </c>
      <c r="E1072" t="s">
        <v>3128</v>
      </c>
      <c r="F1072" t="s">
        <v>1241</v>
      </c>
      <c r="G1072" t="s">
        <v>3129</v>
      </c>
      <c r="H1072" t="s">
        <v>3131</v>
      </c>
      <c r="J1072" s="455">
        <v>46189</v>
      </c>
      <c r="U1072" s="455">
        <v>46189</v>
      </c>
    </row>
    <row r="1073" spans="1:21">
      <c r="A1073" t="s">
        <v>1751</v>
      </c>
      <c r="B1073" t="s">
        <v>4119</v>
      </c>
      <c r="C1073" t="s">
        <v>1751</v>
      </c>
      <c r="D1073">
        <v>20555783</v>
      </c>
      <c r="E1073" t="s">
        <v>3128</v>
      </c>
      <c r="F1073" t="s">
        <v>1782</v>
      </c>
      <c r="G1073" t="s">
        <v>3129</v>
      </c>
      <c r="H1073" t="s">
        <v>3131</v>
      </c>
      <c r="J1073" s="455">
        <v>46188</v>
      </c>
      <c r="U1073" s="455">
        <v>46188</v>
      </c>
    </row>
    <row r="1074" spans="1:21">
      <c r="A1074" t="s">
        <v>1751</v>
      </c>
      <c r="B1074" t="s">
        <v>4120</v>
      </c>
      <c r="C1074" t="s">
        <v>1751</v>
      </c>
      <c r="D1074">
        <v>20564304</v>
      </c>
      <c r="E1074" t="s">
        <v>3128</v>
      </c>
      <c r="F1074" t="s">
        <v>1241</v>
      </c>
      <c r="G1074" t="s">
        <v>3129</v>
      </c>
      <c r="H1074" t="s">
        <v>1252</v>
      </c>
      <c r="J1074" s="455">
        <v>46197</v>
      </c>
      <c r="U1074" s="455">
        <v>46197</v>
      </c>
    </row>
    <row r="1075" spans="1:21">
      <c r="A1075" t="s">
        <v>1751</v>
      </c>
      <c r="B1075" t="s">
        <v>4121</v>
      </c>
      <c r="C1075" t="s">
        <v>1751</v>
      </c>
      <c r="D1075">
        <v>20564015</v>
      </c>
      <c r="E1075" t="s">
        <v>3128</v>
      </c>
      <c r="F1075" t="s">
        <v>1241</v>
      </c>
      <c r="G1075" t="s">
        <v>3129</v>
      </c>
      <c r="H1075" t="s">
        <v>1253</v>
      </c>
      <c r="J1075" s="455">
        <v>46197</v>
      </c>
      <c r="U1075" s="455">
        <v>46248</v>
      </c>
    </row>
    <row r="1076" spans="1:21">
      <c r="A1076" t="s">
        <v>1751</v>
      </c>
      <c r="B1076" t="s">
        <v>4122</v>
      </c>
      <c r="C1076" t="s">
        <v>1751</v>
      </c>
      <c r="D1076">
        <v>20549651</v>
      </c>
      <c r="E1076" t="s">
        <v>3128</v>
      </c>
      <c r="F1076" t="s">
        <v>1241</v>
      </c>
      <c r="G1076" t="s">
        <v>3129</v>
      </c>
      <c r="H1076" t="s">
        <v>3377</v>
      </c>
      <c r="J1076" s="455">
        <v>46182</v>
      </c>
      <c r="U1076" s="455">
        <v>46182</v>
      </c>
    </row>
    <row r="1077" spans="1:21">
      <c r="A1077" t="s">
        <v>1751</v>
      </c>
      <c r="B1077" t="s">
        <v>4123</v>
      </c>
      <c r="C1077" t="s">
        <v>1751</v>
      </c>
      <c r="D1077">
        <v>20569155</v>
      </c>
      <c r="E1077" t="s">
        <v>3128</v>
      </c>
      <c r="F1077" t="s">
        <v>1782</v>
      </c>
      <c r="G1077" t="s">
        <v>3129</v>
      </c>
      <c r="H1077" t="s">
        <v>1253</v>
      </c>
      <c r="J1077" s="455">
        <v>46203</v>
      </c>
      <c r="U1077" s="455">
        <v>46203</v>
      </c>
    </row>
    <row r="1078" spans="1:21">
      <c r="A1078" t="s">
        <v>1751</v>
      </c>
      <c r="B1078" t="s">
        <v>4124</v>
      </c>
      <c r="C1078" t="s">
        <v>1751</v>
      </c>
      <c r="D1078">
        <v>20542110</v>
      </c>
      <c r="E1078" t="s">
        <v>3128</v>
      </c>
      <c r="F1078" t="s">
        <v>1782</v>
      </c>
      <c r="G1078" t="s">
        <v>3129</v>
      </c>
      <c r="H1078" t="s">
        <v>1253</v>
      </c>
      <c r="J1078" s="455">
        <v>46175</v>
      </c>
      <c r="U1078" s="455">
        <v>46175</v>
      </c>
    </row>
    <row r="1079" spans="1:21">
      <c r="A1079" t="s">
        <v>1751</v>
      </c>
      <c r="B1079" t="s">
        <v>4125</v>
      </c>
      <c r="C1079" t="s">
        <v>1751</v>
      </c>
      <c r="D1079">
        <v>20548668</v>
      </c>
      <c r="E1079" t="s">
        <v>3128</v>
      </c>
      <c r="F1079" t="s">
        <v>1241</v>
      </c>
      <c r="G1079" t="s">
        <v>3129</v>
      </c>
      <c r="H1079" t="s">
        <v>3377</v>
      </c>
      <c r="J1079" s="455">
        <v>46181</v>
      </c>
      <c r="U1079" s="455">
        <v>46181</v>
      </c>
    </row>
    <row r="1080" spans="1:21">
      <c r="A1080" t="s">
        <v>1751</v>
      </c>
      <c r="B1080" t="s">
        <v>4126</v>
      </c>
      <c r="C1080" t="s">
        <v>1751</v>
      </c>
      <c r="D1080">
        <v>20543458</v>
      </c>
      <c r="E1080" t="s">
        <v>3128</v>
      </c>
      <c r="F1080" t="s">
        <v>1241</v>
      </c>
      <c r="G1080" t="s">
        <v>3129</v>
      </c>
      <c r="H1080" t="s">
        <v>1253</v>
      </c>
      <c r="J1080" s="455">
        <v>46176</v>
      </c>
      <c r="U1080" s="455">
        <v>46176</v>
      </c>
    </row>
    <row r="1081" spans="1:21">
      <c r="A1081" t="s">
        <v>1751</v>
      </c>
      <c r="B1081" t="s">
        <v>4127</v>
      </c>
      <c r="C1081" t="s">
        <v>1751</v>
      </c>
      <c r="D1081">
        <v>20569148</v>
      </c>
      <c r="E1081" t="s">
        <v>3128</v>
      </c>
      <c r="F1081" t="s">
        <v>1241</v>
      </c>
      <c r="G1081" t="s">
        <v>3129</v>
      </c>
      <c r="H1081" t="s">
        <v>3131</v>
      </c>
      <c r="J1081" s="455">
        <v>46203</v>
      </c>
      <c r="U1081" s="455">
        <v>46203</v>
      </c>
    </row>
    <row r="1082" spans="1:21">
      <c r="A1082" t="s">
        <v>1751</v>
      </c>
      <c r="B1082" t="s">
        <v>4128</v>
      </c>
      <c r="C1082" t="s">
        <v>1751</v>
      </c>
      <c r="D1082">
        <v>20556162</v>
      </c>
      <c r="E1082" t="s">
        <v>3128</v>
      </c>
      <c r="F1082" t="s">
        <v>1782</v>
      </c>
      <c r="G1082" t="s">
        <v>3129</v>
      </c>
      <c r="H1082" t="s">
        <v>3131</v>
      </c>
      <c r="J1082" s="455">
        <v>46188</v>
      </c>
      <c r="U1082" s="455">
        <v>46188</v>
      </c>
    </row>
    <row r="1083" spans="1:21">
      <c r="A1083" t="s">
        <v>1751</v>
      </c>
      <c r="B1083" t="s">
        <v>4129</v>
      </c>
      <c r="C1083" t="s">
        <v>1751</v>
      </c>
      <c r="D1083">
        <v>20568220</v>
      </c>
      <c r="E1083" t="s">
        <v>3128</v>
      </c>
      <c r="F1083" t="s">
        <v>1782</v>
      </c>
      <c r="G1083" t="s">
        <v>3129</v>
      </c>
      <c r="H1083" t="s">
        <v>1252</v>
      </c>
      <c r="J1083" s="455">
        <v>46202</v>
      </c>
      <c r="U1083" s="455">
        <v>46235</v>
      </c>
    </row>
    <row r="1084" spans="1:21">
      <c r="A1084" t="s">
        <v>1751</v>
      </c>
      <c r="B1084" t="s">
        <v>4130</v>
      </c>
      <c r="C1084" t="s">
        <v>1751</v>
      </c>
      <c r="D1084">
        <v>20549873</v>
      </c>
      <c r="E1084" t="s">
        <v>3128</v>
      </c>
      <c r="F1084" t="s">
        <v>1241</v>
      </c>
      <c r="G1084" t="s">
        <v>3129</v>
      </c>
      <c r="H1084" t="s">
        <v>1252</v>
      </c>
      <c r="J1084" s="455">
        <v>46182</v>
      </c>
      <c r="U1084" s="455">
        <v>46182</v>
      </c>
    </row>
    <row r="1085" spans="1:21">
      <c r="A1085" t="s">
        <v>1751</v>
      </c>
      <c r="B1085" t="s">
        <v>4131</v>
      </c>
      <c r="C1085" t="s">
        <v>1751</v>
      </c>
      <c r="D1085">
        <v>20561433</v>
      </c>
      <c r="E1085" t="s">
        <v>3128</v>
      </c>
      <c r="F1085" t="s">
        <v>1241</v>
      </c>
      <c r="G1085" t="s">
        <v>3129</v>
      </c>
      <c r="H1085" t="s">
        <v>3131</v>
      </c>
      <c r="J1085" s="455">
        <v>46193</v>
      </c>
      <c r="U1085" s="455">
        <v>46193</v>
      </c>
    </row>
    <row r="1086" spans="1:21">
      <c r="A1086" t="s">
        <v>1751</v>
      </c>
      <c r="B1086" t="s">
        <v>4132</v>
      </c>
      <c r="C1086" t="s">
        <v>1751</v>
      </c>
      <c r="D1086">
        <v>20568646</v>
      </c>
      <c r="E1086" t="s">
        <v>3128</v>
      </c>
      <c r="F1086" t="s">
        <v>1782</v>
      </c>
      <c r="G1086" t="s">
        <v>3129</v>
      </c>
      <c r="H1086" t="s">
        <v>3131</v>
      </c>
      <c r="J1086" s="455">
        <v>46202</v>
      </c>
      <c r="U1086" s="455">
        <v>46202</v>
      </c>
    </row>
    <row r="1087" spans="1:21">
      <c r="A1087" t="s">
        <v>1751</v>
      </c>
      <c r="B1087" t="s">
        <v>4133</v>
      </c>
      <c r="C1087" t="s">
        <v>1751</v>
      </c>
      <c r="D1087">
        <v>20563095</v>
      </c>
      <c r="E1087" t="s">
        <v>3128</v>
      </c>
      <c r="F1087" t="s">
        <v>1241</v>
      </c>
      <c r="G1087" t="s">
        <v>3129</v>
      </c>
      <c r="H1087" t="s">
        <v>3377</v>
      </c>
      <c r="J1087" s="455">
        <v>46196</v>
      </c>
      <c r="U1087" s="455">
        <v>46196</v>
      </c>
    </row>
    <row r="1088" spans="1:21">
      <c r="A1088" t="s">
        <v>1751</v>
      </c>
      <c r="B1088" t="s">
        <v>4134</v>
      </c>
      <c r="C1088" t="s">
        <v>1751</v>
      </c>
      <c r="D1088">
        <v>20542912</v>
      </c>
      <c r="E1088" t="s">
        <v>3128</v>
      </c>
      <c r="F1088" t="s">
        <v>1782</v>
      </c>
      <c r="G1088" t="s">
        <v>3129</v>
      </c>
      <c r="H1088" t="s">
        <v>3131</v>
      </c>
      <c r="J1088" s="455">
        <v>46176</v>
      </c>
      <c r="U1088" s="455">
        <v>46176</v>
      </c>
    </row>
    <row r="1089" spans="1:21">
      <c r="A1089" t="s">
        <v>1751</v>
      </c>
      <c r="B1089" t="s">
        <v>4135</v>
      </c>
      <c r="C1089" t="s">
        <v>1751</v>
      </c>
      <c r="D1089">
        <v>20549447</v>
      </c>
      <c r="E1089" t="s">
        <v>3128</v>
      </c>
      <c r="F1089" t="s">
        <v>1241</v>
      </c>
      <c r="G1089" t="s">
        <v>3129</v>
      </c>
      <c r="H1089" t="s">
        <v>1251</v>
      </c>
      <c r="J1089" s="455">
        <v>46182</v>
      </c>
      <c r="U1089" s="455">
        <v>46182</v>
      </c>
    </row>
    <row r="1090" spans="1:21">
      <c r="A1090" t="s">
        <v>1751</v>
      </c>
      <c r="B1090" t="s">
        <v>4135</v>
      </c>
      <c r="C1090" t="s">
        <v>1751</v>
      </c>
      <c r="D1090">
        <v>20550944</v>
      </c>
      <c r="E1090" t="s">
        <v>3128</v>
      </c>
      <c r="F1090" t="s">
        <v>1782</v>
      </c>
      <c r="G1090" t="s">
        <v>3129</v>
      </c>
      <c r="H1090" t="s">
        <v>3131</v>
      </c>
      <c r="J1090" s="455">
        <v>46183</v>
      </c>
      <c r="U1090" s="455">
        <v>46183</v>
      </c>
    </row>
    <row r="1091" spans="1:21">
      <c r="A1091" t="s">
        <v>1751</v>
      </c>
      <c r="B1091" t="s">
        <v>4136</v>
      </c>
      <c r="C1091" t="s">
        <v>1751</v>
      </c>
      <c r="D1091">
        <v>20568602</v>
      </c>
      <c r="E1091" t="s">
        <v>3128</v>
      </c>
      <c r="F1091" t="s">
        <v>1782</v>
      </c>
      <c r="G1091" t="s">
        <v>3129</v>
      </c>
      <c r="H1091" t="s">
        <v>1252</v>
      </c>
      <c r="J1091" s="455">
        <v>46202</v>
      </c>
      <c r="U1091" s="455">
        <v>46235</v>
      </c>
    </row>
    <row r="1092" spans="1:21">
      <c r="A1092" t="s">
        <v>1751</v>
      </c>
      <c r="B1092" t="s">
        <v>4137</v>
      </c>
      <c r="C1092" t="s">
        <v>1751</v>
      </c>
      <c r="D1092">
        <v>20569434</v>
      </c>
      <c r="E1092" t="s">
        <v>3128</v>
      </c>
      <c r="F1092" t="s">
        <v>1241</v>
      </c>
      <c r="G1092" t="s">
        <v>3129</v>
      </c>
      <c r="H1092" t="s">
        <v>1252</v>
      </c>
      <c r="J1092" s="455">
        <v>46203</v>
      </c>
      <c r="U1092" s="455">
        <v>46239</v>
      </c>
    </row>
    <row r="1093" spans="1:21">
      <c r="A1093" t="s">
        <v>1751</v>
      </c>
      <c r="B1093" t="s">
        <v>4138</v>
      </c>
      <c r="C1093" t="s">
        <v>1751</v>
      </c>
      <c r="D1093">
        <v>20541905</v>
      </c>
      <c r="E1093" t="s">
        <v>3128</v>
      </c>
      <c r="F1093" t="s">
        <v>1241</v>
      </c>
      <c r="G1093" t="s">
        <v>3129</v>
      </c>
      <c r="H1093" t="s">
        <v>3131</v>
      </c>
      <c r="J1093" s="455">
        <v>46175</v>
      </c>
      <c r="U1093" s="455">
        <v>46175</v>
      </c>
    </row>
    <row r="1094" spans="1:21">
      <c r="A1094" t="s">
        <v>1751</v>
      </c>
      <c r="B1094" t="s">
        <v>4139</v>
      </c>
      <c r="C1094" t="s">
        <v>1751</v>
      </c>
      <c r="D1094">
        <v>20544878</v>
      </c>
      <c r="E1094" t="s">
        <v>3128</v>
      </c>
      <c r="F1094" t="s">
        <v>1782</v>
      </c>
      <c r="G1094" t="s">
        <v>3129</v>
      </c>
      <c r="H1094" t="s">
        <v>1252</v>
      </c>
      <c r="J1094" s="455">
        <v>46177</v>
      </c>
      <c r="U1094" s="455">
        <v>46177</v>
      </c>
    </row>
    <row r="1095" spans="1:21">
      <c r="A1095" t="s">
        <v>1751</v>
      </c>
      <c r="B1095" t="s">
        <v>4140</v>
      </c>
      <c r="C1095" t="s">
        <v>1751</v>
      </c>
      <c r="D1095">
        <v>20559766</v>
      </c>
      <c r="E1095" t="s">
        <v>3128</v>
      </c>
      <c r="F1095" t="s">
        <v>1241</v>
      </c>
      <c r="G1095" t="s">
        <v>3129</v>
      </c>
      <c r="H1095" t="s">
        <v>3131</v>
      </c>
      <c r="J1095" s="455">
        <v>46191</v>
      </c>
      <c r="U1095" s="455">
        <v>46191</v>
      </c>
    </row>
    <row r="1096" spans="1:21">
      <c r="A1096" t="s">
        <v>1751</v>
      </c>
      <c r="B1096" t="s">
        <v>4141</v>
      </c>
      <c r="C1096" t="s">
        <v>1751</v>
      </c>
      <c r="D1096">
        <v>20541476</v>
      </c>
      <c r="E1096" t="s">
        <v>3128</v>
      </c>
      <c r="F1096" t="s">
        <v>1782</v>
      </c>
      <c r="G1096" t="s">
        <v>3129</v>
      </c>
      <c r="H1096" t="s">
        <v>1252</v>
      </c>
      <c r="J1096" s="455">
        <v>46175</v>
      </c>
      <c r="U1096" s="455">
        <v>46175</v>
      </c>
    </row>
    <row r="1097" spans="1:21">
      <c r="A1097" t="s">
        <v>1751</v>
      </c>
      <c r="B1097" t="s">
        <v>4142</v>
      </c>
      <c r="C1097" t="s">
        <v>1751</v>
      </c>
      <c r="D1097">
        <v>20542487</v>
      </c>
      <c r="E1097" t="s">
        <v>3128</v>
      </c>
      <c r="F1097" t="s">
        <v>1782</v>
      </c>
      <c r="G1097" t="s">
        <v>3129</v>
      </c>
      <c r="H1097" t="s">
        <v>3131</v>
      </c>
      <c r="J1097" s="455">
        <v>46175</v>
      </c>
      <c r="U1097" s="455">
        <v>46175</v>
      </c>
    </row>
    <row r="1098" spans="1:21">
      <c r="A1098" t="s">
        <v>1751</v>
      </c>
      <c r="B1098" t="s">
        <v>4143</v>
      </c>
      <c r="C1098" t="s">
        <v>1751</v>
      </c>
      <c r="D1098">
        <v>20544885</v>
      </c>
      <c r="E1098" t="s">
        <v>3128</v>
      </c>
      <c r="F1098" t="s">
        <v>1238</v>
      </c>
      <c r="G1098" t="s">
        <v>3129</v>
      </c>
      <c r="H1098" t="s">
        <v>1253</v>
      </c>
      <c r="J1098" s="455">
        <v>46177</v>
      </c>
      <c r="U1098" s="455">
        <v>46183</v>
      </c>
    </row>
    <row r="1099" spans="1:21">
      <c r="A1099" t="s">
        <v>1751</v>
      </c>
      <c r="B1099" t="s">
        <v>4144</v>
      </c>
      <c r="C1099" t="s">
        <v>1751</v>
      </c>
      <c r="D1099">
        <v>20569598</v>
      </c>
      <c r="E1099" t="s">
        <v>3128</v>
      </c>
      <c r="F1099" t="s">
        <v>1241</v>
      </c>
      <c r="G1099" t="s">
        <v>3129</v>
      </c>
      <c r="H1099" t="s">
        <v>3131</v>
      </c>
      <c r="J1099" s="455">
        <v>46203</v>
      </c>
      <c r="U1099" s="455">
        <v>46203</v>
      </c>
    </row>
    <row r="1100" spans="1:21">
      <c r="A1100" t="s">
        <v>1751</v>
      </c>
      <c r="B1100" t="s">
        <v>4145</v>
      </c>
      <c r="C1100" t="s">
        <v>1751</v>
      </c>
      <c r="D1100">
        <v>20549034</v>
      </c>
      <c r="E1100" t="s">
        <v>3128</v>
      </c>
      <c r="F1100" t="s">
        <v>1241</v>
      </c>
      <c r="G1100" t="s">
        <v>3129</v>
      </c>
      <c r="H1100" t="s">
        <v>1252</v>
      </c>
      <c r="J1100" s="455">
        <v>46182</v>
      </c>
      <c r="U1100" s="455">
        <v>46199</v>
      </c>
    </row>
    <row r="1101" spans="1:21">
      <c r="A1101" t="s">
        <v>1751</v>
      </c>
      <c r="B1101" t="s">
        <v>4146</v>
      </c>
      <c r="C1101" t="s">
        <v>1751</v>
      </c>
      <c r="D1101">
        <v>20561690</v>
      </c>
      <c r="E1101" t="s">
        <v>3128</v>
      </c>
      <c r="F1101" t="s">
        <v>1241</v>
      </c>
      <c r="G1101" t="s">
        <v>3129</v>
      </c>
      <c r="H1101" t="s">
        <v>1253</v>
      </c>
      <c r="J1101" s="455">
        <v>46194</v>
      </c>
      <c r="U1101" s="455">
        <v>46194</v>
      </c>
    </row>
    <row r="1102" spans="1:21">
      <c r="A1102" t="s">
        <v>1751</v>
      </c>
      <c r="B1102" t="s">
        <v>4147</v>
      </c>
      <c r="C1102" t="s">
        <v>1751</v>
      </c>
      <c r="D1102">
        <v>20540889</v>
      </c>
      <c r="E1102" t="s">
        <v>3128</v>
      </c>
      <c r="F1102" t="s">
        <v>1782</v>
      </c>
      <c r="G1102" t="s">
        <v>3129</v>
      </c>
      <c r="H1102" t="s">
        <v>1252</v>
      </c>
      <c r="J1102" s="455">
        <v>46174</v>
      </c>
      <c r="U1102" s="455">
        <v>46174</v>
      </c>
    </row>
    <row r="1103" spans="1:21">
      <c r="A1103" t="s">
        <v>1751</v>
      </c>
      <c r="B1103" t="s">
        <v>4148</v>
      </c>
      <c r="C1103" t="s">
        <v>1751</v>
      </c>
      <c r="D1103">
        <v>20556274</v>
      </c>
      <c r="E1103" t="s">
        <v>3128</v>
      </c>
      <c r="F1103" t="s">
        <v>1782</v>
      </c>
      <c r="G1103" t="s">
        <v>3129</v>
      </c>
      <c r="H1103" t="s">
        <v>1253</v>
      </c>
      <c r="J1103" s="455">
        <v>46188</v>
      </c>
      <c r="U1103" s="455">
        <v>46188</v>
      </c>
    </row>
    <row r="1104" spans="1:21">
      <c r="A1104" t="s">
        <v>1751</v>
      </c>
      <c r="B1104" t="s">
        <v>4149</v>
      </c>
      <c r="C1104" t="s">
        <v>1751</v>
      </c>
      <c r="D1104">
        <v>20547898</v>
      </c>
      <c r="E1104" t="s">
        <v>3128</v>
      </c>
      <c r="F1104" t="s">
        <v>1241</v>
      </c>
      <c r="G1104" t="s">
        <v>3129</v>
      </c>
      <c r="H1104" t="s">
        <v>3131</v>
      </c>
      <c r="J1104" s="455">
        <v>46181</v>
      </c>
      <c r="U1104" s="455">
        <v>46181</v>
      </c>
    </row>
    <row r="1105" spans="1:21">
      <c r="A1105" t="s">
        <v>1751</v>
      </c>
      <c r="B1105" t="s">
        <v>4150</v>
      </c>
      <c r="C1105" t="s">
        <v>1751</v>
      </c>
      <c r="D1105">
        <v>20565274</v>
      </c>
      <c r="E1105" t="s">
        <v>3128</v>
      </c>
      <c r="F1105" t="s">
        <v>1782</v>
      </c>
      <c r="G1105" t="s">
        <v>3129</v>
      </c>
      <c r="H1105" t="s">
        <v>1252</v>
      </c>
      <c r="J1105" s="455">
        <v>46198</v>
      </c>
      <c r="U1105" s="455">
        <v>46235</v>
      </c>
    </row>
    <row r="1106" spans="1:21">
      <c r="A1106" t="s">
        <v>1751</v>
      </c>
      <c r="B1106" t="s">
        <v>4151</v>
      </c>
      <c r="C1106" t="s">
        <v>1751</v>
      </c>
      <c r="D1106">
        <v>20559054</v>
      </c>
      <c r="E1106" t="s">
        <v>3128</v>
      </c>
      <c r="F1106" t="s">
        <v>1241</v>
      </c>
      <c r="G1106" t="s">
        <v>3129</v>
      </c>
      <c r="H1106" t="s">
        <v>1253</v>
      </c>
      <c r="I1106" t="s">
        <v>1559</v>
      </c>
      <c r="J1106" s="455">
        <v>46190</v>
      </c>
      <c r="U1106" s="455">
        <v>46190</v>
      </c>
    </row>
    <row r="1107" spans="1:21">
      <c r="A1107" t="s">
        <v>1751</v>
      </c>
      <c r="B1107" t="s">
        <v>4152</v>
      </c>
      <c r="C1107" t="s">
        <v>1751</v>
      </c>
      <c r="D1107">
        <v>20549386</v>
      </c>
      <c r="E1107" t="s">
        <v>3128</v>
      </c>
      <c r="F1107" t="s">
        <v>1241</v>
      </c>
      <c r="G1107" t="s">
        <v>3129</v>
      </c>
      <c r="H1107" t="s">
        <v>1252</v>
      </c>
      <c r="J1107" s="455">
        <v>46182</v>
      </c>
      <c r="U1107" s="455">
        <v>46182</v>
      </c>
    </row>
    <row r="1108" spans="1:21">
      <c r="A1108" t="s">
        <v>1751</v>
      </c>
      <c r="B1108" t="s">
        <v>4153</v>
      </c>
      <c r="C1108" t="s">
        <v>1751</v>
      </c>
      <c r="D1108">
        <v>20549327</v>
      </c>
      <c r="E1108" t="s">
        <v>3128</v>
      </c>
      <c r="F1108" t="s">
        <v>1241</v>
      </c>
      <c r="G1108" t="s">
        <v>3129</v>
      </c>
      <c r="H1108" t="s">
        <v>1252</v>
      </c>
      <c r="J1108" s="455">
        <v>46182</v>
      </c>
      <c r="U1108" s="455">
        <v>46182</v>
      </c>
    </row>
    <row r="1109" spans="1:21">
      <c r="A1109" t="s">
        <v>1751</v>
      </c>
      <c r="B1109" t="s">
        <v>4153</v>
      </c>
      <c r="C1109" t="s">
        <v>1751</v>
      </c>
      <c r="D1109">
        <v>20550527</v>
      </c>
      <c r="E1109" t="s">
        <v>3128</v>
      </c>
      <c r="F1109" t="s">
        <v>1241</v>
      </c>
      <c r="G1109" t="s">
        <v>3129</v>
      </c>
      <c r="H1109" t="s">
        <v>1252</v>
      </c>
      <c r="J1109" s="455">
        <v>46183</v>
      </c>
      <c r="U1109" s="455">
        <v>46183</v>
      </c>
    </row>
    <row r="1110" spans="1:21">
      <c r="A1110" t="s">
        <v>1751</v>
      </c>
      <c r="B1110" t="s">
        <v>4154</v>
      </c>
      <c r="C1110" t="s">
        <v>1751</v>
      </c>
      <c r="D1110">
        <v>20552424</v>
      </c>
      <c r="E1110" t="s">
        <v>3128</v>
      </c>
      <c r="F1110" t="s">
        <v>1782</v>
      </c>
      <c r="G1110" t="s">
        <v>3129</v>
      </c>
      <c r="H1110" t="s">
        <v>1252</v>
      </c>
      <c r="J1110" s="455">
        <v>46184</v>
      </c>
      <c r="U1110" s="455">
        <v>46184</v>
      </c>
    </row>
    <row r="1111" spans="1:21">
      <c r="A1111" t="s">
        <v>1751</v>
      </c>
      <c r="B1111" t="s">
        <v>4155</v>
      </c>
      <c r="C1111" t="s">
        <v>1751</v>
      </c>
      <c r="D1111">
        <v>20552829</v>
      </c>
      <c r="E1111" t="s">
        <v>3128</v>
      </c>
      <c r="F1111" t="s">
        <v>1782</v>
      </c>
      <c r="G1111" t="s">
        <v>3129</v>
      </c>
      <c r="H1111" t="s">
        <v>1252</v>
      </c>
      <c r="J1111" s="455">
        <v>46185</v>
      </c>
      <c r="U1111" s="455">
        <v>46185</v>
      </c>
    </row>
    <row r="1112" spans="1:21">
      <c r="A1112" t="s">
        <v>1751</v>
      </c>
      <c r="B1112" t="s">
        <v>4156</v>
      </c>
      <c r="C1112" t="s">
        <v>1751</v>
      </c>
      <c r="D1112">
        <v>20552340</v>
      </c>
      <c r="E1112" t="s">
        <v>3128</v>
      </c>
      <c r="F1112" t="s">
        <v>1782</v>
      </c>
      <c r="G1112" t="s">
        <v>3129</v>
      </c>
      <c r="H1112" t="s">
        <v>1252</v>
      </c>
      <c r="J1112" s="455">
        <v>46184</v>
      </c>
      <c r="U1112" s="455">
        <v>46184</v>
      </c>
    </row>
    <row r="1113" spans="1:21">
      <c r="A1113" t="s">
        <v>1751</v>
      </c>
      <c r="B1113" t="s">
        <v>4157</v>
      </c>
      <c r="C1113" t="s">
        <v>1751</v>
      </c>
      <c r="D1113">
        <v>20559081</v>
      </c>
      <c r="E1113" t="s">
        <v>3128</v>
      </c>
      <c r="F1113" t="s">
        <v>1241</v>
      </c>
      <c r="G1113" t="s">
        <v>3129</v>
      </c>
      <c r="H1113" t="s">
        <v>3131</v>
      </c>
      <c r="J1113" s="455">
        <v>46190</v>
      </c>
      <c r="U1113" s="455">
        <v>46190</v>
      </c>
    </row>
    <row r="1114" spans="1:21">
      <c r="A1114" t="s">
        <v>1751</v>
      </c>
      <c r="B1114" t="s">
        <v>4158</v>
      </c>
      <c r="C1114" t="s">
        <v>1751</v>
      </c>
      <c r="D1114">
        <v>20542105</v>
      </c>
      <c r="E1114" t="s">
        <v>3128</v>
      </c>
      <c r="F1114" t="s">
        <v>1782</v>
      </c>
      <c r="G1114" t="s">
        <v>3129</v>
      </c>
      <c r="H1114" t="s">
        <v>1252</v>
      </c>
      <c r="J1114" s="455">
        <v>46175</v>
      </c>
      <c r="U1114" s="455">
        <v>46175</v>
      </c>
    </row>
    <row r="1115" spans="1:21">
      <c r="A1115" t="s">
        <v>1751</v>
      </c>
      <c r="B1115" t="s">
        <v>4159</v>
      </c>
      <c r="C1115" t="s">
        <v>1751</v>
      </c>
      <c r="D1115">
        <v>20542840</v>
      </c>
      <c r="E1115" t="s">
        <v>3128</v>
      </c>
      <c r="F1115" t="s">
        <v>1782</v>
      </c>
      <c r="G1115" t="s">
        <v>3129</v>
      </c>
      <c r="H1115" t="s">
        <v>1253</v>
      </c>
      <c r="J1115" s="455">
        <v>46176</v>
      </c>
      <c r="U1115" s="455">
        <v>46176</v>
      </c>
    </row>
    <row r="1116" spans="1:21">
      <c r="A1116" t="s">
        <v>1751</v>
      </c>
      <c r="B1116" t="s">
        <v>4160</v>
      </c>
      <c r="C1116" t="s">
        <v>1751</v>
      </c>
      <c r="D1116">
        <v>20560224</v>
      </c>
      <c r="E1116" t="s">
        <v>3128</v>
      </c>
      <c r="F1116" t="s">
        <v>1782</v>
      </c>
      <c r="G1116" t="s">
        <v>3129</v>
      </c>
      <c r="H1116" t="s">
        <v>3131</v>
      </c>
      <c r="J1116" s="455">
        <v>46191</v>
      </c>
      <c r="U1116" s="455">
        <v>46191</v>
      </c>
    </row>
    <row r="1117" spans="1:21">
      <c r="A1117" t="s">
        <v>1751</v>
      </c>
      <c r="B1117" t="s">
        <v>4161</v>
      </c>
      <c r="C1117" t="s">
        <v>1751</v>
      </c>
      <c r="D1117">
        <v>20554398</v>
      </c>
      <c r="E1117" t="s">
        <v>3128</v>
      </c>
      <c r="F1117" t="s">
        <v>1782</v>
      </c>
      <c r="G1117" t="s">
        <v>3129</v>
      </c>
      <c r="H1117" t="s">
        <v>1253</v>
      </c>
      <c r="J1117" s="455">
        <v>46186</v>
      </c>
      <c r="U1117" s="455">
        <v>46186</v>
      </c>
    </row>
    <row r="1118" spans="1:21">
      <c r="A1118" t="s">
        <v>1751</v>
      </c>
      <c r="B1118" t="s">
        <v>4162</v>
      </c>
      <c r="C1118" t="s">
        <v>1751</v>
      </c>
      <c r="D1118">
        <v>20566580</v>
      </c>
      <c r="E1118" t="s">
        <v>3128</v>
      </c>
      <c r="F1118" t="s">
        <v>1241</v>
      </c>
      <c r="G1118" t="s">
        <v>3129</v>
      </c>
      <c r="H1118" t="s">
        <v>1252</v>
      </c>
      <c r="J1118" s="455">
        <v>46199</v>
      </c>
      <c r="U1118" s="455">
        <v>46199</v>
      </c>
    </row>
    <row r="1119" spans="1:21">
      <c r="A1119" t="s">
        <v>1751</v>
      </c>
      <c r="B1119" t="s">
        <v>4163</v>
      </c>
      <c r="C1119" t="s">
        <v>1751</v>
      </c>
      <c r="D1119">
        <v>20556185</v>
      </c>
      <c r="E1119" t="s">
        <v>3128</v>
      </c>
      <c r="F1119" t="s">
        <v>1782</v>
      </c>
      <c r="G1119" t="s">
        <v>3129</v>
      </c>
      <c r="H1119" t="s">
        <v>3131</v>
      </c>
      <c r="J1119" s="455">
        <v>46188</v>
      </c>
      <c r="U1119" s="455">
        <v>46188</v>
      </c>
    </row>
    <row r="1120" spans="1:21">
      <c r="A1120" t="s">
        <v>1751</v>
      </c>
      <c r="B1120" t="s">
        <v>4164</v>
      </c>
      <c r="C1120" t="s">
        <v>1751</v>
      </c>
      <c r="D1120">
        <v>20543008</v>
      </c>
      <c r="E1120" t="s">
        <v>3128</v>
      </c>
      <c r="F1120" t="s">
        <v>1782</v>
      </c>
      <c r="G1120" t="s">
        <v>3129</v>
      </c>
      <c r="H1120" t="s">
        <v>1253</v>
      </c>
      <c r="J1120" s="455">
        <v>46176</v>
      </c>
      <c r="U1120" s="455">
        <v>46176</v>
      </c>
    </row>
    <row r="1121" spans="1:21">
      <c r="A1121" t="s">
        <v>1751</v>
      </c>
      <c r="B1121" t="s">
        <v>4165</v>
      </c>
      <c r="C1121" t="s">
        <v>1751</v>
      </c>
      <c r="D1121">
        <v>20568194</v>
      </c>
      <c r="E1121" t="s">
        <v>3128</v>
      </c>
      <c r="F1121" t="s">
        <v>1782</v>
      </c>
      <c r="G1121" t="s">
        <v>3129</v>
      </c>
      <c r="H1121" t="s">
        <v>3131</v>
      </c>
      <c r="J1121" s="455">
        <v>46202</v>
      </c>
      <c r="U1121" s="455">
        <v>46204</v>
      </c>
    </row>
    <row r="1122" spans="1:21">
      <c r="A1122" t="s">
        <v>1751</v>
      </c>
      <c r="B1122" t="s">
        <v>4166</v>
      </c>
      <c r="C1122" t="s">
        <v>1751</v>
      </c>
      <c r="D1122">
        <v>20546921</v>
      </c>
      <c r="E1122" t="s">
        <v>3128</v>
      </c>
      <c r="F1122" t="s">
        <v>1241</v>
      </c>
      <c r="G1122" t="s">
        <v>3129</v>
      </c>
      <c r="H1122" t="s">
        <v>1252</v>
      </c>
      <c r="J1122" s="455">
        <v>46179</v>
      </c>
      <c r="U1122" s="455">
        <v>46179</v>
      </c>
    </row>
    <row r="1123" spans="1:21">
      <c r="A1123" t="s">
        <v>1751</v>
      </c>
      <c r="B1123" t="s">
        <v>4167</v>
      </c>
      <c r="C1123" t="s">
        <v>1751</v>
      </c>
      <c r="D1123">
        <v>20564598</v>
      </c>
      <c r="E1123" t="s">
        <v>3128</v>
      </c>
      <c r="F1123" t="s">
        <v>1782</v>
      </c>
      <c r="G1123" t="s">
        <v>3129</v>
      </c>
      <c r="H1123" t="s">
        <v>3131</v>
      </c>
      <c r="I1123" t="s">
        <v>1565</v>
      </c>
      <c r="J1123" s="455">
        <v>46197</v>
      </c>
      <c r="U1123" s="455">
        <v>46199</v>
      </c>
    </row>
    <row r="1124" spans="1:21">
      <c r="A1124" t="s">
        <v>1751</v>
      </c>
      <c r="B1124" t="s">
        <v>4168</v>
      </c>
      <c r="C1124" t="s">
        <v>1751</v>
      </c>
      <c r="D1124">
        <v>20564674</v>
      </c>
      <c r="E1124" t="s">
        <v>3128</v>
      </c>
      <c r="F1124" t="s">
        <v>1241</v>
      </c>
      <c r="G1124" t="s">
        <v>3129</v>
      </c>
      <c r="H1124" t="s">
        <v>3131</v>
      </c>
      <c r="I1124" t="s">
        <v>1565</v>
      </c>
      <c r="J1124" s="455">
        <v>46197</v>
      </c>
      <c r="U1124" s="455">
        <v>46197</v>
      </c>
    </row>
    <row r="1125" spans="1:21">
      <c r="A1125" t="s">
        <v>1751</v>
      </c>
      <c r="B1125" t="s">
        <v>4169</v>
      </c>
      <c r="C1125" t="s">
        <v>1751</v>
      </c>
      <c r="D1125">
        <v>20546600</v>
      </c>
      <c r="E1125" t="s">
        <v>3128</v>
      </c>
      <c r="F1125" t="s">
        <v>1782</v>
      </c>
      <c r="G1125" t="s">
        <v>3129</v>
      </c>
      <c r="H1125" t="s">
        <v>3131</v>
      </c>
      <c r="J1125" s="455">
        <v>46179</v>
      </c>
      <c r="U1125" s="455">
        <v>46179</v>
      </c>
    </row>
    <row r="1126" spans="1:21">
      <c r="A1126" t="s">
        <v>1751</v>
      </c>
      <c r="B1126" t="s">
        <v>4170</v>
      </c>
      <c r="C1126" t="s">
        <v>1751</v>
      </c>
      <c r="D1126">
        <v>20553589</v>
      </c>
      <c r="E1126" t="s">
        <v>3128</v>
      </c>
      <c r="F1126" t="s">
        <v>1782</v>
      </c>
      <c r="G1126" t="s">
        <v>3129</v>
      </c>
      <c r="H1126" t="s">
        <v>1252</v>
      </c>
      <c r="I1126" t="s">
        <v>3363</v>
      </c>
      <c r="J1126" s="455">
        <v>46185</v>
      </c>
      <c r="U1126" s="455">
        <v>46185</v>
      </c>
    </row>
    <row r="1127" spans="1:21">
      <c r="A1127" t="s">
        <v>1751</v>
      </c>
      <c r="B1127" t="s">
        <v>4171</v>
      </c>
      <c r="C1127" t="s">
        <v>1751</v>
      </c>
      <c r="D1127">
        <v>20563331</v>
      </c>
      <c r="E1127" t="s">
        <v>3128</v>
      </c>
      <c r="F1127" t="s">
        <v>1241</v>
      </c>
      <c r="G1127" t="s">
        <v>3129</v>
      </c>
      <c r="H1127" t="s">
        <v>1253</v>
      </c>
      <c r="J1127" s="455">
        <v>46196</v>
      </c>
      <c r="U1127" s="455">
        <v>46201</v>
      </c>
    </row>
    <row r="1128" spans="1:21">
      <c r="A1128" t="s">
        <v>1751</v>
      </c>
      <c r="B1128" t="s">
        <v>4172</v>
      </c>
      <c r="C1128" t="s">
        <v>1751</v>
      </c>
      <c r="D1128">
        <v>20560503</v>
      </c>
      <c r="E1128" t="s">
        <v>3128</v>
      </c>
      <c r="F1128" t="s">
        <v>1241</v>
      </c>
      <c r="G1128" t="s">
        <v>3129</v>
      </c>
      <c r="H1128" t="s">
        <v>3131</v>
      </c>
      <c r="J1128" s="455">
        <v>46192</v>
      </c>
      <c r="U1128" s="455">
        <v>46192</v>
      </c>
    </row>
    <row r="1129" spans="1:21">
      <c r="A1129" t="s">
        <v>1751</v>
      </c>
      <c r="B1129" t="s">
        <v>4173</v>
      </c>
      <c r="C1129" t="s">
        <v>1751</v>
      </c>
      <c r="D1129">
        <v>20551438</v>
      </c>
      <c r="E1129" t="s">
        <v>3128</v>
      </c>
      <c r="F1129" t="s">
        <v>1239</v>
      </c>
      <c r="G1129" t="s">
        <v>3129</v>
      </c>
      <c r="H1129" t="s">
        <v>1252</v>
      </c>
      <c r="J1129" s="455">
        <v>46183</v>
      </c>
      <c r="U1129" s="455">
        <v>46183</v>
      </c>
    </row>
    <row r="1130" spans="1:21">
      <c r="A1130" t="s">
        <v>1751</v>
      </c>
      <c r="B1130" t="s">
        <v>4174</v>
      </c>
      <c r="C1130" t="s">
        <v>1751</v>
      </c>
      <c r="D1130">
        <v>20554236</v>
      </c>
      <c r="E1130" t="s">
        <v>3128</v>
      </c>
      <c r="F1130" t="s">
        <v>1782</v>
      </c>
      <c r="G1130" t="s">
        <v>3129</v>
      </c>
      <c r="H1130" t="s">
        <v>3377</v>
      </c>
      <c r="J1130" s="455">
        <v>46186</v>
      </c>
      <c r="U1130" s="455">
        <v>46186</v>
      </c>
    </row>
    <row r="1131" spans="1:21">
      <c r="A1131" t="s">
        <v>1751</v>
      </c>
      <c r="B1131" t="s">
        <v>4175</v>
      </c>
      <c r="C1131" t="s">
        <v>1751</v>
      </c>
      <c r="D1131">
        <v>20564975</v>
      </c>
      <c r="E1131" t="s">
        <v>3128</v>
      </c>
      <c r="F1131" t="s">
        <v>1782</v>
      </c>
      <c r="G1131" t="s">
        <v>3129</v>
      </c>
      <c r="H1131" t="s">
        <v>3131</v>
      </c>
      <c r="J1131" s="455">
        <v>46198</v>
      </c>
      <c r="U1131" s="455">
        <v>46198</v>
      </c>
    </row>
    <row r="1132" spans="1:21">
      <c r="A1132" t="s">
        <v>1751</v>
      </c>
      <c r="B1132" t="s">
        <v>4176</v>
      </c>
      <c r="C1132" t="s">
        <v>1751</v>
      </c>
      <c r="D1132">
        <v>20564617</v>
      </c>
      <c r="E1132" t="s">
        <v>3128</v>
      </c>
      <c r="F1132" t="s">
        <v>1241</v>
      </c>
      <c r="G1132" t="s">
        <v>3129</v>
      </c>
      <c r="H1132" t="s">
        <v>1253</v>
      </c>
      <c r="J1132" s="455">
        <v>46197</v>
      </c>
      <c r="U1132" s="455">
        <v>46258</v>
      </c>
    </row>
    <row r="1133" spans="1:21">
      <c r="A1133" t="s">
        <v>1751</v>
      </c>
      <c r="B1133" t="s">
        <v>4177</v>
      </c>
      <c r="C1133" t="s">
        <v>1751</v>
      </c>
      <c r="D1133">
        <v>20543855</v>
      </c>
      <c r="E1133" t="s">
        <v>3128</v>
      </c>
      <c r="F1133" t="s">
        <v>1782</v>
      </c>
      <c r="G1133" t="s">
        <v>3129</v>
      </c>
      <c r="H1133" t="s">
        <v>1252</v>
      </c>
      <c r="J1133" s="455">
        <v>46176</v>
      </c>
      <c r="U1133" s="455">
        <v>46176</v>
      </c>
    </row>
    <row r="1134" spans="1:21">
      <c r="A1134" t="s">
        <v>1751</v>
      </c>
      <c r="B1134" t="s">
        <v>4178</v>
      </c>
      <c r="C1134" t="s">
        <v>1751</v>
      </c>
      <c r="D1134">
        <v>20561128</v>
      </c>
      <c r="E1134" t="s">
        <v>3128</v>
      </c>
      <c r="F1134" t="s">
        <v>1241</v>
      </c>
      <c r="G1134" t="s">
        <v>3129</v>
      </c>
      <c r="H1134" t="s">
        <v>3131</v>
      </c>
      <c r="J1134" s="455">
        <v>46193</v>
      </c>
      <c r="U1134" s="455">
        <v>46193</v>
      </c>
    </row>
    <row r="1135" spans="1:21">
      <c r="A1135" t="s">
        <v>1751</v>
      </c>
      <c r="B1135" t="s">
        <v>4179</v>
      </c>
      <c r="C1135" t="s">
        <v>1751</v>
      </c>
      <c r="D1135">
        <v>20548613</v>
      </c>
      <c r="E1135" t="s">
        <v>3128</v>
      </c>
      <c r="F1135" t="s">
        <v>1241</v>
      </c>
      <c r="G1135" t="s">
        <v>3129</v>
      </c>
      <c r="H1135" t="s">
        <v>3131</v>
      </c>
      <c r="J1135" s="455">
        <v>46181</v>
      </c>
      <c r="U1135" s="455">
        <v>46181</v>
      </c>
    </row>
    <row r="1136" spans="1:21">
      <c r="A1136" t="s">
        <v>1751</v>
      </c>
      <c r="B1136" t="s">
        <v>4179</v>
      </c>
      <c r="C1136" t="s">
        <v>1751</v>
      </c>
      <c r="D1136">
        <v>20565302</v>
      </c>
      <c r="E1136" t="s">
        <v>3128</v>
      </c>
      <c r="F1136" t="s">
        <v>1782</v>
      </c>
      <c r="G1136" t="s">
        <v>3129</v>
      </c>
      <c r="H1136" t="s">
        <v>3131</v>
      </c>
      <c r="J1136" s="455">
        <v>46198</v>
      </c>
      <c r="U1136" s="455">
        <v>46198</v>
      </c>
    </row>
    <row r="1137" spans="1:21">
      <c r="A1137" t="s">
        <v>1751</v>
      </c>
      <c r="B1137" t="s">
        <v>4179</v>
      </c>
      <c r="C1137" t="s">
        <v>1751</v>
      </c>
      <c r="D1137">
        <v>20564639</v>
      </c>
      <c r="E1137" t="s">
        <v>3128</v>
      </c>
      <c r="F1137" t="s">
        <v>1241</v>
      </c>
      <c r="G1137" t="s">
        <v>3129</v>
      </c>
      <c r="H1137" t="s">
        <v>3131</v>
      </c>
      <c r="J1137" s="455">
        <v>46197</v>
      </c>
      <c r="U1137" s="455">
        <v>46197</v>
      </c>
    </row>
    <row r="1138" spans="1:21">
      <c r="A1138" t="s">
        <v>1751</v>
      </c>
      <c r="B1138" t="s">
        <v>4179</v>
      </c>
      <c r="C1138" t="s">
        <v>1751</v>
      </c>
      <c r="D1138">
        <v>20566034</v>
      </c>
      <c r="E1138" t="s">
        <v>3128</v>
      </c>
      <c r="F1138" t="s">
        <v>1782</v>
      </c>
      <c r="G1138" t="s">
        <v>3129</v>
      </c>
      <c r="H1138" t="s">
        <v>1252</v>
      </c>
      <c r="J1138" s="455">
        <v>46199</v>
      </c>
      <c r="U1138" s="455">
        <v>46199</v>
      </c>
    </row>
    <row r="1139" spans="1:21">
      <c r="A1139" t="s">
        <v>1751</v>
      </c>
      <c r="B1139" t="s">
        <v>4179</v>
      </c>
      <c r="C1139" t="s">
        <v>1751</v>
      </c>
      <c r="D1139">
        <v>20564549</v>
      </c>
      <c r="E1139" t="s">
        <v>3128</v>
      </c>
      <c r="F1139" t="s">
        <v>1241</v>
      </c>
      <c r="G1139" t="s">
        <v>3129</v>
      </c>
      <c r="H1139" t="s">
        <v>1253</v>
      </c>
      <c r="J1139" s="455">
        <v>46197</v>
      </c>
      <c r="U1139" s="455">
        <v>46197</v>
      </c>
    </row>
    <row r="1140" spans="1:21">
      <c r="A1140" t="s">
        <v>1751</v>
      </c>
      <c r="B1140" t="s">
        <v>4179</v>
      </c>
      <c r="C1140" t="s">
        <v>1751</v>
      </c>
      <c r="D1140">
        <v>20564091</v>
      </c>
      <c r="E1140" t="s">
        <v>3128</v>
      </c>
      <c r="F1140" t="s">
        <v>1241</v>
      </c>
      <c r="G1140" t="s">
        <v>3129</v>
      </c>
      <c r="H1140" t="s">
        <v>3487</v>
      </c>
      <c r="J1140" s="455">
        <v>46197</v>
      </c>
      <c r="U1140" s="455">
        <v>46197</v>
      </c>
    </row>
    <row r="1141" spans="1:21">
      <c r="A1141" t="s">
        <v>1751</v>
      </c>
      <c r="B1141" t="s">
        <v>4179</v>
      </c>
      <c r="C1141" t="s">
        <v>1751</v>
      </c>
      <c r="D1141">
        <v>20563229</v>
      </c>
      <c r="E1141" t="s">
        <v>3128</v>
      </c>
      <c r="F1141" t="s">
        <v>1241</v>
      </c>
      <c r="G1141" t="s">
        <v>3129</v>
      </c>
      <c r="H1141" t="s">
        <v>3377</v>
      </c>
      <c r="J1141" s="455">
        <v>46196</v>
      </c>
      <c r="U1141" s="455">
        <v>46196</v>
      </c>
    </row>
    <row r="1142" spans="1:21">
      <c r="A1142" t="s">
        <v>1751</v>
      </c>
      <c r="B1142" t="s">
        <v>4179</v>
      </c>
      <c r="C1142" t="s">
        <v>1751</v>
      </c>
      <c r="D1142">
        <v>20563081</v>
      </c>
      <c r="E1142" t="s">
        <v>3128</v>
      </c>
      <c r="F1142" t="s">
        <v>1241</v>
      </c>
      <c r="G1142" t="s">
        <v>3129</v>
      </c>
      <c r="H1142" t="s">
        <v>3131</v>
      </c>
      <c r="J1142" s="455">
        <v>46196</v>
      </c>
      <c r="U1142" s="455">
        <v>46196</v>
      </c>
    </row>
    <row r="1143" spans="1:21">
      <c r="A1143" t="s">
        <v>1751</v>
      </c>
      <c r="B1143" t="s">
        <v>4179</v>
      </c>
      <c r="C1143" t="s">
        <v>1751</v>
      </c>
      <c r="D1143">
        <v>20566339</v>
      </c>
      <c r="E1143" t="s">
        <v>3128</v>
      </c>
      <c r="F1143" t="s">
        <v>1241</v>
      </c>
      <c r="G1143" t="s">
        <v>3129</v>
      </c>
      <c r="H1143" t="s">
        <v>3131</v>
      </c>
      <c r="J1143" s="455">
        <v>46199</v>
      </c>
      <c r="U1143" s="455">
        <v>46199</v>
      </c>
    </row>
    <row r="1144" spans="1:21">
      <c r="A1144" t="s">
        <v>1751</v>
      </c>
      <c r="B1144" t="s">
        <v>4179</v>
      </c>
      <c r="C1144" t="s">
        <v>1751</v>
      </c>
      <c r="D1144">
        <v>20562432</v>
      </c>
      <c r="E1144" t="s">
        <v>3128</v>
      </c>
      <c r="F1144" t="s">
        <v>1241</v>
      </c>
      <c r="G1144" t="s">
        <v>3129</v>
      </c>
      <c r="H1144" t="s">
        <v>3131</v>
      </c>
      <c r="J1144" s="455">
        <v>46195</v>
      </c>
      <c r="U1144" s="455">
        <v>46195</v>
      </c>
    </row>
    <row r="1145" spans="1:21">
      <c r="A1145" t="s">
        <v>1751</v>
      </c>
      <c r="B1145" t="s">
        <v>4179</v>
      </c>
      <c r="C1145" t="s">
        <v>1751</v>
      </c>
      <c r="D1145">
        <v>20561064</v>
      </c>
      <c r="E1145" t="s">
        <v>3128</v>
      </c>
      <c r="F1145" t="s">
        <v>1782</v>
      </c>
      <c r="G1145" t="s">
        <v>3129</v>
      </c>
      <c r="H1145" t="s">
        <v>3377</v>
      </c>
      <c r="J1145" s="455">
        <v>46193</v>
      </c>
      <c r="U1145" s="455">
        <v>46193</v>
      </c>
    </row>
    <row r="1146" spans="1:21">
      <c r="A1146" t="s">
        <v>1751</v>
      </c>
      <c r="B1146" t="s">
        <v>4179</v>
      </c>
      <c r="C1146" t="s">
        <v>1751</v>
      </c>
      <c r="D1146">
        <v>20560652</v>
      </c>
      <c r="E1146" t="s">
        <v>3128</v>
      </c>
      <c r="F1146" t="s">
        <v>1241</v>
      </c>
      <c r="G1146" t="s">
        <v>3129</v>
      </c>
      <c r="H1146" t="s">
        <v>3131</v>
      </c>
      <c r="J1146" s="455">
        <v>46192</v>
      </c>
      <c r="U1146" s="455">
        <v>46192</v>
      </c>
    </row>
    <row r="1147" spans="1:21">
      <c r="A1147" t="s">
        <v>1751</v>
      </c>
      <c r="B1147" t="s">
        <v>4179</v>
      </c>
      <c r="C1147" t="s">
        <v>1751</v>
      </c>
      <c r="D1147">
        <v>20560226</v>
      </c>
      <c r="E1147" t="s">
        <v>3128</v>
      </c>
      <c r="F1147" t="s">
        <v>1782</v>
      </c>
      <c r="G1147" t="s">
        <v>3129</v>
      </c>
      <c r="H1147" t="s">
        <v>1253</v>
      </c>
      <c r="J1147" s="455">
        <v>46191</v>
      </c>
      <c r="U1147" s="455">
        <v>46191</v>
      </c>
    </row>
    <row r="1148" spans="1:21">
      <c r="A1148" t="s">
        <v>1751</v>
      </c>
      <c r="B1148" t="s">
        <v>4179</v>
      </c>
      <c r="C1148" t="s">
        <v>1751</v>
      </c>
      <c r="D1148">
        <v>20560158</v>
      </c>
      <c r="E1148" t="s">
        <v>3128</v>
      </c>
      <c r="F1148" t="s">
        <v>1782</v>
      </c>
      <c r="G1148" t="s">
        <v>3129</v>
      </c>
      <c r="H1148" t="s">
        <v>1252</v>
      </c>
      <c r="J1148" s="455">
        <v>46191</v>
      </c>
      <c r="U1148" s="455">
        <v>46191</v>
      </c>
    </row>
    <row r="1149" spans="1:21">
      <c r="A1149" t="s">
        <v>1751</v>
      </c>
      <c r="B1149" t="s">
        <v>4179</v>
      </c>
      <c r="C1149" t="s">
        <v>1751</v>
      </c>
      <c r="D1149">
        <v>20559917</v>
      </c>
      <c r="E1149" t="s">
        <v>3128</v>
      </c>
      <c r="F1149" t="s">
        <v>1782</v>
      </c>
      <c r="G1149" t="s">
        <v>3129</v>
      </c>
      <c r="H1149" t="s">
        <v>3131</v>
      </c>
      <c r="J1149" s="455">
        <v>46191</v>
      </c>
      <c r="U1149" s="455">
        <v>46191</v>
      </c>
    </row>
    <row r="1150" spans="1:21">
      <c r="A1150" t="s">
        <v>1751</v>
      </c>
      <c r="B1150" t="s">
        <v>4179</v>
      </c>
      <c r="C1150" t="s">
        <v>1751</v>
      </c>
      <c r="D1150">
        <v>20567134</v>
      </c>
      <c r="E1150" t="s">
        <v>3128</v>
      </c>
      <c r="F1150" t="s">
        <v>1782</v>
      </c>
      <c r="G1150" t="s">
        <v>3129</v>
      </c>
      <c r="H1150" t="s">
        <v>3131</v>
      </c>
      <c r="J1150" s="455">
        <v>46200</v>
      </c>
      <c r="U1150" s="455">
        <v>46200</v>
      </c>
    </row>
    <row r="1151" spans="1:21">
      <c r="A1151" t="s">
        <v>1751</v>
      </c>
      <c r="B1151" t="s">
        <v>4179</v>
      </c>
      <c r="C1151" t="s">
        <v>1751</v>
      </c>
      <c r="D1151">
        <v>20559123</v>
      </c>
      <c r="E1151" t="s">
        <v>3128</v>
      </c>
      <c r="F1151" t="s">
        <v>1782</v>
      </c>
      <c r="G1151" t="s">
        <v>3129</v>
      </c>
      <c r="H1151" t="s">
        <v>3131</v>
      </c>
      <c r="J1151" s="455">
        <v>46190</v>
      </c>
      <c r="U1151" s="455">
        <v>46190</v>
      </c>
    </row>
    <row r="1152" spans="1:21">
      <c r="A1152" t="s">
        <v>1751</v>
      </c>
      <c r="B1152" t="s">
        <v>4179</v>
      </c>
      <c r="C1152" t="s">
        <v>1751</v>
      </c>
      <c r="D1152">
        <v>20559111</v>
      </c>
      <c r="E1152" t="s">
        <v>3128</v>
      </c>
      <c r="F1152" t="s">
        <v>1241</v>
      </c>
      <c r="G1152" t="s">
        <v>3129</v>
      </c>
      <c r="H1152" t="s">
        <v>1252</v>
      </c>
      <c r="J1152" s="455">
        <v>46190</v>
      </c>
      <c r="U1152" s="455">
        <v>46190</v>
      </c>
    </row>
    <row r="1153" spans="1:21">
      <c r="A1153" t="s">
        <v>1751</v>
      </c>
      <c r="B1153" t="s">
        <v>4179</v>
      </c>
      <c r="C1153" t="s">
        <v>1751</v>
      </c>
      <c r="D1153">
        <v>20559106</v>
      </c>
      <c r="E1153" t="s">
        <v>3128</v>
      </c>
      <c r="F1153" t="s">
        <v>1241</v>
      </c>
      <c r="G1153" t="s">
        <v>3129</v>
      </c>
      <c r="H1153" t="s">
        <v>1252</v>
      </c>
      <c r="J1153" s="455">
        <v>46190</v>
      </c>
      <c r="U1153" s="455">
        <v>46190</v>
      </c>
    </row>
    <row r="1154" spans="1:21">
      <c r="A1154" t="s">
        <v>1751</v>
      </c>
      <c r="B1154" t="s">
        <v>4179</v>
      </c>
      <c r="C1154" t="s">
        <v>1751</v>
      </c>
      <c r="D1154">
        <v>20546542</v>
      </c>
      <c r="E1154" t="s">
        <v>3128</v>
      </c>
      <c r="F1154" t="s">
        <v>1782</v>
      </c>
      <c r="G1154" t="s">
        <v>3129</v>
      </c>
      <c r="H1154" t="s">
        <v>1253</v>
      </c>
      <c r="J1154" s="455">
        <v>46179</v>
      </c>
      <c r="U1154" s="455">
        <v>46179</v>
      </c>
    </row>
    <row r="1155" spans="1:21">
      <c r="A1155" t="s">
        <v>1751</v>
      </c>
      <c r="B1155" t="s">
        <v>4179</v>
      </c>
      <c r="C1155" t="s">
        <v>1751</v>
      </c>
      <c r="D1155">
        <v>20540997</v>
      </c>
      <c r="E1155" t="s">
        <v>3128</v>
      </c>
      <c r="F1155" t="s">
        <v>1782</v>
      </c>
      <c r="G1155" t="s">
        <v>3129</v>
      </c>
      <c r="H1155" t="s">
        <v>1252</v>
      </c>
      <c r="J1155" s="455">
        <v>46174</v>
      </c>
      <c r="U1155" s="455">
        <v>46174</v>
      </c>
    </row>
    <row r="1156" spans="1:21">
      <c r="A1156" t="s">
        <v>1751</v>
      </c>
      <c r="B1156" t="s">
        <v>4179</v>
      </c>
      <c r="C1156" t="s">
        <v>1751</v>
      </c>
      <c r="D1156">
        <v>20555893</v>
      </c>
      <c r="E1156" t="s">
        <v>3128</v>
      </c>
      <c r="F1156" t="s">
        <v>1241</v>
      </c>
      <c r="G1156" t="s">
        <v>3129</v>
      </c>
      <c r="H1156" t="s">
        <v>1252</v>
      </c>
      <c r="J1156" s="455">
        <v>46188</v>
      </c>
      <c r="U1156" s="455">
        <v>46188</v>
      </c>
    </row>
    <row r="1157" spans="1:21">
      <c r="A1157" t="s">
        <v>1751</v>
      </c>
      <c r="B1157" t="s">
        <v>4179</v>
      </c>
      <c r="C1157" t="s">
        <v>1751</v>
      </c>
      <c r="D1157">
        <v>20555743</v>
      </c>
      <c r="E1157" t="s">
        <v>3128</v>
      </c>
      <c r="F1157" t="s">
        <v>1782</v>
      </c>
      <c r="G1157" t="s">
        <v>3129</v>
      </c>
      <c r="H1157" t="s">
        <v>1253</v>
      </c>
      <c r="J1157" s="455">
        <v>46188</v>
      </c>
      <c r="U1157" s="455">
        <v>46188</v>
      </c>
    </row>
    <row r="1158" spans="1:21">
      <c r="A1158" t="s">
        <v>1751</v>
      </c>
      <c r="B1158" t="s">
        <v>4179</v>
      </c>
      <c r="C1158" t="s">
        <v>1751</v>
      </c>
      <c r="D1158">
        <v>20541002</v>
      </c>
      <c r="E1158" t="s">
        <v>3128</v>
      </c>
      <c r="F1158" t="s">
        <v>1782</v>
      </c>
      <c r="G1158" t="s">
        <v>3129</v>
      </c>
      <c r="H1158" t="s">
        <v>1253</v>
      </c>
      <c r="J1158" s="455">
        <v>46174</v>
      </c>
      <c r="U1158" s="455">
        <v>46174</v>
      </c>
    </row>
    <row r="1159" spans="1:21">
      <c r="A1159" t="s">
        <v>1751</v>
      </c>
      <c r="B1159" t="s">
        <v>4179</v>
      </c>
      <c r="C1159" t="s">
        <v>1751</v>
      </c>
      <c r="D1159">
        <v>20541693</v>
      </c>
      <c r="E1159" t="s">
        <v>3128</v>
      </c>
      <c r="F1159" t="s">
        <v>1782</v>
      </c>
      <c r="G1159" t="s">
        <v>3129</v>
      </c>
      <c r="H1159" t="s">
        <v>3377</v>
      </c>
      <c r="I1159" t="s">
        <v>2941</v>
      </c>
      <c r="J1159" s="455">
        <v>46175</v>
      </c>
      <c r="U1159" s="455">
        <v>46183</v>
      </c>
    </row>
    <row r="1160" spans="1:21">
      <c r="A1160" t="s">
        <v>1751</v>
      </c>
      <c r="B1160" t="s">
        <v>4179</v>
      </c>
      <c r="C1160" t="s">
        <v>1751</v>
      </c>
      <c r="D1160">
        <v>20554391</v>
      </c>
      <c r="E1160" t="s">
        <v>3128</v>
      </c>
      <c r="F1160" t="s">
        <v>1782</v>
      </c>
      <c r="G1160" t="s">
        <v>3129</v>
      </c>
      <c r="H1160" t="s">
        <v>3131</v>
      </c>
      <c r="J1160" s="455">
        <v>46186</v>
      </c>
      <c r="U1160" s="455">
        <v>46186</v>
      </c>
    </row>
    <row r="1161" spans="1:21">
      <c r="A1161" t="s">
        <v>1751</v>
      </c>
      <c r="B1161" t="s">
        <v>4179</v>
      </c>
      <c r="C1161" t="s">
        <v>1751</v>
      </c>
      <c r="D1161">
        <v>20554238</v>
      </c>
      <c r="E1161" t="s">
        <v>3128</v>
      </c>
      <c r="F1161" t="s">
        <v>1782</v>
      </c>
      <c r="G1161" t="s">
        <v>3129</v>
      </c>
      <c r="H1161" t="s">
        <v>1253</v>
      </c>
      <c r="J1161" s="455">
        <v>46186</v>
      </c>
      <c r="U1161" s="455">
        <v>46186</v>
      </c>
    </row>
    <row r="1162" spans="1:21">
      <c r="A1162" t="s">
        <v>1751</v>
      </c>
      <c r="B1162" t="s">
        <v>4179</v>
      </c>
      <c r="C1162" t="s">
        <v>1751</v>
      </c>
      <c r="D1162">
        <v>20541977</v>
      </c>
      <c r="E1162" t="s">
        <v>3128</v>
      </c>
      <c r="F1162" t="s">
        <v>1782</v>
      </c>
      <c r="G1162" t="s">
        <v>3129</v>
      </c>
      <c r="H1162" t="s">
        <v>3131</v>
      </c>
      <c r="J1162" s="455">
        <v>46175</v>
      </c>
      <c r="U1162" s="455">
        <v>46175</v>
      </c>
    </row>
    <row r="1163" spans="1:21">
      <c r="A1163" t="s">
        <v>1751</v>
      </c>
      <c r="B1163" t="s">
        <v>4179</v>
      </c>
      <c r="C1163" t="s">
        <v>1751</v>
      </c>
      <c r="D1163">
        <v>20568148</v>
      </c>
      <c r="E1163" t="s">
        <v>3128</v>
      </c>
      <c r="F1163" t="s">
        <v>1782</v>
      </c>
      <c r="G1163" t="s">
        <v>3129</v>
      </c>
      <c r="H1163" t="s">
        <v>3131</v>
      </c>
      <c r="J1163" s="455">
        <v>46202</v>
      </c>
      <c r="U1163" s="455">
        <v>46202</v>
      </c>
    </row>
    <row r="1164" spans="1:21">
      <c r="A1164" t="s">
        <v>1751</v>
      </c>
      <c r="B1164" t="s">
        <v>4179</v>
      </c>
      <c r="C1164" t="s">
        <v>1751</v>
      </c>
      <c r="D1164">
        <v>20542505</v>
      </c>
      <c r="E1164" t="s">
        <v>3128</v>
      </c>
      <c r="F1164" t="s">
        <v>1782</v>
      </c>
      <c r="G1164" t="s">
        <v>3129</v>
      </c>
      <c r="H1164" t="s">
        <v>3377</v>
      </c>
      <c r="J1164" s="455">
        <v>46175</v>
      </c>
      <c r="U1164" s="455">
        <v>46175</v>
      </c>
    </row>
    <row r="1165" spans="1:21">
      <c r="A1165" t="s">
        <v>1751</v>
      </c>
      <c r="B1165" t="s">
        <v>4179</v>
      </c>
      <c r="C1165" t="s">
        <v>1751</v>
      </c>
      <c r="D1165">
        <v>20568399</v>
      </c>
      <c r="E1165" t="s">
        <v>3128</v>
      </c>
      <c r="F1165" t="s">
        <v>1782</v>
      </c>
      <c r="G1165" t="s">
        <v>3129</v>
      </c>
      <c r="H1165" t="s">
        <v>1253</v>
      </c>
      <c r="J1165" s="455">
        <v>46202</v>
      </c>
      <c r="U1165" s="455">
        <v>46202</v>
      </c>
    </row>
    <row r="1166" spans="1:21">
      <c r="A1166" t="s">
        <v>1751</v>
      </c>
      <c r="B1166" t="s">
        <v>4179</v>
      </c>
      <c r="C1166" t="s">
        <v>1751</v>
      </c>
      <c r="D1166">
        <v>20568442</v>
      </c>
      <c r="E1166" t="s">
        <v>3128</v>
      </c>
      <c r="F1166" t="s">
        <v>1782</v>
      </c>
      <c r="G1166" t="s">
        <v>3129</v>
      </c>
      <c r="H1166" t="s">
        <v>1252</v>
      </c>
      <c r="J1166" s="455">
        <v>46202</v>
      </c>
      <c r="U1166" s="455">
        <v>46202</v>
      </c>
    </row>
    <row r="1167" spans="1:21">
      <c r="A1167" t="s">
        <v>1751</v>
      </c>
      <c r="B1167" t="s">
        <v>4179</v>
      </c>
      <c r="C1167" t="s">
        <v>1751</v>
      </c>
      <c r="D1167">
        <v>20542961</v>
      </c>
      <c r="E1167" t="s">
        <v>3128</v>
      </c>
      <c r="F1167" t="s">
        <v>1782</v>
      </c>
      <c r="G1167" t="s">
        <v>3129</v>
      </c>
      <c r="H1167" t="s">
        <v>1252</v>
      </c>
      <c r="J1167" s="455">
        <v>46176</v>
      </c>
      <c r="U1167" s="455">
        <v>46176</v>
      </c>
    </row>
    <row r="1168" spans="1:21">
      <c r="A1168" t="s">
        <v>1751</v>
      </c>
      <c r="B1168" t="s">
        <v>4179</v>
      </c>
      <c r="C1168" t="s">
        <v>1751</v>
      </c>
      <c r="D1168">
        <v>20543074</v>
      </c>
      <c r="E1168" t="s">
        <v>3128</v>
      </c>
      <c r="F1168" t="s">
        <v>1782</v>
      </c>
      <c r="G1168" t="s">
        <v>3129</v>
      </c>
      <c r="H1168" t="s">
        <v>3131</v>
      </c>
      <c r="J1168" s="455">
        <v>46176</v>
      </c>
      <c r="U1168" s="455">
        <v>46176</v>
      </c>
    </row>
    <row r="1169" spans="1:21">
      <c r="A1169" t="s">
        <v>1751</v>
      </c>
      <c r="B1169" t="s">
        <v>4179</v>
      </c>
      <c r="C1169" t="s">
        <v>1751</v>
      </c>
      <c r="D1169">
        <v>20543091</v>
      </c>
      <c r="E1169" t="s">
        <v>3128</v>
      </c>
      <c r="F1169" t="s">
        <v>1782</v>
      </c>
      <c r="G1169" t="s">
        <v>3129</v>
      </c>
      <c r="H1169" t="s">
        <v>3131</v>
      </c>
      <c r="J1169" s="455">
        <v>46176</v>
      </c>
      <c r="U1169" s="455">
        <v>46176</v>
      </c>
    </row>
    <row r="1170" spans="1:21">
      <c r="A1170" t="s">
        <v>1751</v>
      </c>
      <c r="B1170" t="s">
        <v>4179</v>
      </c>
      <c r="C1170" t="s">
        <v>1751</v>
      </c>
      <c r="D1170">
        <v>20543463</v>
      </c>
      <c r="E1170" t="s">
        <v>3128</v>
      </c>
      <c r="F1170" t="s">
        <v>1782</v>
      </c>
      <c r="G1170" t="s">
        <v>3129</v>
      </c>
      <c r="H1170" t="s">
        <v>1252</v>
      </c>
      <c r="J1170" s="455">
        <v>46176</v>
      </c>
      <c r="U1170" s="455">
        <v>46176</v>
      </c>
    </row>
    <row r="1171" spans="1:21">
      <c r="A1171" t="s">
        <v>1751</v>
      </c>
      <c r="B1171" t="s">
        <v>4179</v>
      </c>
      <c r="C1171" t="s">
        <v>1751</v>
      </c>
      <c r="D1171">
        <v>20549796</v>
      </c>
      <c r="E1171" t="s">
        <v>3128</v>
      </c>
      <c r="F1171" t="s">
        <v>1241</v>
      </c>
      <c r="G1171" t="s">
        <v>3129</v>
      </c>
      <c r="H1171" t="s">
        <v>1252</v>
      </c>
      <c r="J1171" s="455">
        <v>46182</v>
      </c>
      <c r="U1171" s="455">
        <v>46182</v>
      </c>
    </row>
    <row r="1172" spans="1:21">
      <c r="A1172" t="s">
        <v>1751</v>
      </c>
      <c r="B1172" t="s">
        <v>4179</v>
      </c>
      <c r="C1172" t="s">
        <v>1751</v>
      </c>
      <c r="D1172">
        <v>20549323</v>
      </c>
      <c r="E1172" t="s">
        <v>3128</v>
      </c>
      <c r="F1172" t="s">
        <v>1241</v>
      </c>
      <c r="G1172" t="s">
        <v>3129</v>
      </c>
      <c r="H1172" t="s">
        <v>1253</v>
      </c>
      <c r="J1172" s="455">
        <v>46182</v>
      </c>
      <c r="U1172" s="455">
        <v>46204</v>
      </c>
    </row>
    <row r="1173" spans="1:21">
      <c r="A1173" t="s">
        <v>1751</v>
      </c>
      <c r="B1173" t="s">
        <v>4179</v>
      </c>
      <c r="C1173" t="s">
        <v>1751</v>
      </c>
      <c r="D1173">
        <v>20569105</v>
      </c>
      <c r="E1173" t="s">
        <v>3128</v>
      </c>
      <c r="F1173" t="s">
        <v>1782</v>
      </c>
      <c r="G1173" t="s">
        <v>3129</v>
      </c>
      <c r="H1173" t="s">
        <v>1253</v>
      </c>
      <c r="J1173" s="455">
        <v>46203</v>
      </c>
      <c r="U1173" s="455">
        <v>46203</v>
      </c>
    </row>
    <row r="1174" spans="1:21">
      <c r="A1174" t="s">
        <v>1751</v>
      </c>
      <c r="B1174" t="s">
        <v>4179</v>
      </c>
      <c r="C1174" t="s">
        <v>1751</v>
      </c>
      <c r="D1174">
        <v>20548124</v>
      </c>
      <c r="E1174" t="s">
        <v>3128</v>
      </c>
      <c r="F1174" t="s">
        <v>1242</v>
      </c>
      <c r="G1174" t="s">
        <v>3129</v>
      </c>
      <c r="H1174" t="s">
        <v>1253</v>
      </c>
      <c r="J1174" s="455">
        <v>46181</v>
      </c>
      <c r="U1174" s="455">
        <v>46181</v>
      </c>
    </row>
    <row r="1175" spans="1:21">
      <c r="A1175" t="s">
        <v>1751</v>
      </c>
      <c r="B1175" t="s">
        <v>4179</v>
      </c>
      <c r="C1175" t="s">
        <v>1751</v>
      </c>
      <c r="D1175">
        <v>20569457</v>
      </c>
      <c r="E1175" t="s">
        <v>3128</v>
      </c>
      <c r="F1175" t="s">
        <v>1782</v>
      </c>
      <c r="G1175" t="s">
        <v>3129</v>
      </c>
      <c r="H1175" t="s">
        <v>3131</v>
      </c>
      <c r="J1175" s="455">
        <v>46203</v>
      </c>
      <c r="U1175" s="455">
        <v>46203</v>
      </c>
    </row>
    <row r="1176" spans="1:21">
      <c r="A1176" t="s">
        <v>1751</v>
      </c>
      <c r="B1176" t="s">
        <v>4179</v>
      </c>
      <c r="C1176" t="s">
        <v>1751</v>
      </c>
      <c r="D1176">
        <v>20545655</v>
      </c>
      <c r="E1176" t="s">
        <v>3128</v>
      </c>
      <c r="F1176" t="s">
        <v>1782</v>
      </c>
      <c r="G1176" t="s">
        <v>3129</v>
      </c>
      <c r="H1176" t="s">
        <v>1252</v>
      </c>
      <c r="J1176" s="455">
        <v>46178</v>
      </c>
      <c r="U1176" s="455">
        <v>46178</v>
      </c>
    </row>
    <row r="1177" spans="1:21">
      <c r="A1177" t="s">
        <v>1751</v>
      </c>
      <c r="B1177" t="s">
        <v>4179</v>
      </c>
      <c r="C1177" t="s">
        <v>1751</v>
      </c>
      <c r="D1177">
        <v>20547399</v>
      </c>
      <c r="E1177" t="s">
        <v>3128</v>
      </c>
      <c r="F1177" t="s">
        <v>1241</v>
      </c>
      <c r="G1177" t="s">
        <v>3129</v>
      </c>
      <c r="H1177" t="s">
        <v>1253</v>
      </c>
      <c r="J1177" s="455">
        <v>46180</v>
      </c>
      <c r="U1177" s="455">
        <v>46180</v>
      </c>
    </row>
    <row r="1178" spans="1:21">
      <c r="A1178" t="s">
        <v>1751</v>
      </c>
      <c r="B1178" t="s">
        <v>4179</v>
      </c>
      <c r="C1178" t="s">
        <v>1751</v>
      </c>
      <c r="D1178">
        <v>20546508</v>
      </c>
      <c r="E1178" t="s">
        <v>3128</v>
      </c>
      <c r="F1178" t="s">
        <v>1782</v>
      </c>
      <c r="G1178" t="s">
        <v>3129</v>
      </c>
      <c r="H1178" t="s">
        <v>1252</v>
      </c>
      <c r="J1178" s="455">
        <v>46179</v>
      </c>
      <c r="U1178" s="455">
        <v>46179</v>
      </c>
    </row>
    <row r="1179" spans="1:21">
      <c r="A1179" t="s">
        <v>1751</v>
      </c>
      <c r="B1179" t="s">
        <v>4180</v>
      </c>
      <c r="C1179" t="s">
        <v>1751</v>
      </c>
      <c r="D1179">
        <v>20550213</v>
      </c>
      <c r="E1179" t="s">
        <v>3128</v>
      </c>
      <c r="F1179" t="s">
        <v>1241</v>
      </c>
      <c r="G1179" t="s">
        <v>3129</v>
      </c>
      <c r="H1179" t="s">
        <v>3131</v>
      </c>
      <c r="J1179" s="455">
        <v>46183</v>
      </c>
      <c r="U1179" s="455">
        <v>46183</v>
      </c>
    </row>
    <row r="1180" spans="1:21">
      <c r="A1180" t="s">
        <v>1751</v>
      </c>
      <c r="B1180" t="s">
        <v>4181</v>
      </c>
      <c r="C1180" t="s">
        <v>1751</v>
      </c>
      <c r="D1180">
        <v>20559698</v>
      </c>
      <c r="E1180" t="s">
        <v>3128</v>
      </c>
      <c r="F1180" t="s">
        <v>1782</v>
      </c>
      <c r="G1180" t="s">
        <v>3129</v>
      </c>
      <c r="H1180" t="s">
        <v>3131</v>
      </c>
      <c r="J1180" s="455">
        <v>46191</v>
      </c>
      <c r="U1180" s="455">
        <v>46191</v>
      </c>
    </row>
    <row r="1181" spans="1:21">
      <c r="A1181" t="s">
        <v>1751</v>
      </c>
      <c r="B1181" t="s">
        <v>4182</v>
      </c>
      <c r="C1181" t="s">
        <v>1751</v>
      </c>
      <c r="D1181">
        <v>20562427</v>
      </c>
      <c r="E1181" t="s">
        <v>3128</v>
      </c>
      <c r="F1181" t="s">
        <v>1241</v>
      </c>
      <c r="G1181" t="s">
        <v>3129</v>
      </c>
      <c r="H1181" t="s">
        <v>3131</v>
      </c>
      <c r="J1181" s="455">
        <v>46195</v>
      </c>
      <c r="U1181" s="455">
        <v>46195</v>
      </c>
    </row>
    <row r="1182" spans="1:21">
      <c r="A1182" t="s">
        <v>1751</v>
      </c>
      <c r="B1182" t="s">
        <v>4183</v>
      </c>
      <c r="C1182" t="s">
        <v>1751</v>
      </c>
      <c r="D1182">
        <v>20554354</v>
      </c>
      <c r="E1182" t="s">
        <v>3128</v>
      </c>
      <c r="F1182" t="s">
        <v>1782</v>
      </c>
      <c r="G1182" t="s">
        <v>3141</v>
      </c>
      <c r="H1182" t="s">
        <v>1252</v>
      </c>
      <c r="J1182" s="455">
        <v>46186</v>
      </c>
      <c r="U1182" s="455">
        <v>46235</v>
      </c>
    </row>
    <row r="1183" spans="1:21">
      <c r="A1183" t="s">
        <v>1751</v>
      </c>
      <c r="B1183" t="s">
        <v>4184</v>
      </c>
      <c r="C1183" t="s">
        <v>1751</v>
      </c>
      <c r="D1183">
        <v>20565524</v>
      </c>
      <c r="E1183" t="s">
        <v>1897</v>
      </c>
      <c r="F1183" t="s">
        <v>1241</v>
      </c>
      <c r="G1183" t="s">
        <v>3134</v>
      </c>
      <c r="H1183" t="s">
        <v>1940</v>
      </c>
      <c r="I1183" t="s">
        <v>3202</v>
      </c>
      <c r="J1183" s="455">
        <v>46198</v>
      </c>
      <c r="K1183" s="455">
        <v>46198</v>
      </c>
      <c r="U1183" s="455">
        <v>46198</v>
      </c>
    </row>
    <row r="1184" spans="1:21">
      <c r="A1184" t="s">
        <v>1751</v>
      </c>
      <c r="B1184" t="s">
        <v>4185</v>
      </c>
      <c r="C1184" t="s">
        <v>1751</v>
      </c>
      <c r="D1184">
        <v>20556131</v>
      </c>
      <c r="E1184" t="s">
        <v>3128</v>
      </c>
      <c r="F1184" t="s">
        <v>1782</v>
      </c>
      <c r="G1184" t="s">
        <v>3137</v>
      </c>
      <c r="H1184" t="s">
        <v>1252</v>
      </c>
      <c r="J1184" s="455">
        <v>46188</v>
      </c>
      <c r="U1184" s="455">
        <v>46374</v>
      </c>
    </row>
    <row r="1185" spans="1:21">
      <c r="A1185" t="s">
        <v>1751</v>
      </c>
      <c r="B1185" t="s">
        <v>4186</v>
      </c>
      <c r="C1185" t="s">
        <v>1751</v>
      </c>
      <c r="D1185">
        <v>20568326</v>
      </c>
      <c r="E1185" t="s">
        <v>3128</v>
      </c>
      <c r="F1185" t="s">
        <v>1782</v>
      </c>
      <c r="G1185" t="s">
        <v>3129</v>
      </c>
      <c r="H1185" t="s">
        <v>3377</v>
      </c>
      <c r="J1185" s="455">
        <v>46202</v>
      </c>
      <c r="U1185" s="455">
        <v>46202</v>
      </c>
    </row>
    <row r="1186" spans="1:21">
      <c r="A1186" t="s">
        <v>1751</v>
      </c>
      <c r="B1186" t="s">
        <v>4187</v>
      </c>
      <c r="C1186" t="s">
        <v>1751</v>
      </c>
      <c r="D1186">
        <v>20543019</v>
      </c>
      <c r="E1186" t="s">
        <v>3128</v>
      </c>
      <c r="F1186" t="s">
        <v>1912</v>
      </c>
      <c r="G1186" t="s">
        <v>3134</v>
      </c>
      <c r="H1186" t="s">
        <v>3165</v>
      </c>
      <c r="J1186" s="455">
        <v>46176</v>
      </c>
      <c r="U1186" s="455">
        <v>46177</v>
      </c>
    </row>
    <row r="1187" spans="1:21">
      <c r="A1187" t="s">
        <v>1751</v>
      </c>
      <c r="B1187" t="s">
        <v>4188</v>
      </c>
      <c r="C1187" t="s">
        <v>1751</v>
      </c>
      <c r="D1187">
        <v>20555692</v>
      </c>
      <c r="E1187" t="s">
        <v>3128</v>
      </c>
      <c r="F1187" t="s">
        <v>1782</v>
      </c>
      <c r="G1187" t="s">
        <v>3137</v>
      </c>
      <c r="H1187" t="s">
        <v>1252</v>
      </c>
      <c r="J1187" s="455">
        <v>46188</v>
      </c>
      <c r="U1187" s="455">
        <v>46191</v>
      </c>
    </row>
    <row r="1188" spans="1:21">
      <c r="A1188" t="s">
        <v>1751</v>
      </c>
      <c r="B1188" t="s">
        <v>4189</v>
      </c>
      <c r="C1188" t="s">
        <v>1751</v>
      </c>
      <c r="D1188">
        <v>20548898</v>
      </c>
      <c r="E1188" t="s">
        <v>3128</v>
      </c>
      <c r="F1188" t="s">
        <v>1241</v>
      </c>
      <c r="G1188" t="s">
        <v>3134</v>
      </c>
      <c r="H1188" t="s">
        <v>1252</v>
      </c>
      <c r="J1188" s="455">
        <v>46181</v>
      </c>
      <c r="U1188" s="455">
        <v>46266</v>
      </c>
    </row>
    <row r="1189" spans="1:21">
      <c r="A1189" t="s">
        <v>1751</v>
      </c>
      <c r="B1189" t="s">
        <v>4190</v>
      </c>
      <c r="C1189" t="s">
        <v>1751</v>
      </c>
      <c r="D1189">
        <v>20561485</v>
      </c>
      <c r="E1189" t="s">
        <v>1897</v>
      </c>
      <c r="F1189" t="s">
        <v>1241</v>
      </c>
      <c r="G1189" t="s">
        <v>3134</v>
      </c>
      <c r="H1189" t="s">
        <v>1247</v>
      </c>
      <c r="I1189" t="s">
        <v>2688</v>
      </c>
      <c r="J1189" s="455">
        <v>46193</v>
      </c>
      <c r="K1189" s="455">
        <v>46193</v>
      </c>
      <c r="U1189" s="455">
        <v>46234</v>
      </c>
    </row>
    <row r="1190" spans="1:21">
      <c r="A1190" t="s">
        <v>1751</v>
      </c>
      <c r="B1190" t="s">
        <v>4190</v>
      </c>
      <c r="C1190" t="s">
        <v>1751</v>
      </c>
      <c r="D1190">
        <v>20545118</v>
      </c>
      <c r="E1190" t="s">
        <v>3133</v>
      </c>
      <c r="F1190" t="s">
        <v>1782</v>
      </c>
      <c r="G1190" t="s">
        <v>3134</v>
      </c>
      <c r="H1190" t="s">
        <v>1247</v>
      </c>
      <c r="I1190" t="s">
        <v>4191</v>
      </c>
      <c r="J1190" s="455">
        <v>46177</v>
      </c>
      <c r="K1190" s="455">
        <v>46177</v>
      </c>
      <c r="R1190" s="455">
        <v>46190</v>
      </c>
      <c r="U1190" s="455">
        <v>46177</v>
      </c>
    </row>
    <row r="1191" spans="1:21">
      <c r="A1191" t="s">
        <v>1751</v>
      </c>
      <c r="B1191" t="s">
        <v>4192</v>
      </c>
      <c r="C1191" t="s">
        <v>1751</v>
      </c>
      <c r="D1191">
        <v>20547319</v>
      </c>
      <c r="E1191" t="s">
        <v>3133</v>
      </c>
      <c r="F1191" t="s">
        <v>1241</v>
      </c>
      <c r="G1191" t="s">
        <v>3134</v>
      </c>
      <c r="H1191" t="s">
        <v>1247</v>
      </c>
      <c r="J1191" s="455">
        <v>46179</v>
      </c>
      <c r="K1191" s="455">
        <v>46179</v>
      </c>
      <c r="R1191" s="455">
        <v>46196</v>
      </c>
      <c r="U1191" s="455">
        <v>46204</v>
      </c>
    </row>
    <row r="1192" spans="1:21">
      <c r="A1192" t="s">
        <v>1751</v>
      </c>
      <c r="B1192" t="s">
        <v>4193</v>
      </c>
      <c r="C1192" t="s">
        <v>1751</v>
      </c>
      <c r="D1192">
        <v>20565913</v>
      </c>
      <c r="E1192" t="s">
        <v>3128</v>
      </c>
      <c r="F1192" t="s">
        <v>1241</v>
      </c>
      <c r="G1192" t="s">
        <v>3134</v>
      </c>
      <c r="H1192" t="s">
        <v>3165</v>
      </c>
      <c r="J1192" s="455">
        <v>46198</v>
      </c>
      <c r="U1192" s="455">
        <v>46241</v>
      </c>
    </row>
    <row r="1193" spans="1:21">
      <c r="A1193" t="s">
        <v>1751</v>
      </c>
      <c r="B1193" t="s">
        <v>4194</v>
      </c>
      <c r="C1193" t="s">
        <v>1751</v>
      </c>
      <c r="D1193">
        <v>20529625</v>
      </c>
      <c r="E1193" t="s">
        <v>3133</v>
      </c>
      <c r="F1193" t="s">
        <v>1238</v>
      </c>
      <c r="G1193" t="s">
        <v>3137</v>
      </c>
      <c r="H1193" t="s">
        <v>1252</v>
      </c>
      <c r="I1193" t="s">
        <v>4195</v>
      </c>
      <c r="J1193" s="455">
        <v>46160</v>
      </c>
      <c r="K1193" s="455">
        <v>46182</v>
      </c>
      <c r="L1193" s="455">
        <v>46182</v>
      </c>
      <c r="M1193" s="455">
        <v>46190</v>
      </c>
      <c r="N1193" s="455">
        <v>46190</v>
      </c>
      <c r="R1193" s="455">
        <v>46197</v>
      </c>
      <c r="U1193" s="455">
        <v>46200</v>
      </c>
    </row>
    <row r="1194" spans="1:21">
      <c r="A1194" t="s">
        <v>1751</v>
      </c>
      <c r="B1194" t="s">
        <v>4194</v>
      </c>
      <c r="C1194" t="s">
        <v>1751</v>
      </c>
      <c r="D1194">
        <v>20559271</v>
      </c>
      <c r="E1194" t="s">
        <v>3133</v>
      </c>
      <c r="F1194" t="s">
        <v>1238</v>
      </c>
      <c r="G1194" t="s">
        <v>3141</v>
      </c>
      <c r="H1194" t="s">
        <v>1252</v>
      </c>
      <c r="J1194" s="455">
        <v>46190</v>
      </c>
      <c r="K1194" s="455">
        <v>46190</v>
      </c>
      <c r="R1194" s="455">
        <v>46197</v>
      </c>
      <c r="U1194" s="455">
        <v>46190</v>
      </c>
    </row>
    <row r="1195" spans="1:21">
      <c r="A1195" t="s">
        <v>1751</v>
      </c>
      <c r="B1195" t="s">
        <v>4194</v>
      </c>
      <c r="C1195" t="s">
        <v>1751</v>
      </c>
      <c r="D1195">
        <v>20557469</v>
      </c>
      <c r="E1195" t="s">
        <v>3133</v>
      </c>
      <c r="F1195" t="s">
        <v>1782</v>
      </c>
      <c r="G1195" t="s">
        <v>3141</v>
      </c>
      <c r="H1195" t="s">
        <v>1252</v>
      </c>
      <c r="J1195" s="455">
        <v>46189</v>
      </c>
      <c r="K1195" s="455">
        <v>46189</v>
      </c>
      <c r="R1195" s="455">
        <v>46190</v>
      </c>
      <c r="U1195" s="455">
        <v>46189</v>
      </c>
    </row>
    <row r="1196" spans="1:21">
      <c r="A1196" t="s">
        <v>1751</v>
      </c>
      <c r="B1196" t="s">
        <v>4194</v>
      </c>
      <c r="C1196" t="s">
        <v>1751</v>
      </c>
      <c r="D1196">
        <v>20552781</v>
      </c>
      <c r="E1196" t="s">
        <v>3133</v>
      </c>
      <c r="F1196" t="s">
        <v>1241</v>
      </c>
      <c r="G1196" t="s">
        <v>3141</v>
      </c>
      <c r="H1196" t="s">
        <v>1252</v>
      </c>
      <c r="I1196" t="s">
        <v>2405</v>
      </c>
      <c r="J1196" s="455">
        <v>46185</v>
      </c>
      <c r="K1196" s="455">
        <v>46189</v>
      </c>
      <c r="R1196" s="455">
        <v>46189</v>
      </c>
      <c r="U1196" s="455">
        <v>46190</v>
      </c>
    </row>
    <row r="1197" spans="1:21">
      <c r="A1197" t="s">
        <v>1751</v>
      </c>
      <c r="B1197" t="s">
        <v>4196</v>
      </c>
      <c r="C1197" t="s">
        <v>1751</v>
      </c>
      <c r="D1197">
        <v>20550469</v>
      </c>
      <c r="E1197" t="s">
        <v>3133</v>
      </c>
      <c r="F1197" t="s">
        <v>1241</v>
      </c>
      <c r="G1197" t="s">
        <v>3134</v>
      </c>
      <c r="H1197" t="s">
        <v>1247</v>
      </c>
      <c r="I1197" t="s">
        <v>2184</v>
      </c>
      <c r="J1197" s="455">
        <v>46183</v>
      </c>
      <c r="K1197" s="455">
        <v>46183</v>
      </c>
      <c r="L1197" s="455">
        <v>46184</v>
      </c>
      <c r="S1197" s="455">
        <v>46185</v>
      </c>
      <c r="U1197" s="455">
        <v>46188</v>
      </c>
    </row>
    <row r="1198" spans="1:21">
      <c r="A1198" t="s">
        <v>1751</v>
      </c>
      <c r="B1198" t="s">
        <v>4197</v>
      </c>
      <c r="C1198" t="s">
        <v>1751</v>
      </c>
      <c r="D1198">
        <v>20565859</v>
      </c>
      <c r="E1198" t="s">
        <v>3128</v>
      </c>
      <c r="F1198" t="s">
        <v>1782</v>
      </c>
      <c r="G1198" t="s">
        <v>3141</v>
      </c>
      <c r="H1198" t="s">
        <v>1252</v>
      </c>
      <c r="J1198" s="455">
        <v>46198</v>
      </c>
      <c r="U1198" s="455">
        <v>46204</v>
      </c>
    </row>
    <row r="1199" spans="1:21">
      <c r="A1199" t="s">
        <v>1751</v>
      </c>
      <c r="B1199" t="s">
        <v>4198</v>
      </c>
      <c r="C1199" t="s">
        <v>1751</v>
      </c>
      <c r="D1199">
        <v>20558520</v>
      </c>
      <c r="E1199" t="s">
        <v>3128</v>
      </c>
      <c r="F1199" t="s">
        <v>1782</v>
      </c>
      <c r="G1199" t="s">
        <v>3134</v>
      </c>
      <c r="H1199" t="s">
        <v>3165</v>
      </c>
      <c r="J1199" s="455">
        <v>46189</v>
      </c>
      <c r="U1199" s="455">
        <v>46191</v>
      </c>
    </row>
    <row r="1200" spans="1:21">
      <c r="A1200" t="s">
        <v>1751</v>
      </c>
      <c r="B1200" t="s">
        <v>3022</v>
      </c>
      <c r="C1200" t="s">
        <v>1751</v>
      </c>
      <c r="D1200">
        <v>20568441</v>
      </c>
      <c r="E1200" t="s">
        <v>1907</v>
      </c>
      <c r="F1200" t="s">
        <v>1237</v>
      </c>
      <c r="G1200" t="s">
        <v>3129</v>
      </c>
      <c r="H1200" t="s">
        <v>3131</v>
      </c>
      <c r="I1200" t="s">
        <v>1529</v>
      </c>
      <c r="J1200" s="455">
        <v>46202</v>
      </c>
      <c r="K1200" s="455">
        <v>46202</v>
      </c>
      <c r="L1200" s="455">
        <v>46202</v>
      </c>
      <c r="M1200" s="455">
        <v>46203</v>
      </c>
      <c r="U1200" s="455">
        <v>46214</v>
      </c>
    </row>
    <row r="1201" spans="1:21">
      <c r="A1201" t="s">
        <v>1751</v>
      </c>
      <c r="B1201" t="s">
        <v>4199</v>
      </c>
      <c r="C1201" t="s">
        <v>1751</v>
      </c>
      <c r="D1201">
        <v>20560009</v>
      </c>
      <c r="E1201" t="s">
        <v>3128</v>
      </c>
      <c r="F1201" t="s">
        <v>1782</v>
      </c>
      <c r="G1201" t="s">
        <v>3134</v>
      </c>
      <c r="H1201" t="s">
        <v>3165</v>
      </c>
      <c r="J1201" s="455">
        <v>46191</v>
      </c>
      <c r="U1201" s="455">
        <v>46283</v>
      </c>
    </row>
    <row r="1202" spans="1:21">
      <c r="A1202" t="s">
        <v>1751</v>
      </c>
      <c r="B1202" t="s">
        <v>4200</v>
      </c>
      <c r="C1202" t="s">
        <v>1751</v>
      </c>
      <c r="D1202">
        <v>20564166</v>
      </c>
      <c r="E1202" t="s">
        <v>3128</v>
      </c>
      <c r="F1202" t="s">
        <v>1242</v>
      </c>
      <c r="G1202" t="s">
        <v>2009</v>
      </c>
      <c r="H1202" t="s">
        <v>1251</v>
      </c>
      <c r="J1202" s="455">
        <v>46197</v>
      </c>
      <c r="U1202" s="455">
        <v>46213</v>
      </c>
    </row>
    <row r="1203" spans="1:21">
      <c r="A1203" t="s">
        <v>1751</v>
      </c>
      <c r="B1203" t="s">
        <v>4201</v>
      </c>
      <c r="C1203" t="s">
        <v>1751</v>
      </c>
      <c r="D1203">
        <v>20544399</v>
      </c>
      <c r="E1203" t="s">
        <v>3128</v>
      </c>
      <c r="F1203" t="s">
        <v>1238</v>
      </c>
      <c r="G1203" t="s">
        <v>3137</v>
      </c>
      <c r="H1203" t="s">
        <v>1247</v>
      </c>
      <c r="J1203" s="455">
        <v>46176</v>
      </c>
      <c r="U1203" s="455">
        <v>46204</v>
      </c>
    </row>
    <row r="1204" spans="1:21">
      <c r="A1204" t="s">
        <v>1751</v>
      </c>
      <c r="B1204" t="s">
        <v>4202</v>
      </c>
      <c r="C1204" t="s">
        <v>1751</v>
      </c>
      <c r="D1204">
        <v>20541330</v>
      </c>
      <c r="E1204" t="s">
        <v>3128</v>
      </c>
      <c r="F1204" t="s">
        <v>1782</v>
      </c>
      <c r="G1204" t="s">
        <v>3134</v>
      </c>
      <c r="H1204" t="s">
        <v>3165</v>
      </c>
      <c r="J1204" s="455">
        <v>46174</v>
      </c>
      <c r="U1204" s="455">
        <v>46181</v>
      </c>
    </row>
    <row r="1205" spans="1:21">
      <c r="A1205" t="s">
        <v>1751</v>
      </c>
      <c r="B1205" t="s">
        <v>4203</v>
      </c>
      <c r="C1205" t="s">
        <v>1751</v>
      </c>
      <c r="D1205">
        <v>20562506</v>
      </c>
      <c r="E1205" t="s">
        <v>3128</v>
      </c>
      <c r="F1205" t="s">
        <v>1241</v>
      </c>
      <c r="G1205" t="s">
        <v>3137</v>
      </c>
      <c r="H1205" t="s">
        <v>1247</v>
      </c>
      <c r="J1205" s="455">
        <v>46195</v>
      </c>
      <c r="U1205" s="455">
        <v>46225</v>
      </c>
    </row>
    <row r="1206" spans="1:21">
      <c r="A1206" t="s">
        <v>1751</v>
      </c>
      <c r="B1206" t="s">
        <v>4204</v>
      </c>
      <c r="C1206" t="s">
        <v>1751</v>
      </c>
      <c r="D1206">
        <v>20544572</v>
      </c>
      <c r="E1206" t="s">
        <v>3128</v>
      </c>
      <c r="F1206" t="s">
        <v>1241</v>
      </c>
      <c r="G1206" t="s">
        <v>3137</v>
      </c>
      <c r="H1206" t="s">
        <v>1247</v>
      </c>
      <c r="J1206" s="455">
        <v>46177</v>
      </c>
      <c r="U1206" s="455">
        <v>46177</v>
      </c>
    </row>
    <row r="1207" spans="1:21">
      <c r="A1207" t="s">
        <v>1751</v>
      </c>
      <c r="B1207" t="s">
        <v>4205</v>
      </c>
      <c r="C1207" t="s">
        <v>1751</v>
      </c>
      <c r="D1207">
        <v>20564759</v>
      </c>
      <c r="E1207" t="s">
        <v>3128</v>
      </c>
      <c r="F1207" t="s">
        <v>1241</v>
      </c>
      <c r="G1207" t="s">
        <v>3141</v>
      </c>
      <c r="H1207" t="s">
        <v>1252</v>
      </c>
      <c r="J1207" s="455">
        <v>46197</v>
      </c>
      <c r="U1207" s="455">
        <v>46293</v>
      </c>
    </row>
    <row r="1208" spans="1:21">
      <c r="A1208" t="s">
        <v>1751</v>
      </c>
      <c r="B1208" t="s">
        <v>4206</v>
      </c>
      <c r="C1208" t="s">
        <v>1751</v>
      </c>
      <c r="D1208">
        <v>20554850</v>
      </c>
      <c r="E1208" t="s">
        <v>3133</v>
      </c>
      <c r="F1208" t="s">
        <v>1242</v>
      </c>
      <c r="G1208" t="s">
        <v>3141</v>
      </c>
      <c r="H1208" t="s">
        <v>1252</v>
      </c>
      <c r="J1208" s="455">
        <v>46187</v>
      </c>
      <c r="K1208" s="455">
        <v>46188</v>
      </c>
      <c r="R1208" s="455">
        <v>46197</v>
      </c>
      <c r="U1208" s="455">
        <v>46242</v>
      </c>
    </row>
    <row r="1209" spans="1:21">
      <c r="A1209" t="s">
        <v>1751</v>
      </c>
      <c r="B1209" t="s">
        <v>4206</v>
      </c>
      <c r="C1209" t="s">
        <v>1751</v>
      </c>
      <c r="D1209">
        <v>20565377</v>
      </c>
      <c r="E1209" t="s">
        <v>2011</v>
      </c>
      <c r="F1209" t="s">
        <v>1242</v>
      </c>
      <c r="G1209" t="s">
        <v>3134</v>
      </c>
      <c r="H1209" t="s">
        <v>1247</v>
      </c>
      <c r="I1209" t="s">
        <v>1565</v>
      </c>
      <c r="J1209" s="455">
        <v>46198</v>
      </c>
      <c r="K1209" s="455">
        <v>46198</v>
      </c>
      <c r="L1209" s="455">
        <v>46199</v>
      </c>
      <c r="M1209" s="455">
        <v>46202</v>
      </c>
      <c r="N1209" s="455">
        <v>46202</v>
      </c>
      <c r="U1209" s="455">
        <v>46206</v>
      </c>
    </row>
    <row r="1210" spans="1:21">
      <c r="A1210" t="s">
        <v>1751</v>
      </c>
      <c r="B1210" t="s">
        <v>4207</v>
      </c>
      <c r="C1210" t="s">
        <v>1751</v>
      </c>
      <c r="D1210">
        <v>20537652</v>
      </c>
      <c r="E1210" t="s">
        <v>3133</v>
      </c>
      <c r="F1210" t="s">
        <v>1243</v>
      </c>
      <c r="G1210" t="s">
        <v>3141</v>
      </c>
      <c r="H1210" t="s">
        <v>3358</v>
      </c>
      <c r="I1210" t="s">
        <v>4208</v>
      </c>
      <c r="J1210" s="455">
        <v>46170</v>
      </c>
      <c r="K1210" s="455">
        <v>46170</v>
      </c>
      <c r="L1210" s="455">
        <v>46170</v>
      </c>
      <c r="S1210" s="455">
        <v>46178</v>
      </c>
      <c r="U1210" s="455">
        <v>46183</v>
      </c>
    </row>
    <row r="1211" spans="1:21">
      <c r="A1211" t="s">
        <v>1751</v>
      </c>
      <c r="B1211" t="s">
        <v>4209</v>
      </c>
      <c r="C1211" t="s">
        <v>1751</v>
      </c>
      <c r="D1211">
        <v>20556483</v>
      </c>
      <c r="E1211" t="s">
        <v>3128</v>
      </c>
      <c r="F1211" t="s">
        <v>1782</v>
      </c>
      <c r="G1211" t="s">
        <v>3134</v>
      </c>
      <c r="H1211" t="s">
        <v>1252</v>
      </c>
      <c r="J1211" s="455">
        <v>46188</v>
      </c>
      <c r="U1211" s="455">
        <v>46204</v>
      </c>
    </row>
    <row r="1212" spans="1:21">
      <c r="A1212" t="s">
        <v>1751</v>
      </c>
      <c r="B1212" t="s">
        <v>4210</v>
      </c>
      <c r="C1212" t="s">
        <v>1751</v>
      </c>
      <c r="D1212">
        <v>20554403</v>
      </c>
      <c r="E1212" t="s">
        <v>3128</v>
      </c>
      <c r="F1212" t="s">
        <v>1782</v>
      </c>
      <c r="G1212" t="s">
        <v>3134</v>
      </c>
      <c r="H1212" t="s">
        <v>1252</v>
      </c>
      <c r="J1212" s="455">
        <v>46186</v>
      </c>
      <c r="U1212" s="455">
        <v>46220</v>
      </c>
    </row>
    <row r="1213" spans="1:21">
      <c r="A1213" t="s">
        <v>1751</v>
      </c>
      <c r="B1213" t="s">
        <v>4211</v>
      </c>
      <c r="C1213" t="s">
        <v>1751</v>
      </c>
      <c r="D1213">
        <v>20545280</v>
      </c>
      <c r="E1213" t="s">
        <v>3133</v>
      </c>
      <c r="F1213" t="s">
        <v>1241</v>
      </c>
      <c r="G1213" t="s">
        <v>3134</v>
      </c>
      <c r="H1213" t="s">
        <v>1252</v>
      </c>
      <c r="I1213" t="s">
        <v>2941</v>
      </c>
      <c r="J1213" s="455">
        <v>46177</v>
      </c>
      <c r="K1213" s="455">
        <v>46177</v>
      </c>
      <c r="R1213" s="455">
        <v>46190</v>
      </c>
      <c r="U1213" s="455">
        <v>46177</v>
      </c>
    </row>
    <row r="1214" spans="1:21">
      <c r="A1214" t="s">
        <v>1751</v>
      </c>
      <c r="B1214" t="s">
        <v>4212</v>
      </c>
      <c r="C1214" t="s">
        <v>1751</v>
      </c>
      <c r="D1214">
        <v>20518905</v>
      </c>
      <c r="E1214" t="s">
        <v>3133</v>
      </c>
      <c r="F1214" t="s">
        <v>1912</v>
      </c>
      <c r="G1214" t="s">
        <v>3134</v>
      </c>
      <c r="H1214" t="s">
        <v>1247</v>
      </c>
      <c r="I1214" t="s">
        <v>2405</v>
      </c>
      <c r="J1214" s="455">
        <v>46148</v>
      </c>
      <c r="K1214" s="455">
        <v>46148</v>
      </c>
      <c r="R1214" s="455">
        <v>46179</v>
      </c>
      <c r="U1214" s="455">
        <v>46148</v>
      </c>
    </row>
    <row r="1215" spans="1:21">
      <c r="A1215" t="s">
        <v>1751</v>
      </c>
      <c r="B1215" t="s">
        <v>4213</v>
      </c>
      <c r="C1215" t="s">
        <v>1751</v>
      </c>
      <c r="D1215">
        <v>20478567</v>
      </c>
      <c r="E1215" t="s">
        <v>3133</v>
      </c>
      <c r="F1215" t="s">
        <v>1799</v>
      </c>
      <c r="G1215" t="s">
        <v>3134</v>
      </c>
      <c r="H1215" t="s">
        <v>1247</v>
      </c>
      <c r="I1215" t="s">
        <v>1564</v>
      </c>
      <c r="J1215" s="455">
        <v>46104</v>
      </c>
      <c r="K1215" s="455">
        <v>46104</v>
      </c>
      <c r="R1215" s="455">
        <v>46177</v>
      </c>
      <c r="U1215" s="455">
        <v>46113</v>
      </c>
    </row>
    <row r="1216" spans="1:21">
      <c r="A1216" t="s">
        <v>1751</v>
      </c>
      <c r="B1216" t="s">
        <v>4214</v>
      </c>
      <c r="C1216" t="s">
        <v>1751</v>
      </c>
      <c r="D1216">
        <v>20552180</v>
      </c>
      <c r="E1216" t="s">
        <v>3128</v>
      </c>
      <c r="F1216" t="s">
        <v>1782</v>
      </c>
      <c r="G1216" t="s">
        <v>3129</v>
      </c>
      <c r="H1216" t="s">
        <v>3377</v>
      </c>
      <c r="J1216" s="455">
        <v>46184</v>
      </c>
      <c r="U1216" s="455">
        <v>46184</v>
      </c>
    </row>
    <row r="1217" spans="1:21">
      <c r="A1217" t="s">
        <v>1751</v>
      </c>
      <c r="B1217" t="s">
        <v>4215</v>
      </c>
      <c r="C1217" t="s">
        <v>1751</v>
      </c>
      <c r="D1217">
        <v>20567036</v>
      </c>
      <c r="E1217" t="s">
        <v>3128</v>
      </c>
      <c r="F1217" t="s">
        <v>1241</v>
      </c>
      <c r="G1217" t="s">
        <v>2009</v>
      </c>
      <c r="H1217" t="s">
        <v>1252</v>
      </c>
      <c r="J1217" s="455">
        <v>46200</v>
      </c>
      <c r="U1217" s="455">
        <v>46251</v>
      </c>
    </row>
    <row r="1218" spans="1:21">
      <c r="A1218" t="s">
        <v>1751</v>
      </c>
      <c r="B1218" t="s">
        <v>4216</v>
      </c>
      <c r="C1218" t="s">
        <v>1751</v>
      </c>
      <c r="D1218">
        <v>20545660</v>
      </c>
      <c r="E1218" t="s">
        <v>3128</v>
      </c>
      <c r="F1218" t="s">
        <v>1782</v>
      </c>
      <c r="G1218" t="s">
        <v>3141</v>
      </c>
      <c r="H1218" t="s">
        <v>1251</v>
      </c>
      <c r="I1218" t="s">
        <v>3265</v>
      </c>
      <c r="J1218" s="455">
        <v>46178</v>
      </c>
      <c r="U1218" s="455">
        <v>46156</v>
      </c>
    </row>
    <row r="1219" spans="1:21">
      <c r="A1219" t="s">
        <v>1751</v>
      </c>
      <c r="B1219" t="s">
        <v>4217</v>
      </c>
      <c r="C1219" t="s">
        <v>1751</v>
      </c>
      <c r="D1219">
        <v>20564202</v>
      </c>
      <c r="E1219" t="s">
        <v>3128</v>
      </c>
      <c r="F1219" t="s">
        <v>1241</v>
      </c>
      <c r="G1219" t="s">
        <v>3143</v>
      </c>
      <c r="H1219" t="s">
        <v>1251</v>
      </c>
      <c r="J1219" s="455">
        <v>46197</v>
      </c>
      <c r="U1219" s="455">
        <v>46197</v>
      </c>
    </row>
    <row r="1220" spans="1:21">
      <c r="A1220" t="s">
        <v>1751</v>
      </c>
      <c r="B1220" t="s">
        <v>4218</v>
      </c>
      <c r="C1220" t="s">
        <v>1751</v>
      </c>
      <c r="D1220">
        <v>20549012</v>
      </c>
      <c r="E1220" t="s">
        <v>3128</v>
      </c>
      <c r="F1220" t="s">
        <v>1241</v>
      </c>
      <c r="G1220" t="s">
        <v>3129</v>
      </c>
      <c r="H1220" t="s">
        <v>1253</v>
      </c>
      <c r="J1220" s="455">
        <v>46182</v>
      </c>
      <c r="U1220" s="455">
        <v>46182</v>
      </c>
    </row>
    <row r="1221" spans="1:21">
      <c r="A1221" t="s">
        <v>1751</v>
      </c>
      <c r="B1221" t="s">
        <v>4219</v>
      </c>
      <c r="C1221" t="s">
        <v>1751</v>
      </c>
      <c r="D1221">
        <v>20544388</v>
      </c>
      <c r="E1221" t="s">
        <v>3128</v>
      </c>
      <c r="F1221" t="s">
        <v>1782</v>
      </c>
      <c r="G1221" t="s">
        <v>3141</v>
      </c>
      <c r="H1221" t="s">
        <v>1252</v>
      </c>
      <c r="J1221" s="455">
        <v>46176</v>
      </c>
      <c r="U1221" s="455">
        <v>46276</v>
      </c>
    </row>
    <row r="1222" spans="1:21">
      <c r="A1222" t="s">
        <v>1751</v>
      </c>
      <c r="B1222" t="s">
        <v>4220</v>
      </c>
      <c r="C1222" t="s">
        <v>1751</v>
      </c>
      <c r="D1222">
        <v>20566045</v>
      </c>
      <c r="E1222" t="s">
        <v>3128</v>
      </c>
      <c r="F1222" t="s">
        <v>1782</v>
      </c>
      <c r="G1222" t="s">
        <v>3134</v>
      </c>
      <c r="H1222" t="s">
        <v>1252</v>
      </c>
      <c r="J1222" s="455">
        <v>46199</v>
      </c>
      <c r="U1222" s="455">
        <v>46235</v>
      </c>
    </row>
    <row r="1223" spans="1:21">
      <c r="A1223" t="s">
        <v>1751</v>
      </c>
      <c r="B1223" t="s">
        <v>4221</v>
      </c>
      <c r="C1223" t="s">
        <v>1751</v>
      </c>
      <c r="D1223">
        <v>20563489</v>
      </c>
      <c r="E1223" t="s">
        <v>3128</v>
      </c>
      <c r="F1223" t="s">
        <v>1241</v>
      </c>
      <c r="G1223" t="s">
        <v>3141</v>
      </c>
      <c r="H1223" t="s">
        <v>1252</v>
      </c>
      <c r="J1223" s="455">
        <v>46196</v>
      </c>
      <c r="U1223" s="455">
        <v>46209</v>
      </c>
    </row>
    <row r="1224" spans="1:21">
      <c r="A1224" t="s">
        <v>1751</v>
      </c>
      <c r="B1224" t="s">
        <v>4222</v>
      </c>
      <c r="C1224" t="s">
        <v>1751</v>
      </c>
      <c r="D1224">
        <v>20544445</v>
      </c>
      <c r="E1224" t="s">
        <v>3128</v>
      </c>
      <c r="F1224" t="s">
        <v>1782</v>
      </c>
      <c r="G1224" t="s">
        <v>3129</v>
      </c>
      <c r="H1224" t="s">
        <v>1252</v>
      </c>
      <c r="J1224" s="455">
        <v>46176</v>
      </c>
      <c r="U1224" s="455">
        <v>46176</v>
      </c>
    </row>
    <row r="1225" spans="1:21">
      <c r="A1225" t="s">
        <v>1751</v>
      </c>
      <c r="B1225" t="s">
        <v>4223</v>
      </c>
      <c r="C1225" t="s">
        <v>1751</v>
      </c>
      <c r="D1225">
        <v>20561622</v>
      </c>
      <c r="E1225" t="s">
        <v>3128</v>
      </c>
      <c r="F1225" t="s">
        <v>1241</v>
      </c>
      <c r="G1225" t="s">
        <v>3137</v>
      </c>
      <c r="H1225" t="s">
        <v>1252</v>
      </c>
      <c r="J1225" s="455">
        <v>46194</v>
      </c>
      <c r="U1225" s="455">
        <v>46203</v>
      </c>
    </row>
    <row r="1226" spans="1:21">
      <c r="A1226" t="s">
        <v>1751</v>
      </c>
      <c r="B1226" t="s">
        <v>4224</v>
      </c>
      <c r="C1226" t="s">
        <v>1751</v>
      </c>
      <c r="D1226">
        <v>20545520</v>
      </c>
      <c r="E1226" t="s">
        <v>3128</v>
      </c>
      <c r="F1226" t="s">
        <v>1239</v>
      </c>
      <c r="G1226" t="s">
        <v>3143</v>
      </c>
      <c r="H1226" t="s">
        <v>1251</v>
      </c>
      <c r="I1226" t="s">
        <v>3055</v>
      </c>
      <c r="J1226" s="455">
        <v>46178</v>
      </c>
      <c r="U1226" s="455">
        <v>46178</v>
      </c>
    </row>
    <row r="1227" spans="1:21">
      <c r="A1227" t="s">
        <v>1751</v>
      </c>
      <c r="B1227" t="s">
        <v>4225</v>
      </c>
      <c r="C1227" t="s">
        <v>1751</v>
      </c>
      <c r="D1227">
        <v>20545735</v>
      </c>
      <c r="E1227" t="s">
        <v>3142</v>
      </c>
      <c r="F1227" t="s">
        <v>1243</v>
      </c>
      <c r="G1227" t="s">
        <v>3141</v>
      </c>
      <c r="H1227" t="s">
        <v>1252</v>
      </c>
      <c r="I1227" t="s">
        <v>2487</v>
      </c>
      <c r="J1227" s="455">
        <v>46178</v>
      </c>
      <c r="K1227" s="455">
        <v>46179</v>
      </c>
      <c r="L1227" s="455">
        <v>46183</v>
      </c>
      <c r="M1227" s="455">
        <v>46190</v>
      </c>
      <c r="N1227" s="455">
        <v>46191</v>
      </c>
      <c r="P1227" s="455">
        <v>46192</v>
      </c>
      <c r="Q1227" s="455">
        <v>46195</v>
      </c>
      <c r="U1227" s="455">
        <v>46204</v>
      </c>
    </row>
    <row r="1228" spans="1:21">
      <c r="A1228" t="s">
        <v>1751</v>
      </c>
      <c r="B1228" t="s">
        <v>4226</v>
      </c>
      <c r="C1228" t="s">
        <v>1751</v>
      </c>
      <c r="D1228">
        <v>20519533</v>
      </c>
      <c r="E1228" t="s">
        <v>3190</v>
      </c>
      <c r="F1228" t="s">
        <v>1242</v>
      </c>
      <c r="G1228" t="s">
        <v>3141</v>
      </c>
      <c r="H1228" t="s">
        <v>1252</v>
      </c>
      <c r="I1228" t="s">
        <v>1917</v>
      </c>
      <c r="J1228" s="455">
        <v>46149</v>
      </c>
      <c r="R1228" s="455">
        <v>46179</v>
      </c>
      <c r="U1228" s="455">
        <v>46234</v>
      </c>
    </row>
    <row r="1229" spans="1:21">
      <c r="A1229" t="s">
        <v>1751</v>
      </c>
      <c r="B1229" t="s">
        <v>4227</v>
      </c>
      <c r="C1229" t="s">
        <v>1751</v>
      </c>
      <c r="D1229">
        <v>20512527</v>
      </c>
      <c r="E1229" t="s">
        <v>3133</v>
      </c>
      <c r="F1229" t="s">
        <v>1912</v>
      </c>
      <c r="G1229" t="s">
        <v>3134</v>
      </c>
      <c r="H1229" t="s">
        <v>1247</v>
      </c>
      <c r="I1229" t="s">
        <v>1532</v>
      </c>
      <c r="J1229" s="455">
        <v>46141</v>
      </c>
      <c r="K1229" s="455">
        <v>46141</v>
      </c>
      <c r="R1229" s="455">
        <v>46189</v>
      </c>
      <c r="U1229" s="455">
        <v>46141</v>
      </c>
    </row>
    <row r="1230" spans="1:21">
      <c r="A1230" t="s">
        <v>1751</v>
      </c>
      <c r="B1230" t="s">
        <v>4228</v>
      </c>
      <c r="C1230" t="s">
        <v>1751</v>
      </c>
      <c r="D1230">
        <v>20559822</v>
      </c>
      <c r="E1230" t="s">
        <v>3128</v>
      </c>
      <c r="F1230" t="s">
        <v>1782</v>
      </c>
      <c r="G1230" t="s">
        <v>3137</v>
      </c>
      <c r="H1230" t="s">
        <v>1252</v>
      </c>
      <c r="J1230" s="455">
        <v>46191</v>
      </c>
      <c r="U1230" s="455">
        <v>46200</v>
      </c>
    </row>
    <row r="1231" spans="1:21">
      <c r="A1231" t="s">
        <v>1751</v>
      </c>
      <c r="B1231" t="s">
        <v>4229</v>
      </c>
      <c r="C1231" t="s">
        <v>1751</v>
      </c>
      <c r="D1231">
        <v>20537962</v>
      </c>
      <c r="E1231" t="s">
        <v>3133</v>
      </c>
      <c r="F1231" t="s">
        <v>1243</v>
      </c>
      <c r="G1231" t="s">
        <v>3134</v>
      </c>
      <c r="H1231" t="s">
        <v>1247</v>
      </c>
      <c r="I1231" t="s">
        <v>2134</v>
      </c>
      <c r="J1231" s="455">
        <v>46170</v>
      </c>
      <c r="K1231" s="455">
        <v>46170</v>
      </c>
      <c r="L1231" s="455">
        <v>46170</v>
      </c>
      <c r="S1231" s="455">
        <v>46184</v>
      </c>
      <c r="U1231" s="455">
        <v>46186</v>
      </c>
    </row>
    <row r="1232" spans="1:21">
      <c r="A1232" t="s">
        <v>1751</v>
      </c>
      <c r="B1232" t="s">
        <v>4230</v>
      </c>
      <c r="C1232" t="s">
        <v>1751</v>
      </c>
      <c r="D1232">
        <v>20511736</v>
      </c>
      <c r="E1232" t="s">
        <v>3142</v>
      </c>
      <c r="F1232" t="s">
        <v>1239</v>
      </c>
      <c r="G1232" t="s">
        <v>3134</v>
      </c>
      <c r="H1232" t="s">
        <v>3165</v>
      </c>
      <c r="I1232" t="s">
        <v>2543</v>
      </c>
      <c r="J1232" s="455">
        <v>46140</v>
      </c>
      <c r="K1232" s="455">
        <v>46165</v>
      </c>
      <c r="L1232" s="455">
        <v>46165</v>
      </c>
      <c r="M1232" s="455">
        <v>46169</v>
      </c>
      <c r="N1232" s="455">
        <v>46169</v>
      </c>
      <c r="P1232" s="455">
        <v>46169</v>
      </c>
      <c r="Q1232" s="455">
        <v>46169</v>
      </c>
      <c r="U1232" s="455">
        <v>46189</v>
      </c>
    </row>
    <row r="1233" spans="1:21">
      <c r="A1233" t="s">
        <v>1751</v>
      </c>
      <c r="B1233" t="s">
        <v>4231</v>
      </c>
      <c r="C1233" t="s">
        <v>1751</v>
      </c>
      <c r="D1233">
        <v>20531423</v>
      </c>
      <c r="E1233" t="s">
        <v>3133</v>
      </c>
      <c r="F1233" t="s">
        <v>1241</v>
      </c>
      <c r="G1233" t="s">
        <v>2009</v>
      </c>
      <c r="H1233" t="s">
        <v>1247</v>
      </c>
      <c r="I1233" t="s">
        <v>1539</v>
      </c>
      <c r="J1233" s="455">
        <v>46162</v>
      </c>
      <c r="K1233" s="455">
        <v>46162</v>
      </c>
      <c r="R1233" s="455">
        <v>46185</v>
      </c>
      <c r="U1233" s="455">
        <v>46162</v>
      </c>
    </row>
    <row r="1234" spans="1:21">
      <c r="A1234" t="s">
        <v>1751</v>
      </c>
      <c r="B1234" t="s">
        <v>4231</v>
      </c>
      <c r="C1234" t="s">
        <v>1751</v>
      </c>
      <c r="D1234">
        <v>20560806</v>
      </c>
      <c r="E1234" t="s">
        <v>1897</v>
      </c>
      <c r="F1234" t="s">
        <v>1241</v>
      </c>
      <c r="G1234" t="s">
        <v>3134</v>
      </c>
      <c r="H1234" t="s">
        <v>1247</v>
      </c>
      <c r="I1234" t="s">
        <v>3307</v>
      </c>
      <c r="J1234" s="455">
        <v>46192</v>
      </c>
      <c r="K1234" s="455">
        <v>46192</v>
      </c>
      <c r="U1234" s="455">
        <v>46192</v>
      </c>
    </row>
    <row r="1235" spans="1:21">
      <c r="A1235" t="s">
        <v>1751</v>
      </c>
      <c r="B1235" t="s">
        <v>4232</v>
      </c>
      <c r="C1235" t="s">
        <v>1751</v>
      </c>
      <c r="D1235">
        <v>20549827</v>
      </c>
      <c r="E1235" t="s">
        <v>3133</v>
      </c>
      <c r="F1235" t="s">
        <v>1238</v>
      </c>
      <c r="G1235" t="s">
        <v>3134</v>
      </c>
      <c r="H1235" t="s">
        <v>1247</v>
      </c>
      <c r="I1235" t="s">
        <v>3202</v>
      </c>
      <c r="J1235" s="455">
        <v>46182</v>
      </c>
      <c r="K1235" s="455">
        <v>46182</v>
      </c>
      <c r="R1235" s="455">
        <v>46196</v>
      </c>
      <c r="U1235" s="455">
        <v>46189</v>
      </c>
    </row>
    <row r="1236" spans="1:21">
      <c r="A1236" t="s">
        <v>1751</v>
      </c>
      <c r="B1236" t="s">
        <v>4233</v>
      </c>
      <c r="C1236" t="s">
        <v>1751</v>
      </c>
      <c r="D1236">
        <v>20563644</v>
      </c>
      <c r="E1236" t="s">
        <v>3128</v>
      </c>
      <c r="F1236" t="s">
        <v>1241</v>
      </c>
      <c r="G1236" t="s">
        <v>3134</v>
      </c>
      <c r="H1236" t="s">
        <v>1252</v>
      </c>
      <c r="J1236" s="455">
        <v>46196</v>
      </c>
      <c r="U1236" s="455">
        <v>46272</v>
      </c>
    </row>
    <row r="1237" spans="1:21">
      <c r="A1237" t="s">
        <v>1751</v>
      </c>
      <c r="B1237" t="s">
        <v>4234</v>
      </c>
      <c r="C1237" t="s">
        <v>1751</v>
      </c>
      <c r="D1237">
        <v>20476241</v>
      </c>
      <c r="E1237" t="s">
        <v>3133</v>
      </c>
      <c r="F1237" t="s">
        <v>1241</v>
      </c>
      <c r="G1237" t="s">
        <v>3134</v>
      </c>
      <c r="H1237" t="s">
        <v>1247</v>
      </c>
      <c r="J1237" s="455">
        <v>46100</v>
      </c>
      <c r="K1237" s="455">
        <v>46100</v>
      </c>
      <c r="R1237" s="455">
        <v>46177</v>
      </c>
      <c r="U1237" s="455">
        <v>46105</v>
      </c>
    </row>
    <row r="1238" spans="1:21">
      <c r="A1238" t="s">
        <v>1751</v>
      </c>
      <c r="B1238" t="s">
        <v>4235</v>
      </c>
      <c r="C1238" t="s">
        <v>1751</v>
      </c>
      <c r="D1238">
        <v>20542428</v>
      </c>
      <c r="E1238" t="s">
        <v>3128</v>
      </c>
      <c r="F1238" t="s">
        <v>1782</v>
      </c>
      <c r="G1238" t="s">
        <v>3129</v>
      </c>
      <c r="H1238" t="s">
        <v>1253</v>
      </c>
      <c r="J1238" s="455">
        <v>46175</v>
      </c>
      <c r="U1238" s="455">
        <v>46175</v>
      </c>
    </row>
    <row r="1239" spans="1:21">
      <c r="A1239" t="s">
        <v>1751</v>
      </c>
      <c r="B1239" t="s">
        <v>4236</v>
      </c>
      <c r="C1239" t="s">
        <v>1751</v>
      </c>
      <c r="D1239">
        <v>20512676</v>
      </c>
      <c r="E1239" t="s">
        <v>3133</v>
      </c>
      <c r="F1239" t="s">
        <v>1242</v>
      </c>
      <c r="G1239" t="s">
        <v>3134</v>
      </c>
      <c r="H1239" t="s">
        <v>1247</v>
      </c>
      <c r="I1239" t="s">
        <v>1559</v>
      </c>
      <c r="J1239" s="455">
        <v>46141</v>
      </c>
      <c r="K1239" s="455">
        <v>46141</v>
      </c>
      <c r="R1239" s="455">
        <v>46189</v>
      </c>
      <c r="U1239" s="455">
        <v>46158</v>
      </c>
    </row>
    <row r="1240" spans="1:21">
      <c r="A1240" t="s">
        <v>1751</v>
      </c>
      <c r="B1240" t="s">
        <v>4236</v>
      </c>
      <c r="C1240" t="s">
        <v>1751</v>
      </c>
      <c r="D1240">
        <v>20494150</v>
      </c>
      <c r="E1240" t="s">
        <v>3133</v>
      </c>
      <c r="F1240" t="s">
        <v>1782</v>
      </c>
      <c r="G1240" t="s">
        <v>3134</v>
      </c>
      <c r="H1240" t="s">
        <v>1247</v>
      </c>
      <c r="I1240" t="s">
        <v>1818</v>
      </c>
      <c r="J1240" s="455">
        <v>46125</v>
      </c>
      <c r="K1240" s="455">
        <v>46125</v>
      </c>
      <c r="R1240" s="455">
        <v>46181</v>
      </c>
      <c r="U1240" s="455">
        <v>46130</v>
      </c>
    </row>
    <row r="1241" spans="1:21">
      <c r="A1241" t="s">
        <v>1751</v>
      </c>
      <c r="B1241" t="s">
        <v>4237</v>
      </c>
      <c r="C1241" t="s">
        <v>1751</v>
      </c>
      <c r="D1241">
        <v>20561263</v>
      </c>
      <c r="E1241" t="s">
        <v>3128</v>
      </c>
      <c r="F1241" t="s">
        <v>1782</v>
      </c>
      <c r="G1241" t="s">
        <v>3141</v>
      </c>
      <c r="H1241" t="s">
        <v>1252</v>
      </c>
      <c r="J1241" s="455">
        <v>46193</v>
      </c>
      <c r="U1241" s="455">
        <v>46249</v>
      </c>
    </row>
    <row r="1242" spans="1:21">
      <c r="A1242" t="s">
        <v>1751</v>
      </c>
      <c r="B1242" t="s">
        <v>4238</v>
      </c>
      <c r="C1242" t="s">
        <v>1751</v>
      </c>
      <c r="D1242">
        <v>20538422</v>
      </c>
      <c r="E1242" t="s">
        <v>3133</v>
      </c>
      <c r="F1242" t="s">
        <v>1241</v>
      </c>
      <c r="G1242" t="s">
        <v>3134</v>
      </c>
      <c r="H1242" t="s">
        <v>1247</v>
      </c>
      <c r="J1242" s="455">
        <v>46171</v>
      </c>
      <c r="K1242" s="455">
        <v>46171</v>
      </c>
      <c r="R1242" s="455">
        <v>46190</v>
      </c>
      <c r="U1242" s="455">
        <v>46171</v>
      </c>
    </row>
    <row r="1243" spans="1:21">
      <c r="A1243" t="s">
        <v>1751</v>
      </c>
      <c r="B1243" t="s">
        <v>4239</v>
      </c>
      <c r="C1243" t="s">
        <v>1751</v>
      </c>
      <c r="D1243">
        <v>20568632</v>
      </c>
      <c r="E1243" t="s">
        <v>3128</v>
      </c>
      <c r="F1243" t="s">
        <v>1782</v>
      </c>
      <c r="G1243" t="s">
        <v>3134</v>
      </c>
      <c r="H1243" t="s">
        <v>3165</v>
      </c>
      <c r="J1243" s="455">
        <v>46202</v>
      </c>
      <c r="U1243" s="455">
        <v>46203</v>
      </c>
    </row>
    <row r="1244" spans="1:21">
      <c r="A1244" t="s">
        <v>1751</v>
      </c>
      <c r="B1244" t="s">
        <v>4240</v>
      </c>
      <c r="C1244" t="s">
        <v>1751</v>
      </c>
      <c r="D1244">
        <v>20561798</v>
      </c>
      <c r="E1244" t="s">
        <v>3128</v>
      </c>
      <c r="F1244" t="s">
        <v>1241</v>
      </c>
      <c r="G1244" t="s">
        <v>3141</v>
      </c>
      <c r="H1244" t="s">
        <v>1247</v>
      </c>
      <c r="J1244" s="455">
        <v>46194</v>
      </c>
      <c r="U1244" s="455">
        <v>46213</v>
      </c>
    </row>
    <row r="1245" spans="1:21">
      <c r="A1245" t="s">
        <v>1751</v>
      </c>
      <c r="B1245" t="s">
        <v>4240</v>
      </c>
      <c r="C1245" t="s">
        <v>1751</v>
      </c>
      <c r="D1245">
        <v>20561814</v>
      </c>
      <c r="E1245" t="s">
        <v>1897</v>
      </c>
      <c r="F1245" t="s">
        <v>1241</v>
      </c>
      <c r="G1245" t="s">
        <v>3134</v>
      </c>
      <c r="H1245" t="s">
        <v>1247</v>
      </c>
      <c r="J1245" s="455">
        <v>46194</v>
      </c>
      <c r="K1245" s="455">
        <v>46194</v>
      </c>
      <c r="U1245" s="455">
        <v>46194</v>
      </c>
    </row>
    <row r="1246" spans="1:21">
      <c r="A1246" t="s">
        <v>1751</v>
      </c>
      <c r="B1246" t="s">
        <v>4241</v>
      </c>
      <c r="C1246" t="s">
        <v>1751</v>
      </c>
      <c r="D1246">
        <v>20528625</v>
      </c>
      <c r="E1246" t="s">
        <v>3133</v>
      </c>
      <c r="F1246" t="s">
        <v>1782</v>
      </c>
      <c r="G1246" t="s">
        <v>3134</v>
      </c>
      <c r="H1246" t="s">
        <v>1248</v>
      </c>
      <c r="I1246" t="s">
        <v>3363</v>
      </c>
      <c r="J1246" s="455">
        <v>46159</v>
      </c>
      <c r="K1246" s="455">
        <v>46159</v>
      </c>
      <c r="R1246" s="455">
        <v>46190</v>
      </c>
      <c r="U1246" s="455">
        <v>46160</v>
      </c>
    </row>
    <row r="1247" spans="1:21">
      <c r="A1247" t="s">
        <v>1751</v>
      </c>
      <c r="B1247" t="s">
        <v>4242</v>
      </c>
      <c r="C1247" t="s">
        <v>1751</v>
      </c>
      <c r="D1247">
        <v>20546967</v>
      </c>
      <c r="E1247" t="s">
        <v>3128</v>
      </c>
      <c r="F1247" t="s">
        <v>1241</v>
      </c>
      <c r="G1247" t="s">
        <v>3137</v>
      </c>
      <c r="H1247" t="s">
        <v>1247</v>
      </c>
      <c r="J1247" s="455">
        <v>46179</v>
      </c>
      <c r="U1247" s="455">
        <v>46179</v>
      </c>
    </row>
    <row r="1248" spans="1:21">
      <c r="A1248" t="s">
        <v>1751</v>
      </c>
      <c r="B1248" t="s">
        <v>4243</v>
      </c>
      <c r="C1248" t="s">
        <v>1751</v>
      </c>
      <c r="D1248">
        <v>20554464</v>
      </c>
      <c r="E1248" t="s">
        <v>3128</v>
      </c>
      <c r="F1248" t="s">
        <v>1782</v>
      </c>
      <c r="G1248" t="s">
        <v>3141</v>
      </c>
      <c r="H1248" t="s">
        <v>1252</v>
      </c>
      <c r="J1248" s="455">
        <v>46186</v>
      </c>
      <c r="U1248" s="455">
        <v>46428</v>
      </c>
    </row>
    <row r="1249" spans="1:21">
      <c r="A1249" t="s">
        <v>1751</v>
      </c>
      <c r="B1249" t="s">
        <v>4244</v>
      </c>
      <c r="C1249" t="s">
        <v>1751</v>
      </c>
      <c r="D1249">
        <v>20492084</v>
      </c>
      <c r="E1249" t="s">
        <v>3133</v>
      </c>
      <c r="F1249" t="s">
        <v>1912</v>
      </c>
      <c r="G1249" t="s">
        <v>3134</v>
      </c>
      <c r="H1249" t="s">
        <v>1247</v>
      </c>
      <c r="J1249" s="455">
        <v>46122</v>
      </c>
      <c r="K1249" s="455">
        <v>46122</v>
      </c>
      <c r="R1249" s="455">
        <v>46181</v>
      </c>
      <c r="U1249" s="455">
        <v>46122</v>
      </c>
    </row>
    <row r="1250" spans="1:21">
      <c r="A1250" t="s">
        <v>1751</v>
      </c>
      <c r="B1250" t="s">
        <v>4245</v>
      </c>
      <c r="C1250" t="s">
        <v>1751</v>
      </c>
      <c r="D1250">
        <v>20569225</v>
      </c>
      <c r="E1250" t="s">
        <v>3128</v>
      </c>
      <c r="F1250" t="s">
        <v>1241</v>
      </c>
      <c r="G1250" t="s">
        <v>3134</v>
      </c>
      <c r="H1250" t="s">
        <v>1247</v>
      </c>
      <c r="I1250" t="s">
        <v>2656</v>
      </c>
      <c r="J1250" s="455">
        <v>46203</v>
      </c>
      <c r="K1250" s="455">
        <v>46203</v>
      </c>
      <c r="U1250" s="455">
        <v>46234</v>
      </c>
    </row>
    <row r="1251" spans="1:21">
      <c r="A1251" t="s">
        <v>1751</v>
      </c>
      <c r="B1251" t="s">
        <v>4246</v>
      </c>
      <c r="C1251" t="s">
        <v>1751</v>
      </c>
      <c r="D1251">
        <v>20564673</v>
      </c>
      <c r="E1251" t="s">
        <v>3128</v>
      </c>
      <c r="F1251" t="s">
        <v>1241</v>
      </c>
      <c r="G1251" t="s">
        <v>3134</v>
      </c>
      <c r="H1251" t="s">
        <v>3165</v>
      </c>
      <c r="J1251" s="455">
        <v>46197</v>
      </c>
      <c r="U1251" s="455">
        <v>46295</v>
      </c>
    </row>
    <row r="1252" spans="1:21">
      <c r="A1252" t="s">
        <v>1751</v>
      </c>
      <c r="B1252" t="s">
        <v>4247</v>
      </c>
      <c r="C1252" t="s">
        <v>1751</v>
      </c>
      <c r="D1252">
        <v>20559599</v>
      </c>
      <c r="E1252" t="s">
        <v>3128</v>
      </c>
      <c r="F1252" t="s">
        <v>1782</v>
      </c>
      <c r="G1252" t="s">
        <v>3137</v>
      </c>
      <c r="H1252" t="s">
        <v>1251</v>
      </c>
      <c r="J1252" s="455">
        <v>46191</v>
      </c>
      <c r="U1252" s="455">
        <v>46191</v>
      </c>
    </row>
    <row r="1253" spans="1:21">
      <c r="A1253" t="s">
        <v>1751</v>
      </c>
      <c r="B1253" t="s">
        <v>4248</v>
      </c>
      <c r="C1253" t="s">
        <v>1751</v>
      </c>
      <c r="D1253">
        <v>20555397</v>
      </c>
      <c r="E1253" t="s">
        <v>3128</v>
      </c>
      <c r="F1253" t="s">
        <v>1241</v>
      </c>
      <c r="G1253" t="s">
        <v>3141</v>
      </c>
      <c r="H1253" t="s">
        <v>1252</v>
      </c>
      <c r="J1253" s="455">
        <v>46187</v>
      </c>
      <c r="U1253" s="455">
        <v>46203</v>
      </c>
    </row>
    <row r="1254" spans="1:21">
      <c r="A1254" t="s">
        <v>1751</v>
      </c>
      <c r="B1254" t="s">
        <v>4249</v>
      </c>
      <c r="C1254" t="s">
        <v>1751</v>
      </c>
      <c r="D1254">
        <v>20479683</v>
      </c>
      <c r="E1254" t="s">
        <v>3133</v>
      </c>
      <c r="F1254" t="s">
        <v>1799</v>
      </c>
      <c r="G1254" t="s">
        <v>3134</v>
      </c>
      <c r="H1254" t="s">
        <v>1247</v>
      </c>
      <c r="I1254" t="s">
        <v>3533</v>
      </c>
      <c r="J1254" s="455">
        <v>46106</v>
      </c>
      <c r="K1254" s="455">
        <v>46106</v>
      </c>
      <c r="R1254" s="455">
        <v>46177</v>
      </c>
      <c r="U1254" s="455">
        <v>46132</v>
      </c>
    </row>
    <row r="1255" spans="1:21">
      <c r="A1255" t="s">
        <v>1751</v>
      </c>
      <c r="B1255" t="s">
        <v>4250</v>
      </c>
      <c r="C1255" t="s">
        <v>1751</v>
      </c>
      <c r="D1255">
        <v>20564941</v>
      </c>
      <c r="E1255" t="s">
        <v>3128</v>
      </c>
      <c r="F1255" t="s">
        <v>1241</v>
      </c>
      <c r="G1255" t="s">
        <v>3141</v>
      </c>
      <c r="H1255" t="s">
        <v>1252</v>
      </c>
      <c r="J1255" s="455">
        <v>46198</v>
      </c>
      <c r="U1255" s="455">
        <v>46204</v>
      </c>
    </row>
    <row r="1256" spans="1:21">
      <c r="A1256" t="s">
        <v>1751</v>
      </c>
      <c r="B1256" t="s">
        <v>4251</v>
      </c>
      <c r="C1256" t="s">
        <v>1751</v>
      </c>
      <c r="D1256">
        <v>20535331</v>
      </c>
      <c r="E1256" t="s">
        <v>3133</v>
      </c>
      <c r="F1256" t="s">
        <v>1782</v>
      </c>
      <c r="G1256" t="s">
        <v>3137</v>
      </c>
      <c r="H1256" t="s">
        <v>1252</v>
      </c>
      <c r="J1256" s="455">
        <v>46167</v>
      </c>
      <c r="K1256" s="455">
        <v>46168</v>
      </c>
      <c r="R1256" s="455">
        <v>46190</v>
      </c>
      <c r="U1256" s="455">
        <v>46197</v>
      </c>
    </row>
    <row r="1257" spans="1:21">
      <c r="A1257" t="s">
        <v>1751</v>
      </c>
      <c r="B1257" t="s">
        <v>4252</v>
      </c>
      <c r="C1257" t="s">
        <v>1751</v>
      </c>
      <c r="D1257">
        <v>20545286</v>
      </c>
      <c r="E1257" t="s">
        <v>3128</v>
      </c>
      <c r="F1257" t="s">
        <v>1241</v>
      </c>
      <c r="G1257" t="s">
        <v>3141</v>
      </c>
      <c r="H1257" t="s">
        <v>1252</v>
      </c>
      <c r="J1257" s="455">
        <v>46177</v>
      </c>
      <c r="U1257" s="455">
        <v>46241</v>
      </c>
    </row>
    <row r="1258" spans="1:21">
      <c r="A1258" t="s">
        <v>1751</v>
      </c>
      <c r="B1258" t="s">
        <v>4253</v>
      </c>
      <c r="C1258" t="s">
        <v>1751</v>
      </c>
      <c r="D1258">
        <v>20536592</v>
      </c>
      <c r="E1258" t="s">
        <v>3133</v>
      </c>
      <c r="F1258" t="s">
        <v>1241</v>
      </c>
      <c r="G1258" t="s">
        <v>3134</v>
      </c>
      <c r="H1258" t="s">
        <v>1247</v>
      </c>
      <c r="J1258" s="455">
        <v>46169</v>
      </c>
      <c r="K1258" s="455">
        <v>46169</v>
      </c>
      <c r="R1258" s="455">
        <v>46190</v>
      </c>
      <c r="U1258" s="455">
        <v>46205</v>
      </c>
    </row>
    <row r="1259" spans="1:21">
      <c r="A1259" t="s">
        <v>1751</v>
      </c>
      <c r="B1259" t="s">
        <v>4254</v>
      </c>
      <c r="C1259" t="s">
        <v>1751</v>
      </c>
      <c r="D1259">
        <v>20560010</v>
      </c>
      <c r="E1259" t="s">
        <v>3128</v>
      </c>
      <c r="F1259" t="s">
        <v>1782</v>
      </c>
      <c r="G1259" t="s">
        <v>3129</v>
      </c>
      <c r="H1259" t="s">
        <v>3165</v>
      </c>
      <c r="J1259" s="455">
        <v>46191</v>
      </c>
      <c r="U1259" s="455">
        <v>46192</v>
      </c>
    </row>
    <row r="1260" spans="1:21">
      <c r="A1260" t="s">
        <v>1751</v>
      </c>
      <c r="B1260" t="s">
        <v>1926</v>
      </c>
      <c r="C1260" t="s">
        <v>1751</v>
      </c>
      <c r="D1260">
        <v>20457272</v>
      </c>
      <c r="E1260" t="s">
        <v>3133</v>
      </c>
      <c r="F1260" t="s">
        <v>1242</v>
      </c>
      <c r="G1260" t="s">
        <v>3143</v>
      </c>
      <c r="H1260" t="s">
        <v>1248</v>
      </c>
      <c r="J1260" s="455">
        <v>46078</v>
      </c>
      <c r="K1260" s="455">
        <v>46090</v>
      </c>
      <c r="R1260" s="455">
        <v>46177</v>
      </c>
      <c r="U1260" s="455">
        <v>46078</v>
      </c>
    </row>
    <row r="1261" spans="1:21">
      <c r="A1261" t="s">
        <v>1751</v>
      </c>
      <c r="B1261" t="s">
        <v>4255</v>
      </c>
      <c r="C1261" t="s">
        <v>1751</v>
      </c>
      <c r="D1261">
        <v>20560353</v>
      </c>
      <c r="E1261" t="s">
        <v>3128</v>
      </c>
      <c r="F1261" t="s">
        <v>1241</v>
      </c>
      <c r="G1261" t="s">
        <v>2009</v>
      </c>
      <c r="H1261" t="s">
        <v>1251</v>
      </c>
      <c r="J1261" s="455">
        <v>46191</v>
      </c>
      <c r="U1261" s="455">
        <v>46191</v>
      </c>
    </row>
    <row r="1262" spans="1:21">
      <c r="A1262" t="s">
        <v>1751</v>
      </c>
      <c r="B1262" t="s">
        <v>4256</v>
      </c>
      <c r="C1262" t="s">
        <v>1751</v>
      </c>
      <c r="D1262">
        <v>20520496</v>
      </c>
      <c r="E1262" t="s">
        <v>3133</v>
      </c>
      <c r="F1262" t="s">
        <v>1912</v>
      </c>
      <c r="G1262" t="s">
        <v>3134</v>
      </c>
      <c r="H1262" t="s">
        <v>1247</v>
      </c>
      <c r="J1262" s="455">
        <v>46150</v>
      </c>
      <c r="K1262" s="455">
        <v>46150</v>
      </c>
      <c r="R1262" s="455">
        <v>46189</v>
      </c>
      <c r="U1262" s="455">
        <v>46150</v>
      </c>
    </row>
    <row r="1263" spans="1:21">
      <c r="A1263" t="s">
        <v>1751</v>
      </c>
      <c r="B1263" t="s">
        <v>4257</v>
      </c>
      <c r="C1263" t="s">
        <v>1751</v>
      </c>
      <c r="D1263">
        <v>20476341</v>
      </c>
      <c r="E1263" t="s">
        <v>3133</v>
      </c>
      <c r="F1263" t="s">
        <v>1241</v>
      </c>
      <c r="G1263" t="s">
        <v>3134</v>
      </c>
      <c r="H1263" t="s">
        <v>1248</v>
      </c>
      <c r="I1263" t="s">
        <v>1570</v>
      </c>
      <c r="J1263" s="455">
        <v>46100</v>
      </c>
      <c r="K1263" s="455">
        <v>46100</v>
      </c>
      <c r="R1263" s="455">
        <v>46177</v>
      </c>
      <c r="U1263" s="455">
        <v>46174</v>
      </c>
    </row>
    <row r="1264" spans="1:21">
      <c r="A1264" t="s">
        <v>1751</v>
      </c>
      <c r="B1264" t="s">
        <v>4258</v>
      </c>
      <c r="C1264" t="s">
        <v>1751</v>
      </c>
      <c r="D1264">
        <v>20553988</v>
      </c>
      <c r="E1264" t="s">
        <v>3128</v>
      </c>
      <c r="F1264" t="s">
        <v>1782</v>
      </c>
      <c r="G1264" t="s">
        <v>3134</v>
      </c>
      <c r="H1264" t="s">
        <v>3165</v>
      </c>
      <c r="J1264" s="455">
        <v>46185</v>
      </c>
      <c r="U1264" s="455">
        <v>46241</v>
      </c>
    </row>
    <row r="1265" spans="1:21">
      <c r="A1265" t="s">
        <v>1751</v>
      </c>
      <c r="B1265" t="s">
        <v>4259</v>
      </c>
      <c r="C1265" t="s">
        <v>1751</v>
      </c>
      <c r="D1265">
        <v>20547984</v>
      </c>
      <c r="E1265" t="s">
        <v>3128</v>
      </c>
      <c r="F1265" t="s">
        <v>1241</v>
      </c>
      <c r="G1265" t="s">
        <v>3137</v>
      </c>
      <c r="H1265" t="s">
        <v>1252</v>
      </c>
      <c r="J1265" s="455">
        <v>46181</v>
      </c>
      <c r="U1265" s="455">
        <v>46214</v>
      </c>
    </row>
    <row r="1266" spans="1:21">
      <c r="A1266" t="s">
        <v>1751</v>
      </c>
      <c r="B1266" t="s">
        <v>4260</v>
      </c>
      <c r="C1266" t="s">
        <v>1751</v>
      </c>
      <c r="D1266">
        <v>20552498</v>
      </c>
      <c r="E1266" t="s">
        <v>3128</v>
      </c>
      <c r="F1266" t="s">
        <v>1782</v>
      </c>
      <c r="G1266" t="s">
        <v>3129</v>
      </c>
      <c r="H1266" t="s">
        <v>1252</v>
      </c>
      <c r="J1266" s="455">
        <v>46184</v>
      </c>
      <c r="U1266" s="455">
        <v>46188</v>
      </c>
    </row>
    <row r="1267" spans="1:21">
      <c r="A1267" t="s">
        <v>1751</v>
      </c>
      <c r="B1267" t="s">
        <v>4261</v>
      </c>
      <c r="C1267" t="s">
        <v>1751</v>
      </c>
      <c r="D1267">
        <v>20567540</v>
      </c>
      <c r="E1267" t="s">
        <v>3128</v>
      </c>
      <c r="F1267" t="s">
        <v>1241</v>
      </c>
      <c r="G1267" t="s">
        <v>3137</v>
      </c>
      <c r="H1267" t="s">
        <v>1252</v>
      </c>
      <c r="J1267" s="455">
        <v>46201</v>
      </c>
      <c r="U1267" s="455">
        <v>46204</v>
      </c>
    </row>
    <row r="1268" spans="1:21">
      <c r="A1268" t="s">
        <v>1751</v>
      </c>
      <c r="B1268" t="s">
        <v>4262</v>
      </c>
      <c r="C1268" t="s">
        <v>1751</v>
      </c>
      <c r="D1268">
        <v>20541797</v>
      </c>
      <c r="E1268" t="s">
        <v>3128</v>
      </c>
      <c r="F1268" t="s">
        <v>1782</v>
      </c>
      <c r="G1268" t="s">
        <v>3134</v>
      </c>
      <c r="H1268" t="s">
        <v>1252</v>
      </c>
      <c r="J1268" s="455">
        <v>46175</v>
      </c>
      <c r="U1268" s="455">
        <v>46206</v>
      </c>
    </row>
    <row r="1269" spans="1:21">
      <c r="A1269" t="s">
        <v>1751</v>
      </c>
      <c r="B1269" t="s">
        <v>4263</v>
      </c>
      <c r="C1269" t="s">
        <v>1751</v>
      </c>
      <c r="D1269">
        <v>20516039</v>
      </c>
      <c r="E1269" t="s">
        <v>3133</v>
      </c>
      <c r="F1269" t="s">
        <v>1241</v>
      </c>
      <c r="G1269" t="s">
        <v>3134</v>
      </c>
      <c r="H1269" t="s">
        <v>1247</v>
      </c>
      <c r="I1269" t="s">
        <v>2124</v>
      </c>
      <c r="J1269" s="455">
        <v>46145</v>
      </c>
      <c r="K1269" s="455">
        <v>46145</v>
      </c>
      <c r="R1269" s="455">
        <v>46185</v>
      </c>
      <c r="U1269" s="455">
        <v>46157</v>
      </c>
    </row>
    <row r="1270" spans="1:21">
      <c r="A1270" t="s">
        <v>1751</v>
      </c>
      <c r="B1270" t="s">
        <v>4264</v>
      </c>
      <c r="C1270" t="s">
        <v>1751</v>
      </c>
      <c r="D1270">
        <v>20515580</v>
      </c>
      <c r="E1270" t="s">
        <v>3133</v>
      </c>
      <c r="F1270" t="s">
        <v>1912</v>
      </c>
      <c r="G1270" t="s">
        <v>3134</v>
      </c>
      <c r="H1270" t="s">
        <v>1251</v>
      </c>
      <c r="I1270" t="s">
        <v>1808</v>
      </c>
      <c r="J1270" s="455">
        <v>46144</v>
      </c>
      <c r="K1270" s="455">
        <v>46144</v>
      </c>
      <c r="R1270" s="455">
        <v>46178</v>
      </c>
      <c r="U1270" s="455">
        <v>46165</v>
      </c>
    </row>
    <row r="1271" spans="1:21">
      <c r="A1271" t="s">
        <v>1751</v>
      </c>
      <c r="B1271" t="s">
        <v>4265</v>
      </c>
      <c r="C1271" t="s">
        <v>1751</v>
      </c>
      <c r="D1271">
        <v>20561868</v>
      </c>
      <c r="E1271" t="s">
        <v>3128</v>
      </c>
      <c r="F1271" t="s">
        <v>1241</v>
      </c>
      <c r="G1271" t="s">
        <v>3137</v>
      </c>
      <c r="H1271" t="s">
        <v>1252</v>
      </c>
      <c r="J1271" s="455">
        <v>46194</v>
      </c>
      <c r="U1271" s="455">
        <v>46245</v>
      </c>
    </row>
    <row r="1272" spans="1:21">
      <c r="A1272" t="s">
        <v>1751</v>
      </c>
      <c r="B1272" t="s">
        <v>4266</v>
      </c>
      <c r="C1272" t="s">
        <v>1751</v>
      </c>
      <c r="D1272">
        <v>20548510</v>
      </c>
      <c r="E1272" t="s">
        <v>3128</v>
      </c>
      <c r="F1272" t="s">
        <v>1241</v>
      </c>
      <c r="G1272" t="s">
        <v>3141</v>
      </c>
      <c r="H1272" t="s">
        <v>3487</v>
      </c>
      <c r="J1272" s="455">
        <v>46181</v>
      </c>
      <c r="U1272" s="455">
        <v>46181</v>
      </c>
    </row>
    <row r="1273" spans="1:21">
      <c r="A1273" t="s">
        <v>1751</v>
      </c>
      <c r="B1273" t="s">
        <v>4267</v>
      </c>
      <c r="C1273" t="s">
        <v>1751</v>
      </c>
      <c r="D1273">
        <v>20536268</v>
      </c>
      <c r="E1273" t="s">
        <v>3133</v>
      </c>
      <c r="F1273" t="s">
        <v>1241</v>
      </c>
      <c r="G1273" t="s">
        <v>3134</v>
      </c>
      <c r="H1273" t="s">
        <v>3358</v>
      </c>
      <c r="J1273" s="455">
        <v>46168</v>
      </c>
      <c r="K1273" s="455">
        <v>46168</v>
      </c>
      <c r="R1273" s="455">
        <v>46179</v>
      </c>
      <c r="U1273" s="455">
        <v>46168</v>
      </c>
    </row>
    <row r="1274" spans="1:21">
      <c r="A1274" t="s">
        <v>1751</v>
      </c>
      <c r="B1274" t="s">
        <v>4267</v>
      </c>
      <c r="C1274" t="s">
        <v>1751</v>
      </c>
      <c r="D1274">
        <v>20521225</v>
      </c>
      <c r="E1274" t="s">
        <v>3133</v>
      </c>
      <c r="F1274" t="s">
        <v>1238</v>
      </c>
      <c r="G1274" t="s">
        <v>3134</v>
      </c>
      <c r="H1274" t="s">
        <v>1247</v>
      </c>
      <c r="I1274" t="s">
        <v>2443</v>
      </c>
      <c r="J1274" s="455">
        <v>46151</v>
      </c>
      <c r="K1274" s="455">
        <v>46151</v>
      </c>
      <c r="R1274" s="455">
        <v>46181</v>
      </c>
      <c r="U1274" s="455">
        <v>46210</v>
      </c>
    </row>
    <row r="1275" spans="1:21">
      <c r="A1275" t="s">
        <v>1751</v>
      </c>
      <c r="B1275" t="s">
        <v>4268</v>
      </c>
      <c r="C1275" t="s">
        <v>1751</v>
      </c>
      <c r="D1275">
        <v>20545209</v>
      </c>
      <c r="E1275" t="s">
        <v>3128</v>
      </c>
      <c r="F1275" t="s">
        <v>1238</v>
      </c>
      <c r="G1275" t="s">
        <v>3137</v>
      </c>
      <c r="H1275" t="s">
        <v>1247</v>
      </c>
      <c r="I1275" t="s">
        <v>3385</v>
      </c>
      <c r="J1275" s="455">
        <v>46177</v>
      </c>
      <c r="U1275" s="455">
        <v>46255</v>
      </c>
    </row>
    <row r="1276" spans="1:21">
      <c r="A1276" t="s">
        <v>1751</v>
      </c>
      <c r="B1276" t="s">
        <v>4269</v>
      </c>
      <c r="C1276" t="s">
        <v>1751</v>
      </c>
      <c r="D1276">
        <v>20550315</v>
      </c>
      <c r="E1276" t="s">
        <v>3128</v>
      </c>
      <c r="F1276" t="s">
        <v>1241</v>
      </c>
      <c r="G1276" t="s">
        <v>3129</v>
      </c>
      <c r="H1276" t="s">
        <v>3131</v>
      </c>
      <c r="J1276" s="455">
        <v>46183</v>
      </c>
      <c r="U1276" s="455">
        <v>46183</v>
      </c>
    </row>
    <row r="1277" spans="1:21">
      <c r="A1277" t="s">
        <v>1751</v>
      </c>
      <c r="B1277" t="s">
        <v>4270</v>
      </c>
      <c r="C1277" t="s">
        <v>1751</v>
      </c>
      <c r="D1277">
        <v>20547703</v>
      </c>
      <c r="E1277" t="s">
        <v>3128</v>
      </c>
      <c r="F1277" t="s">
        <v>1241</v>
      </c>
      <c r="G1277" t="s">
        <v>3137</v>
      </c>
      <c r="H1277" t="s">
        <v>1247</v>
      </c>
      <c r="J1277" s="455">
        <v>46180</v>
      </c>
      <c r="U1277" s="455">
        <v>46188</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78AA58-58EF-4D6E-AEB5-8FC98EAC9DA2}">
  <sheetPr>
    <tabColor theme="6" tint="-0.499984740745262"/>
  </sheetPr>
  <dimension ref="A1:U972"/>
  <sheetViews>
    <sheetView workbookViewId="0">
      <selection sqref="A1:XFD1048576"/>
    </sheetView>
  </sheetViews>
  <sheetFormatPr defaultRowHeight="14.4"/>
  <sheetData>
    <row r="1" spans="1:21">
      <c r="A1" t="s">
        <v>3117</v>
      </c>
      <c r="B1" t="s">
        <v>1761</v>
      </c>
      <c r="C1" t="s">
        <v>2301</v>
      </c>
      <c r="D1" t="s">
        <v>3118</v>
      </c>
      <c r="E1" t="s">
        <v>929</v>
      </c>
      <c r="F1" t="s">
        <v>1233</v>
      </c>
      <c r="G1" t="s">
        <v>3119</v>
      </c>
      <c r="H1" t="s">
        <v>1216</v>
      </c>
      <c r="I1" t="s">
        <v>1760</v>
      </c>
      <c r="J1" t="s">
        <v>3120</v>
      </c>
      <c r="K1" t="s">
        <v>3121</v>
      </c>
      <c r="L1" t="s">
        <v>2292</v>
      </c>
      <c r="M1" t="s">
        <v>2296</v>
      </c>
      <c r="N1" t="s">
        <v>3122</v>
      </c>
      <c r="O1" t="s">
        <v>3123</v>
      </c>
      <c r="P1" t="s">
        <v>2298</v>
      </c>
      <c r="Q1" t="s">
        <v>2300</v>
      </c>
      <c r="R1" t="s">
        <v>3124</v>
      </c>
      <c r="S1" t="s">
        <v>3125</v>
      </c>
      <c r="T1" t="s">
        <v>3126</v>
      </c>
      <c r="U1" t="s">
        <v>2383</v>
      </c>
    </row>
    <row r="2" spans="1:21">
      <c r="A2" t="s">
        <v>1751</v>
      </c>
      <c r="B2" t="s">
        <v>4271</v>
      </c>
      <c r="C2" t="s">
        <v>1751</v>
      </c>
      <c r="D2">
        <v>20597745</v>
      </c>
      <c r="E2" t="s">
        <v>3128</v>
      </c>
      <c r="F2" t="s">
        <v>1241</v>
      </c>
      <c r="G2" t="s">
        <v>3134</v>
      </c>
      <c r="H2" t="s">
        <v>3165</v>
      </c>
      <c r="J2" s="455">
        <v>46234</v>
      </c>
      <c r="U2" s="455">
        <v>46260</v>
      </c>
    </row>
    <row r="3" spans="1:21">
      <c r="A3" t="s">
        <v>1751</v>
      </c>
      <c r="B3" t="s">
        <v>4272</v>
      </c>
      <c r="C3" t="s">
        <v>1751</v>
      </c>
      <c r="D3">
        <v>20581116</v>
      </c>
      <c r="E3" t="s">
        <v>3142</v>
      </c>
      <c r="F3" t="s">
        <v>1239</v>
      </c>
      <c r="G3" t="s">
        <v>3143</v>
      </c>
      <c r="H3" t="s">
        <v>1248</v>
      </c>
      <c r="I3" t="s">
        <v>4273</v>
      </c>
      <c r="J3" s="455">
        <v>46217</v>
      </c>
      <c r="K3" s="455">
        <v>46217</v>
      </c>
      <c r="L3" s="455">
        <v>46217</v>
      </c>
      <c r="M3" s="455">
        <v>46223</v>
      </c>
      <c r="N3" s="455">
        <v>46223</v>
      </c>
      <c r="P3" s="455">
        <v>46223</v>
      </c>
      <c r="Q3" s="455">
        <v>46223</v>
      </c>
      <c r="U3" s="455">
        <v>46238</v>
      </c>
    </row>
    <row r="4" spans="1:21">
      <c r="A4" t="s">
        <v>1751</v>
      </c>
      <c r="B4" t="s">
        <v>4274</v>
      </c>
      <c r="C4" t="s">
        <v>1751</v>
      </c>
      <c r="D4">
        <v>20586185</v>
      </c>
      <c r="E4" t="s">
        <v>3128</v>
      </c>
      <c r="F4" t="s">
        <v>1241</v>
      </c>
      <c r="G4" t="s">
        <v>3137</v>
      </c>
      <c r="H4" t="s">
        <v>1251</v>
      </c>
      <c r="J4" s="455">
        <v>46221</v>
      </c>
      <c r="U4" s="455">
        <v>46221</v>
      </c>
    </row>
    <row r="5" spans="1:21">
      <c r="A5" t="s">
        <v>1751</v>
      </c>
      <c r="B5" t="s">
        <v>3138</v>
      </c>
      <c r="C5" t="s">
        <v>1751</v>
      </c>
      <c r="D5">
        <v>20570232</v>
      </c>
      <c r="E5" t="s">
        <v>3128</v>
      </c>
      <c r="F5" t="s">
        <v>1238</v>
      </c>
      <c r="G5" t="s">
        <v>2009</v>
      </c>
      <c r="H5" t="s">
        <v>1252</v>
      </c>
      <c r="J5" s="455">
        <v>46204</v>
      </c>
      <c r="U5" s="455">
        <v>46209</v>
      </c>
    </row>
    <row r="6" spans="1:21">
      <c r="A6" t="s">
        <v>1751</v>
      </c>
      <c r="B6" t="s">
        <v>4275</v>
      </c>
      <c r="C6" t="s">
        <v>1751</v>
      </c>
      <c r="D6">
        <v>20582850</v>
      </c>
      <c r="E6" t="s">
        <v>3128</v>
      </c>
      <c r="F6" t="s">
        <v>1241</v>
      </c>
      <c r="G6" t="s">
        <v>2009</v>
      </c>
      <c r="H6" t="s">
        <v>3165</v>
      </c>
      <c r="J6" s="455">
        <v>46218</v>
      </c>
      <c r="U6" s="455">
        <v>46218</v>
      </c>
    </row>
    <row r="7" spans="1:21">
      <c r="A7" t="s">
        <v>1751</v>
      </c>
      <c r="B7" t="s">
        <v>4276</v>
      </c>
      <c r="C7" t="s">
        <v>1751</v>
      </c>
      <c r="D7">
        <v>20592559</v>
      </c>
      <c r="E7" t="s">
        <v>3128</v>
      </c>
      <c r="F7" t="s">
        <v>1238</v>
      </c>
      <c r="G7" t="s">
        <v>3143</v>
      </c>
      <c r="H7" t="s">
        <v>1248</v>
      </c>
      <c r="I7" t="s">
        <v>3168</v>
      </c>
      <c r="J7" s="455">
        <v>46228</v>
      </c>
      <c r="U7" s="455">
        <v>46249</v>
      </c>
    </row>
    <row r="8" spans="1:21">
      <c r="A8" t="s">
        <v>1751</v>
      </c>
      <c r="B8" t="s">
        <v>4277</v>
      </c>
      <c r="C8" t="s">
        <v>1751</v>
      </c>
      <c r="D8">
        <v>20595451</v>
      </c>
      <c r="E8" t="s">
        <v>3128</v>
      </c>
      <c r="F8" t="s">
        <v>3285</v>
      </c>
      <c r="G8" t="s">
        <v>3141</v>
      </c>
      <c r="H8" t="s">
        <v>4278</v>
      </c>
      <c r="J8" s="455">
        <v>46232</v>
      </c>
      <c r="U8" s="455">
        <v>46262</v>
      </c>
    </row>
    <row r="9" spans="1:21">
      <c r="A9" t="s">
        <v>1751</v>
      </c>
      <c r="B9" t="s">
        <v>4279</v>
      </c>
      <c r="C9" t="s">
        <v>1751</v>
      </c>
      <c r="D9">
        <v>20597318</v>
      </c>
      <c r="E9" t="s">
        <v>1897</v>
      </c>
      <c r="F9" t="s">
        <v>1241</v>
      </c>
      <c r="G9" t="s">
        <v>3134</v>
      </c>
      <c r="H9" t="s">
        <v>4280</v>
      </c>
      <c r="I9" t="s">
        <v>2648</v>
      </c>
      <c r="J9" s="455">
        <v>46234</v>
      </c>
      <c r="K9" s="455">
        <v>46234</v>
      </c>
      <c r="U9" s="455">
        <v>46266</v>
      </c>
    </row>
    <row r="10" spans="1:21">
      <c r="A10" t="s">
        <v>1751</v>
      </c>
      <c r="B10" t="s">
        <v>4281</v>
      </c>
      <c r="C10" t="s">
        <v>1751</v>
      </c>
      <c r="D10">
        <v>20585039</v>
      </c>
      <c r="E10" t="s">
        <v>3128</v>
      </c>
      <c r="F10" t="s">
        <v>1237</v>
      </c>
      <c r="G10" t="s">
        <v>3143</v>
      </c>
      <c r="H10" t="s">
        <v>1251</v>
      </c>
      <c r="I10" t="s">
        <v>3170</v>
      </c>
      <c r="J10" s="455">
        <v>46219</v>
      </c>
      <c r="U10" s="455">
        <v>46225</v>
      </c>
    </row>
    <row r="11" spans="1:21">
      <c r="A11" t="s">
        <v>1751</v>
      </c>
      <c r="B11" t="s">
        <v>3044</v>
      </c>
      <c r="C11" t="s">
        <v>1751</v>
      </c>
      <c r="D11">
        <v>20577290</v>
      </c>
      <c r="E11" t="s">
        <v>3142</v>
      </c>
      <c r="F11" t="s">
        <v>1242</v>
      </c>
      <c r="G11" t="s">
        <v>3137</v>
      </c>
      <c r="H11" t="s">
        <v>1252</v>
      </c>
      <c r="I11" t="s">
        <v>3042</v>
      </c>
      <c r="J11" s="455">
        <v>46212</v>
      </c>
      <c r="K11" s="455">
        <v>46216</v>
      </c>
      <c r="L11" s="455">
        <v>46216</v>
      </c>
      <c r="M11" s="455">
        <v>46219</v>
      </c>
      <c r="N11" s="455">
        <v>46219</v>
      </c>
      <c r="P11" s="455">
        <v>46219</v>
      </c>
      <c r="Q11" s="455">
        <v>46219</v>
      </c>
      <c r="U11" s="455">
        <v>46223</v>
      </c>
    </row>
    <row r="12" spans="1:21">
      <c r="A12" t="s">
        <v>1751</v>
      </c>
      <c r="B12" t="s">
        <v>3149</v>
      </c>
      <c r="C12" t="s">
        <v>1751</v>
      </c>
      <c r="D12">
        <v>20570736</v>
      </c>
      <c r="E12" t="s">
        <v>3133</v>
      </c>
      <c r="F12" t="s">
        <v>1239</v>
      </c>
      <c r="G12" t="s">
        <v>3134</v>
      </c>
      <c r="H12" t="s">
        <v>1247</v>
      </c>
      <c r="I12" t="s">
        <v>2182</v>
      </c>
      <c r="J12" s="455">
        <v>46204</v>
      </c>
      <c r="K12" s="455">
        <v>46204</v>
      </c>
      <c r="L12" s="455">
        <v>46205</v>
      </c>
      <c r="U12" s="455">
        <v>46221</v>
      </c>
    </row>
    <row r="13" spans="1:21">
      <c r="A13" t="s">
        <v>1751</v>
      </c>
      <c r="B13" t="s">
        <v>4282</v>
      </c>
      <c r="C13" t="s">
        <v>1751</v>
      </c>
      <c r="D13">
        <v>20590595</v>
      </c>
      <c r="E13" t="s">
        <v>3128</v>
      </c>
      <c r="F13" t="s">
        <v>1238</v>
      </c>
      <c r="G13" t="s">
        <v>3134</v>
      </c>
      <c r="H13" t="s">
        <v>3165</v>
      </c>
      <c r="I13" t="s">
        <v>3363</v>
      </c>
      <c r="J13" s="455">
        <v>46226</v>
      </c>
      <c r="U13" s="455">
        <v>46227</v>
      </c>
    </row>
    <row r="14" spans="1:21">
      <c r="A14" t="s">
        <v>1751</v>
      </c>
      <c r="B14" t="s">
        <v>4283</v>
      </c>
      <c r="C14" t="s">
        <v>1751</v>
      </c>
      <c r="D14">
        <v>20586487</v>
      </c>
      <c r="E14" t="s">
        <v>3128</v>
      </c>
      <c r="F14" t="s">
        <v>1238</v>
      </c>
      <c r="G14" t="s">
        <v>3143</v>
      </c>
      <c r="H14" t="s">
        <v>1252</v>
      </c>
      <c r="I14" t="s">
        <v>3168</v>
      </c>
      <c r="J14" s="455">
        <v>46221</v>
      </c>
      <c r="U14" s="455">
        <v>46252</v>
      </c>
    </row>
    <row r="15" spans="1:21">
      <c r="A15" t="s">
        <v>1751</v>
      </c>
      <c r="B15" t="s">
        <v>4284</v>
      </c>
      <c r="C15" t="s">
        <v>1751</v>
      </c>
      <c r="D15">
        <v>20577554</v>
      </c>
      <c r="E15" t="s">
        <v>1897</v>
      </c>
      <c r="F15" t="s">
        <v>1241</v>
      </c>
      <c r="G15" t="s">
        <v>2009</v>
      </c>
      <c r="H15" t="s">
        <v>3165</v>
      </c>
      <c r="I15" t="s">
        <v>2941</v>
      </c>
      <c r="J15" s="455">
        <v>46212</v>
      </c>
      <c r="K15" s="455">
        <v>46212</v>
      </c>
      <c r="U15" s="455">
        <v>46212</v>
      </c>
    </row>
    <row r="16" spans="1:21">
      <c r="A16" t="s">
        <v>1751</v>
      </c>
      <c r="B16" t="s">
        <v>4285</v>
      </c>
      <c r="C16" t="s">
        <v>1751</v>
      </c>
      <c r="D16">
        <v>20573905</v>
      </c>
      <c r="E16" t="s">
        <v>3128</v>
      </c>
      <c r="F16" t="s">
        <v>1782</v>
      </c>
      <c r="G16" t="s">
        <v>3141</v>
      </c>
      <c r="H16" t="s">
        <v>1252</v>
      </c>
      <c r="J16" s="455">
        <v>46209</v>
      </c>
      <c r="U16" s="455">
        <v>46380</v>
      </c>
    </row>
    <row r="17" spans="1:21">
      <c r="A17" t="s">
        <v>1751</v>
      </c>
      <c r="B17" t="s">
        <v>4286</v>
      </c>
      <c r="C17" t="s">
        <v>1751</v>
      </c>
      <c r="D17">
        <v>20594067</v>
      </c>
      <c r="E17" t="s">
        <v>3142</v>
      </c>
      <c r="F17" t="s">
        <v>1239</v>
      </c>
      <c r="G17" t="s">
        <v>3129</v>
      </c>
      <c r="H17" t="s">
        <v>1252</v>
      </c>
      <c r="I17" t="s">
        <v>2397</v>
      </c>
      <c r="J17" s="455">
        <v>46230</v>
      </c>
      <c r="K17" s="455">
        <v>46231</v>
      </c>
      <c r="L17" s="455">
        <v>46231</v>
      </c>
      <c r="M17" s="455">
        <v>46232</v>
      </c>
      <c r="N17" s="455">
        <v>46233</v>
      </c>
      <c r="P17" s="455">
        <v>46233</v>
      </c>
      <c r="Q17" s="455">
        <v>46233</v>
      </c>
      <c r="U17" s="455">
        <v>46319</v>
      </c>
    </row>
    <row r="18" spans="1:21">
      <c r="A18" t="s">
        <v>1751</v>
      </c>
      <c r="B18" t="s">
        <v>4287</v>
      </c>
      <c r="C18" t="s">
        <v>1751</v>
      </c>
      <c r="D18">
        <v>20593725</v>
      </c>
      <c r="E18" t="s">
        <v>3128</v>
      </c>
      <c r="F18" t="s">
        <v>1238</v>
      </c>
      <c r="G18" t="s">
        <v>3141</v>
      </c>
      <c r="H18" t="s">
        <v>1251</v>
      </c>
      <c r="I18" t="s">
        <v>3170</v>
      </c>
      <c r="J18" s="455">
        <v>46230</v>
      </c>
      <c r="U18" s="455">
        <v>46230</v>
      </c>
    </row>
    <row r="19" spans="1:21">
      <c r="A19" t="s">
        <v>1751</v>
      </c>
      <c r="B19" t="s">
        <v>4288</v>
      </c>
      <c r="C19" t="s">
        <v>1751</v>
      </c>
      <c r="D19">
        <v>20596619</v>
      </c>
      <c r="E19" t="s">
        <v>3128</v>
      </c>
      <c r="F19" t="s">
        <v>1241</v>
      </c>
      <c r="G19" t="s">
        <v>3137</v>
      </c>
      <c r="H19" t="s">
        <v>1940</v>
      </c>
      <c r="J19" s="455">
        <v>46233</v>
      </c>
      <c r="U19" s="455">
        <v>46233</v>
      </c>
    </row>
    <row r="20" spans="1:21">
      <c r="A20" t="s">
        <v>1751</v>
      </c>
      <c r="B20" t="s">
        <v>4289</v>
      </c>
      <c r="C20" t="s">
        <v>1751</v>
      </c>
      <c r="D20">
        <v>20571617</v>
      </c>
      <c r="E20" t="s">
        <v>3128</v>
      </c>
      <c r="F20" t="s">
        <v>1237</v>
      </c>
      <c r="G20" t="s">
        <v>3143</v>
      </c>
      <c r="H20" t="s">
        <v>1252</v>
      </c>
      <c r="I20" t="s">
        <v>3168</v>
      </c>
      <c r="J20" s="455">
        <v>46205</v>
      </c>
      <c r="U20" s="455">
        <v>46234</v>
      </c>
    </row>
    <row r="21" spans="1:21">
      <c r="A21" t="s">
        <v>1751</v>
      </c>
      <c r="B21" t="s">
        <v>4290</v>
      </c>
      <c r="C21" t="s">
        <v>1751</v>
      </c>
      <c r="D21">
        <v>20580474</v>
      </c>
      <c r="E21" t="s">
        <v>3128</v>
      </c>
      <c r="F21" t="s">
        <v>1782</v>
      </c>
      <c r="G21" t="s">
        <v>3143</v>
      </c>
      <c r="H21" t="s">
        <v>1252</v>
      </c>
      <c r="J21" s="455">
        <v>46216</v>
      </c>
      <c r="U21" s="455">
        <v>46217</v>
      </c>
    </row>
    <row r="22" spans="1:21">
      <c r="A22" t="s">
        <v>1751</v>
      </c>
      <c r="B22" t="s">
        <v>4291</v>
      </c>
      <c r="C22" t="s">
        <v>1751</v>
      </c>
      <c r="D22">
        <v>20577762</v>
      </c>
      <c r="E22" t="s">
        <v>3128</v>
      </c>
      <c r="F22" t="s">
        <v>1782</v>
      </c>
      <c r="G22" t="s">
        <v>3134</v>
      </c>
      <c r="H22" t="s">
        <v>1252</v>
      </c>
      <c r="J22" s="455">
        <v>46213</v>
      </c>
      <c r="U22" s="455">
        <v>46214</v>
      </c>
    </row>
    <row r="23" spans="1:21">
      <c r="A23" t="s">
        <v>1751</v>
      </c>
      <c r="B23" t="s">
        <v>4292</v>
      </c>
      <c r="C23" t="s">
        <v>1751</v>
      </c>
      <c r="D23">
        <v>20586388</v>
      </c>
      <c r="E23" t="s">
        <v>3128</v>
      </c>
      <c r="F23" t="s">
        <v>1243</v>
      </c>
      <c r="G23" t="s">
        <v>3141</v>
      </c>
      <c r="H23" t="s">
        <v>1247</v>
      </c>
      <c r="J23" s="455">
        <v>46221</v>
      </c>
      <c r="U23" s="455">
        <v>46221</v>
      </c>
    </row>
    <row r="24" spans="1:21">
      <c r="A24" t="s">
        <v>1751</v>
      </c>
      <c r="B24" t="s">
        <v>4293</v>
      </c>
      <c r="C24" t="s">
        <v>1751</v>
      </c>
      <c r="D24">
        <v>20581448</v>
      </c>
      <c r="E24" t="s">
        <v>3128</v>
      </c>
      <c r="F24" t="s">
        <v>1243</v>
      </c>
      <c r="G24" t="s">
        <v>3137</v>
      </c>
      <c r="H24" t="s">
        <v>1247</v>
      </c>
      <c r="J24" s="455">
        <v>46217</v>
      </c>
      <c r="U24" s="455">
        <v>46217</v>
      </c>
    </row>
    <row r="25" spans="1:21">
      <c r="A25" t="s">
        <v>1751</v>
      </c>
      <c r="B25" t="s">
        <v>4294</v>
      </c>
      <c r="C25" t="s">
        <v>1751</v>
      </c>
      <c r="D25">
        <v>20582773</v>
      </c>
      <c r="E25" t="s">
        <v>3128</v>
      </c>
      <c r="F25" t="s">
        <v>1241</v>
      </c>
      <c r="G25" t="s">
        <v>3129</v>
      </c>
      <c r="H25" t="s">
        <v>1252</v>
      </c>
      <c r="J25" s="455">
        <v>46218</v>
      </c>
      <c r="U25" s="455">
        <v>46218</v>
      </c>
    </row>
    <row r="26" spans="1:21">
      <c r="A26" t="s">
        <v>1751</v>
      </c>
      <c r="B26" t="s">
        <v>4295</v>
      </c>
      <c r="C26" t="s">
        <v>1751</v>
      </c>
      <c r="D26">
        <v>20585053</v>
      </c>
      <c r="E26" t="s">
        <v>1907</v>
      </c>
      <c r="F26" t="s">
        <v>1242</v>
      </c>
      <c r="G26" t="s">
        <v>2009</v>
      </c>
      <c r="H26" t="s">
        <v>1251</v>
      </c>
      <c r="I26" t="s">
        <v>4070</v>
      </c>
      <c r="J26" s="455">
        <v>46219</v>
      </c>
      <c r="K26" s="455">
        <v>46227</v>
      </c>
      <c r="L26" s="455">
        <v>46227</v>
      </c>
      <c r="U26" s="455">
        <v>46270</v>
      </c>
    </row>
    <row r="27" spans="1:21">
      <c r="A27" t="s">
        <v>1751</v>
      </c>
      <c r="B27" t="s">
        <v>4296</v>
      </c>
      <c r="C27" t="s">
        <v>1751</v>
      </c>
      <c r="D27">
        <v>20580578</v>
      </c>
      <c r="E27" t="s">
        <v>3128</v>
      </c>
      <c r="F27" t="s">
        <v>1241</v>
      </c>
      <c r="G27" t="s">
        <v>3134</v>
      </c>
      <c r="H27" t="s">
        <v>3165</v>
      </c>
      <c r="J27" s="455">
        <v>46216</v>
      </c>
      <c r="U27" s="455">
        <v>46266</v>
      </c>
    </row>
    <row r="28" spans="1:21">
      <c r="A28" t="s">
        <v>1751</v>
      </c>
      <c r="B28" t="s">
        <v>4297</v>
      </c>
      <c r="C28" t="s">
        <v>1751</v>
      </c>
      <c r="D28">
        <v>20580945</v>
      </c>
      <c r="E28" t="s">
        <v>3128</v>
      </c>
      <c r="F28" t="s">
        <v>1782</v>
      </c>
      <c r="G28" t="s">
        <v>3141</v>
      </c>
      <c r="H28" t="s">
        <v>1252</v>
      </c>
      <c r="J28" s="455">
        <v>46217</v>
      </c>
      <c r="U28" s="455">
        <v>46245</v>
      </c>
    </row>
    <row r="29" spans="1:21">
      <c r="A29" t="s">
        <v>1751</v>
      </c>
      <c r="B29" t="s">
        <v>4298</v>
      </c>
      <c r="C29" t="s">
        <v>1751</v>
      </c>
      <c r="D29">
        <v>20591812</v>
      </c>
      <c r="E29" t="s">
        <v>3128</v>
      </c>
      <c r="F29" t="s">
        <v>1782</v>
      </c>
      <c r="G29" t="s">
        <v>3141</v>
      </c>
      <c r="H29" t="s">
        <v>1252</v>
      </c>
      <c r="J29" s="455">
        <v>46227</v>
      </c>
      <c r="U29" s="455">
        <v>46228</v>
      </c>
    </row>
    <row r="30" spans="1:21">
      <c r="A30" t="s">
        <v>1751</v>
      </c>
      <c r="B30" t="s">
        <v>4299</v>
      </c>
      <c r="C30" t="s">
        <v>1751</v>
      </c>
      <c r="D30">
        <v>20576590</v>
      </c>
      <c r="E30" t="s">
        <v>3128</v>
      </c>
      <c r="F30" t="s">
        <v>1241</v>
      </c>
      <c r="G30" t="s">
        <v>3137</v>
      </c>
      <c r="H30" t="s">
        <v>1252</v>
      </c>
      <c r="J30" s="455">
        <v>46211</v>
      </c>
      <c r="U30" s="455">
        <v>46254</v>
      </c>
    </row>
    <row r="31" spans="1:21">
      <c r="A31" t="s">
        <v>1751</v>
      </c>
      <c r="B31" t="s">
        <v>4300</v>
      </c>
      <c r="C31" t="s">
        <v>1751</v>
      </c>
      <c r="D31">
        <v>20584489</v>
      </c>
      <c r="E31" t="s">
        <v>3128</v>
      </c>
      <c r="F31" t="s">
        <v>1782</v>
      </c>
      <c r="G31" t="s">
        <v>3137</v>
      </c>
      <c r="H31" t="s">
        <v>1252</v>
      </c>
      <c r="J31" s="455">
        <v>46219</v>
      </c>
      <c r="U31" s="455">
        <v>46235</v>
      </c>
    </row>
    <row r="32" spans="1:21">
      <c r="A32" t="s">
        <v>1751</v>
      </c>
      <c r="B32" t="s">
        <v>3176</v>
      </c>
      <c r="C32" t="s">
        <v>1751</v>
      </c>
      <c r="D32">
        <v>20575498</v>
      </c>
      <c r="E32" t="s">
        <v>3128</v>
      </c>
      <c r="F32" t="s">
        <v>1243</v>
      </c>
      <c r="G32" t="s">
        <v>3137</v>
      </c>
      <c r="H32" t="s">
        <v>1251</v>
      </c>
      <c r="I32" t="s">
        <v>3168</v>
      </c>
      <c r="J32" s="455">
        <v>46210</v>
      </c>
      <c r="U32" s="455">
        <v>46244</v>
      </c>
    </row>
    <row r="33" spans="1:21">
      <c r="A33" t="s">
        <v>1751</v>
      </c>
      <c r="B33" t="s">
        <v>3176</v>
      </c>
      <c r="C33" t="s">
        <v>1751</v>
      </c>
      <c r="D33">
        <v>20576307</v>
      </c>
      <c r="E33" t="s">
        <v>1907</v>
      </c>
      <c r="F33" t="s">
        <v>1241</v>
      </c>
      <c r="G33" t="s">
        <v>2009</v>
      </c>
      <c r="H33" t="s">
        <v>1247</v>
      </c>
      <c r="I33" t="s">
        <v>2173</v>
      </c>
      <c r="J33" s="455">
        <v>46211</v>
      </c>
      <c r="K33" s="455">
        <v>46228</v>
      </c>
      <c r="L33" s="455">
        <v>46228</v>
      </c>
      <c r="U33" s="455">
        <v>46244</v>
      </c>
    </row>
    <row r="34" spans="1:21">
      <c r="A34" t="s">
        <v>1751</v>
      </c>
      <c r="B34" t="s">
        <v>4301</v>
      </c>
      <c r="C34" t="s">
        <v>1751</v>
      </c>
      <c r="D34">
        <v>20596081</v>
      </c>
      <c r="E34" t="s">
        <v>1907</v>
      </c>
      <c r="F34" t="s">
        <v>1243</v>
      </c>
      <c r="G34" t="s">
        <v>3134</v>
      </c>
      <c r="H34" t="s">
        <v>1247</v>
      </c>
      <c r="I34" t="s">
        <v>3363</v>
      </c>
      <c r="J34" s="455">
        <v>46232</v>
      </c>
      <c r="K34" s="455">
        <v>46232</v>
      </c>
      <c r="L34" s="455">
        <v>46232</v>
      </c>
      <c r="O34" s="455">
        <v>46245</v>
      </c>
      <c r="U34" s="455">
        <v>46241</v>
      </c>
    </row>
    <row r="35" spans="1:21">
      <c r="A35" t="s">
        <v>1751</v>
      </c>
      <c r="B35" t="s">
        <v>4302</v>
      </c>
      <c r="C35" t="s">
        <v>1751</v>
      </c>
      <c r="D35">
        <v>20594904</v>
      </c>
      <c r="E35" t="s">
        <v>3128</v>
      </c>
      <c r="F35" t="s">
        <v>1243</v>
      </c>
      <c r="G35" t="s">
        <v>3143</v>
      </c>
      <c r="H35" t="s">
        <v>1248</v>
      </c>
      <c r="I35" t="s">
        <v>3363</v>
      </c>
      <c r="J35" s="455">
        <v>46231</v>
      </c>
      <c r="U35" s="455">
        <v>46231</v>
      </c>
    </row>
    <row r="36" spans="1:21">
      <c r="A36" t="s">
        <v>1751</v>
      </c>
      <c r="B36" t="s">
        <v>4303</v>
      </c>
      <c r="C36" t="s">
        <v>1751</v>
      </c>
      <c r="D36">
        <v>20592900</v>
      </c>
      <c r="E36" t="s">
        <v>3128</v>
      </c>
      <c r="F36" t="s">
        <v>1241</v>
      </c>
      <c r="G36" t="s">
        <v>3134</v>
      </c>
      <c r="H36" t="s">
        <v>3165</v>
      </c>
      <c r="J36" s="455">
        <v>46229</v>
      </c>
      <c r="U36" s="455">
        <v>46234</v>
      </c>
    </row>
    <row r="37" spans="1:21">
      <c r="A37" t="s">
        <v>1751</v>
      </c>
      <c r="B37" t="s">
        <v>4304</v>
      </c>
      <c r="C37" t="s">
        <v>1751</v>
      </c>
      <c r="D37">
        <v>20596959</v>
      </c>
      <c r="E37" t="s">
        <v>3128</v>
      </c>
      <c r="F37" t="s">
        <v>1782</v>
      </c>
      <c r="G37" t="s">
        <v>3134</v>
      </c>
      <c r="H37" t="s">
        <v>3165</v>
      </c>
      <c r="J37" s="455">
        <v>46233</v>
      </c>
      <c r="U37" s="455">
        <v>46242</v>
      </c>
    </row>
    <row r="38" spans="1:21">
      <c r="A38" t="s">
        <v>1751</v>
      </c>
      <c r="B38" t="s">
        <v>4305</v>
      </c>
      <c r="C38" t="s">
        <v>1751</v>
      </c>
      <c r="D38">
        <v>20589711</v>
      </c>
      <c r="E38" t="s">
        <v>2008</v>
      </c>
      <c r="F38" t="s">
        <v>1243</v>
      </c>
      <c r="G38" t="s">
        <v>3134</v>
      </c>
      <c r="H38" t="s">
        <v>1252</v>
      </c>
      <c r="I38" t="s">
        <v>4306</v>
      </c>
      <c r="J38" s="455">
        <v>46225</v>
      </c>
      <c r="K38" s="455">
        <v>46225</v>
      </c>
      <c r="L38" s="455">
        <v>46225</v>
      </c>
      <c r="M38" s="455">
        <v>46232</v>
      </c>
      <c r="N38" s="455">
        <v>46233</v>
      </c>
      <c r="U38" s="455">
        <v>46266</v>
      </c>
    </row>
    <row r="39" spans="1:21">
      <c r="A39" t="s">
        <v>1751</v>
      </c>
      <c r="B39" t="s">
        <v>4307</v>
      </c>
      <c r="C39" t="s">
        <v>1751</v>
      </c>
      <c r="D39">
        <v>20594849</v>
      </c>
      <c r="E39" t="s">
        <v>3128</v>
      </c>
      <c r="F39" t="s">
        <v>1239</v>
      </c>
      <c r="G39" t="s">
        <v>3143</v>
      </c>
      <c r="H39" t="s">
        <v>1251</v>
      </c>
      <c r="I39" t="s">
        <v>4308</v>
      </c>
      <c r="J39" s="455">
        <v>46231</v>
      </c>
      <c r="U39" s="455">
        <v>46231</v>
      </c>
    </row>
    <row r="40" spans="1:21">
      <c r="A40" t="s">
        <v>1751</v>
      </c>
      <c r="B40" t="s">
        <v>4309</v>
      </c>
      <c r="C40" t="s">
        <v>1751</v>
      </c>
      <c r="D40">
        <v>20576764</v>
      </c>
      <c r="E40" t="s">
        <v>3128</v>
      </c>
      <c r="F40" t="s">
        <v>1241</v>
      </c>
      <c r="G40" t="s">
        <v>3137</v>
      </c>
      <c r="H40" t="s">
        <v>1247</v>
      </c>
      <c r="J40" s="455">
        <v>46212</v>
      </c>
      <c r="U40" s="455">
        <v>46266</v>
      </c>
    </row>
    <row r="41" spans="1:21">
      <c r="A41" t="s">
        <v>1751</v>
      </c>
      <c r="B41" t="s">
        <v>3187</v>
      </c>
      <c r="C41" t="s">
        <v>1751</v>
      </c>
      <c r="D41">
        <v>20549493</v>
      </c>
      <c r="E41" t="s">
        <v>3133</v>
      </c>
      <c r="F41" t="s">
        <v>1241</v>
      </c>
      <c r="G41" t="s">
        <v>3134</v>
      </c>
      <c r="H41" t="s">
        <v>1247</v>
      </c>
      <c r="I41" t="s">
        <v>2476</v>
      </c>
      <c r="J41" s="455">
        <v>46182</v>
      </c>
      <c r="K41" s="455">
        <v>46182</v>
      </c>
      <c r="L41" s="455">
        <v>46182</v>
      </c>
      <c r="R41" s="455">
        <v>46204</v>
      </c>
      <c r="U41" s="455">
        <v>46206</v>
      </c>
    </row>
    <row r="42" spans="1:21">
      <c r="A42" t="s">
        <v>1751</v>
      </c>
      <c r="B42" t="s">
        <v>4310</v>
      </c>
      <c r="C42" t="s">
        <v>1751</v>
      </c>
      <c r="D42">
        <v>20587337</v>
      </c>
      <c r="E42" t="s">
        <v>3128</v>
      </c>
      <c r="F42" t="s">
        <v>1782</v>
      </c>
      <c r="G42" t="s">
        <v>3134</v>
      </c>
      <c r="H42" t="s">
        <v>3165</v>
      </c>
      <c r="J42" s="455">
        <v>46223</v>
      </c>
      <c r="U42" s="455">
        <v>46235</v>
      </c>
    </row>
    <row r="43" spans="1:21">
      <c r="A43" t="s">
        <v>1751</v>
      </c>
      <c r="B43" t="s">
        <v>3189</v>
      </c>
      <c r="C43" t="s">
        <v>1751</v>
      </c>
      <c r="D43">
        <v>20550160</v>
      </c>
      <c r="E43" t="s">
        <v>3133</v>
      </c>
      <c r="F43" t="s">
        <v>1242</v>
      </c>
      <c r="G43" t="s">
        <v>3134</v>
      </c>
      <c r="H43" t="s">
        <v>1247</v>
      </c>
      <c r="I43" t="s">
        <v>2417</v>
      </c>
      <c r="J43" s="455">
        <v>46183</v>
      </c>
      <c r="K43" s="455">
        <v>46183</v>
      </c>
      <c r="L43" s="455">
        <v>46190</v>
      </c>
      <c r="M43" s="455">
        <v>46198</v>
      </c>
      <c r="N43" s="455">
        <v>46199</v>
      </c>
      <c r="P43" s="455">
        <v>46200</v>
      </c>
      <c r="Q43" s="455">
        <v>46202</v>
      </c>
      <c r="R43" s="455">
        <v>46225</v>
      </c>
      <c r="U43" s="455">
        <v>46241</v>
      </c>
    </row>
    <row r="44" spans="1:21">
      <c r="A44" t="s">
        <v>1751</v>
      </c>
      <c r="B44" t="s">
        <v>3189</v>
      </c>
      <c r="C44" t="s">
        <v>1751</v>
      </c>
      <c r="D44">
        <v>20574545</v>
      </c>
      <c r="E44" t="s">
        <v>3133</v>
      </c>
      <c r="F44" t="s">
        <v>1241</v>
      </c>
      <c r="G44" t="s">
        <v>3134</v>
      </c>
      <c r="H44" t="s">
        <v>1247</v>
      </c>
      <c r="I44" t="s">
        <v>2417</v>
      </c>
      <c r="J44" s="455">
        <v>46209</v>
      </c>
      <c r="K44" s="455">
        <v>46209</v>
      </c>
      <c r="R44" s="455">
        <v>46212</v>
      </c>
      <c r="U44" s="455">
        <v>46209</v>
      </c>
    </row>
    <row r="45" spans="1:21">
      <c r="A45" t="s">
        <v>1751</v>
      </c>
      <c r="B45" t="s">
        <v>3189</v>
      </c>
      <c r="C45" t="s">
        <v>1751</v>
      </c>
      <c r="D45">
        <v>20574542</v>
      </c>
      <c r="E45" t="s">
        <v>3133</v>
      </c>
      <c r="F45" t="s">
        <v>1241</v>
      </c>
      <c r="G45" t="s">
        <v>3134</v>
      </c>
      <c r="H45" t="s">
        <v>1247</v>
      </c>
      <c r="I45" t="s">
        <v>2417</v>
      </c>
      <c r="J45" s="455">
        <v>46209</v>
      </c>
      <c r="K45" s="455">
        <v>46209</v>
      </c>
      <c r="R45" s="455">
        <v>46212</v>
      </c>
      <c r="U45" s="455">
        <v>46209</v>
      </c>
    </row>
    <row r="46" spans="1:21">
      <c r="A46" t="s">
        <v>1751</v>
      </c>
      <c r="B46" t="s">
        <v>4311</v>
      </c>
      <c r="C46" t="s">
        <v>1751</v>
      </c>
      <c r="D46">
        <v>20594677</v>
      </c>
      <c r="E46" t="s">
        <v>3128</v>
      </c>
      <c r="F46" t="s">
        <v>3285</v>
      </c>
      <c r="G46" t="s">
        <v>3141</v>
      </c>
      <c r="H46" t="s">
        <v>1252</v>
      </c>
      <c r="J46" s="455">
        <v>46231</v>
      </c>
      <c r="U46" s="455">
        <v>46310</v>
      </c>
    </row>
    <row r="47" spans="1:21">
      <c r="A47" t="s">
        <v>1751</v>
      </c>
      <c r="B47" t="s">
        <v>1111</v>
      </c>
      <c r="C47" t="s">
        <v>1751</v>
      </c>
      <c r="D47">
        <v>20542245</v>
      </c>
      <c r="E47" t="s">
        <v>3142</v>
      </c>
      <c r="F47" t="s">
        <v>1241</v>
      </c>
      <c r="G47" t="s">
        <v>3134</v>
      </c>
      <c r="H47" t="s">
        <v>1247</v>
      </c>
      <c r="I47" t="s">
        <v>2562</v>
      </c>
      <c r="J47" s="455">
        <v>46175</v>
      </c>
      <c r="K47" s="455">
        <v>46175</v>
      </c>
      <c r="L47" s="455">
        <v>46197</v>
      </c>
      <c r="M47" s="455">
        <v>46234</v>
      </c>
      <c r="N47" s="455">
        <v>46234</v>
      </c>
      <c r="O47" s="455">
        <v>46234</v>
      </c>
      <c r="P47" s="455">
        <v>46234</v>
      </c>
      <c r="Q47" s="455">
        <v>46234</v>
      </c>
      <c r="U47" s="455">
        <v>46234</v>
      </c>
    </row>
    <row r="48" spans="1:21">
      <c r="A48" t="s">
        <v>1751</v>
      </c>
      <c r="B48" t="s">
        <v>4312</v>
      </c>
      <c r="C48" t="s">
        <v>1751</v>
      </c>
      <c r="D48">
        <v>20574401</v>
      </c>
      <c r="E48" t="s">
        <v>3128</v>
      </c>
      <c r="F48" t="s">
        <v>1782</v>
      </c>
      <c r="G48" t="s">
        <v>3141</v>
      </c>
      <c r="H48" t="s">
        <v>1252</v>
      </c>
      <c r="J48" s="455">
        <v>46209</v>
      </c>
      <c r="U48" s="455">
        <v>46236</v>
      </c>
    </row>
    <row r="49" spans="1:21">
      <c r="A49" t="s">
        <v>1751</v>
      </c>
      <c r="B49" t="s">
        <v>4313</v>
      </c>
      <c r="C49" t="s">
        <v>1751</v>
      </c>
      <c r="D49">
        <v>20587960</v>
      </c>
      <c r="E49" t="s">
        <v>3128</v>
      </c>
      <c r="F49" t="s">
        <v>1782</v>
      </c>
      <c r="G49" t="s">
        <v>3141</v>
      </c>
      <c r="H49" t="s">
        <v>1252</v>
      </c>
      <c r="J49" s="455">
        <v>46223</v>
      </c>
      <c r="U49" s="455">
        <v>46235</v>
      </c>
    </row>
    <row r="50" spans="1:21">
      <c r="A50" t="s">
        <v>1751</v>
      </c>
      <c r="B50" t="s">
        <v>4314</v>
      </c>
      <c r="C50" t="s">
        <v>1751</v>
      </c>
      <c r="D50">
        <v>20596628</v>
      </c>
      <c r="E50" t="s">
        <v>3128</v>
      </c>
      <c r="F50" t="s">
        <v>1243</v>
      </c>
      <c r="G50" t="s">
        <v>3141</v>
      </c>
      <c r="H50" t="s">
        <v>1247</v>
      </c>
      <c r="J50" s="455">
        <v>46233</v>
      </c>
      <c r="U50" s="455">
        <v>46233</v>
      </c>
    </row>
    <row r="51" spans="1:21">
      <c r="A51" t="s">
        <v>1751</v>
      </c>
      <c r="B51" t="s">
        <v>4315</v>
      </c>
      <c r="C51" t="s">
        <v>1751</v>
      </c>
      <c r="D51">
        <v>20580731</v>
      </c>
      <c r="E51" t="s">
        <v>3128</v>
      </c>
      <c r="F51" t="s">
        <v>1782</v>
      </c>
      <c r="G51" t="s">
        <v>3143</v>
      </c>
      <c r="H51" t="s">
        <v>1251</v>
      </c>
      <c r="J51" s="455">
        <v>46217</v>
      </c>
      <c r="U51" s="455">
        <v>46217</v>
      </c>
    </row>
    <row r="52" spans="1:21">
      <c r="A52" t="s">
        <v>1751</v>
      </c>
      <c r="B52" t="s">
        <v>4316</v>
      </c>
      <c r="C52" t="s">
        <v>1751</v>
      </c>
      <c r="D52">
        <v>20589200</v>
      </c>
      <c r="E52" t="s">
        <v>1897</v>
      </c>
      <c r="F52" t="s">
        <v>1241</v>
      </c>
      <c r="G52" t="s">
        <v>3134</v>
      </c>
      <c r="H52" t="s">
        <v>1247</v>
      </c>
      <c r="J52" s="455">
        <v>46224</v>
      </c>
      <c r="K52" s="455">
        <v>46224</v>
      </c>
      <c r="U52" s="455">
        <v>46224</v>
      </c>
    </row>
    <row r="53" spans="1:21">
      <c r="A53" t="s">
        <v>1751</v>
      </c>
      <c r="B53" t="s">
        <v>4317</v>
      </c>
      <c r="C53" t="s">
        <v>1751</v>
      </c>
      <c r="D53">
        <v>20585891</v>
      </c>
      <c r="E53" t="s">
        <v>3128</v>
      </c>
      <c r="F53" t="s">
        <v>1782</v>
      </c>
      <c r="G53" t="s">
        <v>3141</v>
      </c>
      <c r="H53" t="s">
        <v>1247</v>
      </c>
      <c r="J53" s="455">
        <v>46220</v>
      </c>
      <c r="U53" s="455">
        <v>46220</v>
      </c>
    </row>
    <row r="54" spans="1:21">
      <c r="A54" t="s">
        <v>1751</v>
      </c>
      <c r="B54" t="s">
        <v>4318</v>
      </c>
      <c r="C54" t="s">
        <v>1751</v>
      </c>
      <c r="D54">
        <v>20597245</v>
      </c>
      <c r="E54" t="s">
        <v>3128</v>
      </c>
      <c r="F54" t="s">
        <v>1237</v>
      </c>
      <c r="G54" t="s">
        <v>2009</v>
      </c>
      <c r="H54" t="s">
        <v>1252</v>
      </c>
      <c r="J54" s="455">
        <v>46234</v>
      </c>
      <c r="U54" s="455">
        <v>46234</v>
      </c>
    </row>
    <row r="55" spans="1:21">
      <c r="A55" t="s">
        <v>1751</v>
      </c>
      <c r="B55" t="s">
        <v>3071</v>
      </c>
      <c r="C55" t="s">
        <v>1751</v>
      </c>
      <c r="D55">
        <v>20597040</v>
      </c>
      <c r="E55" t="s">
        <v>1897</v>
      </c>
      <c r="F55" t="s">
        <v>1241</v>
      </c>
      <c r="G55" t="s">
        <v>3134</v>
      </c>
      <c r="H55" t="s">
        <v>1247</v>
      </c>
      <c r="J55" s="455">
        <v>46234</v>
      </c>
      <c r="K55" s="455">
        <v>46234</v>
      </c>
      <c r="U55" s="455">
        <v>46241</v>
      </c>
    </row>
    <row r="56" spans="1:21">
      <c r="A56" t="s">
        <v>1751</v>
      </c>
      <c r="B56" t="s">
        <v>4319</v>
      </c>
      <c r="C56" t="s">
        <v>1751</v>
      </c>
      <c r="D56">
        <v>20592102</v>
      </c>
      <c r="E56" t="s">
        <v>3128</v>
      </c>
      <c r="F56" t="s">
        <v>1782</v>
      </c>
      <c r="G56" t="s">
        <v>3141</v>
      </c>
      <c r="H56" t="s">
        <v>4278</v>
      </c>
      <c r="J56" s="455">
        <v>46227</v>
      </c>
      <c r="U56" s="455">
        <v>46242</v>
      </c>
    </row>
    <row r="57" spans="1:21">
      <c r="A57" t="s">
        <v>1751</v>
      </c>
      <c r="B57" t="s">
        <v>4320</v>
      </c>
      <c r="C57" t="s">
        <v>1751</v>
      </c>
      <c r="D57">
        <v>20572801</v>
      </c>
      <c r="E57" t="s">
        <v>3128</v>
      </c>
      <c r="F57" t="s">
        <v>1242</v>
      </c>
      <c r="G57" t="s">
        <v>3141</v>
      </c>
      <c r="H57" t="s">
        <v>1247</v>
      </c>
      <c r="J57" s="455">
        <v>46207</v>
      </c>
      <c r="U57" s="455">
        <v>46210</v>
      </c>
    </row>
    <row r="58" spans="1:21">
      <c r="A58" t="s">
        <v>1751</v>
      </c>
      <c r="B58" t="s">
        <v>4321</v>
      </c>
      <c r="C58" t="s">
        <v>1751</v>
      </c>
      <c r="D58">
        <v>20578589</v>
      </c>
      <c r="E58" t="s">
        <v>3128</v>
      </c>
      <c r="F58" t="s">
        <v>1782</v>
      </c>
      <c r="G58" t="s">
        <v>3141</v>
      </c>
      <c r="H58" t="s">
        <v>1940</v>
      </c>
      <c r="J58" s="455">
        <v>46214</v>
      </c>
      <c r="U58" s="455">
        <v>46214</v>
      </c>
    </row>
    <row r="59" spans="1:21">
      <c r="A59" t="s">
        <v>1751</v>
      </c>
      <c r="B59" t="s">
        <v>4322</v>
      </c>
      <c r="C59" t="s">
        <v>1751</v>
      </c>
      <c r="D59">
        <v>20586956</v>
      </c>
      <c r="E59" t="s">
        <v>3128</v>
      </c>
      <c r="F59" t="s">
        <v>1782</v>
      </c>
      <c r="G59" t="s">
        <v>3134</v>
      </c>
      <c r="H59" t="s">
        <v>1252</v>
      </c>
      <c r="J59" s="455">
        <v>46222</v>
      </c>
      <c r="U59" s="455">
        <v>46302</v>
      </c>
    </row>
    <row r="60" spans="1:21">
      <c r="A60" t="s">
        <v>1751</v>
      </c>
      <c r="B60" t="s">
        <v>3199</v>
      </c>
      <c r="C60" t="s">
        <v>1751</v>
      </c>
      <c r="D60">
        <v>20568103</v>
      </c>
      <c r="E60" t="s">
        <v>3142</v>
      </c>
      <c r="F60" t="s">
        <v>1239</v>
      </c>
      <c r="G60" t="s">
        <v>3143</v>
      </c>
      <c r="H60" t="s">
        <v>1251</v>
      </c>
      <c r="I60" t="s">
        <v>3200</v>
      </c>
      <c r="J60" s="455">
        <v>46202</v>
      </c>
      <c r="K60" s="455">
        <v>46203</v>
      </c>
      <c r="L60" s="455">
        <v>46203</v>
      </c>
      <c r="M60" s="455">
        <v>46210</v>
      </c>
      <c r="N60" s="455">
        <v>46210</v>
      </c>
      <c r="O60" s="455">
        <v>46210</v>
      </c>
      <c r="P60" s="455">
        <v>46210</v>
      </c>
      <c r="Q60" s="455">
        <v>46211</v>
      </c>
      <c r="U60" s="455">
        <v>46221</v>
      </c>
    </row>
    <row r="61" spans="1:21">
      <c r="A61" t="s">
        <v>1751</v>
      </c>
      <c r="B61" t="s">
        <v>4323</v>
      </c>
      <c r="C61" t="s">
        <v>1751</v>
      </c>
      <c r="D61">
        <v>20592809</v>
      </c>
      <c r="E61" t="s">
        <v>3128</v>
      </c>
      <c r="F61" t="s">
        <v>3285</v>
      </c>
      <c r="G61" t="s">
        <v>3137</v>
      </c>
      <c r="H61" t="s">
        <v>1252</v>
      </c>
      <c r="J61" s="455">
        <v>46229</v>
      </c>
      <c r="U61" s="455">
        <v>46301</v>
      </c>
    </row>
    <row r="62" spans="1:21">
      <c r="A62" t="s">
        <v>1751</v>
      </c>
      <c r="B62" t="s">
        <v>4324</v>
      </c>
      <c r="C62" t="s">
        <v>1751</v>
      </c>
      <c r="D62">
        <v>20571990</v>
      </c>
      <c r="E62" t="s">
        <v>3128</v>
      </c>
      <c r="F62" t="s">
        <v>1782</v>
      </c>
      <c r="G62" t="s">
        <v>3141</v>
      </c>
      <c r="H62" t="s">
        <v>1252</v>
      </c>
      <c r="J62" s="455">
        <v>46206</v>
      </c>
      <c r="U62" s="455">
        <v>46233</v>
      </c>
    </row>
    <row r="63" spans="1:21">
      <c r="A63" t="s">
        <v>1751</v>
      </c>
      <c r="B63" t="s">
        <v>3210</v>
      </c>
      <c r="C63" t="s">
        <v>1751</v>
      </c>
      <c r="D63">
        <v>20562343</v>
      </c>
      <c r="E63" t="s">
        <v>3133</v>
      </c>
      <c r="F63" t="s">
        <v>1237</v>
      </c>
      <c r="G63" t="s">
        <v>3134</v>
      </c>
      <c r="H63" t="s">
        <v>1247</v>
      </c>
      <c r="I63" t="s">
        <v>2148</v>
      </c>
      <c r="J63" s="455">
        <v>46195</v>
      </c>
      <c r="K63" s="455">
        <v>46195</v>
      </c>
      <c r="L63" s="455">
        <v>46204</v>
      </c>
      <c r="S63" s="455">
        <v>46205</v>
      </c>
      <c r="U63" s="455">
        <v>46213</v>
      </c>
    </row>
    <row r="64" spans="1:21">
      <c r="A64" t="s">
        <v>1751</v>
      </c>
      <c r="B64" t="s">
        <v>3211</v>
      </c>
      <c r="C64" t="s">
        <v>1751</v>
      </c>
      <c r="D64">
        <v>20566513</v>
      </c>
      <c r="E64" t="s">
        <v>3133</v>
      </c>
      <c r="F64" t="s">
        <v>1237</v>
      </c>
      <c r="G64" t="s">
        <v>3134</v>
      </c>
      <c r="H64" t="s">
        <v>1248</v>
      </c>
      <c r="I64" t="s">
        <v>2627</v>
      </c>
      <c r="J64" s="455">
        <v>46199</v>
      </c>
      <c r="K64" s="455">
        <v>46199</v>
      </c>
      <c r="L64" s="455">
        <v>46199</v>
      </c>
      <c r="M64" s="455">
        <v>46210</v>
      </c>
      <c r="N64" s="455">
        <v>46210</v>
      </c>
      <c r="R64" s="455">
        <v>46211</v>
      </c>
      <c r="U64" s="455">
        <v>46228</v>
      </c>
    </row>
    <row r="65" spans="1:21">
      <c r="A65" t="s">
        <v>1751</v>
      </c>
      <c r="B65" t="s">
        <v>4325</v>
      </c>
      <c r="C65" t="s">
        <v>1751</v>
      </c>
      <c r="D65">
        <v>20589353</v>
      </c>
      <c r="E65" t="s">
        <v>3128</v>
      </c>
      <c r="F65" t="s">
        <v>1241</v>
      </c>
      <c r="G65" t="s">
        <v>3141</v>
      </c>
      <c r="H65" t="s">
        <v>1252</v>
      </c>
      <c r="J65" s="455">
        <v>46224</v>
      </c>
      <c r="U65" s="455">
        <v>46225</v>
      </c>
    </row>
    <row r="66" spans="1:21">
      <c r="A66" t="s">
        <v>1751</v>
      </c>
      <c r="B66" t="s">
        <v>4326</v>
      </c>
      <c r="C66" t="s">
        <v>1751</v>
      </c>
      <c r="D66">
        <v>20589352</v>
      </c>
      <c r="E66" t="s">
        <v>3128</v>
      </c>
      <c r="F66" t="s">
        <v>3285</v>
      </c>
      <c r="G66" t="s">
        <v>3134</v>
      </c>
      <c r="H66" t="s">
        <v>1252</v>
      </c>
      <c r="J66" s="455">
        <v>46224</v>
      </c>
      <c r="U66" s="455">
        <v>46225</v>
      </c>
    </row>
    <row r="67" spans="1:21">
      <c r="A67" t="s">
        <v>1751</v>
      </c>
      <c r="B67" t="s">
        <v>4327</v>
      </c>
      <c r="C67" t="s">
        <v>1751</v>
      </c>
      <c r="D67">
        <v>20594776</v>
      </c>
      <c r="E67" t="s">
        <v>1897</v>
      </c>
      <c r="F67" t="s">
        <v>1241</v>
      </c>
      <c r="G67" t="s">
        <v>3134</v>
      </c>
      <c r="H67" t="s">
        <v>1247</v>
      </c>
      <c r="J67" s="455">
        <v>46231</v>
      </c>
      <c r="K67" s="455">
        <v>46231</v>
      </c>
      <c r="U67" s="455">
        <v>46231</v>
      </c>
    </row>
    <row r="68" spans="1:21">
      <c r="A68" t="s">
        <v>1751</v>
      </c>
      <c r="B68" t="s">
        <v>4327</v>
      </c>
      <c r="C68" t="s">
        <v>1751</v>
      </c>
      <c r="D68">
        <v>20585647</v>
      </c>
      <c r="E68" t="s">
        <v>3133</v>
      </c>
      <c r="F68" t="s">
        <v>1237</v>
      </c>
      <c r="G68" t="s">
        <v>3134</v>
      </c>
      <c r="H68" t="s">
        <v>1247</v>
      </c>
      <c r="I68" t="s">
        <v>2640</v>
      </c>
      <c r="J68" s="455">
        <v>46220</v>
      </c>
      <c r="K68" s="455">
        <v>46220</v>
      </c>
      <c r="L68" s="455">
        <v>46220</v>
      </c>
      <c r="S68" s="455">
        <v>46231</v>
      </c>
      <c r="U68" s="455">
        <v>46239</v>
      </c>
    </row>
    <row r="69" spans="1:21">
      <c r="A69" t="s">
        <v>1751</v>
      </c>
      <c r="B69" t="s">
        <v>4327</v>
      </c>
      <c r="C69" t="s">
        <v>1751</v>
      </c>
      <c r="D69">
        <v>20585616</v>
      </c>
      <c r="E69" t="s">
        <v>1897</v>
      </c>
      <c r="F69" t="s">
        <v>1237</v>
      </c>
      <c r="G69" t="s">
        <v>3143</v>
      </c>
      <c r="H69" t="s">
        <v>1248</v>
      </c>
      <c r="J69" s="455">
        <v>46220</v>
      </c>
      <c r="K69" s="455">
        <v>46220</v>
      </c>
      <c r="U69" s="455">
        <v>46220</v>
      </c>
    </row>
    <row r="70" spans="1:21">
      <c r="A70" t="s">
        <v>1751</v>
      </c>
      <c r="B70" t="s">
        <v>4328</v>
      </c>
      <c r="C70" t="s">
        <v>1751</v>
      </c>
      <c r="D70">
        <v>20593839</v>
      </c>
      <c r="E70" t="s">
        <v>3128</v>
      </c>
      <c r="F70" t="s">
        <v>1241</v>
      </c>
      <c r="G70" t="s">
        <v>3141</v>
      </c>
      <c r="H70" t="s">
        <v>1252</v>
      </c>
      <c r="J70" s="455">
        <v>46230</v>
      </c>
      <c r="U70" s="455">
        <v>46231</v>
      </c>
    </row>
    <row r="71" spans="1:21">
      <c r="A71" t="s">
        <v>1751</v>
      </c>
      <c r="B71" t="s">
        <v>4329</v>
      </c>
      <c r="C71" t="s">
        <v>1751</v>
      </c>
      <c r="D71">
        <v>20594616</v>
      </c>
      <c r="E71" t="s">
        <v>3128</v>
      </c>
      <c r="F71" t="s">
        <v>1241</v>
      </c>
      <c r="G71" t="s">
        <v>3141</v>
      </c>
      <c r="H71" t="s">
        <v>1248</v>
      </c>
      <c r="J71" s="455">
        <v>46231</v>
      </c>
      <c r="U71" s="455">
        <v>46235</v>
      </c>
    </row>
    <row r="72" spans="1:21">
      <c r="A72" t="s">
        <v>1751</v>
      </c>
      <c r="B72" t="s">
        <v>4330</v>
      </c>
      <c r="C72" t="s">
        <v>1751</v>
      </c>
      <c r="D72">
        <v>20576809</v>
      </c>
      <c r="E72" t="s">
        <v>3128</v>
      </c>
      <c r="F72" t="s">
        <v>1241</v>
      </c>
      <c r="G72" t="s">
        <v>3137</v>
      </c>
      <c r="H72" t="s">
        <v>1252</v>
      </c>
      <c r="J72" s="455">
        <v>46212</v>
      </c>
      <c r="U72" s="455">
        <v>46221</v>
      </c>
    </row>
    <row r="73" spans="1:21">
      <c r="A73" t="s">
        <v>1751</v>
      </c>
      <c r="B73" t="s">
        <v>4331</v>
      </c>
      <c r="C73" t="s">
        <v>1751</v>
      </c>
      <c r="D73">
        <v>20580507</v>
      </c>
      <c r="E73" t="s">
        <v>3128</v>
      </c>
      <c r="F73" t="s">
        <v>1241</v>
      </c>
      <c r="G73" t="s">
        <v>3134</v>
      </c>
      <c r="H73" t="s">
        <v>3165</v>
      </c>
      <c r="J73" s="455">
        <v>46216</v>
      </c>
      <c r="U73" s="455">
        <v>46218</v>
      </c>
    </row>
    <row r="74" spans="1:21">
      <c r="A74" t="s">
        <v>1751</v>
      </c>
      <c r="B74" t="s">
        <v>4332</v>
      </c>
      <c r="C74" t="s">
        <v>1751</v>
      </c>
      <c r="D74">
        <v>20579635</v>
      </c>
      <c r="E74" t="s">
        <v>3128</v>
      </c>
      <c r="F74" t="s">
        <v>1782</v>
      </c>
      <c r="G74" t="s">
        <v>3141</v>
      </c>
      <c r="H74" t="s">
        <v>4333</v>
      </c>
      <c r="J74" s="455">
        <v>46216</v>
      </c>
      <c r="U74" s="455">
        <v>46216</v>
      </c>
    </row>
    <row r="75" spans="1:21">
      <c r="A75" t="s">
        <v>1751</v>
      </c>
      <c r="B75" t="s">
        <v>4334</v>
      </c>
      <c r="C75" t="s">
        <v>1751</v>
      </c>
      <c r="D75">
        <v>20593635</v>
      </c>
      <c r="E75" t="s">
        <v>3128</v>
      </c>
      <c r="F75" t="s">
        <v>1782</v>
      </c>
      <c r="G75" t="s">
        <v>3129</v>
      </c>
      <c r="H75" t="s">
        <v>3131</v>
      </c>
      <c r="J75" s="455">
        <v>46230</v>
      </c>
      <c r="U75" s="455">
        <v>46230</v>
      </c>
    </row>
    <row r="76" spans="1:21">
      <c r="A76" t="s">
        <v>1751</v>
      </c>
      <c r="B76" t="s">
        <v>4335</v>
      </c>
      <c r="C76" t="s">
        <v>1751</v>
      </c>
      <c r="D76">
        <v>20594670</v>
      </c>
      <c r="E76" t="s">
        <v>3128</v>
      </c>
      <c r="F76" t="s">
        <v>1241</v>
      </c>
      <c r="G76" t="s">
        <v>3141</v>
      </c>
      <c r="H76" t="s">
        <v>4278</v>
      </c>
      <c r="J76" s="455">
        <v>46231</v>
      </c>
      <c r="U76" s="455">
        <v>46245</v>
      </c>
    </row>
    <row r="77" spans="1:21">
      <c r="A77" t="s">
        <v>1751</v>
      </c>
      <c r="B77" t="s">
        <v>4336</v>
      </c>
      <c r="C77" t="s">
        <v>1751</v>
      </c>
      <c r="D77">
        <v>20572246</v>
      </c>
      <c r="E77" t="s">
        <v>3128</v>
      </c>
      <c r="F77" t="s">
        <v>1782</v>
      </c>
      <c r="G77" t="s">
        <v>3134</v>
      </c>
      <c r="H77" t="s">
        <v>1252</v>
      </c>
      <c r="J77" s="455">
        <v>46206</v>
      </c>
      <c r="U77" s="455">
        <v>46233</v>
      </c>
    </row>
    <row r="78" spans="1:21">
      <c r="A78" t="s">
        <v>1751</v>
      </c>
      <c r="B78" t="s">
        <v>4337</v>
      </c>
      <c r="C78" t="s">
        <v>1751</v>
      </c>
      <c r="D78">
        <v>20569969</v>
      </c>
      <c r="E78" t="s">
        <v>3128</v>
      </c>
      <c r="F78" t="s">
        <v>1782</v>
      </c>
      <c r="G78" t="s">
        <v>3137</v>
      </c>
      <c r="H78" t="s">
        <v>1252</v>
      </c>
      <c r="J78" s="455">
        <v>46204</v>
      </c>
      <c r="U78" s="455">
        <v>46237</v>
      </c>
    </row>
    <row r="79" spans="1:21">
      <c r="A79" t="s">
        <v>1751</v>
      </c>
      <c r="B79" t="s">
        <v>3232</v>
      </c>
      <c r="C79" t="s">
        <v>1751</v>
      </c>
      <c r="D79">
        <v>20561679</v>
      </c>
      <c r="E79" t="s">
        <v>3133</v>
      </c>
      <c r="F79" t="s">
        <v>1241</v>
      </c>
      <c r="G79" t="s">
        <v>3134</v>
      </c>
      <c r="H79" t="s">
        <v>1252</v>
      </c>
      <c r="I79" t="s">
        <v>1566</v>
      </c>
      <c r="J79" s="455">
        <v>46194</v>
      </c>
      <c r="K79" s="455">
        <v>46194</v>
      </c>
      <c r="R79" s="455">
        <v>46211</v>
      </c>
      <c r="U79" s="455">
        <v>46195</v>
      </c>
    </row>
    <row r="80" spans="1:21">
      <c r="A80" t="s">
        <v>1751</v>
      </c>
      <c r="B80" t="s">
        <v>3234</v>
      </c>
      <c r="C80" t="s">
        <v>1751</v>
      </c>
      <c r="D80">
        <v>20567435</v>
      </c>
      <c r="E80" t="s">
        <v>1897</v>
      </c>
      <c r="F80" t="s">
        <v>1241</v>
      </c>
      <c r="G80" t="s">
        <v>2009</v>
      </c>
      <c r="H80" t="s">
        <v>1252</v>
      </c>
      <c r="J80" s="455">
        <v>46200</v>
      </c>
      <c r="K80" s="455">
        <v>46213</v>
      </c>
      <c r="U80" s="455">
        <v>46261</v>
      </c>
    </row>
    <row r="81" spans="1:21">
      <c r="A81" t="s">
        <v>1751</v>
      </c>
      <c r="B81" t="s">
        <v>4338</v>
      </c>
      <c r="C81" t="s">
        <v>1751</v>
      </c>
      <c r="D81">
        <v>20595951</v>
      </c>
      <c r="E81" t="s">
        <v>3128</v>
      </c>
      <c r="F81" t="s">
        <v>1241</v>
      </c>
      <c r="G81" t="s">
        <v>3137</v>
      </c>
      <c r="H81" t="s">
        <v>1252</v>
      </c>
      <c r="J81" s="455">
        <v>46232</v>
      </c>
      <c r="U81" s="455">
        <v>46235</v>
      </c>
    </row>
    <row r="82" spans="1:21">
      <c r="A82" t="s">
        <v>1751</v>
      </c>
      <c r="B82" t="s">
        <v>4339</v>
      </c>
      <c r="C82" t="s">
        <v>1751</v>
      </c>
      <c r="D82">
        <v>20571134</v>
      </c>
      <c r="E82" t="s">
        <v>1897</v>
      </c>
      <c r="F82" t="s">
        <v>1241</v>
      </c>
      <c r="G82" t="s">
        <v>3134</v>
      </c>
      <c r="H82" t="s">
        <v>1247</v>
      </c>
      <c r="J82" s="455">
        <v>46205</v>
      </c>
      <c r="K82" s="455">
        <v>46205</v>
      </c>
      <c r="U82" s="455">
        <v>46205</v>
      </c>
    </row>
    <row r="83" spans="1:21">
      <c r="A83" t="s">
        <v>1751</v>
      </c>
      <c r="B83" t="s">
        <v>4340</v>
      </c>
      <c r="C83" t="s">
        <v>1751</v>
      </c>
      <c r="D83">
        <v>20574400</v>
      </c>
      <c r="E83" t="s">
        <v>1897</v>
      </c>
      <c r="F83" t="s">
        <v>1241</v>
      </c>
      <c r="G83" t="s">
        <v>3134</v>
      </c>
      <c r="H83" t="s">
        <v>1247</v>
      </c>
      <c r="I83" t="s">
        <v>1945</v>
      </c>
      <c r="J83" s="455">
        <v>46209</v>
      </c>
      <c r="K83" s="455">
        <v>46209</v>
      </c>
      <c r="U83" s="455">
        <v>46216</v>
      </c>
    </row>
    <row r="84" spans="1:21">
      <c r="A84" t="s">
        <v>1751</v>
      </c>
      <c r="B84" t="s">
        <v>4341</v>
      </c>
      <c r="C84" t="s">
        <v>1751</v>
      </c>
      <c r="D84">
        <v>20576417</v>
      </c>
      <c r="E84" t="s">
        <v>3128</v>
      </c>
      <c r="F84" t="s">
        <v>1242</v>
      </c>
      <c r="G84" t="s">
        <v>3143</v>
      </c>
      <c r="H84" t="s">
        <v>1248</v>
      </c>
      <c r="I84" t="s">
        <v>3042</v>
      </c>
      <c r="J84" s="455">
        <v>46211</v>
      </c>
      <c r="U84" s="455">
        <v>46214</v>
      </c>
    </row>
    <row r="85" spans="1:21">
      <c r="A85" t="s">
        <v>1751</v>
      </c>
      <c r="B85" t="s">
        <v>4342</v>
      </c>
      <c r="C85" t="s">
        <v>1751</v>
      </c>
      <c r="D85">
        <v>20594344</v>
      </c>
      <c r="E85" t="s">
        <v>3128</v>
      </c>
      <c r="F85" t="s">
        <v>1782</v>
      </c>
      <c r="G85" t="s">
        <v>3134</v>
      </c>
      <c r="H85" t="s">
        <v>3165</v>
      </c>
      <c r="J85" s="455">
        <v>46231</v>
      </c>
      <c r="U85" s="455">
        <v>46235</v>
      </c>
    </row>
    <row r="86" spans="1:21">
      <c r="A86" t="s">
        <v>1751</v>
      </c>
      <c r="B86" t="s">
        <v>4343</v>
      </c>
      <c r="C86" t="s">
        <v>1751</v>
      </c>
      <c r="D86">
        <v>20572315</v>
      </c>
      <c r="E86" t="s">
        <v>3128</v>
      </c>
      <c r="F86" t="s">
        <v>1782</v>
      </c>
      <c r="G86" t="s">
        <v>3141</v>
      </c>
      <c r="H86" t="s">
        <v>1252</v>
      </c>
      <c r="J86" s="455">
        <v>46206</v>
      </c>
      <c r="U86" s="455">
        <v>46226</v>
      </c>
    </row>
    <row r="87" spans="1:21">
      <c r="A87" t="s">
        <v>1751</v>
      </c>
      <c r="B87" t="s">
        <v>3244</v>
      </c>
      <c r="C87" t="s">
        <v>1751</v>
      </c>
      <c r="D87">
        <v>20562092</v>
      </c>
      <c r="E87" t="s">
        <v>3133</v>
      </c>
      <c r="F87" t="s">
        <v>1241</v>
      </c>
      <c r="G87" t="s">
        <v>3141</v>
      </c>
      <c r="H87" t="s">
        <v>1252</v>
      </c>
      <c r="J87" s="455">
        <v>46195</v>
      </c>
      <c r="K87" s="455">
        <v>46196</v>
      </c>
      <c r="R87" s="455">
        <v>46211</v>
      </c>
      <c r="U87" s="455">
        <v>46296</v>
      </c>
    </row>
    <row r="88" spans="1:21">
      <c r="A88" t="s">
        <v>1751</v>
      </c>
      <c r="B88" t="s">
        <v>4344</v>
      </c>
      <c r="C88" t="s">
        <v>1751</v>
      </c>
      <c r="D88">
        <v>20596221</v>
      </c>
      <c r="E88" t="s">
        <v>3128</v>
      </c>
      <c r="F88" t="s">
        <v>1241</v>
      </c>
      <c r="G88" t="s">
        <v>3134</v>
      </c>
      <c r="H88" t="s">
        <v>3165</v>
      </c>
      <c r="J88" s="455">
        <v>46232</v>
      </c>
      <c r="U88" s="455">
        <v>46234</v>
      </c>
    </row>
    <row r="89" spans="1:21">
      <c r="A89" t="s">
        <v>1751</v>
      </c>
      <c r="B89" t="s">
        <v>3078</v>
      </c>
      <c r="C89" t="s">
        <v>1751</v>
      </c>
      <c r="D89">
        <v>20488772</v>
      </c>
      <c r="E89" t="s">
        <v>3142</v>
      </c>
      <c r="F89" t="s">
        <v>1799</v>
      </c>
      <c r="G89" t="s">
        <v>3129</v>
      </c>
      <c r="H89" t="s">
        <v>1253</v>
      </c>
      <c r="I89" t="s">
        <v>2529</v>
      </c>
      <c r="J89" s="455">
        <v>46118</v>
      </c>
      <c r="K89" s="455">
        <v>46122</v>
      </c>
      <c r="L89" s="455">
        <v>46122</v>
      </c>
      <c r="M89" s="455">
        <v>46128</v>
      </c>
      <c r="N89" s="455">
        <v>46128</v>
      </c>
      <c r="O89" s="455">
        <v>46132</v>
      </c>
      <c r="P89" s="455">
        <v>46132</v>
      </c>
      <c r="Q89" s="455">
        <v>46133</v>
      </c>
      <c r="U89" s="455">
        <v>46210</v>
      </c>
    </row>
    <row r="90" spans="1:21">
      <c r="A90" t="s">
        <v>1751</v>
      </c>
      <c r="B90" t="s">
        <v>4345</v>
      </c>
      <c r="C90" t="s">
        <v>1751</v>
      </c>
      <c r="D90">
        <v>20588862</v>
      </c>
      <c r="E90" t="s">
        <v>3128</v>
      </c>
      <c r="F90" t="s">
        <v>1241</v>
      </c>
      <c r="G90" t="s">
        <v>3143</v>
      </c>
      <c r="H90" t="s">
        <v>1249</v>
      </c>
      <c r="I90" t="s">
        <v>2148</v>
      </c>
      <c r="J90" s="455">
        <v>46224</v>
      </c>
      <c r="U90" s="455">
        <v>46224</v>
      </c>
    </row>
    <row r="91" spans="1:21">
      <c r="A91" t="s">
        <v>1751</v>
      </c>
      <c r="B91" t="s">
        <v>4346</v>
      </c>
      <c r="C91" t="s">
        <v>1751</v>
      </c>
      <c r="D91">
        <v>20597699</v>
      </c>
      <c r="E91" t="s">
        <v>3128</v>
      </c>
      <c r="F91" t="s">
        <v>1241</v>
      </c>
      <c r="G91" t="s">
        <v>2009</v>
      </c>
      <c r="H91" t="s">
        <v>1252</v>
      </c>
      <c r="J91" s="455">
        <v>46234</v>
      </c>
      <c r="U91" s="455">
        <v>46295</v>
      </c>
    </row>
    <row r="92" spans="1:21">
      <c r="A92" t="s">
        <v>1751</v>
      </c>
      <c r="B92" t="s">
        <v>4347</v>
      </c>
      <c r="C92" t="s">
        <v>1751</v>
      </c>
      <c r="D92">
        <v>20574078</v>
      </c>
      <c r="E92" t="s">
        <v>3128</v>
      </c>
      <c r="F92" t="s">
        <v>1782</v>
      </c>
      <c r="G92" t="s">
        <v>3134</v>
      </c>
      <c r="H92" t="s">
        <v>3165</v>
      </c>
      <c r="J92" s="455">
        <v>46209</v>
      </c>
      <c r="U92" s="455">
        <v>46218</v>
      </c>
    </row>
    <row r="93" spans="1:21">
      <c r="A93" t="s">
        <v>1751</v>
      </c>
      <c r="B93" t="s">
        <v>4348</v>
      </c>
      <c r="C93" t="s">
        <v>1751</v>
      </c>
      <c r="D93">
        <v>20584811</v>
      </c>
      <c r="E93" t="s">
        <v>1897</v>
      </c>
      <c r="F93" t="s">
        <v>1242</v>
      </c>
      <c r="G93" t="s">
        <v>3143</v>
      </c>
      <c r="H93" t="s">
        <v>1248</v>
      </c>
      <c r="I93" t="s">
        <v>2515</v>
      </c>
      <c r="J93" s="455">
        <v>46219</v>
      </c>
      <c r="K93" s="455">
        <v>46219</v>
      </c>
      <c r="U93" s="455">
        <v>46249</v>
      </c>
    </row>
    <row r="94" spans="1:21">
      <c r="A94" t="s">
        <v>1751</v>
      </c>
      <c r="B94" t="s">
        <v>4349</v>
      </c>
      <c r="C94" t="s">
        <v>1751</v>
      </c>
      <c r="D94">
        <v>20574240</v>
      </c>
      <c r="E94" t="s">
        <v>3128</v>
      </c>
      <c r="F94" t="s">
        <v>1782</v>
      </c>
      <c r="G94" t="s">
        <v>3141</v>
      </c>
      <c r="H94" t="s">
        <v>1252</v>
      </c>
      <c r="J94" s="455">
        <v>46209</v>
      </c>
      <c r="U94" s="455">
        <v>46266</v>
      </c>
    </row>
    <row r="95" spans="1:21">
      <c r="A95" t="s">
        <v>1751</v>
      </c>
      <c r="B95" t="s">
        <v>4350</v>
      </c>
      <c r="C95" t="s">
        <v>1751</v>
      </c>
      <c r="D95">
        <v>20597623</v>
      </c>
      <c r="E95" t="s">
        <v>3128</v>
      </c>
      <c r="F95" t="s">
        <v>1241</v>
      </c>
      <c r="G95" t="s">
        <v>3134</v>
      </c>
      <c r="H95" t="s">
        <v>3165</v>
      </c>
      <c r="J95" s="455">
        <v>46234</v>
      </c>
      <c r="U95" s="455">
        <v>46387</v>
      </c>
    </row>
    <row r="96" spans="1:21">
      <c r="A96" t="s">
        <v>1751</v>
      </c>
      <c r="B96" t="s">
        <v>4351</v>
      </c>
      <c r="C96" t="s">
        <v>1751</v>
      </c>
      <c r="D96">
        <v>20578659</v>
      </c>
      <c r="E96" t="s">
        <v>3128</v>
      </c>
      <c r="F96" t="s">
        <v>1782</v>
      </c>
      <c r="G96" t="s">
        <v>3141</v>
      </c>
      <c r="H96" t="s">
        <v>1252</v>
      </c>
      <c r="J96" s="455">
        <v>46214</v>
      </c>
      <c r="U96" s="455">
        <v>46296</v>
      </c>
    </row>
    <row r="97" spans="1:21">
      <c r="A97" t="s">
        <v>1751</v>
      </c>
      <c r="B97" t="s">
        <v>4352</v>
      </c>
      <c r="C97" t="s">
        <v>1751</v>
      </c>
      <c r="D97">
        <v>20593408</v>
      </c>
      <c r="E97" t="s">
        <v>3128</v>
      </c>
      <c r="F97" t="s">
        <v>1241</v>
      </c>
      <c r="G97" t="s">
        <v>3134</v>
      </c>
      <c r="H97" t="s">
        <v>1252</v>
      </c>
      <c r="J97" s="455">
        <v>46230</v>
      </c>
      <c r="U97" s="455">
        <v>46290</v>
      </c>
    </row>
    <row r="98" spans="1:21">
      <c r="A98" t="s">
        <v>1751</v>
      </c>
      <c r="B98" t="s">
        <v>4352</v>
      </c>
      <c r="C98" t="s">
        <v>1751</v>
      </c>
      <c r="D98">
        <v>20593404</v>
      </c>
      <c r="E98" t="s">
        <v>3128</v>
      </c>
      <c r="F98" t="s">
        <v>1241</v>
      </c>
      <c r="G98" t="s">
        <v>3129</v>
      </c>
      <c r="H98" t="s">
        <v>1252</v>
      </c>
      <c r="J98" s="455">
        <v>46230</v>
      </c>
      <c r="U98" s="455">
        <v>46230</v>
      </c>
    </row>
    <row r="99" spans="1:21">
      <c r="A99" t="s">
        <v>1751</v>
      </c>
      <c r="B99" t="s">
        <v>4353</v>
      </c>
      <c r="C99" t="s">
        <v>1751</v>
      </c>
      <c r="D99">
        <v>20597685</v>
      </c>
      <c r="E99" t="s">
        <v>3128</v>
      </c>
      <c r="F99" t="s">
        <v>1241</v>
      </c>
      <c r="G99" t="s">
        <v>3134</v>
      </c>
      <c r="H99" t="s">
        <v>1252</v>
      </c>
      <c r="J99" s="455">
        <v>46234</v>
      </c>
      <c r="U99" s="455">
        <v>46253</v>
      </c>
    </row>
    <row r="100" spans="1:21">
      <c r="A100" t="s">
        <v>1751</v>
      </c>
      <c r="B100" t="s">
        <v>4354</v>
      </c>
      <c r="C100" t="s">
        <v>1751</v>
      </c>
      <c r="D100">
        <v>20595112</v>
      </c>
      <c r="E100" t="s">
        <v>1897</v>
      </c>
      <c r="F100" t="s">
        <v>1241</v>
      </c>
      <c r="G100" t="s">
        <v>3137</v>
      </c>
      <c r="H100" t="s">
        <v>3220</v>
      </c>
      <c r="I100" t="s">
        <v>3363</v>
      </c>
      <c r="J100" s="455">
        <v>46231</v>
      </c>
      <c r="K100" s="455">
        <v>46231</v>
      </c>
      <c r="U100" s="455">
        <v>46237</v>
      </c>
    </row>
    <row r="101" spans="1:21">
      <c r="A101" t="s">
        <v>1751</v>
      </c>
      <c r="B101" t="s">
        <v>4355</v>
      </c>
      <c r="C101" t="s">
        <v>1751</v>
      </c>
      <c r="D101">
        <v>20591508</v>
      </c>
      <c r="E101" t="s">
        <v>3128</v>
      </c>
      <c r="F101" t="s">
        <v>1782</v>
      </c>
      <c r="G101" t="s">
        <v>3141</v>
      </c>
      <c r="H101" t="s">
        <v>4278</v>
      </c>
      <c r="J101" s="455">
        <v>46227</v>
      </c>
      <c r="U101" s="455">
        <v>46241</v>
      </c>
    </row>
    <row r="102" spans="1:21">
      <c r="A102" t="s">
        <v>1751</v>
      </c>
      <c r="B102" t="s">
        <v>4356</v>
      </c>
      <c r="C102" t="s">
        <v>1751</v>
      </c>
      <c r="D102">
        <v>20594674</v>
      </c>
      <c r="E102" t="s">
        <v>3128</v>
      </c>
      <c r="F102" t="s">
        <v>1241</v>
      </c>
      <c r="G102" t="s">
        <v>3137</v>
      </c>
      <c r="H102" t="s">
        <v>1252</v>
      </c>
      <c r="J102" s="455">
        <v>46231</v>
      </c>
      <c r="U102" s="455">
        <v>46282</v>
      </c>
    </row>
    <row r="103" spans="1:21">
      <c r="A103" t="s">
        <v>1751</v>
      </c>
      <c r="B103" t="s">
        <v>4357</v>
      </c>
      <c r="C103" t="s">
        <v>1751</v>
      </c>
      <c r="D103">
        <v>20596490</v>
      </c>
      <c r="E103" t="s">
        <v>3128</v>
      </c>
      <c r="F103" t="s">
        <v>1241</v>
      </c>
      <c r="G103" t="s">
        <v>3134</v>
      </c>
      <c r="H103" t="s">
        <v>1252</v>
      </c>
      <c r="J103" s="455">
        <v>46233</v>
      </c>
      <c r="U103" s="455">
        <v>46295</v>
      </c>
    </row>
    <row r="104" spans="1:21">
      <c r="A104" t="s">
        <v>1751</v>
      </c>
      <c r="B104" t="s">
        <v>4358</v>
      </c>
      <c r="C104" t="s">
        <v>1751</v>
      </c>
      <c r="D104">
        <v>20580152</v>
      </c>
      <c r="E104" t="s">
        <v>1897</v>
      </c>
      <c r="F104" t="s">
        <v>1241</v>
      </c>
      <c r="G104" t="s">
        <v>3134</v>
      </c>
      <c r="H104" t="s">
        <v>1247</v>
      </c>
      <c r="J104" s="455">
        <v>46216</v>
      </c>
      <c r="K104" s="455">
        <v>46216</v>
      </c>
      <c r="U104" s="455">
        <v>46230</v>
      </c>
    </row>
    <row r="105" spans="1:21">
      <c r="A105" t="s">
        <v>1751</v>
      </c>
      <c r="B105" t="s">
        <v>3080</v>
      </c>
      <c r="C105" t="s">
        <v>1751</v>
      </c>
      <c r="D105">
        <v>20564694</v>
      </c>
      <c r="E105" t="s">
        <v>3142</v>
      </c>
      <c r="F105" t="s">
        <v>1243</v>
      </c>
      <c r="G105" t="s">
        <v>3134</v>
      </c>
      <c r="H105" t="s">
        <v>1247</v>
      </c>
      <c r="I105" t="s">
        <v>2413</v>
      </c>
      <c r="J105" s="455">
        <v>46197</v>
      </c>
      <c r="K105" s="455">
        <v>46197</v>
      </c>
      <c r="L105" s="455">
        <v>46197</v>
      </c>
      <c r="M105" s="455">
        <v>46202</v>
      </c>
      <c r="N105" s="455">
        <v>46204</v>
      </c>
      <c r="P105" s="455">
        <v>46205</v>
      </c>
      <c r="Q105" s="455">
        <v>46205</v>
      </c>
      <c r="U105" s="455">
        <v>46214</v>
      </c>
    </row>
    <row r="106" spans="1:21">
      <c r="A106" t="s">
        <v>1751</v>
      </c>
      <c r="B106" t="s">
        <v>4359</v>
      </c>
      <c r="C106" t="s">
        <v>1751</v>
      </c>
      <c r="D106">
        <v>20578323</v>
      </c>
      <c r="E106" t="s">
        <v>3128</v>
      </c>
      <c r="F106" t="s">
        <v>1782</v>
      </c>
      <c r="G106" t="s">
        <v>3134</v>
      </c>
      <c r="H106" t="s">
        <v>3165</v>
      </c>
      <c r="J106" s="455">
        <v>46213</v>
      </c>
      <c r="U106" s="455">
        <v>46247</v>
      </c>
    </row>
    <row r="107" spans="1:21">
      <c r="A107" t="s">
        <v>1751</v>
      </c>
      <c r="B107" t="s">
        <v>4360</v>
      </c>
      <c r="C107" t="s">
        <v>1751</v>
      </c>
      <c r="D107">
        <v>20594977</v>
      </c>
      <c r="E107" t="s">
        <v>1897</v>
      </c>
      <c r="F107" t="s">
        <v>3285</v>
      </c>
      <c r="G107" t="s">
        <v>3134</v>
      </c>
      <c r="H107" t="s">
        <v>1252</v>
      </c>
      <c r="I107" t="s">
        <v>3752</v>
      </c>
      <c r="J107" s="455">
        <v>46231</v>
      </c>
      <c r="K107" s="455">
        <v>46231</v>
      </c>
      <c r="U107" s="455">
        <v>46246</v>
      </c>
    </row>
    <row r="108" spans="1:21">
      <c r="A108" t="s">
        <v>1751</v>
      </c>
      <c r="B108" t="s">
        <v>4361</v>
      </c>
      <c r="C108" t="s">
        <v>1751</v>
      </c>
      <c r="D108">
        <v>20575287</v>
      </c>
      <c r="E108" t="s">
        <v>3128</v>
      </c>
      <c r="F108" t="s">
        <v>1239</v>
      </c>
      <c r="G108" t="s">
        <v>3143</v>
      </c>
      <c r="H108" t="s">
        <v>1249</v>
      </c>
      <c r="I108" t="s">
        <v>3042</v>
      </c>
      <c r="J108" s="455">
        <v>46210</v>
      </c>
      <c r="U108" s="455">
        <v>46210</v>
      </c>
    </row>
    <row r="109" spans="1:21">
      <c r="A109" t="s">
        <v>1751</v>
      </c>
      <c r="B109" t="s">
        <v>4362</v>
      </c>
      <c r="C109" t="s">
        <v>1751</v>
      </c>
      <c r="D109">
        <v>20587054</v>
      </c>
      <c r="E109" t="s">
        <v>3128</v>
      </c>
      <c r="F109" t="s">
        <v>1782</v>
      </c>
      <c r="G109" t="s">
        <v>3134</v>
      </c>
      <c r="H109" t="s">
        <v>3165</v>
      </c>
      <c r="J109" s="455">
        <v>46222</v>
      </c>
      <c r="U109" s="455">
        <v>46235</v>
      </c>
    </row>
    <row r="110" spans="1:21">
      <c r="A110" t="s">
        <v>1751</v>
      </c>
      <c r="B110" t="s">
        <v>4363</v>
      </c>
      <c r="C110" t="s">
        <v>1751</v>
      </c>
      <c r="D110">
        <v>20596829</v>
      </c>
      <c r="E110" t="s">
        <v>3128</v>
      </c>
      <c r="F110" t="s">
        <v>1241</v>
      </c>
      <c r="G110" t="s">
        <v>3141</v>
      </c>
      <c r="H110" t="s">
        <v>4278</v>
      </c>
      <c r="J110" s="455">
        <v>46233</v>
      </c>
      <c r="U110" s="455">
        <v>46247</v>
      </c>
    </row>
    <row r="111" spans="1:21">
      <c r="A111" t="s">
        <v>1751</v>
      </c>
      <c r="B111" t="s">
        <v>3281</v>
      </c>
      <c r="C111" t="s">
        <v>1751</v>
      </c>
      <c r="D111">
        <v>20575772</v>
      </c>
      <c r="E111" t="s">
        <v>3128</v>
      </c>
      <c r="F111" t="s">
        <v>1238</v>
      </c>
      <c r="G111" t="s">
        <v>3143</v>
      </c>
      <c r="H111" t="s">
        <v>1248</v>
      </c>
      <c r="I111" t="s">
        <v>3168</v>
      </c>
      <c r="J111" s="455">
        <v>46211</v>
      </c>
      <c r="U111" s="455">
        <v>46275</v>
      </c>
    </row>
    <row r="112" spans="1:21">
      <c r="A112" t="s">
        <v>1751</v>
      </c>
      <c r="B112" t="s">
        <v>4364</v>
      </c>
      <c r="C112" t="s">
        <v>1751</v>
      </c>
      <c r="D112">
        <v>20578779</v>
      </c>
      <c r="E112" t="s">
        <v>3128</v>
      </c>
      <c r="F112" t="s">
        <v>1238</v>
      </c>
      <c r="G112" t="s">
        <v>3143</v>
      </c>
      <c r="H112" t="s">
        <v>1940</v>
      </c>
      <c r="J112" s="455">
        <v>46214</v>
      </c>
      <c r="U112" s="455">
        <v>46235</v>
      </c>
    </row>
    <row r="113" spans="1:21">
      <c r="A113" t="s">
        <v>1751</v>
      </c>
      <c r="B113" t="s">
        <v>3283</v>
      </c>
      <c r="C113" t="s">
        <v>1751</v>
      </c>
      <c r="D113">
        <v>20568523</v>
      </c>
      <c r="E113" t="s">
        <v>3133</v>
      </c>
      <c r="F113" t="s">
        <v>1241</v>
      </c>
      <c r="G113" t="s">
        <v>3134</v>
      </c>
      <c r="H113" t="s">
        <v>1250</v>
      </c>
      <c r="J113" s="455">
        <v>46202</v>
      </c>
      <c r="K113" s="455">
        <v>46202</v>
      </c>
      <c r="R113" s="455">
        <v>46212</v>
      </c>
      <c r="U113" s="455">
        <v>46202</v>
      </c>
    </row>
    <row r="114" spans="1:21">
      <c r="A114" t="s">
        <v>1751</v>
      </c>
      <c r="B114" t="s">
        <v>4365</v>
      </c>
      <c r="C114" t="s">
        <v>1751</v>
      </c>
      <c r="D114">
        <v>20577854</v>
      </c>
      <c r="E114" t="s">
        <v>1907</v>
      </c>
      <c r="F114" t="s">
        <v>1238</v>
      </c>
      <c r="G114" t="s">
        <v>3143</v>
      </c>
      <c r="H114" t="s">
        <v>1252</v>
      </c>
      <c r="J114" s="455">
        <v>46213</v>
      </c>
      <c r="K114" s="455">
        <v>46216</v>
      </c>
      <c r="L114" s="455">
        <v>46216</v>
      </c>
      <c r="T114" s="455">
        <v>46219</v>
      </c>
      <c r="U114" s="455">
        <v>46227</v>
      </c>
    </row>
    <row r="115" spans="1:21">
      <c r="A115" t="s">
        <v>1751</v>
      </c>
      <c r="B115" t="s">
        <v>4366</v>
      </c>
      <c r="C115" t="s">
        <v>1751</v>
      </c>
      <c r="D115">
        <v>20535978</v>
      </c>
      <c r="E115" t="s">
        <v>3133</v>
      </c>
      <c r="F115" t="s">
        <v>1237</v>
      </c>
      <c r="G115" t="s">
        <v>3134</v>
      </c>
      <c r="H115" t="s">
        <v>3165</v>
      </c>
      <c r="I115" t="s">
        <v>2627</v>
      </c>
      <c r="J115" s="455">
        <v>46168</v>
      </c>
      <c r="K115" s="455">
        <v>46211</v>
      </c>
      <c r="L115" s="455">
        <v>46211</v>
      </c>
      <c r="S115" s="455">
        <v>46225</v>
      </c>
      <c r="U115" s="455">
        <v>46230</v>
      </c>
    </row>
    <row r="116" spans="1:21">
      <c r="A116" t="s">
        <v>1751</v>
      </c>
      <c r="B116" t="s">
        <v>10992</v>
      </c>
      <c r="C116" t="s">
        <v>1751</v>
      </c>
      <c r="D116">
        <v>20585934</v>
      </c>
      <c r="E116" t="s">
        <v>3128</v>
      </c>
      <c r="F116" t="s">
        <v>1241</v>
      </c>
      <c r="G116" t="s">
        <v>2009</v>
      </c>
      <c r="H116" t="s">
        <v>3358</v>
      </c>
      <c r="J116" s="455">
        <v>46220</v>
      </c>
      <c r="U116" s="455">
        <v>46220</v>
      </c>
    </row>
    <row r="117" spans="1:21">
      <c r="A117" t="s">
        <v>1751</v>
      </c>
      <c r="B117" t="s">
        <v>4367</v>
      </c>
      <c r="C117" t="s">
        <v>1751</v>
      </c>
      <c r="D117">
        <v>20595775</v>
      </c>
      <c r="E117" t="s">
        <v>1907</v>
      </c>
      <c r="F117" t="s">
        <v>1243</v>
      </c>
      <c r="G117" t="s">
        <v>3137</v>
      </c>
      <c r="H117" t="s">
        <v>1247</v>
      </c>
      <c r="I117" t="s">
        <v>4368</v>
      </c>
      <c r="J117" s="455">
        <v>46232</v>
      </c>
      <c r="K117" s="455">
        <v>46232</v>
      </c>
      <c r="L117" s="455">
        <v>46232</v>
      </c>
      <c r="U117" s="455">
        <v>46241</v>
      </c>
    </row>
    <row r="118" spans="1:21">
      <c r="A118" t="s">
        <v>1751</v>
      </c>
      <c r="B118" t="s">
        <v>3292</v>
      </c>
      <c r="C118" t="s">
        <v>1751</v>
      </c>
      <c r="D118">
        <v>20562248</v>
      </c>
      <c r="E118" t="s">
        <v>3133</v>
      </c>
      <c r="F118" t="s">
        <v>1241</v>
      </c>
      <c r="G118" t="s">
        <v>3134</v>
      </c>
      <c r="H118" t="s">
        <v>1252</v>
      </c>
      <c r="J118" s="455">
        <v>46195</v>
      </c>
      <c r="K118" s="455">
        <v>46195</v>
      </c>
      <c r="R118" s="455">
        <v>46212</v>
      </c>
      <c r="U118" s="455">
        <v>46195</v>
      </c>
    </row>
    <row r="119" spans="1:21">
      <c r="A119" t="s">
        <v>1751</v>
      </c>
      <c r="B119" t="s">
        <v>4369</v>
      </c>
      <c r="C119" t="s">
        <v>1751</v>
      </c>
      <c r="D119">
        <v>20534151</v>
      </c>
      <c r="E119" t="s">
        <v>1907</v>
      </c>
      <c r="F119" t="s">
        <v>1241</v>
      </c>
      <c r="G119" t="s">
        <v>3143</v>
      </c>
      <c r="H119" t="s">
        <v>1248</v>
      </c>
      <c r="I119" t="s">
        <v>1550</v>
      </c>
      <c r="J119" s="455">
        <v>46165</v>
      </c>
      <c r="K119" s="455">
        <v>46231</v>
      </c>
      <c r="L119" s="455">
        <v>46231</v>
      </c>
      <c r="U119" s="455">
        <v>46248</v>
      </c>
    </row>
    <row r="120" spans="1:21">
      <c r="A120" t="s">
        <v>1751</v>
      </c>
      <c r="B120" t="s">
        <v>4370</v>
      </c>
      <c r="C120" t="s">
        <v>1751</v>
      </c>
      <c r="D120">
        <v>20594306</v>
      </c>
      <c r="E120" t="s">
        <v>3128</v>
      </c>
      <c r="F120" t="s">
        <v>1237</v>
      </c>
      <c r="G120" t="s">
        <v>3143</v>
      </c>
      <c r="H120" t="s">
        <v>4371</v>
      </c>
      <c r="I120" t="s">
        <v>3170</v>
      </c>
      <c r="J120" s="455">
        <v>46230</v>
      </c>
      <c r="U120" s="455">
        <v>46230</v>
      </c>
    </row>
    <row r="121" spans="1:21">
      <c r="A121" t="s">
        <v>1751</v>
      </c>
      <c r="B121" t="s">
        <v>4372</v>
      </c>
      <c r="C121" t="s">
        <v>1751</v>
      </c>
      <c r="D121">
        <v>20578804</v>
      </c>
      <c r="E121" t="s">
        <v>3128</v>
      </c>
      <c r="F121" t="s">
        <v>1238</v>
      </c>
      <c r="G121" t="s">
        <v>3143</v>
      </c>
      <c r="H121" t="s">
        <v>1252</v>
      </c>
      <c r="I121" t="s">
        <v>3170</v>
      </c>
      <c r="J121" s="455">
        <v>46214</v>
      </c>
      <c r="U121" s="455">
        <v>46223</v>
      </c>
    </row>
    <row r="122" spans="1:21">
      <c r="A122" t="s">
        <v>1751</v>
      </c>
      <c r="B122" t="s">
        <v>4373</v>
      </c>
      <c r="C122" t="s">
        <v>1751</v>
      </c>
      <c r="D122">
        <v>20588482</v>
      </c>
      <c r="E122" t="s">
        <v>3128</v>
      </c>
      <c r="F122" t="s">
        <v>1242</v>
      </c>
      <c r="G122" t="s">
        <v>2009</v>
      </c>
      <c r="H122" t="s">
        <v>1248</v>
      </c>
      <c r="J122" s="455">
        <v>46224</v>
      </c>
      <c r="U122" s="455">
        <v>46304</v>
      </c>
    </row>
    <row r="123" spans="1:21">
      <c r="A123" t="s">
        <v>1751</v>
      </c>
      <c r="B123" t="s">
        <v>4374</v>
      </c>
      <c r="C123" t="s">
        <v>1751</v>
      </c>
      <c r="D123">
        <v>20573927</v>
      </c>
      <c r="E123" t="s">
        <v>3128</v>
      </c>
      <c r="F123" t="s">
        <v>1782</v>
      </c>
      <c r="G123" t="s">
        <v>3137</v>
      </c>
      <c r="H123" t="s">
        <v>1252</v>
      </c>
      <c r="J123" s="455">
        <v>46209</v>
      </c>
      <c r="U123" s="455">
        <v>46235</v>
      </c>
    </row>
    <row r="124" spans="1:21">
      <c r="A124" t="s">
        <v>1751</v>
      </c>
      <c r="B124" t="s">
        <v>4375</v>
      </c>
      <c r="C124" t="s">
        <v>1751</v>
      </c>
      <c r="D124">
        <v>20578763</v>
      </c>
      <c r="E124" t="s">
        <v>3142</v>
      </c>
      <c r="F124" t="s">
        <v>1239</v>
      </c>
      <c r="G124" t="s">
        <v>3137</v>
      </c>
      <c r="H124" t="s">
        <v>1252</v>
      </c>
      <c r="I124" t="s">
        <v>2581</v>
      </c>
      <c r="J124" s="455">
        <v>46214</v>
      </c>
      <c r="K124" s="455">
        <v>46222</v>
      </c>
      <c r="L124" s="455">
        <v>46225</v>
      </c>
      <c r="M124" s="455">
        <v>46226</v>
      </c>
      <c r="N124" s="455">
        <v>46226</v>
      </c>
      <c r="P124" s="455">
        <v>46227</v>
      </c>
      <c r="Q124" s="455">
        <v>46230</v>
      </c>
      <c r="U124" s="455">
        <v>46275</v>
      </c>
    </row>
    <row r="125" spans="1:21">
      <c r="A125" t="s">
        <v>1751</v>
      </c>
      <c r="B125" t="s">
        <v>4376</v>
      </c>
      <c r="C125" t="s">
        <v>1751</v>
      </c>
      <c r="D125">
        <v>20593732</v>
      </c>
      <c r="E125" t="s">
        <v>3128</v>
      </c>
      <c r="F125" t="s">
        <v>1782</v>
      </c>
      <c r="G125" t="s">
        <v>3134</v>
      </c>
      <c r="H125" t="s">
        <v>3165</v>
      </c>
      <c r="J125" s="455">
        <v>46230</v>
      </c>
      <c r="U125" s="455">
        <v>46249</v>
      </c>
    </row>
    <row r="126" spans="1:21">
      <c r="A126" t="s">
        <v>1751</v>
      </c>
      <c r="B126" t="s">
        <v>3302</v>
      </c>
      <c r="C126" t="s">
        <v>1751</v>
      </c>
      <c r="D126">
        <v>20559223</v>
      </c>
      <c r="E126" t="s">
        <v>3133</v>
      </c>
      <c r="F126" t="s">
        <v>1241</v>
      </c>
      <c r="G126" t="s">
        <v>3134</v>
      </c>
      <c r="H126" t="s">
        <v>1252</v>
      </c>
      <c r="J126" s="455">
        <v>46190</v>
      </c>
      <c r="K126" s="455">
        <v>46190</v>
      </c>
      <c r="R126" s="455">
        <v>46205</v>
      </c>
      <c r="U126" s="455">
        <v>46190</v>
      </c>
    </row>
    <row r="127" spans="1:21">
      <c r="A127" t="s">
        <v>1751</v>
      </c>
      <c r="B127" t="s">
        <v>4377</v>
      </c>
      <c r="C127" t="s">
        <v>1751</v>
      </c>
      <c r="D127">
        <v>20593657</v>
      </c>
      <c r="E127" t="s">
        <v>3128</v>
      </c>
      <c r="F127" t="s">
        <v>1241</v>
      </c>
      <c r="G127" t="s">
        <v>3129</v>
      </c>
      <c r="H127" t="s">
        <v>3131</v>
      </c>
      <c r="J127" s="455">
        <v>46230</v>
      </c>
      <c r="U127" s="455">
        <v>46235</v>
      </c>
    </row>
    <row r="128" spans="1:21">
      <c r="A128" t="s">
        <v>1751</v>
      </c>
      <c r="B128" t="s">
        <v>4378</v>
      </c>
      <c r="C128" t="s">
        <v>1751</v>
      </c>
      <c r="D128">
        <v>20596278</v>
      </c>
      <c r="E128" t="s">
        <v>3128</v>
      </c>
      <c r="F128" t="s">
        <v>1782</v>
      </c>
      <c r="G128" t="s">
        <v>3141</v>
      </c>
      <c r="H128" t="s">
        <v>1252</v>
      </c>
      <c r="J128" s="455">
        <v>46233</v>
      </c>
      <c r="U128" s="455">
        <v>46293</v>
      </c>
    </row>
    <row r="129" spans="1:21">
      <c r="A129" t="s">
        <v>1751</v>
      </c>
      <c r="B129" t="s">
        <v>4379</v>
      </c>
      <c r="C129" t="s">
        <v>1751</v>
      </c>
      <c r="D129">
        <v>20578029</v>
      </c>
      <c r="E129" t="s">
        <v>3133</v>
      </c>
      <c r="F129" t="s">
        <v>1242</v>
      </c>
      <c r="G129" t="s">
        <v>3143</v>
      </c>
      <c r="H129" t="s">
        <v>1248</v>
      </c>
      <c r="I129" t="s">
        <v>2648</v>
      </c>
      <c r="J129" s="455">
        <v>46213</v>
      </c>
      <c r="K129" s="455">
        <v>46213</v>
      </c>
      <c r="L129" s="455">
        <v>46223</v>
      </c>
      <c r="S129" s="455">
        <v>46230</v>
      </c>
      <c r="U129" s="455">
        <v>46277</v>
      </c>
    </row>
    <row r="130" spans="1:21">
      <c r="A130" t="s">
        <v>1751</v>
      </c>
      <c r="B130" t="s">
        <v>4380</v>
      </c>
      <c r="C130" t="s">
        <v>1751</v>
      </c>
      <c r="D130">
        <v>20582521</v>
      </c>
      <c r="E130" t="s">
        <v>3128</v>
      </c>
      <c r="F130" t="s">
        <v>1241</v>
      </c>
      <c r="G130" t="s">
        <v>3134</v>
      </c>
      <c r="H130" t="s">
        <v>3165</v>
      </c>
      <c r="J130" s="455">
        <v>46218</v>
      </c>
      <c r="U130" s="455">
        <v>46249</v>
      </c>
    </row>
    <row r="131" spans="1:21">
      <c r="A131" t="s">
        <v>1751</v>
      </c>
      <c r="B131" t="s">
        <v>4381</v>
      </c>
      <c r="C131" t="s">
        <v>1751</v>
      </c>
      <c r="D131">
        <v>20570840</v>
      </c>
      <c r="E131" t="s">
        <v>3128</v>
      </c>
      <c r="F131" t="s">
        <v>1782</v>
      </c>
      <c r="G131" t="s">
        <v>3137</v>
      </c>
      <c r="H131" t="s">
        <v>1251</v>
      </c>
      <c r="J131" s="455">
        <v>46204</v>
      </c>
      <c r="U131" s="455">
        <v>46204</v>
      </c>
    </row>
    <row r="132" spans="1:21">
      <c r="A132" t="s">
        <v>1751</v>
      </c>
      <c r="B132" t="s">
        <v>4382</v>
      </c>
      <c r="C132" t="s">
        <v>1751</v>
      </c>
      <c r="D132">
        <v>20573772</v>
      </c>
      <c r="E132" t="s">
        <v>1897</v>
      </c>
      <c r="F132" t="s">
        <v>1238</v>
      </c>
      <c r="G132" t="s">
        <v>3134</v>
      </c>
      <c r="H132" t="s">
        <v>1252</v>
      </c>
      <c r="I132" t="s">
        <v>2179</v>
      </c>
      <c r="J132" s="455">
        <v>46209</v>
      </c>
      <c r="K132" s="455">
        <v>46209</v>
      </c>
      <c r="U132" s="455">
        <v>46230</v>
      </c>
    </row>
    <row r="133" spans="1:21">
      <c r="A133" t="s">
        <v>1751</v>
      </c>
      <c r="B133" t="s">
        <v>3304</v>
      </c>
      <c r="C133" t="s">
        <v>1751</v>
      </c>
      <c r="D133">
        <v>20561127</v>
      </c>
      <c r="E133" t="s">
        <v>3133</v>
      </c>
      <c r="F133" t="s">
        <v>1241</v>
      </c>
      <c r="G133" t="s">
        <v>3134</v>
      </c>
      <c r="H133" t="s">
        <v>1247</v>
      </c>
      <c r="J133" s="455">
        <v>46193</v>
      </c>
      <c r="K133" s="455">
        <v>46193</v>
      </c>
      <c r="R133" s="455">
        <v>46211</v>
      </c>
      <c r="U133" s="455">
        <v>46235</v>
      </c>
    </row>
    <row r="134" spans="1:21">
      <c r="A134" t="s">
        <v>1751</v>
      </c>
      <c r="B134" t="s">
        <v>3089</v>
      </c>
      <c r="C134" t="s">
        <v>1751</v>
      </c>
      <c r="D134">
        <v>20561096</v>
      </c>
      <c r="E134" t="s">
        <v>3142</v>
      </c>
      <c r="F134" t="s">
        <v>1243</v>
      </c>
      <c r="G134" t="s">
        <v>3134</v>
      </c>
      <c r="H134" t="s">
        <v>1247</v>
      </c>
      <c r="I134" t="s">
        <v>2487</v>
      </c>
      <c r="J134" s="455">
        <v>46193</v>
      </c>
      <c r="K134" s="455">
        <v>46193</v>
      </c>
      <c r="L134" s="455">
        <v>46193</v>
      </c>
      <c r="M134" s="455">
        <v>46199</v>
      </c>
      <c r="N134" s="455">
        <v>46199</v>
      </c>
      <c r="O134" s="455">
        <v>46199</v>
      </c>
      <c r="P134" s="455">
        <v>46200</v>
      </c>
      <c r="Q134" s="455">
        <v>46202</v>
      </c>
      <c r="U134" s="455">
        <v>46235</v>
      </c>
    </row>
    <row r="135" spans="1:21">
      <c r="A135" t="s">
        <v>1751</v>
      </c>
      <c r="B135" t="s">
        <v>2950</v>
      </c>
      <c r="C135" t="s">
        <v>1751</v>
      </c>
      <c r="D135">
        <v>20538873</v>
      </c>
      <c r="E135" t="s">
        <v>3142</v>
      </c>
      <c r="F135" t="s">
        <v>1237</v>
      </c>
      <c r="G135" t="s">
        <v>3143</v>
      </c>
      <c r="H135" t="s">
        <v>1249</v>
      </c>
      <c r="I135" t="s">
        <v>2650</v>
      </c>
      <c r="J135" s="455">
        <v>46171</v>
      </c>
      <c r="K135" s="455">
        <v>46173</v>
      </c>
      <c r="L135" s="455">
        <v>46174</v>
      </c>
      <c r="M135" s="455">
        <v>46185</v>
      </c>
      <c r="N135" s="455">
        <v>46185</v>
      </c>
      <c r="P135" s="455">
        <v>46189</v>
      </c>
      <c r="Q135" s="455">
        <v>46189</v>
      </c>
      <c r="U135" s="455">
        <v>46244</v>
      </c>
    </row>
    <row r="136" spans="1:21">
      <c r="A136" t="s">
        <v>1751</v>
      </c>
      <c r="B136" t="s">
        <v>10993</v>
      </c>
      <c r="C136" t="s">
        <v>1751</v>
      </c>
      <c r="D136">
        <v>20591518</v>
      </c>
      <c r="E136" t="s">
        <v>3128</v>
      </c>
      <c r="F136" t="s">
        <v>1241</v>
      </c>
      <c r="G136" t="s">
        <v>3129</v>
      </c>
      <c r="H136" t="s">
        <v>1253</v>
      </c>
      <c r="J136" s="455">
        <v>46227</v>
      </c>
      <c r="U136" s="455">
        <v>46227</v>
      </c>
    </row>
    <row r="137" spans="1:21">
      <c r="A137" t="s">
        <v>1751</v>
      </c>
      <c r="B137" t="s">
        <v>4383</v>
      </c>
      <c r="C137" t="s">
        <v>1751</v>
      </c>
      <c r="D137">
        <v>20580777</v>
      </c>
      <c r="E137" t="s">
        <v>3128</v>
      </c>
      <c r="F137" t="s">
        <v>1237</v>
      </c>
      <c r="G137" t="s">
        <v>3129</v>
      </c>
      <c r="H137" t="s">
        <v>1251</v>
      </c>
      <c r="J137" s="455">
        <v>46217</v>
      </c>
      <c r="U137" s="455">
        <v>46266</v>
      </c>
    </row>
    <row r="138" spans="1:21">
      <c r="A138" t="s">
        <v>1751</v>
      </c>
      <c r="B138" t="s">
        <v>4384</v>
      </c>
      <c r="C138" t="s">
        <v>1751</v>
      </c>
      <c r="D138">
        <v>20577765</v>
      </c>
      <c r="E138" t="s">
        <v>3128</v>
      </c>
      <c r="F138" t="s">
        <v>1241</v>
      </c>
      <c r="G138" t="s">
        <v>3141</v>
      </c>
      <c r="H138" t="s">
        <v>1249</v>
      </c>
      <c r="J138" s="455">
        <v>46213</v>
      </c>
      <c r="U138" s="455">
        <v>46213</v>
      </c>
    </row>
    <row r="139" spans="1:21">
      <c r="A139" t="s">
        <v>1751</v>
      </c>
      <c r="B139" t="s">
        <v>4385</v>
      </c>
      <c r="C139" t="s">
        <v>1751</v>
      </c>
      <c r="D139">
        <v>20591876</v>
      </c>
      <c r="E139" t="s">
        <v>3128</v>
      </c>
      <c r="F139" t="s">
        <v>1782</v>
      </c>
      <c r="G139" t="s">
        <v>3137</v>
      </c>
      <c r="H139" t="s">
        <v>4278</v>
      </c>
      <c r="J139" s="455">
        <v>46227</v>
      </c>
      <c r="U139" s="455">
        <v>46241</v>
      </c>
    </row>
    <row r="140" spans="1:21">
      <c r="A140" t="s">
        <v>1751</v>
      </c>
      <c r="B140" t="s">
        <v>3313</v>
      </c>
      <c r="C140" t="s">
        <v>1751</v>
      </c>
      <c r="D140">
        <v>20557711</v>
      </c>
      <c r="E140" t="s">
        <v>3133</v>
      </c>
      <c r="F140" t="s">
        <v>1241</v>
      </c>
      <c r="G140" t="s">
        <v>3134</v>
      </c>
      <c r="H140" t="s">
        <v>1247</v>
      </c>
      <c r="I140" t="s">
        <v>1559</v>
      </c>
      <c r="J140" s="455">
        <v>46189</v>
      </c>
      <c r="K140" s="455">
        <v>46189</v>
      </c>
      <c r="R140" s="455">
        <v>46205</v>
      </c>
      <c r="U140" s="455">
        <v>46198</v>
      </c>
    </row>
    <row r="141" spans="1:21">
      <c r="A141" t="s">
        <v>1751</v>
      </c>
      <c r="B141" t="s">
        <v>4386</v>
      </c>
      <c r="C141" t="s">
        <v>1751</v>
      </c>
      <c r="D141">
        <v>20592311</v>
      </c>
      <c r="E141" t="s">
        <v>3128</v>
      </c>
      <c r="F141" t="s">
        <v>1782</v>
      </c>
      <c r="G141" t="s">
        <v>3134</v>
      </c>
      <c r="H141" t="s">
        <v>1252</v>
      </c>
      <c r="J141" s="455">
        <v>46228</v>
      </c>
      <c r="U141" s="455">
        <v>46323</v>
      </c>
    </row>
    <row r="142" spans="1:21">
      <c r="A142" t="s">
        <v>1751</v>
      </c>
      <c r="B142" t="s">
        <v>3101</v>
      </c>
      <c r="C142" t="s">
        <v>1751</v>
      </c>
      <c r="D142">
        <v>20580050</v>
      </c>
      <c r="E142" t="s">
        <v>3142</v>
      </c>
      <c r="F142" t="s">
        <v>3285</v>
      </c>
      <c r="G142" t="s">
        <v>3134</v>
      </c>
      <c r="H142" t="s">
        <v>3220</v>
      </c>
      <c r="I142" t="s">
        <v>1575</v>
      </c>
      <c r="J142" s="455">
        <v>46216</v>
      </c>
      <c r="K142" s="455">
        <v>46216</v>
      </c>
      <c r="L142" s="455">
        <v>46230</v>
      </c>
      <c r="M142" s="455">
        <v>46232</v>
      </c>
      <c r="N142" s="455">
        <v>46233</v>
      </c>
      <c r="P142" s="455">
        <v>46234</v>
      </c>
      <c r="Q142" s="455">
        <v>46234</v>
      </c>
      <c r="U142" s="455">
        <v>46249</v>
      </c>
    </row>
    <row r="143" spans="1:21">
      <c r="A143" t="s">
        <v>1751</v>
      </c>
      <c r="B143" t="s">
        <v>4387</v>
      </c>
      <c r="C143" t="s">
        <v>1751</v>
      </c>
      <c r="D143">
        <v>20580040</v>
      </c>
      <c r="E143" t="s">
        <v>3128</v>
      </c>
      <c r="F143" t="s">
        <v>1782</v>
      </c>
      <c r="G143" t="s">
        <v>3129</v>
      </c>
      <c r="H143" t="s">
        <v>3131</v>
      </c>
      <c r="J143" s="455">
        <v>46216</v>
      </c>
      <c r="U143" s="455">
        <v>46249</v>
      </c>
    </row>
    <row r="144" spans="1:21">
      <c r="A144" t="s">
        <v>1751</v>
      </c>
      <c r="B144" t="s">
        <v>4388</v>
      </c>
      <c r="C144" t="s">
        <v>1751</v>
      </c>
      <c r="D144">
        <v>20587590</v>
      </c>
      <c r="E144" t="s">
        <v>1897</v>
      </c>
      <c r="F144" t="s">
        <v>1241</v>
      </c>
      <c r="G144" t="s">
        <v>3134</v>
      </c>
      <c r="H144" t="s">
        <v>1252</v>
      </c>
      <c r="J144" s="455">
        <v>46223</v>
      </c>
      <c r="K144" s="455">
        <v>46223</v>
      </c>
      <c r="U144" s="455">
        <v>46235</v>
      </c>
    </row>
    <row r="145" spans="1:21">
      <c r="A145" t="s">
        <v>1751</v>
      </c>
      <c r="B145" t="s">
        <v>4388</v>
      </c>
      <c r="C145" t="s">
        <v>1751</v>
      </c>
      <c r="D145">
        <v>20587589</v>
      </c>
      <c r="E145" t="s">
        <v>1897</v>
      </c>
      <c r="F145" t="s">
        <v>1241</v>
      </c>
      <c r="G145" t="s">
        <v>2009</v>
      </c>
      <c r="H145" t="s">
        <v>1252</v>
      </c>
      <c r="I145" t="s">
        <v>3264</v>
      </c>
      <c r="J145" s="455">
        <v>46223</v>
      </c>
      <c r="K145" s="455">
        <v>46223</v>
      </c>
      <c r="U145" s="455">
        <v>46235</v>
      </c>
    </row>
    <row r="146" spans="1:21">
      <c r="A146" t="s">
        <v>1751</v>
      </c>
      <c r="B146" t="s">
        <v>4389</v>
      </c>
      <c r="C146" t="s">
        <v>1751</v>
      </c>
      <c r="D146">
        <v>20569966</v>
      </c>
      <c r="E146" t="s">
        <v>3128</v>
      </c>
      <c r="F146" t="s">
        <v>1782</v>
      </c>
      <c r="G146" t="s">
        <v>3141</v>
      </c>
      <c r="H146" t="s">
        <v>1252</v>
      </c>
      <c r="J146" s="455">
        <v>46204</v>
      </c>
      <c r="U146" s="455">
        <v>46206</v>
      </c>
    </row>
    <row r="147" spans="1:21">
      <c r="A147" t="s">
        <v>1751</v>
      </c>
      <c r="B147" t="s">
        <v>4390</v>
      </c>
      <c r="C147" t="s">
        <v>1751</v>
      </c>
      <c r="D147">
        <v>20579605</v>
      </c>
      <c r="E147" t="s">
        <v>3128</v>
      </c>
      <c r="F147" t="s">
        <v>1782</v>
      </c>
      <c r="G147" t="s">
        <v>3143</v>
      </c>
      <c r="H147" t="s">
        <v>1251</v>
      </c>
      <c r="J147" s="455">
        <v>46216</v>
      </c>
      <c r="U147" s="455">
        <v>46216</v>
      </c>
    </row>
    <row r="148" spans="1:21">
      <c r="A148" t="s">
        <v>1751</v>
      </c>
      <c r="B148" t="s">
        <v>4391</v>
      </c>
      <c r="C148" t="s">
        <v>1751</v>
      </c>
      <c r="D148">
        <v>20592840</v>
      </c>
      <c r="E148" t="s">
        <v>3128</v>
      </c>
      <c r="F148" t="s">
        <v>1241</v>
      </c>
      <c r="G148" t="s">
        <v>3137</v>
      </c>
      <c r="H148" t="s">
        <v>1252</v>
      </c>
      <c r="J148" s="455">
        <v>46229</v>
      </c>
      <c r="U148" s="455">
        <v>46238</v>
      </c>
    </row>
    <row r="149" spans="1:21">
      <c r="A149" t="s">
        <v>1751</v>
      </c>
      <c r="B149" t="s">
        <v>4392</v>
      </c>
      <c r="C149" t="s">
        <v>1751</v>
      </c>
      <c r="D149">
        <v>20593629</v>
      </c>
      <c r="E149" t="s">
        <v>3128</v>
      </c>
      <c r="F149" t="s">
        <v>1237</v>
      </c>
      <c r="G149" t="s">
        <v>3143</v>
      </c>
      <c r="H149" t="s">
        <v>1249</v>
      </c>
      <c r="I149" t="s">
        <v>3170</v>
      </c>
      <c r="J149" s="455">
        <v>46230</v>
      </c>
      <c r="U149" s="455">
        <v>46283</v>
      </c>
    </row>
    <row r="150" spans="1:21">
      <c r="A150" t="s">
        <v>1751</v>
      </c>
      <c r="B150" t="s">
        <v>4393</v>
      </c>
      <c r="C150" t="s">
        <v>1751</v>
      </c>
      <c r="D150">
        <v>20590504</v>
      </c>
      <c r="E150" t="s">
        <v>3133</v>
      </c>
      <c r="F150" t="s">
        <v>1241</v>
      </c>
      <c r="G150" t="s">
        <v>3134</v>
      </c>
      <c r="H150" t="s">
        <v>1247</v>
      </c>
      <c r="I150" t="s">
        <v>1913</v>
      </c>
      <c r="J150" s="455">
        <v>46226</v>
      </c>
      <c r="K150" s="455">
        <v>46226</v>
      </c>
      <c r="L150" s="455">
        <v>46226</v>
      </c>
      <c r="S150" s="455">
        <v>46226</v>
      </c>
      <c r="U150" s="455">
        <v>46237</v>
      </c>
    </row>
    <row r="151" spans="1:21">
      <c r="A151" t="s">
        <v>1751</v>
      </c>
      <c r="B151" t="s">
        <v>4394</v>
      </c>
      <c r="C151" t="s">
        <v>1751</v>
      </c>
      <c r="D151">
        <v>20529690</v>
      </c>
      <c r="E151" t="s">
        <v>1897</v>
      </c>
      <c r="F151" t="s">
        <v>1242</v>
      </c>
      <c r="G151" t="s">
        <v>2009</v>
      </c>
      <c r="H151" t="s">
        <v>1251</v>
      </c>
      <c r="I151" t="s">
        <v>2589</v>
      </c>
      <c r="J151" s="455">
        <v>46160</v>
      </c>
      <c r="K151" s="455">
        <v>46233</v>
      </c>
      <c r="U151" s="455">
        <v>46233</v>
      </c>
    </row>
    <row r="152" spans="1:21">
      <c r="A152" t="s">
        <v>1751</v>
      </c>
      <c r="B152" t="s">
        <v>3320</v>
      </c>
      <c r="C152" t="s">
        <v>1751</v>
      </c>
      <c r="D152">
        <v>20571382</v>
      </c>
      <c r="E152" t="s">
        <v>3128</v>
      </c>
      <c r="F152" t="s">
        <v>1241</v>
      </c>
      <c r="G152" t="s">
        <v>3134</v>
      </c>
      <c r="H152" t="s">
        <v>3165</v>
      </c>
      <c r="J152" s="455">
        <v>46205</v>
      </c>
      <c r="U152" s="455">
        <v>46219</v>
      </c>
    </row>
    <row r="153" spans="1:21">
      <c r="A153" t="s">
        <v>1751</v>
      </c>
      <c r="B153" t="s">
        <v>3320</v>
      </c>
      <c r="C153" t="s">
        <v>1751</v>
      </c>
      <c r="D153">
        <v>20571383</v>
      </c>
      <c r="E153" t="s">
        <v>3128</v>
      </c>
      <c r="F153" t="s">
        <v>1912</v>
      </c>
      <c r="G153" t="s">
        <v>3137</v>
      </c>
      <c r="H153" t="s">
        <v>3165</v>
      </c>
      <c r="J153" s="455">
        <v>46205</v>
      </c>
      <c r="U153" s="455">
        <v>46205</v>
      </c>
    </row>
    <row r="154" spans="1:21">
      <c r="A154" t="s">
        <v>1751</v>
      </c>
      <c r="B154" t="s">
        <v>3104</v>
      </c>
      <c r="C154" t="s">
        <v>1751</v>
      </c>
      <c r="D154">
        <v>20579783</v>
      </c>
      <c r="E154" t="s">
        <v>3142</v>
      </c>
      <c r="F154" t="s">
        <v>3285</v>
      </c>
      <c r="G154" t="s">
        <v>3129</v>
      </c>
      <c r="H154" t="s">
        <v>1252</v>
      </c>
      <c r="I154" t="s">
        <v>1540</v>
      </c>
      <c r="J154" s="455">
        <v>46216</v>
      </c>
      <c r="K154" s="455">
        <v>46216</v>
      </c>
      <c r="L154" s="455">
        <v>46216</v>
      </c>
      <c r="M154" s="455">
        <v>46217</v>
      </c>
      <c r="N154" s="455">
        <v>46217</v>
      </c>
      <c r="P154" s="455">
        <v>46218</v>
      </c>
      <c r="Q154" s="455">
        <v>46218</v>
      </c>
      <c r="U154" s="455">
        <v>46227</v>
      </c>
    </row>
    <row r="155" spans="1:21">
      <c r="A155" t="s">
        <v>1751</v>
      </c>
      <c r="B155" t="s">
        <v>3104</v>
      </c>
      <c r="C155" t="s">
        <v>1751</v>
      </c>
      <c r="D155">
        <v>20580954</v>
      </c>
      <c r="E155" t="s">
        <v>1897</v>
      </c>
      <c r="F155" t="s">
        <v>1241</v>
      </c>
      <c r="G155" t="s">
        <v>2009</v>
      </c>
      <c r="H155" t="s">
        <v>1253</v>
      </c>
      <c r="J155" s="455">
        <v>46217</v>
      </c>
      <c r="K155" s="455">
        <v>46217</v>
      </c>
      <c r="U155" s="455">
        <v>46223</v>
      </c>
    </row>
    <row r="156" spans="1:21">
      <c r="A156" t="s">
        <v>1751</v>
      </c>
      <c r="B156" t="s">
        <v>3321</v>
      </c>
      <c r="C156" t="s">
        <v>1751</v>
      </c>
      <c r="D156">
        <v>20562295</v>
      </c>
      <c r="E156" t="s">
        <v>3133</v>
      </c>
      <c r="F156" t="s">
        <v>1237</v>
      </c>
      <c r="G156" t="s">
        <v>3143</v>
      </c>
      <c r="H156" t="s">
        <v>1252</v>
      </c>
      <c r="I156" t="s">
        <v>3258</v>
      </c>
      <c r="J156" s="455">
        <v>46195</v>
      </c>
      <c r="K156" s="455">
        <v>46195</v>
      </c>
      <c r="R156" s="455">
        <v>46212</v>
      </c>
      <c r="U156" s="455">
        <v>46203</v>
      </c>
    </row>
    <row r="157" spans="1:21">
      <c r="A157" t="s">
        <v>1751</v>
      </c>
      <c r="B157" t="s">
        <v>3324</v>
      </c>
      <c r="C157" t="s">
        <v>1751</v>
      </c>
      <c r="D157">
        <v>20569075</v>
      </c>
      <c r="E157" t="s">
        <v>3190</v>
      </c>
      <c r="F157" t="s">
        <v>1782</v>
      </c>
      <c r="G157" t="s">
        <v>3137</v>
      </c>
      <c r="H157" t="s">
        <v>1252</v>
      </c>
      <c r="I157" t="s">
        <v>2419</v>
      </c>
      <c r="J157" s="455">
        <v>46203</v>
      </c>
      <c r="K157" s="455">
        <v>46204</v>
      </c>
      <c r="R157" s="455">
        <v>46230</v>
      </c>
      <c r="U157" s="455">
        <v>46296</v>
      </c>
    </row>
    <row r="158" spans="1:21">
      <c r="A158" t="s">
        <v>1751</v>
      </c>
      <c r="B158" t="s">
        <v>10994</v>
      </c>
      <c r="C158" t="s">
        <v>1751</v>
      </c>
      <c r="D158">
        <v>20587703</v>
      </c>
      <c r="E158" t="s">
        <v>3128</v>
      </c>
      <c r="F158" t="s">
        <v>1782</v>
      </c>
      <c r="G158" t="s">
        <v>3141</v>
      </c>
      <c r="H158" t="s">
        <v>1252</v>
      </c>
      <c r="J158" s="455">
        <v>46223</v>
      </c>
      <c r="U158" s="455">
        <v>46279</v>
      </c>
    </row>
    <row r="159" spans="1:21">
      <c r="A159" t="s">
        <v>1751</v>
      </c>
      <c r="B159" t="s">
        <v>4395</v>
      </c>
      <c r="C159" t="s">
        <v>1751</v>
      </c>
      <c r="D159">
        <v>20591333</v>
      </c>
      <c r="E159" t="s">
        <v>3128</v>
      </c>
      <c r="F159" t="s">
        <v>1782</v>
      </c>
      <c r="G159" t="s">
        <v>3134</v>
      </c>
      <c r="H159" t="s">
        <v>3165</v>
      </c>
      <c r="J159" s="455">
        <v>46227</v>
      </c>
      <c r="U159" s="455">
        <v>46268</v>
      </c>
    </row>
    <row r="160" spans="1:21">
      <c r="A160" t="s">
        <v>1751</v>
      </c>
      <c r="B160" t="s">
        <v>4396</v>
      </c>
      <c r="C160" t="s">
        <v>1751</v>
      </c>
      <c r="D160">
        <v>20587704</v>
      </c>
      <c r="E160" t="s">
        <v>3128</v>
      </c>
      <c r="F160" t="s">
        <v>1782</v>
      </c>
      <c r="G160" t="s">
        <v>3134</v>
      </c>
      <c r="H160" t="s">
        <v>1252</v>
      </c>
      <c r="J160" s="455">
        <v>46223</v>
      </c>
      <c r="U160" s="455">
        <v>46279</v>
      </c>
    </row>
    <row r="161" spans="1:21">
      <c r="A161" t="s">
        <v>1751</v>
      </c>
      <c r="B161" t="s">
        <v>4397</v>
      </c>
      <c r="C161" t="s">
        <v>1751</v>
      </c>
      <c r="D161">
        <v>20570854</v>
      </c>
      <c r="E161" t="s">
        <v>3128</v>
      </c>
      <c r="F161" t="s">
        <v>1241</v>
      </c>
      <c r="G161" t="s">
        <v>3134</v>
      </c>
      <c r="H161" t="s">
        <v>1252</v>
      </c>
      <c r="J161" s="455">
        <v>46204</v>
      </c>
      <c r="U161" s="455">
        <v>46233</v>
      </c>
    </row>
    <row r="162" spans="1:21">
      <c r="A162" t="s">
        <v>1751</v>
      </c>
      <c r="B162" t="s">
        <v>3330</v>
      </c>
      <c r="C162" t="s">
        <v>1751</v>
      </c>
      <c r="D162">
        <v>20559960</v>
      </c>
      <c r="E162" t="s">
        <v>3133</v>
      </c>
      <c r="F162" t="s">
        <v>1782</v>
      </c>
      <c r="G162" t="s">
        <v>3129</v>
      </c>
      <c r="H162" t="s">
        <v>3131</v>
      </c>
      <c r="I162" t="s">
        <v>2941</v>
      </c>
      <c r="J162" s="455">
        <v>46191</v>
      </c>
      <c r="K162" s="455">
        <v>46204</v>
      </c>
      <c r="R162" s="455">
        <v>46212</v>
      </c>
      <c r="U162" s="455">
        <v>46203</v>
      </c>
    </row>
    <row r="163" spans="1:21">
      <c r="A163" t="s">
        <v>1751</v>
      </c>
      <c r="B163" t="s">
        <v>3335</v>
      </c>
      <c r="C163" t="s">
        <v>1751</v>
      </c>
      <c r="D163">
        <v>20558701</v>
      </c>
      <c r="E163" t="s">
        <v>3133</v>
      </c>
      <c r="F163" t="s">
        <v>1241</v>
      </c>
      <c r="G163" t="s">
        <v>3134</v>
      </c>
      <c r="H163" t="s">
        <v>1247</v>
      </c>
      <c r="I163" t="s">
        <v>1540</v>
      </c>
      <c r="J163" s="455">
        <v>46190</v>
      </c>
      <c r="K163" s="455">
        <v>46190</v>
      </c>
      <c r="R163" s="455">
        <v>46205</v>
      </c>
      <c r="U163" s="455">
        <v>46191</v>
      </c>
    </row>
    <row r="164" spans="1:21">
      <c r="A164" t="s">
        <v>1751</v>
      </c>
      <c r="B164" t="s">
        <v>4398</v>
      </c>
      <c r="C164" t="s">
        <v>1751</v>
      </c>
      <c r="D164">
        <v>20591191</v>
      </c>
      <c r="E164" t="s">
        <v>3128</v>
      </c>
      <c r="F164" t="s">
        <v>1782</v>
      </c>
      <c r="G164" t="s">
        <v>3141</v>
      </c>
      <c r="H164" t="s">
        <v>1252</v>
      </c>
      <c r="J164" s="455">
        <v>46226</v>
      </c>
      <c r="U164" s="455">
        <v>46227</v>
      </c>
    </row>
    <row r="165" spans="1:21">
      <c r="A165" t="s">
        <v>1751</v>
      </c>
      <c r="B165" t="s">
        <v>4399</v>
      </c>
      <c r="C165" t="s">
        <v>1751</v>
      </c>
      <c r="D165">
        <v>20579816</v>
      </c>
      <c r="E165" t="s">
        <v>3128</v>
      </c>
      <c r="F165" t="s">
        <v>1241</v>
      </c>
      <c r="G165" t="s">
        <v>2009</v>
      </c>
      <c r="H165" t="s">
        <v>1251</v>
      </c>
      <c r="J165" s="455">
        <v>46216</v>
      </c>
      <c r="U165" s="455">
        <v>46235</v>
      </c>
    </row>
    <row r="166" spans="1:21">
      <c r="A166" t="s">
        <v>1751</v>
      </c>
      <c r="B166" t="s">
        <v>2993</v>
      </c>
      <c r="C166" t="s">
        <v>1751</v>
      </c>
      <c r="D166">
        <v>20566363</v>
      </c>
      <c r="E166" t="s">
        <v>3142</v>
      </c>
      <c r="F166" t="s">
        <v>1239</v>
      </c>
      <c r="G166" t="s">
        <v>3134</v>
      </c>
      <c r="H166" t="s">
        <v>1252</v>
      </c>
      <c r="I166" t="s">
        <v>1565</v>
      </c>
      <c r="J166" s="455">
        <v>46199</v>
      </c>
      <c r="K166" s="455">
        <v>46199</v>
      </c>
      <c r="L166" s="455">
        <v>46211</v>
      </c>
      <c r="M166" s="455">
        <v>46218</v>
      </c>
      <c r="N166" s="455">
        <v>46218</v>
      </c>
      <c r="O166" s="455">
        <v>46218</v>
      </c>
      <c r="P166" s="455">
        <v>46219</v>
      </c>
      <c r="Q166" s="455">
        <v>46219</v>
      </c>
      <c r="U166" s="455">
        <v>46219</v>
      </c>
    </row>
    <row r="167" spans="1:21">
      <c r="A167" t="s">
        <v>1751</v>
      </c>
      <c r="B167" t="s">
        <v>4400</v>
      </c>
      <c r="C167" t="s">
        <v>1751</v>
      </c>
      <c r="D167">
        <v>20589429</v>
      </c>
      <c r="E167" t="s">
        <v>3128</v>
      </c>
      <c r="F167" t="s">
        <v>1782</v>
      </c>
      <c r="G167" t="s">
        <v>3134</v>
      </c>
      <c r="H167" t="s">
        <v>1252</v>
      </c>
      <c r="J167" s="455">
        <v>46225</v>
      </c>
      <c r="U167" s="455">
        <v>46285</v>
      </c>
    </row>
    <row r="168" spans="1:21">
      <c r="A168" t="s">
        <v>1751</v>
      </c>
      <c r="B168" t="s">
        <v>4401</v>
      </c>
      <c r="C168" t="s">
        <v>1751</v>
      </c>
      <c r="D168">
        <v>20570839</v>
      </c>
      <c r="E168" t="s">
        <v>3128</v>
      </c>
      <c r="F168" t="s">
        <v>1782</v>
      </c>
      <c r="G168" t="s">
        <v>3137</v>
      </c>
      <c r="H168" t="s">
        <v>1252</v>
      </c>
      <c r="J168" s="455">
        <v>46204</v>
      </c>
      <c r="U168" s="455">
        <v>46235</v>
      </c>
    </row>
    <row r="169" spans="1:21">
      <c r="A169" t="s">
        <v>1751</v>
      </c>
      <c r="B169" t="s">
        <v>4402</v>
      </c>
      <c r="C169" t="s">
        <v>1751</v>
      </c>
      <c r="D169">
        <v>20572899</v>
      </c>
      <c r="E169" t="s">
        <v>3128</v>
      </c>
      <c r="F169" t="s">
        <v>1782</v>
      </c>
      <c r="G169" t="s">
        <v>3141</v>
      </c>
      <c r="H169" t="s">
        <v>1251</v>
      </c>
      <c r="J169" s="455">
        <v>46208</v>
      </c>
      <c r="U169" s="455">
        <v>46208</v>
      </c>
    </row>
    <row r="170" spans="1:21">
      <c r="A170" t="s">
        <v>1751</v>
      </c>
      <c r="B170" t="s">
        <v>4403</v>
      </c>
      <c r="C170" t="s">
        <v>1751</v>
      </c>
      <c r="D170">
        <v>20597179</v>
      </c>
      <c r="E170" t="s">
        <v>3128</v>
      </c>
      <c r="F170" t="s">
        <v>1782</v>
      </c>
      <c r="G170" t="s">
        <v>3134</v>
      </c>
      <c r="H170" t="s">
        <v>3165</v>
      </c>
      <c r="J170" s="455">
        <v>46234</v>
      </c>
      <c r="U170" s="455">
        <v>46326</v>
      </c>
    </row>
    <row r="171" spans="1:21">
      <c r="A171" t="s">
        <v>1751</v>
      </c>
      <c r="B171" t="s">
        <v>4404</v>
      </c>
      <c r="C171" t="s">
        <v>1751</v>
      </c>
      <c r="D171">
        <v>20581414</v>
      </c>
      <c r="E171" t="s">
        <v>3128</v>
      </c>
      <c r="F171" t="s">
        <v>1782</v>
      </c>
      <c r="G171" t="s">
        <v>3129</v>
      </c>
      <c r="H171" t="s">
        <v>3131</v>
      </c>
      <c r="J171" s="455">
        <v>46217</v>
      </c>
      <c r="U171" s="455">
        <v>46217</v>
      </c>
    </row>
    <row r="172" spans="1:21">
      <c r="A172" t="s">
        <v>1751</v>
      </c>
      <c r="B172" t="s">
        <v>3350</v>
      </c>
      <c r="C172" t="s">
        <v>1751</v>
      </c>
      <c r="D172">
        <v>20568344</v>
      </c>
      <c r="E172" t="s">
        <v>3142</v>
      </c>
      <c r="F172" t="s">
        <v>1237</v>
      </c>
      <c r="G172" t="s">
        <v>3143</v>
      </c>
      <c r="H172" t="s">
        <v>1251</v>
      </c>
      <c r="I172" t="s">
        <v>2476</v>
      </c>
      <c r="J172" s="455">
        <v>46202</v>
      </c>
      <c r="K172" s="455">
        <v>46204</v>
      </c>
      <c r="L172" s="455">
        <v>46205</v>
      </c>
      <c r="M172" s="455">
        <v>46211</v>
      </c>
      <c r="N172" s="455">
        <v>46211</v>
      </c>
      <c r="P172" s="455">
        <v>46211</v>
      </c>
      <c r="Q172" s="455">
        <v>46211</v>
      </c>
      <c r="U172" s="455">
        <v>46266</v>
      </c>
    </row>
    <row r="173" spans="1:21">
      <c r="A173" t="s">
        <v>1751</v>
      </c>
      <c r="B173" t="s">
        <v>4405</v>
      </c>
      <c r="C173" t="s">
        <v>1751</v>
      </c>
      <c r="D173">
        <v>20587562</v>
      </c>
      <c r="E173" t="s">
        <v>3128</v>
      </c>
      <c r="F173" t="s">
        <v>1782</v>
      </c>
      <c r="G173" t="s">
        <v>3137</v>
      </c>
      <c r="H173" t="s">
        <v>1252</v>
      </c>
      <c r="J173" s="455">
        <v>46223</v>
      </c>
      <c r="U173" s="455">
        <v>46235</v>
      </c>
    </row>
    <row r="174" spans="1:21">
      <c r="A174" t="s">
        <v>1751</v>
      </c>
      <c r="B174" t="s">
        <v>4406</v>
      </c>
      <c r="C174" t="s">
        <v>1751</v>
      </c>
      <c r="D174">
        <v>20577766</v>
      </c>
      <c r="E174" t="s">
        <v>3128</v>
      </c>
      <c r="F174" t="s">
        <v>1241</v>
      </c>
      <c r="G174" t="s">
        <v>3141</v>
      </c>
      <c r="H174" t="s">
        <v>1251</v>
      </c>
      <c r="J174" s="455">
        <v>46213</v>
      </c>
      <c r="U174" s="455">
        <v>46213</v>
      </c>
    </row>
    <row r="175" spans="1:21">
      <c r="A175" t="s">
        <v>1751</v>
      </c>
      <c r="B175" t="s">
        <v>4407</v>
      </c>
      <c r="C175" t="s">
        <v>1751</v>
      </c>
      <c r="D175">
        <v>20577458</v>
      </c>
      <c r="E175" t="s">
        <v>1897</v>
      </c>
      <c r="F175" t="s">
        <v>1241</v>
      </c>
      <c r="G175" t="s">
        <v>3137</v>
      </c>
      <c r="H175" t="s">
        <v>1251</v>
      </c>
      <c r="J175" s="455">
        <v>46212</v>
      </c>
      <c r="K175" s="455">
        <v>46212</v>
      </c>
      <c r="U175" s="455">
        <v>46228</v>
      </c>
    </row>
    <row r="176" spans="1:21">
      <c r="A176" t="s">
        <v>1751</v>
      </c>
      <c r="B176" t="s">
        <v>4408</v>
      </c>
      <c r="C176" t="s">
        <v>1751</v>
      </c>
      <c r="D176">
        <v>20595288</v>
      </c>
      <c r="E176" t="s">
        <v>3128</v>
      </c>
      <c r="F176" t="s">
        <v>1241</v>
      </c>
      <c r="G176" t="s">
        <v>3141</v>
      </c>
      <c r="H176" t="s">
        <v>1252</v>
      </c>
      <c r="J176" s="455">
        <v>46232</v>
      </c>
      <c r="U176" s="455">
        <v>46267</v>
      </c>
    </row>
    <row r="177" spans="1:21">
      <c r="A177" t="s">
        <v>1751</v>
      </c>
      <c r="B177" t="s">
        <v>4409</v>
      </c>
      <c r="C177" t="s">
        <v>1751</v>
      </c>
      <c r="D177">
        <v>20592584</v>
      </c>
      <c r="E177" t="s">
        <v>3128</v>
      </c>
      <c r="F177" t="s">
        <v>1241</v>
      </c>
      <c r="G177" t="s">
        <v>2009</v>
      </c>
      <c r="H177" t="s">
        <v>1247</v>
      </c>
      <c r="J177" s="455">
        <v>46228</v>
      </c>
      <c r="U177" s="455">
        <v>46255</v>
      </c>
    </row>
    <row r="178" spans="1:21">
      <c r="A178" t="s">
        <v>1751</v>
      </c>
      <c r="B178" t="s">
        <v>3359</v>
      </c>
      <c r="C178" t="s">
        <v>1751</v>
      </c>
      <c r="D178">
        <v>20557341</v>
      </c>
      <c r="E178" t="s">
        <v>3133</v>
      </c>
      <c r="F178" t="s">
        <v>1241</v>
      </c>
      <c r="G178" t="s">
        <v>3137</v>
      </c>
      <c r="H178" t="s">
        <v>1252</v>
      </c>
      <c r="I178" t="s">
        <v>2941</v>
      </c>
      <c r="J178" s="455">
        <v>46189</v>
      </c>
      <c r="K178" s="455">
        <v>46189</v>
      </c>
      <c r="R178" s="455">
        <v>46205</v>
      </c>
      <c r="U178" s="455">
        <v>46190</v>
      </c>
    </row>
    <row r="179" spans="1:21">
      <c r="A179" t="s">
        <v>1751</v>
      </c>
      <c r="B179" t="s">
        <v>4410</v>
      </c>
      <c r="C179" t="s">
        <v>1751</v>
      </c>
      <c r="D179">
        <v>20580885</v>
      </c>
      <c r="E179" t="s">
        <v>1897</v>
      </c>
      <c r="F179" t="s">
        <v>1912</v>
      </c>
      <c r="G179" t="s">
        <v>3134</v>
      </c>
      <c r="H179" t="s">
        <v>1247</v>
      </c>
      <c r="I179" t="s">
        <v>2480</v>
      </c>
      <c r="J179" s="455">
        <v>46217</v>
      </c>
      <c r="K179" s="455">
        <v>46217</v>
      </c>
      <c r="U179" s="455">
        <v>46235</v>
      </c>
    </row>
    <row r="180" spans="1:21">
      <c r="A180" t="s">
        <v>1751</v>
      </c>
      <c r="B180" t="s">
        <v>4411</v>
      </c>
      <c r="C180" t="s">
        <v>1751</v>
      </c>
      <c r="D180">
        <v>20592579</v>
      </c>
      <c r="E180" t="s">
        <v>3128</v>
      </c>
      <c r="F180" t="s">
        <v>1241</v>
      </c>
      <c r="G180" t="s">
        <v>3137</v>
      </c>
      <c r="H180" t="s">
        <v>1252</v>
      </c>
      <c r="J180" s="455">
        <v>46228</v>
      </c>
      <c r="U180" s="455">
        <v>46244</v>
      </c>
    </row>
    <row r="181" spans="1:21">
      <c r="A181" t="s">
        <v>1751</v>
      </c>
      <c r="B181" t="s">
        <v>3365</v>
      </c>
      <c r="C181" t="s">
        <v>1751</v>
      </c>
      <c r="D181">
        <v>20560322</v>
      </c>
      <c r="E181" t="s">
        <v>3133</v>
      </c>
      <c r="F181" t="s">
        <v>1782</v>
      </c>
      <c r="G181" t="s">
        <v>3134</v>
      </c>
      <c r="H181" t="s">
        <v>1247</v>
      </c>
      <c r="I181" t="s">
        <v>3307</v>
      </c>
      <c r="J181" s="455">
        <v>46191</v>
      </c>
      <c r="K181" s="455">
        <v>46191</v>
      </c>
      <c r="R181" s="455">
        <v>46205</v>
      </c>
      <c r="U181" s="455">
        <v>46191</v>
      </c>
    </row>
    <row r="182" spans="1:21">
      <c r="A182" t="s">
        <v>1751</v>
      </c>
      <c r="B182" t="s">
        <v>4412</v>
      </c>
      <c r="C182" t="s">
        <v>1751</v>
      </c>
      <c r="D182">
        <v>20597283</v>
      </c>
      <c r="E182" t="s">
        <v>1897</v>
      </c>
      <c r="F182" t="s">
        <v>1241</v>
      </c>
      <c r="G182" t="s">
        <v>3134</v>
      </c>
      <c r="H182" t="s">
        <v>1247</v>
      </c>
      <c r="J182" s="455">
        <v>46234</v>
      </c>
      <c r="K182" s="455">
        <v>46234</v>
      </c>
      <c r="U182" s="455">
        <v>46284</v>
      </c>
    </row>
    <row r="183" spans="1:21">
      <c r="A183" t="s">
        <v>1751</v>
      </c>
      <c r="B183" t="s">
        <v>4413</v>
      </c>
      <c r="C183" t="s">
        <v>1751</v>
      </c>
      <c r="D183">
        <v>20576675</v>
      </c>
      <c r="E183" t="s">
        <v>3128</v>
      </c>
      <c r="F183" t="s">
        <v>1241</v>
      </c>
      <c r="G183" t="s">
        <v>3137</v>
      </c>
      <c r="H183" t="s">
        <v>3165</v>
      </c>
      <c r="J183" s="455">
        <v>46212</v>
      </c>
      <c r="U183" s="455">
        <v>46212</v>
      </c>
    </row>
    <row r="184" spans="1:21">
      <c r="A184" t="s">
        <v>1751</v>
      </c>
      <c r="B184" t="s">
        <v>4414</v>
      </c>
      <c r="C184" t="s">
        <v>1751</v>
      </c>
      <c r="D184">
        <v>20582216</v>
      </c>
      <c r="E184" t="s">
        <v>3128</v>
      </c>
      <c r="F184" t="s">
        <v>1239</v>
      </c>
      <c r="G184" t="s">
        <v>3137</v>
      </c>
      <c r="H184" t="s">
        <v>1247</v>
      </c>
      <c r="I184" t="s">
        <v>3972</v>
      </c>
      <c r="J184" s="455">
        <v>46217</v>
      </c>
      <c r="U184" s="455">
        <v>46217</v>
      </c>
    </row>
    <row r="185" spans="1:21">
      <c r="A185" t="s">
        <v>1751</v>
      </c>
      <c r="B185" t="s">
        <v>4415</v>
      </c>
      <c r="C185" t="s">
        <v>1751</v>
      </c>
      <c r="D185">
        <v>20538806</v>
      </c>
      <c r="E185" t="s">
        <v>1897</v>
      </c>
      <c r="F185" t="s">
        <v>1241</v>
      </c>
      <c r="G185" t="s">
        <v>3129</v>
      </c>
      <c r="H185" t="s">
        <v>1252</v>
      </c>
      <c r="I185" t="s">
        <v>4416</v>
      </c>
      <c r="J185" s="455">
        <v>46171</v>
      </c>
      <c r="K185" s="455">
        <v>46220</v>
      </c>
      <c r="U185" s="455">
        <v>46273</v>
      </c>
    </row>
    <row r="186" spans="1:21">
      <c r="A186" t="s">
        <v>1751</v>
      </c>
      <c r="B186" t="s">
        <v>4415</v>
      </c>
      <c r="C186" t="s">
        <v>1751</v>
      </c>
      <c r="D186">
        <v>20585033</v>
      </c>
      <c r="E186" t="s">
        <v>3190</v>
      </c>
      <c r="F186" t="s">
        <v>1241</v>
      </c>
      <c r="G186" t="s">
        <v>3134</v>
      </c>
      <c r="H186" t="s">
        <v>1247</v>
      </c>
      <c r="I186" t="s">
        <v>4012</v>
      </c>
      <c r="J186" s="455">
        <v>46219</v>
      </c>
      <c r="K186" s="455">
        <v>46219</v>
      </c>
      <c r="R186" s="455">
        <v>46220</v>
      </c>
      <c r="U186" s="455">
        <v>46219</v>
      </c>
    </row>
    <row r="187" spans="1:21">
      <c r="A187" t="s">
        <v>1751</v>
      </c>
      <c r="B187" t="s">
        <v>4417</v>
      </c>
      <c r="C187" t="s">
        <v>1751</v>
      </c>
      <c r="D187">
        <v>20576531</v>
      </c>
      <c r="E187" t="s">
        <v>3128</v>
      </c>
      <c r="F187" t="s">
        <v>1238</v>
      </c>
      <c r="G187" t="s">
        <v>3137</v>
      </c>
      <c r="H187" t="s">
        <v>1251</v>
      </c>
      <c r="I187" t="s">
        <v>3170</v>
      </c>
      <c r="J187" s="455">
        <v>46211</v>
      </c>
      <c r="U187" s="455">
        <v>46211</v>
      </c>
    </row>
    <row r="188" spans="1:21">
      <c r="A188" t="s">
        <v>1751</v>
      </c>
      <c r="B188" t="s">
        <v>3370</v>
      </c>
      <c r="C188" t="s">
        <v>1751</v>
      </c>
      <c r="D188">
        <v>20571173</v>
      </c>
      <c r="E188" t="s">
        <v>3133</v>
      </c>
      <c r="F188" t="s">
        <v>1241</v>
      </c>
      <c r="G188" t="s">
        <v>3137</v>
      </c>
      <c r="H188" t="s">
        <v>1252</v>
      </c>
      <c r="J188" s="455">
        <v>46205</v>
      </c>
      <c r="K188" s="455">
        <v>46209</v>
      </c>
      <c r="R188" s="455">
        <v>46212</v>
      </c>
      <c r="U188" s="455">
        <v>46205</v>
      </c>
    </row>
    <row r="189" spans="1:21">
      <c r="A189" t="s">
        <v>1751</v>
      </c>
      <c r="B189" t="s">
        <v>3370</v>
      </c>
      <c r="C189" t="s">
        <v>1751</v>
      </c>
      <c r="D189">
        <v>20579730</v>
      </c>
      <c r="E189" t="s">
        <v>3133</v>
      </c>
      <c r="F189" t="s">
        <v>1241</v>
      </c>
      <c r="G189" t="s">
        <v>3141</v>
      </c>
      <c r="H189" t="s">
        <v>1252</v>
      </c>
      <c r="J189" s="455">
        <v>46216</v>
      </c>
      <c r="K189" s="455">
        <v>46217</v>
      </c>
      <c r="R189" s="455">
        <v>46220</v>
      </c>
      <c r="U189" s="455">
        <v>46216</v>
      </c>
    </row>
    <row r="190" spans="1:21">
      <c r="A190" t="s">
        <v>1751</v>
      </c>
      <c r="B190" t="s">
        <v>3370</v>
      </c>
      <c r="C190" t="s">
        <v>1751</v>
      </c>
      <c r="D190">
        <v>20563093</v>
      </c>
      <c r="E190" t="s">
        <v>3133</v>
      </c>
      <c r="F190" t="s">
        <v>1243</v>
      </c>
      <c r="G190" t="s">
        <v>3134</v>
      </c>
      <c r="H190" t="s">
        <v>1252</v>
      </c>
      <c r="I190" t="s">
        <v>2682</v>
      </c>
      <c r="J190" s="455">
        <v>46196</v>
      </c>
      <c r="K190" s="455">
        <v>46196</v>
      </c>
      <c r="L190" s="455">
        <v>46199</v>
      </c>
      <c r="M190" s="455">
        <v>46210</v>
      </c>
      <c r="N190" s="455">
        <v>46210</v>
      </c>
      <c r="P190" s="455">
        <v>46210</v>
      </c>
      <c r="Q190" s="455">
        <v>46210</v>
      </c>
      <c r="R190" s="455">
        <v>46218</v>
      </c>
      <c r="U190" s="455">
        <v>46223</v>
      </c>
    </row>
    <row r="191" spans="1:21">
      <c r="A191" t="s">
        <v>1751</v>
      </c>
      <c r="B191" t="s">
        <v>4418</v>
      </c>
      <c r="C191" t="s">
        <v>1751</v>
      </c>
      <c r="D191">
        <v>20597657</v>
      </c>
      <c r="E191" t="s">
        <v>3128</v>
      </c>
      <c r="F191" t="s">
        <v>1241</v>
      </c>
      <c r="G191" t="s">
        <v>3134</v>
      </c>
      <c r="H191" t="s">
        <v>3165</v>
      </c>
      <c r="J191" s="455">
        <v>46234</v>
      </c>
      <c r="U191" s="455">
        <v>46296</v>
      </c>
    </row>
    <row r="192" spans="1:21">
      <c r="A192" t="s">
        <v>1751</v>
      </c>
      <c r="B192" t="s">
        <v>4419</v>
      </c>
      <c r="C192" t="s">
        <v>1751</v>
      </c>
      <c r="D192">
        <v>20572665</v>
      </c>
      <c r="E192" t="s">
        <v>1897</v>
      </c>
      <c r="F192" t="s">
        <v>1242</v>
      </c>
      <c r="G192" t="s">
        <v>3137</v>
      </c>
      <c r="H192" t="s">
        <v>3165</v>
      </c>
      <c r="I192" t="s">
        <v>2437</v>
      </c>
      <c r="J192" s="455">
        <v>46207</v>
      </c>
      <c r="K192" s="455">
        <v>46210</v>
      </c>
      <c r="U192" s="455">
        <v>46242</v>
      </c>
    </row>
    <row r="193" spans="1:21">
      <c r="A193" t="s">
        <v>1751</v>
      </c>
      <c r="B193" t="s">
        <v>4420</v>
      </c>
      <c r="C193" t="s">
        <v>1751</v>
      </c>
      <c r="D193">
        <v>20593012</v>
      </c>
      <c r="E193" t="s">
        <v>3128</v>
      </c>
      <c r="F193" t="s">
        <v>1241</v>
      </c>
      <c r="G193" t="s">
        <v>3129</v>
      </c>
      <c r="H193" t="s">
        <v>1252</v>
      </c>
      <c r="J193" s="455">
        <v>46229</v>
      </c>
      <c r="U193" s="455">
        <v>46229</v>
      </c>
    </row>
    <row r="194" spans="1:21">
      <c r="A194" t="s">
        <v>1751</v>
      </c>
      <c r="B194" t="s">
        <v>4421</v>
      </c>
      <c r="C194" t="s">
        <v>1751</v>
      </c>
      <c r="D194">
        <v>20596177</v>
      </c>
      <c r="E194" t="s">
        <v>3128</v>
      </c>
      <c r="F194" t="s">
        <v>1241</v>
      </c>
      <c r="G194" t="s">
        <v>3141</v>
      </c>
      <c r="H194" t="s">
        <v>1252</v>
      </c>
      <c r="J194" s="455">
        <v>46232</v>
      </c>
      <c r="U194" s="455">
        <v>46293</v>
      </c>
    </row>
    <row r="195" spans="1:21">
      <c r="A195" t="s">
        <v>1751</v>
      </c>
      <c r="B195" t="s">
        <v>4422</v>
      </c>
      <c r="C195" t="s">
        <v>1751</v>
      </c>
      <c r="D195">
        <v>20593318</v>
      </c>
      <c r="E195" t="s">
        <v>3128</v>
      </c>
      <c r="F195" t="s">
        <v>3285</v>
      </c>
      <c r="G195" t="s">
        <v>3134</v>
      </c>
      <c r="H195" t="s">
        <v>1252</v>
      </c>
      <c r="J195" s="455">
        <v>46230</v>
      </c>
      <c r="U195" s="455">
        <v>46274</v>
      </c>
    </row>
    <row r="196" spans="1:21">
      <c r="A196" t="s">
        <v>1751</v>
      </c>
      <c r="B196" t="s">
        <v>4423</v>
      </c>
      <c r="C196" t="s">
        <v>1751</v>
      </c>
      <c r="D196">
        <v>20589959</v>
      </c>
      <c r="E196" t="s">
        <v>1897</v>
      </c>
      <c r="F196" t="s">
        <v>3285</v>
      </c>
      <c r="G196" t="s">
        <v>2009</v>
      </c>
      <c r="H196" t="s">
        <v>1248</v>
      </c>
      <c r="I196" t="s">
        <v>4424</v>
      </c>
      <c r="J196" s="455">
        <v>46225</v>
      </c>
      <c r="K196" s="455">
        <v>46225</v>
      </c>
      <c r="U196" s="455">
        <v>46256</v>
      </c>
    </row>
    <row r="197" spans="1:21">
      <c r="A197" t="s">
        <v>1751</v>
      </c>
      <c r="B197" t="s">
        <v>4425</v>
      </c>
      <c r="C197" t="s">
        <v>1751</v>
      </c>
      <c r="D197">
        <v>20582425</v>
      </c>
      <c r="E197" t="s">
        <v>3128</v>
      </c>
      <c r="F197" t="s">
        <v>1241</v>
      </c>
      <c r="G197" t="s">
        <v>3134</v>
      </c>
      <c r="H197" t="s">
        <v>1252</v>
      </c>
      <c r="J197" s="455">
        <v>46218</v>
      </c>
      <c r="U197" s="455">
        <v>46272</v>
      </c>
    </row>
    <row r="198" spans="1:21">
      <c r="A198" t="s">
        <v>1751</v>
      </c>
      <c r="B198" t="s">
        <v>4426</v>
      </c>
      <c r="C198" t="s">
        <v>1751</v>
      </c>
      <c r="D198">
        <v>20579085</v>
      </c>
      <c r="E198" t="s">
        <v>3128</v>
      </c>
      <c r="F198" t="s">
        <v>1238</v>
      </c>
      <c r="G198" t="s">
        <v>2009</v>
      </c>
      <c r="H198" t="s">
        <v>1251</v>
      </c>
      <c r="I198" t="s">
        <v>3170</v>
      </c>
      <c r="J198" s="455">
        <v>46214</v>
      </c>
      <c r="U198" s="455">
        <v>46214</v>
      </c>
    </row>
    <row r="199" spans="1:21">
      <c r="A199" t="s">
        <v>1751</v>
      </c>
      <c r="B199" t="s">
        <v>4427</v>
      </c>
      <c r="C199" t="s">
        <v>1751</v>
      </c>
      <c r="D199">
        <v>20592361</v>
      </c>
      <c r="E199" t="s">
        <v>3128</v>
      </c>
      <c r="F199" t="s">
        <v>1241</v>
      </c>
      <c r="G199" t="s">
        <v>2009</v>
      </c>
      <c r="H199" t="s">
        <v>3685</v>
      </c>
      <c r="J199" s="455">
        <v>46228</v>
      </c>
      <c r="U199" s="455">
        <v>46228</v>
      </c>
    </row>
    <row r="200" spans="1:21">
      <c r="A200" t="s">
        <v>1751</v>
      </c>
      <c r="B200" t="s">
        <v>4428</v>
      </c>
      <c r="C200" t="s">
        <v>1751</v>
      </c>
      <c r="D200">
        <v>20593847</v>
      </c>
      <c r="E200" t="s">
        <v>3128</v>
      </c>
      <c r="F200" t="s">
        <v>1782</v>
      </c>
      <c r="G200" t="s">
        <v>3141</v>
      </c>
      <c r="H200" t="s">
        <v>1252</v>
      </c>
      <c r="J200" s="455">
        <v>46230</v>
      </c>
      <c r="U200" s="455">
        <v>46234</v>
      </c>
    </row>
    <row r="201" spans="1:21">
      <c r="A201" t="s">
        <v>1751</v>
      </c>
      <c r="B201" t="s">
        <v>4428</v>
      </c>
      <c r="C201" t="s">
        <v>1751</v>
      </c>
      <c r="D201">
        <v>20593846</v>
      </c>
      <c r="E201" t="s">
        <v>3128</v>
      </c>
      <c r="F201" t="s">
        <v>1782</v>
      </c>
      <c r="G201" t="s">
        <v>3134</v>
      </c>
      <c r="H201" t="s">
        <v>1252</v>
      </c>
      <c r="J201" s="455">
        <v>46230</v>
      </c>
      <c r="U201" s="455">
        <v>46234</v>
      </c>
    </row>
    <row r="202" spans="1:21">
      <c r="A202" t="s">
        <v>1751</v>
      </c>
      <c r="B202" t="s">
        <v>4429</v>
      </c>
      <c r="C202" t="s">
        <v>1751</v>
      </c>
      <c r="D202">
        <v>20588282</v>
      </c>
      <c r="E202" t="s">
        <v>3128</v>
      </c>
      <c r="F202" t="s">
        <v>1782</v>
      </c>
      <c r="G202" t="s">
        <v>3137</v>
      </c>
      <c r="H202" t="s">
        <v>3165</v>
      </c>
      <c r="I202" t="s">
        <v>3363</v>
      </c>
      <c r="J202" s="455">
        <v>46223</v>
      </c>
      <c r="U202" s="455">
        <v>46223</v>
      </c>
    </row>
    <row r="203" spans="1:21">
      <c r="A203" t="s">
        <v>1751</v>
      </c>
      <c r="B203" t="s">
        <v>4430</v>
      </c>
      <c r="C203" t="s">
        <v>1751</v>
      </c>
      <c r="D203">
        <v>20581781</v>
      </c>
      <c r="E203" t="s">
        <v>3190</v>
      </c>
      <c r="F203" t="s">
        <v>1241</v>
      </c>
      <c r="G203" t="s">
        <v>3134</v>
      </c>
      <c r="H203" t="s">
        <v>1247</v>
      </c>
      <c r="I203" t="s">
        <v>3258</v>
      </c>
      <c r="J203" s="455">
        <v>46217</v>
      </c>
      <c r="K203" s="455">
        <v>46217</v>
      </c>
      <c r="R203" s="455">
        <v>46230</v>
      </c>
      <c r="U203" s="455">
        <v>46234</v>
      </c>
    </row>
    <row r="204" spans="1:21">
      <c r="A204" t="s">
        <v>1751</v>
      </c>
      <c r="B204" t="s">
        <v>4431</v>
      </c>
      <c r="C204" t="s">
        <v>1751</v>
      </c>
      <c r="D204">
        <v>20584847</v>
      </c>
      <c r="E204" t="s">
        <v>3128</v>
      </c>
      <c r="F204" t="s">
        <v>1242</v>
      </c>
      <c r="G204" t="s">
        <v>3141</v>
      </c>
      <c r="H204" t="s">
        <v>1248</v>
      </c>
      <c r="J204" s="455">
        <v>46219</v>
      </c>
      <c r="U204" s="455">
        <v>46234</v>
      </c>
    </row>
    <row r="205" spans="1:21">
      <c r="A205" t="s">
        <v>1751</v>
      </c>
      <c r="B205" t="s">
        <v>3386</v>
      </c>
      <c r="C205" t="s">
        <v>1751</v>
      </c>
      <c r="D205">
        <v>20554399</v>
      </c>
      <c r="E205" t="s">
        <v>3133</v>
      </c>
      <c r="F205" t="s">
        <v>1242</v>
      </c>
      <c r="G205" t="s">
        <v>3143</v>
      </c>
      <c r="H205" t="s">
        <v>1248</v>
      </c>
      <c r="I205" t="s">
        <v>2520</v>
      </c>
      <c r="J205" s="455">
        <v>46186</v>
      </c>
      <c r="K205" s="455">
        <v>46190</v>
      </c>
      <c r="R205" s="455">
        <v>46205</v>
      </c>
      <c r="U205" s="455">
        <v>46242</v>
      </c>
    </row>
    <row r="206" spans="1:21">
      <c r="A206" t="s">
        <v>1751</v>
      </c>
      <c r="B206" t="s">
        <v>4432</v>
      </c>
      <c r="C206" t="s">
        <v>1751</v>
      </c>
      <c r="D206">
        <v>20593117</v>
      </c>
      <c r="E206" t="s">
        <v>3128</v>
      </c>
      <c r="F206" t="s">
        <v>3285</v>
      </c>
      <c r="G206" t="s">
        <v>3134</v>
      </c>
      <c r="H206" t="s">
        <v>3165</v>
      </c>
      <c r="J206" s="455">
        <v>46229</v>
      </c>
      <c r="U206" s="455">
        <v>46248</v>
      </c>
    </row>
    <row r="207" spans="1:21">
      <c r="A207" t="s">
        <v>1751</v>
      </c>
      <c r="B207" t="s">
        <v>3396</v>
      </c>
      <c r="C207" t="s">
        <v>1751</v>
      </c>
      <c r="D207">
        <v>20586265</v>
      </c>
      <c r="E207" t="s">
        <v>3128</v>
      </c>
      <c r="F207" t="s">
        <v>1243</v>
      </c>
      <c r="G207" t="s">
        <v>3137</v>
      </c>
      <c r="H207" t="s">
        <v>1247</v>
      </c>
      <c r="J207" s="455">
        <v>46221</v>
      </c>
      <c r="U207" s="455">
        <v>46221</v>
      </c>
    </row>
    <row r="208" spans="1:21">
      <c r="A208" t="s">
        <v>1751</v>
      </c>
      <c r="B208" t="s">
        <v>3396</v>
      </c>
      <c r="C208" t="s">
        <v>1751</v>
      </c>
      <c r="D208">
        <v>20567605</v>
      </c>
      <c r="E208" t="s">
        <v>3133</v>
      </c>
      <c r="F208" t="s">
        <v>1243</v>
      </c>
      <c r="G208" t="s">
        <v>3134</v>
      </c>
      <c r="H208" t="s">
        <v>1247</v>
      </c>
      <c r="I208" t="s">
        <v>3397</v>
      </c>
      <c r="J208" s="455">
        <v>46201</v>
      </c>
      <c r="K208" s="455">
        <v>46201</v>
      </c>
      <c r="R208" s="455">
        <v>46212</v>
      </c>
      <c r="U208" s="455">
        <v>46248</v>
      </c>
    </row>
    <row r="209" spans="1:21">
      <c r="A209" t="s">
        <v>1751</v>
      </c>
      <c r="B209" t="s">
        <v>4433</v>
      </c>
      <c r="C209" t="s">
        <v>1751</v>
      </c>
      <c r="D209">
        <v>20585256</v>
      </c>
      <c r="E209" t="s">
        <v>3128</v>
      </c>
      <c r="F209" t="s">
        <v>1241</v>
      </c>
      <c r="G209" t="s">
        <v>3141</v>
      </c>
      <c r="H209" t="s">
        <v>1252</v>
      </c>
      <c r="J209" s="455">
        <v>46219</v>
      </c>
      <c r="U209" s="455">
        <v>46234</v>
      </c>
    </row>
    <row r="210" spans="1:21">
      <c r="A210" t="s">
        <v>1751</v>
      </c>
      <c r="B210" t="s">
        <v>4434</v>
      </c>
      <c r="C210" t="s">
        <v>1751</v>
      </c>
      <c r="D210">
        <v>20590738</v>
      </c>
      <c r="E210" t="s">
        <v>3128</v>
      </c>
      <c r="F210" t="s">
        <v>1239</v>
      </c>
      <c r="G210" t="s">
        <v>3134</v>
      </c>
      <c r="H210" t="s">
        <v>1252</v>
      </c>
      <c r="I210" t="s">
        <v>3703</v>
      </c>
      <c r="J210" s="455">
        <v>46226</v>
      </c>
      <c r="U210" s="455">
        <v>46234</v>
      </c>
    </row>
    <row r="211" spans="1:21">
      <c r="A211" t="s">
        <v>1751</v>
      </c>
      <c r="B211" t="s">
        <v>4435</v>
      </c>
      <c r="C211" t="s">
        <v>1751</v>
      </c>
      <c r="D211">
        <v>20575244</v>
      </c>
      <c r="E211" t="s">
        <v>3133</v>
      </c>
      <c r="F211" t="s">
        <v>1243</v>
      </c>
      <c r="G211" t="s">
        <v>3137</v>
      </c>
      <c r="H211" t="s">
        <v>1249</v>
      </c>
      <c r="I211" t="s">
        <v>4368</v>
      </c>
      <c r="J211" s="455">
        <v>46210</v>
      </c>
      <c r="K211" s="455">
        <v>46210</v>
      </c>
      <c r="L211" s="455">
        <v>46210</v>
      </c>
      <c r="S211" s="455">
        <v>46213</v>
      </c>
      <c r="U211" s="455">
        <v>46228</v>
      </c>
    </row>
    <row r="212" spans="1:21">
      <c r="A212" t="s">
        <v>1751</v>
      </c>
      <c r="B212" t="s">
        <v>4436</v>
      </c>
      <c r="C212" t="s">
        <v>1751</v>
      </c>
      <c r="D212">
        <v>20595454</v>
      </c>
      <c r="E212" t="s">
        <v>3128</v>
      </c>
      <c r="F212" t="s">
        <v>1242</v>
      </c>
      <c r="G212" t="s">
        <v>2009</v>
      </c>
      <c r="H212" t="s">
        <v>1247</v>
      </c>
      <c r="J212" s="455">
        <v>46232</v>
      </c>
      <c r="U212" s="455">
        <v>46249</v>
      </c>
    </row>
    <row r="213" spans="1:21">
      <c r="A213" t="s">
        <v>1751</v>
      </c>
      <c r="B213" t="s">
        <v>4437</v>
      </c>
      <c r="C213" t="s">
        <v>1751</v>
      </c>
      <c r="D213">
        <v>20575210</v>
      </c>
      <c r="E213" t="s">
        <v>3133</v>
      </c>
      <c r="F213" t="s">
        <v>1243</v>
      </c>
      <c r="G213" t="s">
        <v>2009</v>
      </c>
      <c r="H213" t="s">
        <v>1248</v>
      </c>
      <c r="I213" t="s">
        <v>1565</v>
      </c>
      <c r="J213" s="455">
        <v>46210</v>
      </c>
      <c r="K213" s="455">
        <v>46210</v>
      </c>
      <c r="L213" s="455">
        <v>46213</v>
      </c>
      <c r="S213" s="455">
        <v>46216</v>
      </c>
      <c r="U213" s="455">
        <v>46216</v>
      </c>
    </row>
    <row r="214" spans="1:21">
      <c r="A214" t="s">
        <v>1751</v>
      </c>
      <c r="B214" t="s">
        <v>4438</v>
      </c>
      <c r="C214" t="s">
        <v>1751</v>
      </c>
      <c r="D214">
        <v>20595477</v>
      </c>
      <c r="E214" t="s">
        <v>3128</v>
      </c>
      <c r="F214" t="s">
        <v>1782</v>
      </c>
      <c r="G214" t="s">
        <v>3129</v>
      </c>
      <c r="H214" t="s">
        <v>1253</v>
      </c>
      <c r="J214" s="455">
        <v>46232</v>
      </c>
      <c r="U214" s="455">
        <v>46232</v>
      </c>
    </row>
    <row r="215" spans="1:21">
      <c r="A215" t="s">
        <v>1751</v>
      </c>
      <c r="B215" t="s">
        <v>4439</v>
      </c>
      <c r="C215" t="s">
        <v>1751</v>
      </c>
      <c r="D215">
        <v>20596178</v>
      </c>
      <c r="E215" t="s">
        <v>3128</v>
      </c>
      <c r="F215" t="s">
        <v>1241</v>
      </c>
      <c r="G215" t="s">
        <v>3143</v>
      </c>
      <c r="H215" t="s">
        <v>1247</v>
      </c>
      <c r="I215" t="s">
        <v>3168</v>
      </c>
      <c r="J215" s="455">
        <v>46232</v>
      </c>
      <c r="U215" s="455">
        <v>46232</v>
      </c>
    </row>
    <row r="216" spans="1:21">
      <c r="A216" t="s">
        <v>1751</v>
      </c>
      <c r="B216" t="s">
        <v>4440</v>
      </c>
      <c r="C216" t="s">
        <v>1751</v>
      </c>
      <c r="D216">
        <v>20597285</v>
      </c>
      <c r="E216" t="s">
        <v>3128</v>
      </c>
      <c r="F216" t="s">
        <v>1238</v>
      </c>
      <c r="G216" t="s">
        <v>2009</v>
      </c>
      <c r="H216" t="s">
        <v>3515</v>
      </c>
      <c r="J216" s="455">
        <v>46234</v>
      </c>
      <c r="U216" s="455">
        <v>46266</v>
      </c>
    </row>
    <row r="217" spans="1:21">
      <c r="A217" t="s">
        <v>1751</v>
      </c>
      <c r="B217" t="s">
        <v>4441</v>
      </c>
      <c r="C217" t="s">
        <v>1751</v>
      </c>
      <c r="D217">
        <v>20596937</v>
      </c>
      <c r="E217" t="s">
        <v>3128</v>
      </c>
      <c r="F217" t="s">
        <v>1241</v>
      </c>
      <c r="G217" t="s">
        <v>3141</v>
      </c>
      <c r="H217" t="s">
        <v>1252</v>
      </c>
      <c r="J217" s="455">
        <v>46233</v>
      </c>
      <c r="U217" s="455">
        <v>46264</v>
      </c>
    </row>
    <row r="218" spans="1:21">
      <c r="A218" t="s">
        <v>1751</v>
      </c>
      <c r="B218" t="s">
        <v>4442</v>
      </c>
      <c r="C218" t="s">
        <v>1751</v>
      </c>
      <c r="D218">
        <v>20577770</v>
      </c>
      <c r="E218" t="s">
        <v>3128</v>
      </c>
      <c r="F218" t="s">
        <v>1241</v>
      </c>
      <c r="G218" t="s">
        <v>3141</v>
      </c>
      <c r="H218" t="s">
        <v>1248</v>
      </c>
      <c r="J218" s="455">
        <v>46213</v>
      </c>
      <c r="U218" s="455">
        <v>46213</v>
      </c>
    </row>
    <row r="219" spans="1:21">
      <c r="A219" t="s">
        <v>1751</v>
      </c>
      <c r="B219" t="s">
        <v>4443</v>
      </c>
      <c r="C219" t="s">
        <v>1751</v>
      </c>
      <c r="D219">
        <v>20588471</v>
      </c>
      <c r="E219" t="s">
        <v>3128</v>
      </c>
      <c r="F219" t="s">
        <v>1241</v>
      </c>
      <c r="G219" t="s">
        <v>3141</v>
      </c>
      <c r="H219" t="s">
        <v>1252</v>
      </c>
      <c r="J219" s="455">
        <v>46224</v>
      </c>
      <c r="U219" s="455">
        <v>46234</v>
      </c>
    </row>
    <row r="220" spans="1:21">
      <c r="A220" t="s">
        <v>1751</v>
      </c>
      <c r="B220" t="s">
        <v>3419</v>
      </c>
      <c r="C220" t="s">
        <v>1751</v>
      </c>
      <c r="D220">
        <v>20582931</v>
      </c>
      <c r="E220" t="s">
        <v>1897</v>
      </c>
      <c r="F220" t="s">
        <v>1238</v>
      </c>
      <c r="G220" t="s">
        <v>3134</v>
      </c>
      <c r="H220" t="s">
        <v>1247</v>
      </c>
      <c r="J220" s="455">
        <v>46218</v>
      </c>
      <c r="K220" s="455">
        <v>46218</v>
      </c>
      <c r="U220" s="455">
        <v>46218</v>
      </c>
    </row>
    <row r="221" spans="1:21">
      <c r="A221" t="s">
        <v>1751</v>
      </c>
      <c r="B221" t="s">
        <v>4444</v>
      </c>
      <c r="C221" t="s">
        <v>1751</v>
      </c>
      <c r="D221">
        <v>20594096</v>
      </c>
      <c r="E221" t="s">
        <v>3128</v>
      </c>
      <c r="F221" t="s">
        <v>1782</v>
      </c>
      <c r="G221" t="s">
        <v>3134</v>
      </c>
      <c r="H221" t="s">
        <v>3165</v>
      </c>
      <c r="J221" s="455">
        <v>46230</v>
      </c>
      <c r="U221" s="455">
        <v>46266</v>
      </c>
    </row>
    <row r="222" spans="1:21">
      <c r="A222" t="s">
        <v>1751</v>
      </c>
      <c r="B222" t="s">
        <v>4445</v>
      </c>
      <c r="C222" t="s">
        <v>1751</v>
      </c>
      <c r="D222">
        <v>20586123</v>
      </c>
      <c r="E222" t="s">
        <v>3128</v>
      </c>
      <c r="F222" t="s">
        <v>1782</v>
      </c>
      <c r="G222" t="s">
        <v>3134</v>
      </c>
      <c r="H222" t="s">
        <v>3165</v>
      </c>
      <c r="J222" s="455">
        <v>46221</v>
      </c>
      <c r="U222" s="455">
        <v>46222</v>
      </c>
    </row>
    <row r="223" spans="1:21">
      <c r="A223" t="s">
        <v>1751</v>
      </c>
      <c r="B223" t="s">
        <v>4446</v>
      </c>
      <c r="C223" t="s">
        <v>1751</v>
      </c>
      <c r="D223">
        <v>20590352</v>
      </c>
      <c r="E223" t="s">
        <v>1897</v>
      </c>
      <c r="F223" t="s">
        <v>1241</v>
      </c>
      <c r="G223" t="s">
        <v>3134</v>
      </c>
      <c r="H223" t="s">
        <v>1247</v>
      </c>
      <c r="I223" t="s">
        <v>1910</v>
      </c>
      <c r="J223" s="455">
        <v>46225</v>
      </c>
      <c r="K223" s="455">
        <v>46225</v>
      </c>
      <c r="U223" s="455">
        <v>46239</v>
      </c>
    </row>
    <row r="224" spans="1:21">
      <c r="A224" t="s">
        <v>1751</v>
      </c>
      <c r="B224" t="s">
        <v>4447</v>
      </c>
      <c r="C224" t="s">
        <v>1751</v>
      </c>
      <c r="D224">
        <v>20587863</v>
      </c>
      <c r="E224" t="s">
        <v>3128</v>
      </c>
      <c r="F224" t="s">
        <v>1782</v>
      </c>
      <c r="G224" t="s">
        <v>3134</v>
      </c>
      <c r="H224" t="s">
        <v>3165</v>
      </c>
      <c r="J224" s="455">
        <v>46223</v>
      </c>
      <c r="U224" s="455">
        <v>46356</v>
      </c>
    </row>
    <row r="225" spans="1:21">
      <c r="A225" t="s">
        <v>1751</v>
      </c>
      <c r="B225" t="s">
        <v>4448</v>
      </c>
      <c r="C225" t="s">
        <v>1751</v>
      </c>
      <c r="D225">
        <v>20593650</v>
      </c>
      <c r="E225" t="s">
        <v>3128</v>
      </c>
      <c r="F225" t="s">
        <v>1238</v>
      </c>
      <c r="G225" t="s">
        <v>3143</v>
      </c>
      <c r="H225" t="s">
        <v>1251</v>
      </c>
      <c r="I225" t="s">
        <v>3363</v>
      </c>
      <c r="J225" s="455">
        <v>46230</v>
      </c>
      <c r="U225" s="455">
        <v>46234</v>
      </c>
    </row>
    <row r="226" spans="1:21">
      <c r="A226" t="s">
        <v>1751</v>
      </c>
      <c r="B226" t="s">
        <v>2954</v>
      </c>
      <c r="C226" t="s">
        <v>1751</v>
      </c>
      <c r="D226">
        <v>20586365</v>
      </c>
      <c r="E226" t="s">
        <v>3142</v>
      </c>
      <c r="F226" t="s">
        <v>1241</v>
      </c>
      <c r="G226" t="s">
        <v>3134</v>
      </c>
      <c r="H226" t="s">
        <v>1247</v>
      </c>
      <c r="I226" t="s">
        <v>2952</v>
      </c>
      <c r="J226" s="455">
        <v>46221</v>
      </c>
      <c r="K226" s="455">
        <v>46221</v>
      </c>
      <c r="L226" s="455">
        <v>46221</v>
      </c>
      <c r="M226" s="455">
        <v>46231</v>
      </c>
      <c r="N226" s="455">
        <v>46231</v>
      </c>
      <c r="P226" s="455">
        <v>46231</v>
      </c>
      <c r="Q226" s="455">
        <v>46232</v>
      </c>
      <c r="U226" s="455">
        <v>46235</v>
      </c>
    </row>
    <row r="227" spans="1:21">
      <c r="A227" t="s">
        <v>1751</v>
      </c>
      <c r="B227" t="s">
        <v>2946</v>
      </c>
      <c r="C227" t="s">
        <v>1751</v>
      </c>
      <c r="D227">
        <v>20564642</v>
      </c>
      <c r="E227" t="s">
        <v>3142</v>
      </c>
      <c r="F227" t="s">
        <v>1237</v>
      </c>
      <c r="G227" t="s">
        <v>3137</v>
      </c>
      <c r="H227" t="s">
        <v>1252</v>
      </c>
      <c r="I227" t="s">
        <v>2944</v>
      </c>
      <c r="J227" s="455">
        <v>46197</v>
      </c>
      <c r="K227" s="455">
        <v>46209</v>
      </c>
      <c r="L227" s="455">
        <v>46210</v>
      </c>
      <c r="M227" s="455">
        <v>46213</v>
      </c>
      <c r="N227" s="455">
        <v>46213</v>
      </c>
      <c r="P227" s="455">
        <v>46213</v>
      </c>
      <c r="Q227" s="455">
        <v>46213</v>
      </c>
      <c r="U227" s="455">
        <v>46234</v>
      </c>
    </row>
    <row r="228" spans="1:21">
      <c r="A228" t="s">
        <v>1751</v>
      </c>
      <c r="B228" t="s">
        <v>4449</v>
      </c>
      <c r="C228" t="s">
        <v>1751</v>
      </c>
      <c r="D228">
        <v>20587751</v>
      </c>
      <c r="E228" t="s">
        <v>3128</v>
      </c>
      <c r="F228" t="s">
        <v>1239</v>
      </c>
      <c r="G228" t="s">
        <v>3129</v>
      </c>
      <c r="H228" t="s">
        <v>1248</v>
      </c>
      <c r="J228" s="455">
        <v>46223</v>
      </c>
      <c r="U228" s="455">
        <v>46223</v>
      </c>
    </row>
    <row r="229" spans="1:21">
      <c r="A229" t="s">
        <v>1751</v>
      </c>
      <c r="B229" t="s">
        <v>4449</v>
      </c>
      <c r="C229" t="s">
        <v>1751</v>
      </c>
      <c r="D229">
        <v>20587784</v>
      </c>
      <c r="E229" t="s">
        <v>3133</v>
      </c>
      <c r="F229" t="s">
        <v>1241</v>
      </c>
      <c r="G229" t="s">
        <v>3134</v>
      </c>
      <c r="H229" t="s">
        <v>1247</v>
      </c>
      <c r="I229" t="s">
        <v>2173</v>
      </c>
      <c r="J229" s="455">
        <v>46223</v>
      </c>
      <c r="K229" s="455">
        <v>46223</v>
      </c>
      <c r="L229" s="455">
        <v>46225</v>
      </c>
      <c r="S229" s="455">
        <v>46230</v>
      </c>
      <c r="U229" s="455">
        <v>46249</v>
      </c>
    </row>
    <row r="230" spans="1:21">
      <c r="A230" t="s">
        <v>1751</v>
      </c>
      <c r="B230" t="s">
        <v>3435</v>
      </c>
      <c r="C230" t="s">
        <v>1751</v>
      </c>
      <c r="D230">
        <v>20578909</v>
      </c>
      <c r="E230" t="s">
        <v>3133</v>
      </c>
      <c r="F230" t="s">
        <v>1239</v>
      </c>
      <c r="G230" t="s">
        <v>3134</v>
      </c>
      <c r="H230" t="s">
        <v>1247</v>
      </c>
      <c r="I230" t="s">
        <v>2507</v>
      </c>
      <c r="J230" s="455">
        <v>46214</v>
      </c>
      <c r="K230" s="455">
        <v>46214</v>
      </c>
      <c r="L230" s="455">
        <v>46214</v>
      </c>
      <c r="S230" s="455">
        <v>46231</v>
      </c>
      <c r="U230" s="455">
        <v>46268</v>
      </c>
    </row>
    <row r="231" spans="1:21">
      <c r="A231" t="s">
        <v>1751</v>
      </c>
      <c r="B231" t="s">
        <v>4450</v>
      </c>
      <c r="C231" t="s">
        <v>1751</v>
      </c>
      <c r="D231">
        <v>20583025</v>
      </c>
      <c r="E231" t="s">
        <v>3128</v>
      </c>
      <c r="F231" t="s">
        <v>1242</v>
      </c>
      <c r="G231" t="s">
        <v>3137</v>
      </c>
      <c r="H231" t="s">
        <v>1252</v>
      </c>
      <c r="I231" t="s">
        <v>2148</v>
      </c>
      <c r="J231" s="455">
        <v>46218</v>
      </c>
      <c r="U231" s="455">
        <v>46218</v>
      </c>
    </row>
    <row r="232" spans="1:21">
      <c r="A232" t="s">
        <v>1751</v>
      </c>
      <c r="B232" t="s">
        <v>3437</v>
      </c>
      <c r="C232" t="s">
        <v>1751</v>
      </c>
      <c r="D232">
        <v>20559367</v>
      </c>
      <c r="E232" t="s">
        <v>3133</v>
      </c>
      <c r="F232" t="s">
        <v>1241</v>
      </c>
      <c r="G232" t="s">
        <v>3134</v>
      </c>
      <c r="H232" t="s">
        <v>1247</v>
      </c>
      <c r="I232" t="s">
        <v>2664</v>
      </c>
      <c r="J232" s="455">
        <v>46190</v>
      </c>
      <c r="K232" s="455">
        <v>46190</v>
      </c>
      <c r="R232" s="455">
        <v>46205</v>
      </c>
      <c r="U232" s="455">
        <v>46248</v>
      </c>
    </row>
    <row r="233" spans="1:21">
      <c r="A233" t="s">
        <v>1751</v>
      </c>
      <c r="B233" t="s">
        <v>4451</v>
      </c>
      <c r="C233" t="s">
        <v>1751</v>
      </c>
      <c r="D233">
        <v>20595149</v>
      </c>
      <c r="E233" t="s">
        <v>3128</v>
      </c>
      <c r="F233" t="s">
        <v>1237</v>
      </c>
      <c r="G233" t="s">
        <v>3141</v>
      </c>
      <c r="H233" t="s">
        <v>1252</v>
      </c>
      <c r="J233" s="455">
        <v>46231</v>
      </c>
      <c r="U233" s="455">
        <v>46246</v>
      </c>
    </row>
    <row r="234" spans="1:21">
      <c r="A234" t="s">
        <v>1751</v>
      </c>
      <c r="B234" t="s">
        <v>3438</v>
      </c>
      <c r="C234" t="s">
        <v>1751</v>
      </c>
      <c r="D234">
        <v>20566532</v>
      </c>
      <c r="E234" t="s">
        <v>3133</v>
      </c>
      <c r="F234" t="s">
        <v>1238</v>
      </c>
      <c r="G234" t="s">
        <v>3134</v>
      </c>
      <c r="H234" t="s">
        <v>1247</v>
      </c>
      <c r="I234" t="s">
        <v>2562</v>
      </c>
      <c r="J234" s="455">
        <v>46199</v>
      </c>
      <c r="K234" s="455">
        <v>46199</v>
      </c>
      <c r="L234" s="455">
        <v>46202</v>
      </c>
      <c r="R234" s="455">
        <v>46216</v>
      </c>
      <c r="U234" s="455">
        <v>46234</v>
      </c>
    </row>
    <row r="235" spans="1:21">
      <c r="A235" t="s">
        <v>1751</v>
      </c>
      <c r="B235" t="s">
        <v>4452</v>
      </c>
      <c r="C235" t="s">
        <v>1751</v>
      </c>
      <c r="D235">
        <v>20591193</v>
      </c>
      <c r="E235" t="s">
        <v>3128</v>
      </c>
      <c r="F235" t="s">
        <v>1782</v>
      </c>
      <c r="G235" t="s">
        <v>3143</v>
      </c>
      <c r="H235" t="s">
        <v>1247</v>
      </c>
      <c r="I235" t="s">
        <v>3385</v>
      </c>
      <c r="J235" s="455">
        <v>46226</v>
      </c>
      <c r="U235" s="455">
        <v>46226</v>
      </c>
    </row>
    <row r="236" spans="1:21">
      <c r="A236" t="s">
        <v>1751</v>
      </c>
      <c r="B236" t="s">
        <v>3441</v>
      </c>
      <c r="C236" t="s">
        <v>1751</v>
      </c>
      <c r="D236">
        <v>20568754</v>
      </c>
      <c r="E236" t="s">
        <v>3133</v>
      </c>
      <c r="F236" t="s">
        <v>1237</v>
      </c>
      <c r="G236" t="s">
        <v>3134</v>
      </c>
      <c r="H236" t="s">
        <v>1247</v>
      </c>
      <c r="I236" t="s">
        <v>2640</v>
      </c>
      <c r="J236" s="455">
        <v>46202</v>
      </c>
      <c r="K236" s="455">
        <v>46202</v>
      </c>
      <c r="L236" s="455">
        <v>46203</v>
      </c>
      <c r="S236" s="455">
        <v>46216</v>
      </c>
      <c r="U236" s="455">
        <v>46228</v>
      </c>
    </row>
    <row r="237" spans="1:21">
      <c r="A237" t="s">
        <v>1751</v>
      </c>
      <c r="B237" t="s">
        <v>3441</v>
      </c>
      <c r="C237" t="s">
        <v>1751</v>
      </c>
      <c r="D237">
        <v>20577383</v>
      </c>
      <c r="E237" t="s">
        <v>1897</v>
      </c>
      <c r="F237" t="s">
        <v>1241</v>
      </c>
      <c r="G237" t="s">
        <v>3134</v>
      </c>
      <c r="H237" t="s">
        <v>1247</v>
      </c>
      <c r="I237" t="s">
        <v>2640</v>
      </c>
      <c r="J237" s="455">
        <v>46212</v>
      </c>
      <c r="K237" s="455">
        <v>46212</v>
      </c>
      <c r="U237" s="455">
        <v>46212</v>
      </c>
    </row>
    <row r="238" spans="1:21">
      <c r="A238" t="s">
        <v>1751</v>
      </c>
      <c r="B238" t="s">
        <v>4453</v>
      </c>
      <c r="C238" t="s">
        <v>1751</v>
      </c>
      <c r="D238">
        <v>20573521</v>
      </c>
      <c r="E238" t="s">
        <v>1897</v>
      </c>
      <c r="F238" t="s">
        <v>1241</v>
      </c>
      <c r="G238" t="s">
        <v>3134</v>
      </c>
      <c r="H238" t="s">
        <v>1247</v>
      </c>
      <c r="I238" t="s">
        <v>2455</v>
      </c>
      <c r="J238" s="455">
        <v>46209</v>
      </c>
      <c r="K238" s="455">
        <v>46209</v>
      </c>
      <c r="U238" s="455">
        <v>46209</v>
      </c>
    </row>
    <row r="239" spans="1:21">
      <c r="A239" t="s">
        <v>1751</v>
      </c>
      <c r="B239" t="s">
        <v>4454</v>
      </c>
      <c r="C239" t="s">
        <v>1751</v>
      </c>
      <c r="D239">
        <v>20594296</v>
      </c>
      <c r="E239" t="s">
        <v>3128</v>
      </c>
      <c r="F239" t="s">
        <v>1782</v>
      </c>
      <c r="G239" t="s">
        <v>3141</v>
      </c>
      <c r="H239" t="s">
        <v>1252</v>
      </c>
      <c r="J239" s="455">
        <v>46230</v>
      </c>
      <c r="U239" s="455">
        <v>46293</v>
      </c>
    </row>
    <row r="240" spans="1:21">
      <c r="A240" t="s">
        <v>1751</v>
      </c>
      <c r="B240" t="s">
        <v>4455</v>
      </c>
      <c r="C240" t="s">
        <v>1751</v>
      </c>
      <c r="D240">
        <v>20574251</v>
      </c>
      <c r="E240" t="s">
        <v>3128</v>
      </c>
      <c r="F240" t="s">
        <v>1782</v>
      </c>
      <c r="G240" t="s">
        <v>3137</v>
      </c>
      <c r="H240" t="s">
        <v>1251</v>
      </c>
      <c r="J240" s="455">
        <v>46209</v>
      </c>
      <c r="U240" s="455">
        <v>46235</v>
      </c>
    </row>
    <row r="241" spans="1:21">
      <c r="A241" t="s">
        <v>1751</v>
      </c>
      <c r="B241" t="s">
        <v>4456</v>
      </c>
      <c r="C241" t="s">
        <v>1751</v>
      </c>
      <c r="D241">
        <v>20575456</v>
      </c>
      <c r="E241" t="s">
        <v>3128</v>
      </c>
      <c r="F241" t="s">
        <v>1241</v>
      </c>
      <c r="G241" t="s">
        <v>3134</v>
      </c>
      <c r="H241" t="s">
        <v>3165</v>
      </c>
      <c r="J241" s="455">
        <v>46210</v>
      </c>
      <c r="U241" s="455">
        <v>46224</v>
      </c>
    </row>
    <row r="242" spans="1:21">
      <c r="A242" t="s">
        <v>1751</v>
      </c>
      <c r="B242" t="s">
        <v>4457</v>
      </c>
      <c r="C242" t="s">
        <v>1751</v>
      </c>
      <c r="D242">
        <v>20585200</v>
      </c>
      <c r="E242" t="s">
        <v>3128</v>
      </c>
      <c r="F242" t="s">
        <v>3285</v>
      </c>
      <c r="G242" t="s">
        <v>3141</v>
      </c>
      <c r="H242" t="s">
        <v>1252</v>
      </c>
      <c r="J242" s="455">
        <v>46219</v>
      </c>
      <c r="U242" s="455">
        <v>46249</v>
      </c>
    </row>
    <row r="243" spans="1:21">
      <c r="A243" t="s">
        <v>1751</v>
      </c>
      <c r="B243" t="s">
        <v>4458</v>
      </c>
      <c r="C243" t="s">
        <v>1751</v>
      </c>
      <c r="D243">
        <v>20586983</v>
      </c>
      <c r="E243" t="s">
        <v>3128</v>
      </c>
      <c r="F243" t="s">
        <v>1782</v>
      </c>
      <c r="G243" t="s">
        <v>3141</v>
      </c>
      <c r="H243" t="s">
        <v>1252</v>
      </c>
      <c r="J243" s="455">
        <v>46222</v>
      </c>
      <c r="U243" s="455">
        <v>46235</v>
      </c>
    </row>
    <row r="244" spans="1:21">
      <c r="A244" t="s">
        <v>1751</v>
      </c>
      <c r="B244" t="s">
        <v>4459</v>
      </c>
      <c r="C244" t="s">
        <v>1751</v>
      </c>
      <c r="D244">
        <v>20587370</v>
      </c>
      <c r="E244" t="s">
        <v>3128</v>
      </c>
      <c r="F244" t="s">
        <v>1782</v>
      </c>
      <c r="G244" t="s">
        <v>3141</v>
      </c>
      <c r="H244" t="s">
        <v>1252</v>
      </c>
      <c r="J244" s="455">
        <v>46223</v>
      </c>
      <c r="U244" s="455">
        <v>46235</v>
      </c>
    </row>
    <row r="245" spans="1:21">
      <c r="A245" t="s">
        <v>1751</v>
      </c>
      <c r="B245" t="s">
        <v>4460</v>
      </c>
      <c r="C245" t="s">
        <v>1751</v>
      </c>
      <c r="D245">
        <v>20587040</v>
      </c>
      <c r="E245" t="s">
        <v>3128</v>
      </c>
      <c r="F245" t="s">
        <v>1241</v>
      </c>
      <c r="G245" t="s">
        <v>2009</v>
      </c>
      <c r="H245" t="s">
        <v>1251</v>
      </c>
      <c r="J245" s="455">
        <v>46222</v>
      </c>
      <c r="U245" s="455">
        <v>46222</v>
      </c>
    </row>
    <row r="246" spans="1:21">
      <c r="A246" t="s">
        <v>1751</v>
      </c>
      <c r="B246" t="s">
        <v>4461</v>
      </c>
      <c r="C246" t="s">
        <v>1751</v>
      </c>
      <c r="D246">
        <v>20572195</v>
      </c>
      <c r="E246" t="s">
        <v>1897</v>
      </c>
      <c r="F246" t="s">
        <v>1912</v>
      </c>
      <c r="G246" t="s">
        <v>3134</v>
      </c>
      <c r="H246" t="s">
        <v>1247</v>
      </c>
      <c r="I246" t="s">
        <v>1545</v>
      </c>
      <c r="J246" s="455">
        <v>46206</v>
      </c>
      <c r="K246" s="455">
        <v>46206</v>
      </c>
      <c r="U246" s="455">
        <v>46235</v>
      </c>
    </row>
    <row r="247" spans="1:21">
      <c r="A247" t="s">
        <v>1751</v>
      </c>
      <c r="B247" t="s">
        <v>4462</v>
      </c>
      <c r="C247" t="s">
        <v>1751</v>
      </c>
      <c r="D247">
        <v>20589712</v>
      </c>
      <c r="E247" t="s">
        <v>3128</v>
      </c>
      <c r="F247" t="s">
        <v>1242</v>
      </c>
      <c r="G247" t="s">
        <v>3134</v>
      </c>
      <c r="H247" t="s">
        <v>1252</v>
      </c>
      <c r="I247" t="s">
        <v>3170</v>
      </c>
      <c r="J247" s="455">
        <v>46225</v>
      </c>
      <c r="U247" s="455">
        <v>46265</v>
      </c>
    </row>
    <row r="248" spans="1:21">
      <c r="A248" t="s">
        <v>1751</v>
      </c>
      <c r="B248" t="s">
        <v>4463</v>
      </c>
      <c r="C248" t="s">
        <v>1751</v>
      </c>
      <c r="D248">
        <v>20595210</v>
      </c>
      <c r="E248" t="s">
        <v>3128</v>
      </c>
      <c r="F248" t="s">
        <v>1782</v>
      </c>
      <c r="G248" t="s">
        <v>3141</v>
      </c>
      <c r="H248" t="s">
        <v>1252</v>
      </c>
      <c r="J248" s="455">
        <v>46231</v>
      </c>
      <c r="U248" s="455">
        <v>46251</v>
      </c>
    </row>
    <row r="249" spans="1:21">
      <c r="A249" t="s">
        <v>1751</v>
      </c>
      <c r="B249" t="s">
        <v>4464</v>
      </c>
      <c r="C249" t="s">
        <v>1751</v>
      </c>
      <c r="D249">
        <v>20594724</v>
      </c>
      <c r="E249" t="s">
        <v>3128</v>
      </c>
      <c r="F249" t="s">
        <v>1242</v>
      </c>
      <c r="G249" t="s">
        <v>3129</v>
      </c>
      <c r="H249" t="s">
        <v>1252</v>
      </c>
      <c r="I249" t="s">
        <v>3168</v>
      </c>
      <c r="J249" s="455">
        <v>46231</v>
      </c>
      <c r="U249" s="455">
        <v>46231</v>
      </c>
    </row>
    <row r="250" spans="1:21">
      <c r="A250" t="s">
        <v>1751</v>
      </c>
      <c r="B250" t="s">
        <v>4465</v>
      </c>
      <c r="C250" t="s">
        <v>1751</v>
      </c>
      <c r="D250">
        <v>20573314</v>
      </c>
      <c r="E250" t="s">
        <v>3128</v>
      </c>
      <c r="F250" t="s">
        <v>1238</v>
      </c>
      <c r="G250" t="s">
        <v>3141</v>
      </c>
      <c r="H250" t="s">
        <v>1252</v>
      </c>
      <c r="I250" t="s">
        <v>3170</v>
      </c>
      <c r="J250" s="455">
        <v>46208</v>
      </c>
      <c r="U250" s="455">
        <v>46231</v>
      </c>
    </row>
    <row r="251" spans="1:21">
      <c r="A251" t="s">
        <v>1751</v>
      </c>
      <c r="B251" t="s">
        <v>4466</v>
      </c>
      <c r="C251" t="s">
        <v>1751</v>
      </c>
      <c r="D251">
        <v>20571840</v>
      </c>
      <c r="E251" t="s">
        <v>3128</v>
      </c>
      <c r="F251" t="s">
        <v>1241</v>
      </c>
      <c r="G251" t="s">
        <v>3134</v>
      </c>
      <c r="H251" t="s">
        <v>3165</v>
      </c>
      <c r="J251" s="455">
        <v>46206</v>
      </c>
      <c r="U251" s="455">
        <v>46501</v>
      </c>
    </row>
    <row r="252" spans="1:21">
      <c r="A252" t="s">
        <v>1751</v>
      </c>
      <c r="B252" t="s">
        <v>4467</v>
      </c>
      <c r="C252" t="s">
        <v>1751</v>
      </c>
      <c r="D252">
        <v>20575351</v>
      </c>
      <c r="E252" t="s">
        <v>3128</v>
      </c>
      <c r="F252" t="s">
        <v>1241</v>
      </c>
      <c r="G252" t="s">
        <v>3134</v>
      </c>
      <c r="H252" t="s">
        <v>3165</v>
      </c>
      <c r="J252" s="455">
        <v>46210</v>
      </c>
      <c r="U252" s="455">
        <v>46211</v>
      </c>
    </row>
    <row r="253" spans="1:21">
      <c r="A253" t="s">
        <v>1751</v>
      </c>
      <c r="B253" t="s">
        <v>4468</v>
      </c>
      <c r="C253" t="s">
        <v>1751</v>
      </c>
      <c r="D253">
        <v>20507865</v>
      </c>
      <c r="E253" t="s">
        <v>3142</v>
      </c>
      <c r="F253" t="s">
        <v>1799</v>
      </c>
      <c r="G253" t="s">
        <v>3129</v>
      </c>
      <c r="H253" t="s">
        <v>3515</v>
      </c>
      <c r="I253" t="s">
        <v>1551</v>
      </c>
      <c r="J253" s="455">
        <v>46135</v>
      </c>
      <c r="K253" s="455">
        <v>46135</v>
      </c>
      <c r="L253" s="455">
        <v>46135</v>
      </c>
      <c r="M253" s="455">
        <v>46169</v>
      </c>
      <c r="N253" s="455">
        <v>46169</v>
      </c>
      <c r="O253" s="455">
        <v>46170</v>
      </c>
      <c r="P253" s="455">
        <v>46170</v>
      </c>
      <c r="Q253" s="455">
        <v>46170</v>
      </c>
      <c r="U253" s="455">
        <v>46203</v>
      </c>
    </row>
    <row r="254" spans="1:21">
      <c r="A254" t="s">
        <v>1751</v>
      </c>
      <c r="B254" t="s">
        <v>4469</v>
      </c>
      <c r="C254" t="s">
        <v>1751</v>
      </c>
      <c r="D254">
        <v>20593178</v>
      </c>
      <c r="E254" t="s">
        <v>3128</v>
      </c>
      <c r="F254" t="s">
        <v>1782</v>
      </c>
      <c r="G254" t="s">
        <v>3137</v>
      </c>
      <c r="H254" t="s">
        <v>1251</v>
      </c>
      <c r="J254" s="455">
        <v>46229</v>
      </c>
      <c r="U254" s="455">
        <v>46229</v>
      </c>
    </row>
    <row r="255" spans="1:21">
      <c r="A255" t="s">
        <v>1751</v>
      </c>
      <c r="B255" t="s">
        <v>4470</v>
      </c>
      <c r="C255" t="s">
        <v>1751</v>
      </c>
      <c r="D255">
        <v>20576611</v>
      </c>
      <c r="E255" t="s">
        <v>1897</v>
      </c>
      <c r="F255" t="s">
        <v>1241</v>
      </c>
      <c r="G255" t="s">
        <v>3134</v>
      </c>
      <c r="H255" t="s">
        <v>1247</v>
      </c>
      <c r="I255" t="s">
        <v>2576</v>
      </c>
      <c r="J255" s="455">
        <v>46211</v>
      </c>
      <c r="K255" s="455">
        <v>46211</v>
      </c>
      <c r="U255" s="455">
        <v>46235</v>
      </c>
    </row>
    <row r="256" spans="1:21">
      <c r="A256" t="s">
        <v>1751</v>
      </c>
      <c r="B256" t="s">
        <v>4471</v>
      </c>
      <c r="C256" t="s">
        <v>1751</v>
      </c>
      <c r="D256">
        <v>20579243</v>
      </c>
      <c r="E256" t="s">
        <v>1897</v>
      </c>
      <c r="F256" t="s">
        <v>1241</v>
      </c>
      <c r="G256" t="s">
        <v>3129</v>
      </c>
      <c r="H256" t="s">
        <v>1252</v>
      </c>
      <c r="J256" s="455">
        <v>46215</v>
      </c>
      <c r="K256" s="455">
        <v>46215</v>
      </c>
      <c r="U256" s="455">
        <v>46242</v>
      </c>
    </row>
    <row r="257" spans="1:21">
      <c r="A257" t="s">
        <v>1751</v>
      </c>
      <c r="B257" t="s">
        <v>4472</v>
      </c>
      <c r="C257" t="s">
        <v>1751</v>
      </c>
      <c r="D257">
        <v>20592762</v>
      </c>
      <c r="E257" t="s">
        <v>3128</v>
      </c>
      <c r="F257" t="s">
        <v>3285</v>
      </c>
      <c r="G257" t="s">
        <v>3141</v>
      </c>
      <c r="H257" t="s">
        <v>4278</v>
      </c>
      <c r="J257" s="455">
        <v>46229</v>
      </c>
      <c r="U257" s="455">
        <v>46243</v>
      </c>
    </row>
    <row r="258" spans="1:21">
      <c r="A258" t="s">
        <v>1751</v>
      </c>
      <c r="B258" t="s">
        <v>4473</v>
      </c>
      <c r="C258" t="s">
        <v>1751</v>
      </c>
      <c r="D258">
        <v>20586881</v>
      </c>
      <c r="E258" t="s">
        <v>3128</v>
      </c>
      <c r="F258" t="s">
        <v>1782</v>
      </c>
      <c r="G258" t="s">
        <v>3141</v>
      </c>
      <c r="H258" t="s">
        <v>1252</v>
      </c>
      <c r="J258" s="455">
        <v>46222</v>
      </c>
      <c r="U258" s="455">
        <v>46266</v>
      </c>
    </row>
    <row r="259" spans="1:21">
      <c r="A259" t="s">
        <v>1751</v>
      </c>
      <c r="B259" t="s">
        <v>10995</v>
      </c>
      <c r="C259" t="s">
        <v>1751</v>
      </c>
      <c r="D259">
        <v>20595083</v>
      </c>
      <c r="E259" t="s">
        <v>3128</v>
      </c>
      <c r="F259" t="s">
        <v>1242</v>
      </c>
      <c r="G259" t="s">
        <v>3143</v>
      </c>
      <c r="H259" t="s">
        <v>1248</v>
      </c>
      <c r="I259" t="s">
        <v>3363</v>
      </c>
      <c r="J259" s="455">
        <v>46231</v>
      </c>
      <c r="U259" s="455">
        <v>46290</v>
      </c>
    </row>
    <row r="260" spans="1:21">
      <c r="A260" t="s">
        <v>1751</v>
      </c>
      <c r="B260" t="s">
        <v>4474</v>
      </c>
      <c r="C260" t="s">
        <v>1751</v>
      </c>
      <c r="D260">
        <v>20571099</v>
      </c>
      <c r="E260" t="s">
        <v>3128</v>
      </c>
      <c r="F260" t="s">
        <v>1241</v>
      </c>
      <c r="G260" t="s">
        <v>3129</v>
      </c>
      <c r="H260" t="s">
        <v>3131</v>
      </c>
      <c r="J260" s="455">
        <v>46205</v>
      </c>
      <c r="U260" s="455">
        <v>46205</v>
      </c>
    </row>
    <row r="261" spans="1:21">
      <c r="A261" t="s">
        <v>1751</v>
      </c>
      <c r="B261" t="s">
        <v>4475</v>
      </c>
      <c r="C261" t="s">
        <v>1751</v>
      </c>
      <c r="D261">
        <v>20594478</v>
      </c>
      <c r="E261" t="s">
        <v>1897</v>
      </c>
      <c r="F261" t="s">
        <v>1239</v>
      </c>
      <c r="G261" t="s">
        <v>3134</v>
      </c>
      <c r="H261" t="s">
        <v>1247</v>
      </c>
      <c r="I261" t="s">
        <v>1584</v>
      </c>
      <c r="J261" s="455">
        <v>46231</v>
      </c>
      <c r="K261" s="455">
        <v>46231</v>
      </c>
      <c r="U261" s="455">
        <v>46233</v>
      </c>
    </row>
    <row r="262" spans="1:21">
      <c r="A262" t="s">
        <v>1751</v>
      </c>
      <c r="B262" t="s">
        <v>4476</v>
      </c>
      <c r="C262" t="s">
        <v>1751</v>
      </c>
      <c r="D262">
        <v>20596111</v>
      </c>
      <c r="E262" t="s">
        <v>3128</v>
      </c>
      <c r="F262" t="s">
        <v>3285</v>
      </c>
      <c r="G262" t="s">
        <v>3134</v>
      </c>
      <c r="H262" t="s">
        <v>4278</v>
      </c>
      <c r="J262" s="455">
        <v>46232</v>
      </c>
      <c r="U262" s="455">
        <v>46292</v>
      </c>
    </row>
    <row r="263" spans="1:21">
      <c r="A263" t="s">
        <v>1751</v>
      </c>
      <c r="B263" t="s">
        <v>4477</v>
      </c>
      <c r="C263" t="s">
        <v>1751</v>
      </c>
      <c r="D263">
        <v>20586941</v>
      </c>
      <c r="E263" t="s">
        <v>3128</v>
      </c>
      <c r="F263" t="s">
        <v>1782</v>
      </c>
      <c r="G263" t="s">
        <v>3141</v>
      </c>
      <c r="H263" t="s">
        <v>1252</v>
      </c>
      <c r="J263" s="455">
        <v>46222</v>
      </c>
      <c r="U263" s="455">
        <v>46270</v>
      </c>
    </row>
    <row r="264" spans="1:21">
      <c r="A264" t="s">
        <v>1751</v>
      </c>
      <c r="B264" t="s">
        <v>4478</v>
      </c>
      <c r="C264" t="s">
        <v>1751</v>
      </c>
      <c r="D264">
        <v>20593443</v>
      </c>
      <c r="E264" t="s">
        <v>3128</v>
      </c>
      <c r="F264" t="s">
        <v>1239</v>
      </c>
      <c r="G264" t="s">
        <v>3129</v>
      </c>
      <c r="H264" t="s">
        <v>1252</v>
      </c>
      <c r="J264" s="455">
        <v>46230</v>
      </c>
      <c r="U264" s="455">
        <v>46230</v>
      </c>
    </row>
    <row r="265" spans="1:21">
      <c r="A265" t="s">
        <v>1751</v>
      </c>
      <c r="B265" t="s">
        <v>4479</v>
      </c>
      <c r="C265" t="s">
        <v>1751</v>
      </c>
      <c r="D265">
        <v>20580045</v>
      </c>
      <c r="E265" t="s">
        <v>3128</v>
      </c>
      <c r="F265" t="s">
        <v>1782</v>
      </c>
      <c r="G265" t="s">
        <v>3129</v>
      </c>
      <c r="H265" t="s">
        <v>1253</v>
      </c>
      <c r="J265" s="455">
        <v>46216</v>
      </c>
      <c r="U265" s="455">
        <v>46216</v>
      </c>
    </row>
    <row r="266" spans="1:21">
      <c r="A266" t="s">
        <v>1751</v>
      </c>
      <c r="B266" t="s">
        <v>4480</v>
      </c>
      <c r="C266" t="s">
        <v>1751</v>
      </c>
      <c r="D266">
        <v>20571875</v>
      </c>
      <c r="E266" t="s">
        <v>3133</v>
      </c>
      <c r="F266" t="s">
        <v>1241</v>
      </c>
      <c r="G266" t="s">
        <v>3137</v>
      </c>
      <c r="H266" t="s">
        <v>1252</v>
      </c>
      <c r="J266" s="455">
        <v>46206</v>
      </c>
      <c r="K266" s="455">
        <v>46206</v>
      </c>
      <c r="R266" s="455">
        <v>46212</v>
      </c>
      <c r="U266" s="455">
        <v>46269</v>
      </c>
    </row>
    <row r="267" spans="1:21">
      <c r="A267" t="s">
        <v>1751</v>
      </c>
      <c r="B267" t="s">
        <v>4481</v>
      </c>
      <c r="C267" t="s">
        <v>1751</v>
      </c>
      <c r="D267">
        <v>20586515</v>
      </c>
      <c r="E267" t="s">
        <v>3128</v>
      </c>
      <c r="F267" t="s">
        <v>1782</v>
      </c>
      <c r="G267" t="s">
        <v>3129</v>
      </c>
      <c r="H267" t="s">
        <v>1252</v>
      </c>
      <c r="J267" s="455">
        <v>46221</v>
      </c>
      <c r="U267" s="455">
        <v>46265</v>
      </c>
    </row>
    <row r="268" spans="1:21">
      <c r="A268" t="s">
        <v>1751</v>
      </c>
      <c r="B268" t="s">
        <v>4482</v>
      </c>
      <c r="C268" t="s">
        <v>1751</v>
      </c>
      <c r="D268">
        <v>20570914</v>
      </c>
      <c r="E268" t="s">
        <v>3128</v>
      </c>
      <c r="F268" t="s">
        <v>1782</v>
      </c>
      <c r="G268" t="s">
        <v>3141</v>
      </c>
      <c r="H268" t="s">
        <v>1252</v>
      </c>
      <c r="J268" s="455">
        <v>46204</v>
      </c>
      <c r="U268" s="455">
        <v>46206</v>
      </c>
    </row>
    <row r="269" spans="1:21">
      <c r="A269" t="s">
        <v>1751</v>
      </c>
      <c r="B269" t="s">
        <v>4483</v>
      </c>
      <c r="C269" t="s">
        <v>1751</v>
      </c>
      <c r="D269">
        <v>20585169</v>
      </c>
      <c r="E269" t="s">
        <v>3128</v>
      </c>
      <c r="F269" t="s">
        <v>1241</v>
      </c>
      <c r="G269" t="s">
        <v>3141</v>
      </c>
      <c r="H269" t="s">
        <v>1252</v>
      </c>
      <c r="J269" s="455">
        <v>46219</v>
      </c>
      <c r="U269" s="455">
        <v>46254</v>
      </c>
    </row>
    <row r="270" spans="1:21">
      <c r="A270" t="s">
        <v>1751</v>
      </c>
      <c r="B270" t="s">
        <v>2983</v>
      </c>
      <c r="C270" t="s">
        <v>1751</v>
      </c>
      <c r="D270">
        <v>20583827</v>
      </c>
      <c r="E270" t="s">
        <v>3142</v>
      </c>
      <c r="F270" t="s">
        <v>1238</v>
      </c>
      <c r="G270" t="s">
        <v>3143</v>
      </c>
      <c r="H270" t="s">
        <v>1249</v>
      </c>
      <c r="I270" t="s">
        <v>2645</v>
      </c>
      <c r="J270" s="455">
        <v>46218</v>
      </c>
      <c r="K270" s="455">
        <v>46223</v>
      </c>
      <c r="L270" s="455">
        <v>46224</v>
      </c>
      <c r="M270" s="455">
        <v>46228</v>
      </c>
      <c r="N270" s="455">
        <v>46228</v>
      </c>
      <c r="P270" s="455">
        <v>46228</v>
      </c>
      <c r="Q270" s="455">
        <v>46230</v>
      </c>
      <c r="U270" s="455">
        <v>46242</v>
      </c>
    </row>
    <row r="271" spans="1:21">
      <c r="A271" t="s">
        <v>1751</v>
      </c>
      <c r="B271" t="s">
        <v>4484</v>
      </c>
      <c r="C271" t="s">
        <v>1751</v>
      </c>
      <c r="D271">
        <v>20577768</v>
      </c>
      <c r="E271" t="s">
        <v>3128</v>
      </c>
      <c r="F271" t="s">
        <v>1241</v>
      </c>
      <c r="G271" t="s">
        <v>3141</v>
      </c>
      <c r="H271" t="s">
        <v>1251</v>
      </c>
      <c r="J271" s="455">
        <v>46213</v>
      </c>
      <c r="U271" s="455">
        <v>46213</v>
      </c>
    </row>
    <row r="272" spans="1:21">
      <c r="A272" t="s">
        <v>1751</v>
      </c>
      <c r="B272" t="s">
        <v>3477</v>
      </c>
      <c r="C272" t="s">
        <v>1751</v>
      </c>
      <c r="D272">
        <v>20564173</v>
      </c>
      <c r="E272" t="s">
        <v>3133</v>
      </c>
      <c r="F272" t="s">
        <v>1241</v>
      </c>
      <c r="G272" t="s">
        <v>3134</v>
      </c>
      <c r="H272" t="s">
        <v>1247</v>
      </c>
      <c r="I272" t="s">
        <v>2474</v>
      </c>
      <c r="J272" s="455">
        <v>46197</v>
      </c>
      <c r="K272" s="455">
        <v>46197</v>
      </c>
      <c r="R272" s="455">
        <v>46212</v>
      </c>
      <c r="U272" s="455">
        <v>46197</v>
      </c>
    </row>
    <row r="273" spans="1:21">
      <c r="A273" t="s">
        <v>1751</v>
      </c>
      <c r="B273" t="s">
        <v>4485</v>
      </c>
      <c r="C273" t="s">
        <v>1751</v>
      </c>
      <c r="D273">
        <v>20571268</v>
      </c>
      <c r="E273" t="s">
        <v>3128</v>
      </c>
      <c r="F273" t="s">
        <v>1241</v>
      </c>
      <c r="G273" t="s">
        <v>3134</v>
      </c>
      <c r="H273" t="s">
        <v>3165</v>
      </c>
      <c r="J273" s="455">
        <v>46205</v>
      </c>
      <c r="U273" s="455">
        <v>46235</v>
      </c>
    </row>
    <row r="274" spans="1:21">
      <c r="A274" t="s">
        <v>1751</v>
      </c>
      <c r="B274" t="s">
        <v>4486</v>
      </c>
      <c r="C274" t="s">
        <v>1751</v>
      </c>
      <c r="D274">
        <v>20592541</v>
      </c>
      <c r="E274" t="s">
        <v>3133</v>
      </c>
      <c r="F274" t="s">
        <v>1243</v>
      </c>
      <c r="G274" t="s">
        <v>3134</v>
      </c>
      <c r="H274" t="s">
        <v>1247</v>
      </c>
      <c r="I274" t="s">
        <v>1913</v>
      </c>
      <c r="J274" s="455">
        <v>46228</v>
      </c>
      <c r="K274" s="455">
        <v>46228</v>
      </c>
      <c r="L274" s="455">
        <v>46228</v>
      </c>
      <c r="S274" s="455">
        <v>46233</v>
      </c>
      <c r="U274" s="455">
        <v>46249</v>
      </c>
    </row>
    <row r="275" spans="1:21">
      <c r="A275" t="s">
        <v>1751</v>
      </c>
      <c r="B275" t="s">
        <v>4487</v>
      </c>
      <c r="C275" t="s">
        <v>1751</v>
      </c>
      <c r="D275">
        <v>20574930</v>
      </c>
      <c r="E275" t="s">
        <v>3128</v>
      </c>
      <c r="F275" t="s">
        <v>1241</v>
      </c>
      <c r="G275" t="s">
        <v>3141</v>
      </c>
      <c r="H275" t="s">
        <v>1252</v>
      </c>
      <c r="J275" s="455">
        <v>46210</v>
      </c>
      <c r="U275" s="455">
        <v>46218</v>
      </c>
    </row>
    <row r="276" spans="1:21">
      <c r="A276" t="s">
        <v>1751</v>
      </c>
      <c r="B276" t="s">
        <v>3478</v>
      </c>
      <c r="C276" t="s">
        <v>1751</v>
      </c>
      <c r="D276">
        <v>20557707</v>
      </c>
      <c r="E276" t="s">
        <v>3142</v>
      </c>
      <c r="F276" t="s">
        <v>1243</v>
      </c>
      <c r="G276" t="s">
        <v>3143</v>
      </c>
      <c r="H276" t="s">
        <v>1251</v>
      </c>
      <c r="I276" t="s">
        <v>4488</v>
      </c>
      <c r="J276" s="455">
        <v>46189</v>
      </c>
      <c r="K276" s="455">
        <v>46193</v>
      </c>
      <c r="L276" s="455">
        <v>46193</v>
      </c>
      <c r="M276" s="455">
        <v>46196</v>
      </c>
      <c r="N276" s="455">
        <v>46196</v>
      </c>
      <c r="P276" s="455">
        <v>46198</v>
      </c>
      <c r="Q276" s="455">
        <v>46198</v>
      </c>
      <c r="U276" s="455">
        <v>46221</v>
      </c>
    </row>
    <row r="277" spans="1:21">
      <c r="A277" t="s">
        <v>1751</v>
      </c>
      <c r="B277" t="s">
        <v>4489</v>
      </c>
      <c r="C277" t="s">
        <v>1751</v>
      </c>
      <c r="D277">
        <v>20592610</v>
      </c>
      <c r="E277" t="s">
        <v>3128</v>
      </c>
      <c r="F277" t="s">
        <v>1782</v>
      </c>
      <c r="G277" t="s">
        <v>3141</v>
      </c>
      <c r="H277" t="s">
        <v>1252</v>
      </c>
      <c r="J277" s="455">
        <v>46228</v>
      </c>
      <c r="U277" s="455">
        <v>46238</v>
      </c>
    </row>
    <row r="278" spans="1:21">
      <c r="A278" t="s">
        <v>1751</v>
      </c>
      <c r="B278" t="s">
        <v>4490</v>
      </c>
      <c r="C278" t="s">
        <v>1751</v>
      </c>
      <c r="D278">
        <v>20574404</v>
      </c>
      <c r="E278" t="s">
        <v>3128</v>
      </c>
      <c r="F278" t="s">
        <v>1239</v>
      </c>
      <c r="G278" t="s">
        <v>2009</v>
      </c>
      <c r="H278" t="s">
        <v>1247</v>
      </c>
      <c r="J278" s="455">
        <v>46209</v>
      </c>
      <c r="U278" s="455">
        <v>46266</v>
      </c>
    </row>
    <row r="279" spans="1:21">
      <c r="A279" t="s">
        <v>1751</v>
      </c>
      <c r="B279" t="s">
        <v>4491</v>
      </c>
      <c r="C279" t="s">
        <v>1751</v>
      </c>
      <c r="D279">
        <v>20580959</v>
      </c>
      <c r="E279" t="s">
        <v>3128</v>
      </c>
      <c r="F279" t="s">
        <v>1782</v>
      </c>
      <c r="G279" t="s">
        <v>3141</v>
      </c>
      <c r="H279" t="s">
        <v>4492</v>
      </c>
      <c r="J279" s="455">
        <v>46217</v>
      </c>
      <c r="U279" s="455">
        <v>46237</v>
      </c>
    </row>
    <row r="280" spans="1:21">
      <c r="A280" t="s">
        <v>1751</v>
      </c>
      <c r="B280" t="s">
        <v>4493</v>
      </c>
      <c r="C280" t="s">
        <v>1751</v>
      </c>
      <c r="D280">
        <v>20593063</v>
      </c>
      <c r="E280" t="s">
        <v>3128</v>
      </c>
      <c r="F280" t="s">
        <v>1241</v>
      </c>
      <c r="G280" t="s">
        <v>3141</v>
      </c>
      <c r="H280" t="s">
        <v>4278</v>
      </c>
      <c r="J280" s="455">
        <v>46229</v>
      </c>
      <c r="U280" s="455">
        <v>46249</v>
      </c>
    </row>
    <row r="281" spans="1:21">
      <c r="A281" t="s">
        <v>1751</v>
      </c>
      <c r="B281" t="s">
        <v>4494</v>
      </c>
      <c r="C281" t="s">
        <v>1751</v>
      </c>
      <c r="D281">
        <v>20588650</v>
      </c>
      <c r="E281" t="s">
        <v>3128</v>
      </c>
      <c r="F281" t="s">
        <v>1241</v>
      </c>
      <c r="G281" t="s">
        <v>3129</v>
      </c>
      <c r="H281" t="s">
        <v>1252</v>
      </c>
      <c r="I281" t="s">
        <v>2182</v>
      </c>
      <c r="J281" s="455">
        <v>46224</v>
      </c>
      <c r="U281" s="455">
        <v>46327</v>
      </c>
    </row>
    <row r="282" spans="1:21">
      <c r="A282" t="s">
        <v>1751</v>
      </c>
      <c r="B282" t="s">
        <v>3488</v>
      </c>
      <c r="C282" t="s">
        <v>1751</v>
      </c>
      <c r="D282">
        <v>20561902</v>
      </c>
      <c r="E282" t="s">
        <v>3133</v>
      </c>
      <c r="F282" t="s">
        <v>1241</v>
      </c>
      <c r="G282" t="s">
        <v>3134</v>
      </c>
      <c r="H282" t="s">
        <v>1247</v>
      </c>
      <c r="I282" t="s">
        <v>3489</v>
      </c>
      <c r="J282" s="455">
        <v>46194</v>
      </c>
      <c r="K282" s="455">
        <v>46194</v>
      </c>
      <c r="R282" s="455">
        <v>46211</v>
      </c>
      <c r="U282" s="455">
        <v>46202</v>
      </c>
    </row>
    <row r="283" spans="1:21">
      <c r="A283" t="s">
        <v>1751</v>
      </c>
      <c r="B283" t="s">
        <v>4495</v>
      </c>
      <c r="C283" t="s">
        <v>1751</v>
      </c>
      <c r="D283">
        <v>20584556</v>
      </c>
      <c r="E283" t="s">
        <v>1907</v>
      </c>
      <c r="F283" t="s">
        <v>1241</v>
      </c>
      <c r="G283" t="s">
        <v>3134</v>
      </c>
      <c r="H283" t="s">
        <v>1247</v>
      </c>
      <c r="I283" t="s">
        <v>1528</v>
      </c>
      <c r="J283" s="455">
        <v>46219</v>
      </c>
      <c r="K283" s="455">
        <v>46219</v>
      </c>
      <c r="L283" s="455">
        <v>46219</v>
      </c>
      <c r="U283" s="455">
        <v>46295</v>
      </c>
    </row>
    <row r="284" spans="1:21">
      <c r="A284" t="s">
        <v>1751</v>
      </c>
      <c r="B284" t="s">
        <v>3058</v>
      </c>
      <c r="C284" t="s">
        <v>1751</v>
      </c>
      <c r="D284">
        <v>20561048</v>
      </c>
      <c r="E284" t="s">
        <v>3142</v>
      </c>
      <c r="F284" t="s">
        <v>1239</v>
      </c>
      <c r="G284" t="s">
        <v>3129</v>
      </c>
      <c r="H284" t="s">
        <v>3131</v>
      </c>
      <c r="I284" t="s">
        <v>1525</v>
      </c>
      <c r="J284" s="455">
        <v>46193</v>
      </c>
      <c r="K284" s="455">
        <v>46200</v>
      </c>
      <c r="L284" s="455">
        <v>46200</v>
      </c>
      <c r="M284" s="455">
        <v>46206</v>
      </c>
      <c r="N284" s="455">
        <v>46213</v>
      </c>
      <c r="P284" s="455">
        <v>46214</v>
      </c>
      <c r="Q284" s="455">
        <v>46214</v>
      </c>
      <c r="U284" s="455">
        <v>46262</v>
      </c>
    </row>
    <row r="285" spans="1:21">
      <c r="A285" t="s">
        <v>1751</v>
      </c>
      <c r="B285" t="s">
        <v>4496</v>
      </c>
      <c r="C285" t="s">
        <v>1751</v>
      </c>
      <c r="D285">
        <v>20595884</v>
      </c>
      <c r="E285" t="s">
        <v>3128</v>
      </c>
      <c r="F285" t="s">
        <v>1782</v>
      </c>
      <c r="G285" t="s">
        <v>3137</v>
      </c>
      <c r="H285" t="s">
        <v>1252</v>
      </c>
      <c r="J285" s="455">
        <v>46232</v>
      </c>
      <c r="U285" s="455">
        <v>46259</v>
      </c>
    </row>
    <row r="286" spans="1:21">
      <c r="A286" t="s">
        <v>1751</v>
      </c>
      <c r="B286" t="s">
        <v>4497</v>
      </c>
      <c r="C286" t="s">
        <v>1751</v>
      </c>
      <c r="D286">
        <v>20589937</v>
      </c>
      <c r="E286" t="s">
        <v>3128</v>
      </c>
      <c r="F286" t="s">
        <v>1238</v>
      </c>
      <c r="G286" t="s">
        <v>3143</v>
      </c>
      <c r="H286" t="s">
        <v>4280</v>
      </c>
      <c r="I286" t="s">
        <v>3170</v>
      </c>
      <c r="J286" s="455">
        <v>46225</v>
      </c>
      <c r="U286" s="455">
        <v>46235</v>
      </c>
    </row>
    <row r="287" spans="1:21">
      <c r="A287" t="s">
        <v>1751</v>
      </c>
      <c r="B287" t="s">
        <v>4498</v>
      </c>
      <c r="C287" t="s">
        <v>1751</v>
      </c>
      <c r="D287">
        <v>20578462</v>
      </c>
      <c r="E287" t="s">
        <v>3128</v>
      </c>
      <c r="F287" t="s">
        <v>1782</v>
      </c>
      <c r="G287" t="s">
        <v>3134</v>
      </c>
      <c r="H287" t="s">
        <v>1252</v>
      </c>
      <c r="J287" s="455">
        <v>46214</v>
      </c>
      <c r="U287" s="455">
        <v>46215</v>
      </c>
    </row>
    <row r="288" spans="1:21">
      <c r="A288" t="s">
        <v>1751</v>
      </c>
      <c r="B288" t="s">
        <v>4499</v>
      </c>
      <c r="C288" t="s">
        <v>1751</v>
      </c>
      <c r="D288">
        <v>20586459</v>
      </c>
      <c r="E288" t="s">
        <v>3128</v>
      </c>
      <c r="F288" t="s">
        <v>1782</v>
      </c>
      <c r="G288" t="s">
        <v>3141</v>
      </c>
      <c r="H288" t="s">
        <v>1252</v>
      </c>
      <c r="J288" s="455">
        <v>46221</v>
      </c>
      <c r="U288" s="455">
        <v>46227</v>
      </c>
    </row>
    <row r="289" spans="1:21">
      <c r="A289" t="s">
        <v>1751</v>
      </c>
      <c r="B289" t="s">
        <v>4500</v>
      </c>
      <c r="C289" t="s">
        <v>1751</v>
      </c>
      <c r="D289">
        <v>20590130</v>
      </c>
      <c r="E289" t="s">
        <v>3128</v>
      </c>
      <c r="F289" t="s">
        <v>1782</v>
      </c>
      <c r="G289" t="s">
        <v>3129</v>
      </c>
      <c r="H289" t="s">
        <v>1247</v>
      </c>
      <c r="J289" s="455">
        <v>46225</v>
      </c>
      <c r="U289" s="455">
        <v>46242</v>
      </c>
    </row>
    <row r="290" spans="1:21">
      <c r="A290" t="s">
        <v>1751</v>
      </c>
      <c r="B290" t="s">
        <v>4501</v>
      </c>
      <c r="C290" t="s">
        <v>1751</v>
      </c>
      <c r="D290">
        <v>20571591</v>
      </c>
      <c r="E290" t="s">
        <v>3128</v>
      </c>
      <c r="F290" t="s">
        <v>1241</v>
      </c>
      <c r="G290" t="s">
        <v>3143</v>
      </c>
      <c r="H290" t="s">
        <v>1248</v>
      </c>
      <c r="J290" s="455">
        <v>46205</v>
      </c>
      <c r="U290" s="455">
        <v>46221</v>
      </c>
    </row>
    <row r="291" spans="1:21">
      <c r="A291" t="s">
        <v>1751</v>
      </c>
      <c r="B291" t="s">
        <v>4502</v>
      </c>
      <c r="C291" t="s">
        <v>1751</v>
      </c>
      <c r="D291">
        <v>20585070</v>
      </c>
      <c r="E291" t="s">
        <v>3128</v>
      </c>
      <c r="F291" t="s">
        <v>1241</v>
      </c>
      <c r="G291" t="s">
        <v>3134</v>
      </c>
      <c r="H291" t="s">
        <v>1252</v>
      </c>
      <c r="J291" s="455">
        <v>46219</v>
      </c>
      <c r="U291" s="455">
        <v>46275</v>
      </c>
    </row>
    <row r="292" spans="1:21">
      <c r="A292" t="s">
        <v>1751</v>
      </c>
      <c r="B292" t="s">
        <v>4503</v>
      </c>
      <c r="C292" t="s">
        <v>1751</v>
      </c>
      <c r="D292">
        <v>20595134</v>
      </c>
      <c r="E292" t="s">
        <v>3128</v>
      </c>
      <c r="F292" t="s">
        <v>1241</v>
      </c>
      <c r="G292" t="s">
        <v>3134</v>
      </c>
      <c r="H292" t="s">
        <v>3165</v>
      </c>
      <c r="J292" s="455">
        <v>46231</v>
      </c>
      <c r="U292" s="455">
        <v>46235</v>
      </c>
    </row>
    <row r="293" spans="1:21">
      <c r="A293" t="s">
        <v>1751</v>
      </c>
      <c r="B293" t="s">
        <v>4504</v>
      </c>
      <c r="C293" t="s">
        <v>1751</v>
      </c>
      <c r="D293">
        <v>20586131</v>
      </c>
      <c r="E293" t="s">
        <v>1897</v>
      </c>
      <c r="F293" t="s">
        <v>1241</v>
      </c>
      <c r="G293" t="s">
        <v>3134</v>
      </c>
      <c r="H293" t="s">
        <v>1247</v>
      </c>
      <c r="J293" s="455">
        <v>46221</v>
      </c>
      <c r="K293" s="455">
        <v>46221</v>
      </c>
      <c r="U293" s="455">
        <v>46221</v>
      </c>
    </row>
    <row r="294" spans="1:21">
      <c r="A294" t="s">
        <v>1751</v>
      </c>
      <c r="B294" t="s">
        <v>4505</v>
      </c>
      <c r="C294" t="s">
        <v>1751</v>
      </c>
      <c r="D294">
        <v>20593723</v>
      </c>
      <c r="E294" t="s">
        <v>3128</v>
      </c>
      <c r="F294" t="s">
        <v>1237</v>
      </c>
      <c r="G294" t="s">
        <v>3143</v>
      </c>
      <c r="H294" t="s">
        <v>1252</v>
      </c>
      <c r="J294" s="455">
        <v>46230</v>
      </c>
      <c r="U294" s="455">
        <v>46259</v>
      </c>
    </row>
    <row r="295" spans="1:21">
      <c r="A295" t="s">
        <v>1751</v>
      </c>
      <c r="B295" t="s">
        <v>4506</v>
      </c>
      <c r="C295" t="s">
        <v>1751</v>
      </c>
      <c r="D295">
        <v>20534734</v>
      </c>
      <c r="E295" t="s">
        <v>3142</v>
      </c>
      <c r="F295" t="s">
        <v>1242</v>
      </c>
      <c r="G295" t="s">
        <v>2009</v>
      </c>
      <c r="H295" t="s">
        <v>1251</v>
      </c>
      <c r="I295" t="s">
        <v>2621</v>
      </c>
      <c r="J295" s="455">
        <v>46166</v>
      </c>
      <c r="K295" s="455">
        <v>46221</v>
      </c>
      <c r="L295" s="455">
        <v>46221</v>
      </c>
      <c r="M295" s="455">
        <v>46227</v>
      </c>
      <c r="N295" s="455">
        <v>46227</v>
      </c>
      <c r="P295" s="455">
        <v>46227</v>
      </c>
      <c r="Q295" s="455">
        <v>46230</v>
      </c>
      <c r="U295" s="455">
        <v>46284</v>
      </c>
    </row>
    <row r="296" spans="1:21">
      <c r="A296" t="s">
        <v>1751</v>
      </c>
      <c r="B296" t="s">
        <v>4507</v>
      </c>
      <c r="C296" t="s">
        <v>1751</v>
      </c>
      <c r="D296">
        <v>20579368</v>
      </c>
      <c r="E296" t="s">
        <v>3128</v>
      </c>
      <c r="F296" t="s">
        <v>1237</v>
      </c>
      <c r="G296" t="s">
        <v>3137</v>
      </c>
      <c r="H296" t="s">
        <v>1251</v>
      </c>
      <c r="I296" t="s">
        <v>3170</v>
      </c>
      <c r="J296" s="455">
        <v>46215</v>
      </c>
      <c r="U296" s="455">
        <v>46215</v>
      </c>
    </row>
    <row r="297" spans="1:21">
      <c r="A297" t="s">
        <v>1751</v>
      </c>
      <c r="B297" t="s">
        <v>4508</v>
      </c>
      <c r="C297" t="s">
        <v>1751</v>
      </c>
      <c r="D297">
        <v>20577368</v>
      </c>
      <c r="E297" t="s">
        <v>3128</v>
      </c>
      <c r="F297" t="s">
        <v>1241</v>
      </c>
      <c r="G297" t="s">
        <v>3137</v>
      </c>
      <c r="H297" t="s">
        <v>1251</v>
      </c>
      <c r="J297" s="455">
        <v>46212</v>
      </c>
      <c r="U297" s="455">
        <v>46212</v>
      </c>
    </row>
    <row r="298" spans="1:21">
      <c r="A298" t="s">
        <v>1751</v>
      </c>
      <c r="B298" t="s">
        <v>4509</v>
      </c>
      <c r="C298" t="s">
        <v>1751</v>
      </c>
      <c r="D298">
        <v>20586979</v>
      </c>
      <c r="E298" t="s">
        <v>3128</v>
      </c>
      <c r="F298" t="s">
        <v>1241</v>
      </c>
      <c r="G298" t="s">
        <v>3134</v>
      </c>
      <c r="H298" t="s">
        <v>3165</v>
      </c>
      <c r="J298" s="455">
        <v>46222</v>
      </c>
      <c r="U298" s="455">
        <v>46235</v>
      </c>
    </row>
    <row r="299" spans="1:21">
      <c r="A299" t="s">
        <v>1751</v>
      </c>
      <c r="B299" t="s">
        <v>4510</v>
      </c>
      <c r="C299" t="s">
        <v>1751</v>
      </c>
      <c r="D299">
        <v>20586667</v>
      </c>
      <c r="E299" t="s">
        <v>3128</v>
      </c>
      <c r="F299" t="s">
        <v>1782</v>
      </c>
      <c r="G299" t="s">
        <v>3134</v>
      </c>
      <c r="H299" t="s">
        <v>1252</v>
      </c>
      <c r="J299" s="455">
        <v>46221</v>
      </c>
      <c r="U299" s="455">
        <v>46234</v>
      </c>
    </row>
    <row r="300" spans="1:21">
      <c r="A300" t="s">
        <v>1751</v>
      </c>
      <c r="B300" t="s">
        <v>4511</v>
      </c>
      <c r="C300" t="s">
        <v>1751</v>
      </c>
      <c r="D300">
        <v>20593260</v>
      </c>
      <c r="E300" t="s">
        <v>3128</v>
      </c>
      <c r="F300" t="s">
        <v>1241</v>
      </c>
      <c r="G300" t="s">
        <v>3134</v>
      </c>
      <c r="H300" t="s">
        <v>1252</v>
      </c>
      <c r="J300" s="455">
        <v>46230</v>
      </c>
      <c r="U300" s="455">
        <v>46234</v>
      </c>
    </row>
    <row r="301" spans="1:21">
      <c r="A301" t="s">
        <v>1751</v>
      </c>
      <c r="B301" t="s">
        <v>4511</v>
      </c>
      <c r="C301" t="s">
        <v>1751</v>
      </c>
      <c r="D301">
        <v>20594453</v>
      </c>
      <c r="E301" t="s">
        <v>3128</v>
      </c>
      <c r="F301" t="s">
        <v>1241</v>
      </c>
      <c r="G301" t="s">
        <v>3134</v>
      </c>
      <c r="H301" t="s">
        <v>1252</v>
      </c>
      <c r="J301" s="455">
        <v>46231</v>
      </c>
      <c r="U301" s="455">
        <v>46234</v>
      </c>
    </row>
    <row r="302" spans="1:21">
      <c r="A302" t="s">
        <v>1751</v>
      </c>
      <c r="B302" t="s">
        <v>4512</v>
      </c>
      <c r="C302" t="s">
        <v>1751</v>
      </c>
      <c r="D302">
        <v>20572389</v>
      </c>
      <c r="E302" t="s">
        <v>3133</v>
      </c>
      <c r="F302" t="s">
        <v>1237</v>
      </c>
      <c r="G302" t="s">
        <v>3134</v>
      </c>
      <c r="H302" t="s">
        <v>1247</v>
      </c>
      <c r="I302" t="s">
        <v>1567</v>
      </c>
      <c r="J302" s="455">
        <v>46206</v>
      </c>
      <c r="K302" s="455">
        <v>46206</v>
      </c>
      <c r="L302" s="455">
        <v>46206</v>
      </c>
      <c r="M302" s="455">
        <v>46216</v>
      </c>
      <c r="N302" s="455">
        <v>46216</v>
      </c>
      <c r="R302" s="455">
        <v>46219</v>
      </c>
      <c r="U302" s="455">
        <v>46233</v>
      </c>
    </row>
    <row r="303" spans="1:21">
      <c r="A303" t="s">
        <v>1751</v>
      </c>
      <c r="B303" t="s">
        <v>4513</v>
      </c>
      <c r="C303" t="s">
        <v>1751</v>
      </c>
      <c r="D303">
        <v>20588008</v>
      </c>
      <c r="E303" t="s">
        <v>3128</v>
      </c>
      <c r="F303" t="s">
        <v>1782</v>
      </c>
      <c r="G303" t="s">
        <v>3137</v>
      </c>
      <c r="H303" t="s">
        <v>1251</v>
      </c>
      <c r="J303" s="455">
        <v>46223</v>
      </c>
      <c r="U303" s="455">
        <v>46223</v>
      </c>
    </row>
    <row r="304" spans="1:21">
      <c r="A304" t="s">
        <v>1751</v>
      </c>
      <c r="B304" t="s">
        <v>4514</v>
      </c>
      <c r="C304" t="s">
        <v>1751</v>
      </c>
      <c r="D304">
        <v>20586246</v>
      </c>
      <c r="E304" t="s">
        <v>3128</v>
      </c>
      <c r="F304" t="s">
        <v>1241</v>
      </c>
      <c r="G304" t="s">
        <v>3129</v>
      </c>
      <c r="H304" t="s">
        <v>3131</v>
      </c>
      <c r="J304" s="455">
        <v>46221</v>
      </c>
      <c r="U304" s="455">
        <v>46249</v>
      </c>
    </row>
    <row r="305" spans="1:21">
      <c r="A305" t="s">
        <v>1751</v>
      </c>
      <c r="B305" t="s">
        <v>4515</v>
      </c>
      <c r="C305" t="s">
        <v>1751</v>
      </c>
      <c r="D305">
        <v>20580475</v>
      </c>
      <c r="E305" t="s">
        <v>3133</v>
      </c>
      <c r="F305" t="s">
        <v>3285</v>
      </c>
      <c r="G305" t="s">
        <v>3134</v>
      </c>
      <c r="H305" t="s">
        <v>1247</v>
      </c>
      <c r="I305" t="s">
        <v>2686</v>
      </c>
      <c r="J305" s="455">
        <v>46216</v>
      </c>
      <c r="K305" s="455">
        <v>46216</v>
      </c>
      <c r="L305" s="455">
        <v>46216</v>
      </c>
      <c r="S305" s="455">
        <v>46218</v>
      </c>
      <c r="U305" s="455">
        <v>46227</v>
      </c>
    </row>
    <row r="306" spans="1:21">
      <c r="A306" t="s">
        <v>1751</v>
      </c>
      <c r="B306" t="s">
        <v>4516</v>
      </c>
      <c r="C306" t="s">
        <v>1751</v>
      </c>
      <c r="D306">
        <v>20572603</v>
      </c>
      <c r="E306" t="s">
        <v>3128</v>
      </c>
      <c r="F306" t="s">
        <v>1782</v>
      </c>
      <c r="G306" t="s">
        <v>3134</v>
      </c>
      <c r="H306" t="s">
        <v>3165</v>
      </c>
      <c r="J306" s="455">
        <v>46207</v>
      </c>
      <c r="U306" s="455">
        <v>46247</v>
      </c>
    </row>
    <row r="307" spans="1:21">
      <c r="A307" t="s">
        <v>1751</v>
      </c>
      <c r="B307" t="s">
        <v>4517</v>
      </c>
      <c r="C307" t="s">
        <v>1751</v>
      </c>
      <c r="D307">
        <v>20577767</v>
      </c>
      <c r="E307" t="s">
        <v>3128</v>
      </c>
      <c r="F307" t="s">
        <v>1241</v>
      </c>
      <c r="G307" t="s">
        <v>3141</v>
      </c>
      <c r="H307" t="s">
        <v>1247</v>
      </c>
      <c r="J307" s="455">
        <v>46213</v>
      </c>
      <c r="U307" s="455">
        <v>46213</v>
      </c>
    </row>
    <row r="308" spans="1:21">
      <c r="A308" t="s">
        <v>1751</v>
      </c>
      <c r="B308" t="s">
        <v>4518</v>
      </c>
      <c r="C308" t="s">
        <v>1751</v>
      </c>
      <c r="D308">
        <v>20596373</v>
      </c>
      <c r="E308" t="s">
        <v>3128</v>
      </c>
      <c r="F308" t="s">
        <v>1241</v>
      </c>
      <c r="G308" t="s">
        <v>3141</v>
      </c>
      <c r="H308" t="s">
        <v>1251</v>
      </c>
      <c r="J308" s="455">
        <v>46233</v>
      </c>
      <c r="U308" s="455">
        <v>46233</v>
      </c>
    </row>
    <row r="309" spans="1:21">
      <c r="A309" t="s">
        <v>1751</v>
      </c>
      <c r="B309" t="s">
        <v>4519</v>
      </c>
      <c r="C309" t="s">
        <v>1751</v>
      </c>
      <c r="D309">
        <v>20586554</v>
      </c>
      <c r="E309" t="s">
        <v>1897</v>
      </c>
      <c r="F309" t="s">
        <v>1241</v>
      </c>
      <c r="G309" t="s">
        <v>2009</v>
      </c>
      <c r="H309" t="s">
        <v>1252</v>
      </c>
      <c r="I309" t="s">
        <v>2537</v>
      </c>
      <c r="J309" s="455">
        <v>46221</v>
      </c>
      <c r="K309" s="455">
        <v>46221</v>
      </c>
      <c r="U309" s="455">
        <v>46242</v>
      </c>
    </row>
    <row r="310" spans="1:21">
      <c r="A310" t="s">
        <v>1751</v>
      </c>
      <c r="B310" t="s">
        <v>4520</v>
      </c>
      <c r="C310" t="s">
        <v>1751</v>
      </c>
      <c r="D310">
        <v>20574639</v>
      </c>
      <c r="E310" t="s">
        <v>3128</v>
      </c>
      <c r="F310" t="s">
        <v>1241</v>
      </c>
      <c r="G310" t="s">
        <v>3141</v>
      </c>
      <c r="H310" t="s">
        <v>1252</v>
      </c>
      <c r="J310" s="455">
        <v>46210</v>
      </c>
      <c r="U310" s="455">
        <v>46358</v>
      </c>
    </row>
    <row r="311" spans="1:21">
      <c r="A311" t="s">
        <v>1751</v>
      </c>
      <c r="B311" t="s">
        <v>4521</v>
      </c>
      <c r="C311" t="s">
        <v>1751</v>
      </c>
      <c r="D311">
        <v>20578411</v>
      </c>
      <c r="E311" t="s">
        <v>3128</v>
      </c>
      <c r="F311" t="s">
        <v>1782</v>
      </c>
      <c r="G311" t="s">
        <v>3141</v>
      </c>
      <c r="H311" t="s">
        <v>1252</v>
      </c>
      <c r="J311" s="455">
        <v>46213</v>
      </c>
      <c r="U311" s="455">
        <v>46229</v>
      </c>
    </row>
    <row r="312" spans="1:21">
      <c r="A312" t="s">
        <v>1751</v>
      </c>
      <c r="B312" t="s">
        <v>4522</v>
      </c>
      <c r="C312" t="s">
        <v>1751</v>
      </c>
      <c r="D312">
        <v>20571480</v>
      </c>
      <c r="E312" t="s">
        <v>1897</v>
      </c>
      <c r="F312" t="s">
        <v>1237</v>
      </c>
      <c r="G312" t="s">
        <v>3134</v>
      </c>
      <c r="H312" t="s">
        <v>1247</v>
      </c>
      <c r="J312" s="455">
        <v>46205</v>
      </c>
      <c r="K312" s="455">
        <v>46205</v>
      </c>
      <c r="U312" s="455">
        <v>46205</v>
      </c>
    </row>
    <row r="313" spans="1:21">
      <c r="A313" t="s">
        <v>1751</v>
      </c>
      <c r="B313" t="s">
        <v>4523</v>
      </c>
      <c r="C313" t="s">
        <v>1751</v>
      </c>
      <c r="D313">
        <v>20594875</v>
      </c>
      <c r="E313" t="s">
        <v>3128</v>
      </c>
      <c r="F313" t="s">
        <v>3285</v>
      </c>
      <c r="G313" t="s">
        <v>3141</v>
      </c>
      <c r="H313" t="s">
        <v>4278</v>
      </c>
      <c r="J313" s="455">
        <v>46231</v>
      </c>
      <c r="U313" s="455">
        <v>46245</v>
      </c>
    </row>
    <row r="314" spans="1:21">
      <c r="A314" t="s">
        <v>1751</v>
      </c>
      <c r="B314" t="s">
        <v>4524</v>
      </c>
      <c r="C314" t="s">
        <v>1751</v>
      </c>
      <c r="D314">
        <v>20574407</v>
      </c>
      <c r="E314" t="s">
        <v>3128</v>
      </c>
      <c r="F314" t="s">
        <v>1241</v>
      </c>
      <c r="G314" t="s">
        <v>3141</v>
      </c>
      <c r="H314" t="s">
        <v>1252</v>
      </c>
      <c r="J314" s="455">
        <v>46209</v>
      </c>
      <c r="U314" s="455">
        <v>46251</v>
      </c>
    </row>
    <row r="315" spans="1:21">
      <c r="A315" t="s">
        <v>1751</v>
      </c>
      <c r="B315" t="s">
        <v>4525</v>
      </c>
      <c r="C315" t="s">
        <v>1751</v>
      </c>
      <c r="D315">
        <v>20574420</v>
      </c>
      <c r="E315" t="s">
        <v>3128</v>
      </c>
      <c r="F315" t="s">
        <v>1241</v>
      </c>
      <c r="G315" t="s">
        <v>3141</v>
      </c>
      <c r="H315" t="s">
        <v>1252</v>
      </c>
      <c r="J315" s="455">
        <v>46209</v>
      </c>
      <c r="U315" s="455">
        <v>46234</v>
      </c>
    </row>
    <row r="316" spans="1:21">
      <c r="A316" t="s">
        <v>1751</v>
      </c>
      <c r="B316" t="s">
        <v>4526</v>
      </c>
      <c r="C316" t="s">
        <v>1751</v>
      </c>
      <c r="D316">
        <v>20586790</v>
      </c>
      <c r="E316" t="s">
        <v>3128</v>
      </c>
      <c r="F316" t="s">
        <v>1782</v>
      </c>
      <c r="G316" t="s">
        <v>3141</v>
      </c>
      <c r="H316" t="s">
        <v>1252</v>
      </c>
      <c r="J316" s="455">
        <v>46222</v>
      </c>
      <c r="U316" s="455">
        <v>46451</v>
      </c>
    </row>
    <row r="317" spans="1:21">
      <c r="A317" t="s">
        <v>1751</v>
      </c>
      <c r="B317" t="s">
        <v>4527</v>
      </c>
      <c r="C317" t="s">
        <v>1751</v>
      </c>
      <c r="D317">
        <v>20595117</v>
      </c>
      <c r="E317" t="s">
        <v>1907</v>
      </c>
      <c r="F317" t="s">
        <v>3285</v>
      </c>
      <c r="G317" t="s">
        <v>3134</v>
      </c>
      <c r="H317" t="s">
        <v>1252</v>
      </c>
      <c r="I317" t="s">
        <v>2498</v>
      </c>
      <c r="J317" s="455">
        <v>46231</v>
      </c>
      <c r="K317" s="455">
        <v>46232</v>
      </c>
      <c r="L317" s="455">
        <v>46233</v>
      </c>
      <c r="U317" s="455">
        <v>46262</v>
      </c>
    </row>
    <row r="318" spans="1:21">
      <c r="A318" t="s">
        <v>1751</v>
      </c>
      <c r="B318" t="s">
        <v>4528</v>
      </c>
      <c r="C318" t="s">
        <v>1751</v>
      </c>
      <c r="D318">
        <v>20591927</v>
      </c>
      <c r="E318" t="s">
        <v>1907</v>
      </c>
      <c r="F318" t="s">
        <v>1237</v>
      </c>
      <c r="G318" t="s">
        <v>3137</v>
      </c>
      <c r="H318" t="s">
        <v>1252</v>
      </c>
      <c r="I318" t="s">
        <v>4208</v>
      </c>
      <c r="J318" s="455">
        <v>46227</v>
      </c>
      <c r="K318" s="455">
        <v>46232</v>
      </c>
      <c r="L318" s="455">
        <v>46232</v>
      </c>
      <c r="U318" s="455">
        <v>46248</v>
      </c>
    </row>
    <row r="319" spans="1:21">
      <c r="A319" t="s">
        <v>1751</v>
      </c>
      <c r="B319" t="s">
        <v>4529</v>
      </c>
      <c r="C319" t="s">
        <v>1751</v>
      </c>
      <c r="D319">
        <v>20571374</v>
      </c>
      <c r="E319" t="s">
        <v>3128</v>
      </c>
      <c r="F319" t="s">
        <v>1238</v>
      </c>
      <c r="G319" t="s">
        <v>3129</v>
      </c>
      <c r="H319" t="s">
        <v>1252</v>
      </c>
      <c r="I319" t="s">
        <v>4195</v>
      </c>
      <c r="J319" s="455">
        <v>46205</v>
      </c>
      <c r="U319" s="455">
        <v>46212</v>
      </c>
    </row>
    <row r="320" spans="1:21">
      <c r="A320" t="s">
        <v>1751</v>
      </c>
      <c r="B320" t="s">
        <v>4530</v>
      </c>
      <c r="C320" t="s">
        <v>1751</v>
      </c>
      <c r="D320">
        <v>20597369</v>
      </c>
      <c r="E320" t="s">
        <v>3128</v>
      </c>
      <c r="F320" t="s">
        <v>1241</v>
      </c>
      <c r="G320" t="s">
        <v>3134</v>
      </c>
      <c r="H320" t="s">
        <v>1252</v>
      </c>
      <c r="J320" s="455">
        <v>46234</v>
      </c>
      <c r="U320" s="455">
        <v>46238</v>
      </c>
    </row>
    <row r="321" spans="1:21">
      <c r="A321" t="s">
        <v>1751</v>
      </c>
      <c r="B321" t="s">
        <v>4531</v>
      </c>
      <c r="C321" t="s">
        <v>1751</v>
      </c>
      <c r="D321">
        <v>20593062</v>
      </c>
      <c r="E321" t="s">
        <v>3128</v>
      </c>
      <c r="F321" t="s">
        <v>1241</v>
      </c>
      <c r="G321" t="s">
        <v>3134</v>
      </c>
      <c r="H321" t="s">
        <v>3165</v>
      </c>
      <c r="J321" s="455">
        <v>46229</v>
      </c>
      <c r="U321" s="455">
        <v>46230</v>
      </c>
    </row>
    <row r="322" spans="1:21">
      <c r="A322" t="s">
        <v>1751</v>
      </c>
      <c r="B322" t="s">
        <v>4532</v>
      </c>
      <c r="C322" t="s">
        <v>1751</v>
      </c>
      <c r="D322">
        <v>20572086</v>
      </c>
      <c r="E322" t="s">
        <v>3128</v>
      </c>
      <c r="F322" t="s">
        <v>1237</v>
      </c>
      <c r="G322" t="s">
        <v>3129</v>
      </c>
      <c r="H322" t="s">
        <v>3131</v>
      </c>
      <c r="I322" t="s">
        <v>3170</v>
      </c>
      <c r="J322" s="455">
        <v>46206</v>
      </c>
      <c r="U322" s="455">
        <v>46218</v>
      </c>
    </row>
    <row r="323" spans="1:21">
      <c r="A323" t="s">
        <v>1751</v>
      </c>
      <c r="B323" t="s">
        <v>4533</v>
      </c>
      <c r="C323" t="s">
        <v>1751</v>
      </c>
      <c r="D323">
        <v>20589360</v>
      </c>
      <c r="E323" t="s">
        <v>1907</v>
      </c>
      <c r="F323" t="s">
        <v>1243</v>
      </c>
      <c r="G323" t="s">
        <v>3141</v>
      </c>
      <c r="H323" t="s">
        <v>1252</v>
      </c>
      <c r="I323" t="s">
        <v>2437</v>
      </c>
      <c r="J323" s="455">
        <v>46224</v>
      </c>
      <c r="K323" s="455">
        <v>46226</v>
      </c>
      <c r="L323" s="455">
        <v>46226</v>
      </c>
      <c r="U323" s="455">
        <v>46244</v>
      </c>
    </row>
    <row r="324" spans="1:21">
      <c r="A324" t="s">
        <v>1751</v>
      </c>
      <c r="B324" t="s">
        <v>4534</v>
      </c>
      <c r="C324" t="s">
        <v>1751</v>
      </c>
      <c r="D324">
        <v>20576091</v>
      </c>
      <c r="E324" t="s">
        <v>3128</v>
      </c>
      <c r="F324" t="s">
        <v>1242</v>
      </c>
      <c r="G324" t="s">
        <v>3143</v>
      </c>
      <c r="H324" t="s">
        <v>1248</v>
      </c>
      <c r="I324" t="s">
        <v>3170</v>
      </c>
      <c r="J324" s="455">
        <v>46211</v>
      </c>
      <c r="U324" s="455">
        <v>46235</v>
      </c>
    </row>
    <row r="325" spans="1:21">
      <c r="A325" t="s">
        <v>1751</v>
      </c>
      <c r="B325" t="s">
        <v>10996</v>
      </c>
      <c r="C325" t="s">
        <v>1751</v>
      </c>
      <c r="D325">
        <v>20573009</v>
      </c>
      <c r="E325" t="s">
        <v>3128</v>
      </c>
      <c r="F325" t="s">
        <v>1782</v>
      </c>
      <c r="G325" t="s">
        <v>3134</v>
      </c>
      <c r="H325" t="s">
        <v>1252</v>
      </c>
      <c r="J325" s="455">
        <v>46208</v>
      </c>
      <c r="U325" s="455">
        <v>46266</v>
      </c>
    </row>
    <row r="326" spans="1:21">
      <c r="A326" t="s">
        <v>1751</v>
      </c>
      <c r="B326" t="s">
        <v>10996</v>
      </c>
      <c r="C326" t="s">
        <v>1751</v>
      </c>
      <c r="D326">
        <v>20572739</v>
      </c>
      <c r="E326" t="s">
        <v>3128</v>
      </c>
      <c r="F326" t="s">
        <v>1782</v>
      </c>
      <c r="G326" t="s">
        <v>3134</v>
      </c>
      <c r="H326" t="s">
        <v>1252</v>
      </c>
      <c r="J326" s="455">
        <v>46207</v>
      </c>
      <c r="U326" s="455">
        <v>46233</v>
      </c>
    </row>
    <row r="327" spans="1:21">
      <c r="A327" t="s">
        <v>1751</v>
      </c>
      <c r="B327" t="s">
        <v>4535</v>
      </c>
      <c r="C327" t="s">
        <v>1751</v>
      </c>
      <c r="D327">
        <v>20574827</v>
      </c>
      <c r="E327" t="s">
        <v>3128</v>
      </c>
      <c r="F327" t="s">
        <v>1241</v>
      </c>
      <c r="G327" t="s">
        <v>3134</v>
      </c>
      <c r="H327" t="s">
        <v>3165</v>
      </c>
      <c r="J327" s="455">
        <v>46210</v>
      </c>
      <c r="U327" s="455">
        <v>46233</v>
      </c>
    </row>
    <row r="328" spans="1:21">
      <c r="A328" t="s">
        <v>1751</v>
      </c>
      <c r="B328" t="s">
        <v>3545</v>
      </c>
      <c r="C328" t="s">
        <v>1751</v>
      </c>
      <c r="D328">
        <v>20569884</v>
      </c>
      <c r="E328" t="s">
        <v>3190</v>
      </c>
      <c r="F328" t="s">
        <v>1241</v>
      </c>
      <c r="G328" t="s">
        <v>3137</v>
      </c>
      <c r="H328" t="s">
        <v>1252</v>
      </c>
      <c r="J328" s="455">
        <v>46203</v>
      </c>
      <c r="R328" s="455">
        <v>46213</v>
      </c>
      <c r="U328" s="455">
        <v>46244</v>
      </c>
    </row>
    <row r="329" spans="1:21">
      <c r="A329" t="s">
        <v>1751</v>
      </c>
      <c r="B329" t="s">
        <v>4536</v>
      </c>
      <c r="C329" t="s">
        <v>1751</v>
      </c>
      <c r="D329">
        <v>20587169</v>
      </c>
      <c r="E329" t="s">
        <v>1897</v>
      </c>
      <c r="F329" t="s">
        <v>1241</v>
      </c>
      <c r="G329" t="s">
        <v>3137</v>
      </c>
      <c r="H329" t="s">
        <v>1252</v>
      </c>
      <c r="I329" t="s">
        <v>1908</v>
      </c>
      <c r="J329" s="455">
        <v>46222</v>
      </c>
      <c r="K329" s="455">
        <v>46222</v>
      </c>
      <c r="U329" s="455">
        <v>46237</v>
      </c>
    </row>
    <row r="330" spans="1:21">
      <c r="A330" t="s">
        <v>1751</v>
      </c>
      <c r="B330" t="s">
        <v>4537</v>
      </c>
      <c r="C330" t="s">
        <v>1751</v>
      </c>
      <c r="D330">
        <v>20589012</v>
      </c>
      <c r="E330" t="s">
        <v>3128</v>
      </c>
      <c r="F330" t="s">
        <v>3285</v>
      </c>
      <c r="G330" t="s">
        <v>3134</v>
      </c>
      <c r="H330" t="s">
        <v>1252</v>
      </c>
      <c r="J330" s="455">
        <v>46224</v>
      </c>
      <c r="U330" s="455">
        <v>46286</v>
      </c>
    </row>
    <row r="331" spans="1:21">
      <c r="A331" t="s">
        <v>1751</v>
      </c>
      <c r="B331" t="s">
        <v>4538</v>
      </c>
      <c r="C331" t="s">
        <v>1751</v>
      </c>
      <c r="D331">
        <v>20580713</v>
      </c>
      <c r="E331" t="s">
        <v>3128</v>
      </c>
      <c r="F331" t="s">
        <v>1782</v>
      </c>
      <c r="G331" t="s">
        <v>3141</v>
      </c>
      <c r="H331" t="s">
        <v>1252</v>
      </c>
      <c r="J331" s="455">
        <v>46217</v>
      </c>
      <c r="U331" s="455">
        <v>46234</v>
      </c>
    </row>
    <row r="332" spans="1:21">
      <c r="A332" t="s">
        <v>1751</v>
      </c>
      <c r="B332" t="s">
        <v>4539</v>
      </c>
      <c r="C332" t="s">
        <v>1751</v>
      </c>
      <c r="D332">
        <v>20591197</v>
      </c>
      <c r="E332" t="s">
        <v>3128</v>
      </c>
      <c r="F332" t="s">
        <v>1782</v>
      </c>
      <c r="G332" t="s">
        <v>3141</v>
      </c>
      <c r="H332" t="s">
        <v>1252</v>
      </c>
      <c r="J332" s="455">
        <v>46226</v>
      </c>
      <c r="U332" s="455">
        <v>46388</v>
      </c>
    </row>
    <row r="333" spans="1:21">
      <c r="A333" t="s">
        <v>1751</v>
      </c>
      <c r="B333" t="s">
        <v>4540</v>
      </c>
      <c r="C333" t="s">
        <v>1751</v>
      </c>
      <c r="D333">
        <v>20592837</v>
      </c>
      <c r="E333" t="s">
        <v>3128</v>
      </c>
      <c r="F333" t="s">
        <v>1241</v>
      </c>
      <c r="G333" t="s">
        <v>3134</v>
      </c>
      <c r="H333" t="s">
        <v>3165</v>
      </c>
      <c r="J333" s="455">
        <v>46229</v>
      </c>
      <c r="U333" s="455">
        <v>46600</v>
      </c>
    </row>
    <row r="334" spans="1:21">
      <c r="A334" t="s">
        <v>1751</v>
      </c>
      <c r="B334" t="s">
        <v>3551</v>
      </c>
      <c r="C334" t="s">
        <v>1751</v>
      </c>
      <c r="D334">
        <v>20549096</v>
      </c>
      <c r="E334" t="s">
        <v>1897</v>
      </c>
      <c r="F334" t="s">
        <v>1238</v>
      </c>
      <c r="G334" t="s">
        <v>3137</v>
      </c>
      <c r="H334" t="s">
        <v>1247</v>
      </c>
      <c r="J334" s="455">
        <v>46182</v>
      </c>
      <c r="K334" s="455">
        <v>46203</v>
      </c>
      <c r="T334" s="455">
        <v>46218</v>
      </c>
      <c r="U334" s="455">
        <v>46253</v>
      </c>
    </row>
    <row r="335" spans="1:21">
      <c r="A335" t="s">
        <v>1751</v>
      </c>
      <c r="B335" t="s">
        <v>4541</v>
      </c>
      <c r="C335" t="s">
        <v>1751</v>
      </c>
      <c r="D335">
        <v>20572764</v>
      </c>
      <c r="E335" t="s">
        <v>3128</v>
      </c>
      <c r="F335" t="s">
        <v>1782</v>
      </c>
      <c r="G335" t="s">
        <v>3141</v>
      </c>
      <c r="H335" t="s">
        <v>1252</v>
      </c>
      <c r="J335" s="455">
        <v>46207</v>
      </c>
      <c r="U335" s="455">
        <v>46246</v>
      </c>
    </row>
    <row r="336" spans="1:21">
      <c r="A336" t="s">
        <v>1751</v>
      </c>
      <c r="B336" t="s">
        <v>4542</v>
      </c>
      <c r="C336" t="s">
        <v>1751</v>
      </c>
      <c r="D336">
        <v>20591452</v>
      </c>
      <c r="E336" t="s">
        <v>3128</v>
      </c>
      <c r="F336" t="s">
        <v>1242</v>
      </c>
      <c r="G336" t="s">
        <v>3141</v>
      </c>
      <c r="H336" t="s">
        <v>1250</v>
      </c>
      <c r="J336" s="455">
        <v>46227</v>
      </c>
      <c r="U336" s="455">
        <v>46248</v>
      </c>
    </row>
    <row r="337" spans="1:21">
      <c r="A337" t="s">
        <v>1751</v>
      </c>
      <c r="B337" t="s">
        <v>3100</v>
      </c>
      <c r="C337" t="s">
        <v>1751</v>
      </c>
      <c r="D337">
        <v>20558867</v>
      </c>
      <c r="E337" t="s">
        <v>3142</v>
      </c>
      <c r="F337" t="s">
        <v>1243</v>
      </c>
      <c r="G337" t="s">
        <v>3134</v>
      </c>
      <c r="H337" t="s">
        <v>1252</v>
      </c>
      <c r="I337" t="s">
        <v>2539</v>
      </c>
      <c r="J337" s="455">
        <v>46190</v>
      </c>
      <c r="K337" s="455">
        <v>46190</v>
      </c>
      <c r="L337" s="455">
        <v>46190</v>
      </c>
      <c r="M337" s="455">
        <v>46198</v>
      </c>
      <c r="N337" s="455">
        <v>46198</v>
      </c>
      <c r="O337" s="455">
        <v>46203</v>
      </c>
      <c r="P337" s="455">
        <v>46203</v>
      </c>
      <c r="Q337" s="455">
        <v>46204</v>
      </c>
      <c r="U337" s="455">
        <v>46224</v>
      </c>
    </row>
    <row r="338" spans="1:21">
      <c r="A338" t="s">
        <v>1751</v>
      </c>
      <c r="B338" t="s">
        <v>4543</v>
      </c>
      <c r="C338" t="s">
        <v>1751</v>
      </c>
      <c r="D338">
        <v>20591937</v>
      </c>
      <c r="E338" t="s">
        <v>3128</v>
      </c>
      <c r="F338" t="s">
        <v>1782</v>
      </c>
      <c r="G338" t="s">
        <v>3134</v>
      </c>
      <c r="H338" t="s">
        <v>3165</v>
      </c>
      <c r="J338" s="455">
        <v>46227</v>
      </c>
      <c r="U338" s="455">
        <v>46230</v>
      </c>
    </row>
    <row r="339" spans="1:21">
      <c r="A339" t="s">
        <v>1751</v>
      </c>
      <c r="B339" t="s">
        <v>3561</v>
      </c>
      <c r="C339" t="s">
        <v>1751</v>
      </c>
      <c r="D339">
        <v>20570796</v>
      </c>
      <c r="E339" t="s">
        <v>1897</v>
      </c>
      <c r="F339" t="s">
        <v>1241</v>
      </c>
      <c r="G339" t="s">
        <v>3134</v>
      </c>
      <c r="H339" t="s">
        <v>1247</v>
      </c>
      <c r="I339" t="s">
        <v>1528</v>
      </c>
      <c r="J339" s="455">
        <v>46204</v>
      </c>
      <c r="K339" s="455">
        <v>46204</v>
      </c>
      <c r="U339" s="455">
        <v>46214</v>
      </c>
    </row>
    <row r="340" spans="1:21">
      <c r="A340" t="s">
        <v>1751</v>
      </c>
      <c r="B340" t="s">
        <v>4544</v>
      </c>
      <c r="C340" t="s">
        <v>1751</v>
      </c>
      <c r="D340">
        <v>20580488</v>
      </c>
      <c r="E340" t="s">
        <v>3128</v>
      </c>
      <c r="F340" t="s">
        <v>1241</v>
      </c>
      <c r="G340" t="s">
        <v>3134</v>
      </c>
      <c r="H340" t="s">
        <v>1252</v>
      </c>
      <c r="J340" s="455">
        <v>46216</v>
      </c>
      <c r="U340" s="455">
        <v>46266</v>
      </c>
    </row>
    <row r="341" spans="1:21">
      <c r="A341" t="s">
        <v>1751</v>
      </c>
      <c r="B341" t="s">
        <v>4545</v>
      </c>
      <c r="C341" t="s">
        <v>1751</v>
      </c>
      <c r="D341">
        <v>20582472</v>
      </c>
      <c r="E341" t="s">
        <v>1897</v>
      </c>
      <c r="F341" t="s">
        <v>1241</v>
      </c>
      <c r="G341" t="s">
        <v>3134</v>
      </c>
      <c r="H341" t="s">
        <v>1247</v>
      </c>
      <c r="J341" s="455">
        <v>46218</v>
      </c>
      <c r="K341" s="455">
        <v>46218</v>
      </c>
      <c r="U341" s="455">
        <v>46230</v>
      </c>
    </row>
    <row r="342" spans="1:21">
      <c r="A342" t="s">
        <v>1751</v>
      </c>
      <c r="B342" t="s">
        <v>4546</v>
      </c>
      <c r="C342" t="s">
        <v>1751</v>
      </c>
      <c r="D342">
        <v>20589672</v>
      </c>
      <c r="E342" t="s">
        <v>3128</v>
      </c>
      <c r="F342" t="s">
        <v>1782</v>
      </c>
      <c r="G342" t="s">
        <v>3137</v>
      </c>
      <c r="H342" t="s">
        <v>1252</v>
      </c>
      <c r="J342" s="455">
        <v>46225</v>
      </c>
      <c r="U342" s="455">
        <v>46238</v>
      </c>
    </row>
    <row r="343" spans="1:21">
      <c r="A343" t="s">
        <v>1751</v>
      </c>
      <c r="B343" t="s">
        <v>4547</v>
      </c>
      <c r="C343" t="s">
        <v>1751</v>
      </c>
      <c r="D343">
        <v>20589708</v>
      </c>
      <c r="E343" t="s">
        <v>3128</v>
      </c>
      <c r="F343" t="s">
        <v>1782</v>
      </c>
      <c r="G343" t="s">
        <v>3129</v>
      </c>
      <c r="H343" t="s">
        <v>1252</v>
      </c>
      <c r="J343" s="455">
        <v>46225</v>
      </c>
      <c r="U343" s="455">
        <v>46225</v>
      </c>
    </row>
    <row r="344" spans="1:21">
      <c r="A344" t="s">
        <v>1751</v>
      </c>
      <c r="B344" t="s">
        <v>4548</v>
      </c>
      <c r="C344" t="s">
        <v>1751</v>
      </c>
      <c r="D344">
        <v>20596084</v>
      </c>
      <c r="E344" t="s">
        <v>1897</v>
      </c>
      <c r="F344" t="s">
        <v>1241</v>
      </c>
      <c r="G344" t="s">
        <v>3134</v>
      </c>
      <c r="H344" t="s">
        <v>1247</v>
      </c>
      <c r="I344" t="s">
        <v>1527</v>
      </c>
      <c r="J344" s="455">
        <v>46232</v>
      </c>
      <c r="K344" s="455">
        <v>46232</v>
      </c>
      <c r="U344" s="455">
        <v>46233</v>
      </c>
    </row>
    <row r="345" spans="1:21">
      <c r="A345" t="s">
        <v>1751</v>
      </c>
      <c r="B345" t="s">
        <v>3565</v>
      </c>
      <c r="C345" t="s">
        <v>1751</v>
      </c>
      <c r="D345">
        <v>20563034</v>
      </c>
      <c r="E345" t="s">
        <v>3133</v>
      </c>
      <c r="F345" t="s">
        <v>1241</v>
      </c>
      <c r="G345" t="s">
        <v>3134</v>
      </c>
      <c r="H345" t="s">
        <v>1247</v>
      </c>
      <c r="J345" s="455">
        <v>46196</v>
      </c>
      <c r="K345" s="455">
        <v>46196</v>
      </c>
      <c r="R345" s="455">
        <v>46212</v>
      </c>
      <c r="U345" s="455">
        <v>46196</v>
      </c>
    </row>
    <row r="346" spans="1:21">
      <c r="A346" t="s">
        <v>1751</v>
      </c>
      <c r="B346" t="s">
        <v>4549</v>
      </c>
      <c r="C346" t="s">
        <v>1751</v>
      </c>
      <c r="D346">
        <v>20594335</v>
      </c>
      <c r="E346" t="s">
        <v>3128</v>
      </c>
      <c r="F346" t="s">
        <v>1782</v>
      </c>
      <c r="G346" t="s">
        <v>3141</v>
      </c>
      <c r="H346" t="s">
        <v>4278</v>
      </c>
      <c r="J346" s="455">
        <v>46231</v>
      </c>
      <c r="U346" s="455">
        <v>46260</v>
      </c>
    </row>
    <row r="347" spans="1:21">
      <c r="A347" t="s">
        <v>1751</v>
      </c>
      <c r="B347" t="s">
        <v>4550</v>
      </c>
      <c r="C347" t="s">
        <v>1751</v>
      </c>
      <c r="D347">
        <v>20594449</v>
      </c>
      <c r="E347" t="s">
        <v>3128</v>
      </c>
      <c r="F347" t="s">
        <v>1241</v>
      </c>
      <c r="G347" t="s">
        <v>3141</v>
      </c>
      <c r="H347" t="s">
        <v>3165</v>
      </c>
      <c r="J347" s="455">
        <v>46231</v>
      </c>
      <c r="U347" s="455">
        <v>46231</v>
      </c>
    </row>
    <row r="348" spans="1:21">
      <c r="A348" t="s">
        <v>1751</v>
      </c>
      <c r="B348" t="s">
        <v>4551</v>
      </c>
      <c r="C348" t="s">
        <v>1751</v>
      </c>
      <c r="D348">
        <v>20573205</v>
      </c>
      <c r="E348" t="s">
        <v>1897</v>
      </c>
      <c r="F348" t="s">
        <v>3285</v>
      </c>
      <c r="G348" t="s">
        <v>3134</v>
      </c>
      <c r="H348" t="s">
        <v>1247</v>
      </c>
      <c r="J348" s="455">
        <v>46208</v>
      </c>
      <c r="K348" s="455">
        <v>46208</v>
      </c>
      <c r="U348" s="455">
        <v>46208</v>
      </c>
    </row>
    <row r="349" spans="1:21">
      <c r="A349" t="s">
        <v>1751</v>
      </c>
      <c r="B349" t="s">
        <v>4552</v>
      </c>
      <c r="C349" t="s">
        <v>1751</v>
      </c>
      <c r="D349">
        <v>20591995</v>
      </c>
      <c r="E349" t="s">
        <v>3128</v>
      </c>
      <c r="F349" t="s">
        <v>1782</v>
      </c>
      <c r="G349" t="s">
        <v>3134</v>
      </c>
      <c r="H349" t="s">
        <v>3165</v>
      </c>
      <c r="J349" s="455">
        <v>46227</v>
      </c>
      <c r="U349" s="455">
        <v>46282</v>
      </c>
    </row>
    <row r="350" spans="1:21">
      <c r="A350" t="s">
        <v>1751</v>
      </c>
      <c r="B350" t="s">
        <v>4553</v>
      </c>
      <c r="C350" t="s">
        <v>1751</v>
      </c>
      <c r="D350">
        <v>20590187</v>
      </c>
      <c r="E350" t="s">
        <v>3128</v>
      </c>
      <c r="F350" t="s">
        <v>1241</v>
      </c>
      <c r="G350" t="s">
        <v>3134</v>
      </c>
      <c r="H350" t="s">
        <v>1252</v>
      </c>
      <c r="J350" s="455">
        <v>46225</v>
      </c>
      <c r="U350" s="455">
        <v>46235</v>
      </c>
    </row>
    <row r="351" spans="1:21">
      <c r="A351" t="s">
        <v>1751</v>
      </c>
      <c r="B351" t="s">
        <v>3075</v>
      </c>
      <c r="C351" t="s">
        <v>1751</v>
      </c>
      <c r="D351">
        <v>20577993</v>
      </c>
      <c r="E351" t="s">
        <v>3128</v>
      </c>
      <c r="F351" t="s">
        <v>1912</v>
      </c>
      <c r="G351" t="s">
        <v>2009</v>
      </c>
      <c r="H351" t="s">
        <v>3358</v>
      </c>
      <c r="J351" s="455">
        <v>46213</v>
      </c>
      <c r="U351" s="455">
        <v>46213</v>
      </c>
    </row>
    <row r="352" spans="1:21">
      <c r="A352" t="s">
        <v>1751</v>
      </c>
      <c r="B352" t="s">
        <v>4554</v>
      </c>
      <c r="C352" t="s">
        <v>1751</v>
      </c>
      <c r="D352">
        <v>20587182</v>
      </c>
      <c r="E352" t="s">
        <v>1897</v>
      </c>
      <c r="F352" t="s">
        <v>1241</v>
      </c>
      <c r="G352" t="s">
        <v>3134</v>
      </c>
      <c r="H352" t="s">
        <v>1247</v>
      </c>
      <c r="I352" t="s">
        <v>2134</v>
      </c>
      <c r="J352" s="455">
        <v>46222</v>
      </c>
      <c r="K352" s="455">
        <v>46222</v>
      </c>
      <c r="U352" s="455">
        <v>46235</v>
      </c>
    </row>
    <row r="353" spans="1:21">
      <c r="A353" t="s">
        <v>1751</v>
      </c>
      <c r="B353" t="s">
        <v>4555</v>
      </c>
      <c r="C353" t="s">
        <v>1751</v>
      </c>
      <c r="D353">
        <v>20578883</v>
      </c>
      <c r="E353" t="s">
        <v>3128</v>
      </c>
      <c r="F353" t="s">
        <v>1239</v>
      </c>
      <c r="G353" t="s">
        <v>3143</v>
      </c>
      <c r="H353" t="s">
        <v>1251</v>
      </c>
      <c r="I353" t="s">
        <v>2148</v>
      </c>
      <c r="J353" s="455">
        <v>46214</v>
      </c>
      <c r="U353" s="455">
        <v>46214</v>
      </c>
    </row>
    <row r="354" spans="1:21">
      <c r="A354" t="s">
        <v>1751</v>
      </c>
      <c r="B354" t="s">
        <v>4556</v>
      </c>
      <c r="C354" t="s">
        <v>1751</v>
      </c>
      <c r="D354">
        <v>20593473</v>
      </c>
      <c r="E354" t="s">
        <v>1901</v>
      </c>
      <c r="F354" t="s">
        <v>1782</v>
      </c>
      <c r="G354" t="s">
        <v>3141</v>
      </c>
      <c r="H354" t="s">
        <v>1251</v>
      </c>
      <c r="I354" t="s">
        <v>4557</v>
      </c>
      <c r="J354" s="455">
        <v>46230</v>
      </c>
      <c r="K354" s="455">
        <v>46232</v>
      </c>
      <c r="L354" s="455">
        <v>46234</v>
      </c>
      <c r="U354" s="455">
        <v>46301</v>
      </c>
    </row>
    <row r="355" spans="1:21">
      <c r="A355" t="s">
        <v>1751</v>
      </c>
      <c r="B355" t="s">
        <v>3575</v>
      </c>
      <c r="C355" t="s">
        <v>1751</v>
      </c>
      <c r="D355">
        <v>20560413</v>
      </c>
      <c r="E355" t="s">
        <v>3133</v>
      </c>
      <c r="F355" t="s">
        <v>1241</v>
      </c>
      <c r="G355" t="s">
        <v>3134</v>
      </c>
      <c r="H355" t="s">
        <v>1248</v>
      </c>
      <c r="I355" t="s">
        <v>2449</v>
      </c>
      <c r="J355" s="455">
        <v>46192</v>
      </c>
      <c r="K355" s="455">
        <v>46192</v>
      </c>
      <c r="R355" s="455">
        <v>46205</v>
      </c>
      <c r="U355" s="455">
        <v>46234</v>
      </c>
    </row>
    <row r="356" spans="1:21">
      <c r="A356" t="s">
        <v>1751</v>
      </c>
      <c r="B356" t="s">
        <v>3577</v>
      </c>
      <c r="C356" t="s">
        <v>1751</v>
      </c>
      <c r="D356">
        <v>20578961</v>
      </c>
      <c r="E356" t="s">
        <v>3133</v>
      </c>
      <c r="F356" t="s">
        <v>1238</v>
      </c>
      <c r="G356" t="s">
        <v>3134</v>
      </c>
      <c r="H356" t="s">
        <v>3165</v>
      </c>
      <c r="I356" t="s">
        <v>1554</v>
      </c>
      <c r="J356" s="455">
        <v>46214</v>
      </c>
      <c r="K356" s="455">
        <v>46220</v>
      </c>
      <c r="L356" s="455">
        <v>46220</v>
      </c>
      <c r="S356" s="455">
        <v>46233</v>
      </c>
      <c r="U356" s="455">
        <v>46242</v>
      </c>
    </row>
    <row r="357" spans="1:21">
      <c r="A357" t="s">
        <v>1751</v>
      </c>
      <c r="B357" t="s">
        <v>3577</v>
      </c>
      <c r="C357" t="s">
        <v>1751</v>
      </c>
      <c r="D357">
        <v>20587617</v>
      </c>
      <c r="E357" t="s">
        <v>3128</v>
      </c>
      <c r="F357" t="s">
        <v>1241</v>
      </c>
      <c r="G357" t="s">
        <v>2009</v>
      </c>
      <c r="H357" t="s">
        <v>3165</v>
      </c>
      <c r="J357" s="455">
        <v>46223</v>
      </c>
      <c r="U357" s="455">
        <v>46233</v>
      </c>
    </row>
    <row r="358" spans="1:21">
      <c r="A358" t="s">
        <v>1751</v>
      </c>
      <c r="B358" t="s">
        <v>3580</v>
      </c>
      <c r="C358" t="s">
        <v>1751</v>
      </c>
      <c r="D358">
        <v>20567141</v>
      </c>
      <c r="E358" t="s">
        <v>3142</v>
      </c>
      <c r="F358" t="s">
        <v>1239</v>
      </c>
      <c r="G358" t="s">
        <v>2009</v>
      </c>
      <c r="H358" t="s">
        <v>1249</v>
      </c>
      <c r="I358" t="s">
        <v>1956</v>
      </c>
      <c r="J358" s="455">
        <v>46200</v>
      </c>
      <c r="K358" s="455">
        <v>46200</v>
      </c>
      <c r="L358" s="455">
        <v>46202</v>
      </c>
      <c r="M358" s="455">
        <v>46203</v>
      </c>
      <c r="N358" s="455">
        <v>46203</v>
      </c>
      <c r="P358" s="455">
        <v>46206</v>
      </c>
      <c r="Q358" s="455">
        <v>46206</v>
      </c>
      <c r="U358" s="455">
        <v>46206</v>
      </c>
    </row>
    <row r="359" spans="1:21">
      <c r="A359" t="s">
        <v>1751</v>
      </c>
      <c r="B359" t="s">
        <v>4558</v>
      </c>
      <c r="C359" t="s">
        <v>1751</v>
      </c>
      <c r="D359">
        <v>20579061</v>
      </c>
      <c r="E359" t="s">
        <v>1897</v>
      </c>
      <c r="F359" t="s">
        <v>1241</v>
      </c>
      <c r="G359" t="s">
        <v>2009</v>
      </c>
      <c r="H359" t="s">
        <v>1252</v>
      </c>
      <c r="I359" t="s">
        <v>2173</v>
      </c>
      <c r="J359" s="455">
        <v>46214</v>
      </c>
      <c r="K359" s="455">
        <v>46215</v>
      </c>
      <c r="U359" s="455">
        <v>46223</v>
      </c>
    </row>
    <row r="360" spans="1:21">
      <c r="A360" t="s">
        <v>1751</v>
      </c>
      <c r="B360" t="s">
        <v>4559</v>
      </c>
      <c r="C360" t="s">
        <v>1751</v>
      </c>
      <c r="D360">
        <v>20574659</v>
      </c>
      <c r="E360" t="s">
        <v>3128</v>
      </c>
      <c r="F360" t="s">
        <v>1242</v>
      </c>
      <c r="G360" t="s">
        <v>2009</v>
      </c>
      <c r="H360" t="s">
        <v>1251</v>
      </c>
      <c r="J360" s="455">
        <v>46210</v>
      </c>
      <c r="U360" s="455">
        <v>46228</v>
      </c>
    </row>
    <row r="361" spans="1:21">
      <c r="A361" t="s">
        <v>1751</v>
      </c>
      <c r="B361" t="s">
        <v>4560</v>
      </c>
      <c r="C361" t="s">
        <v>1751</v>
      </c>
      <c r="D361">
        <v>20585900</v>
      </c>
      <c r="E361" t="s">
        <v>3128</v>
      </c>
      <c r="F361" t="s">
        <v>1782</v>
      </c>
      <c r="G361" t="s">
        <v>3141</v>
      </c>
      <c r="H361" t="s">
        <v>1252</v>
      </c>
      <c r="J361" s="455">
        <v>46220</v>
      </c>
      <c r="U361" s="455">
        <v>46221</v>
      </c>
    </row>
    <row r="362" spans="1:21">
      <c r="A362" t="s">
        <v>1751</v>
      </c>
      <c r="B362" t="s">
        <v>4561</v>
      </c>
      <c r="C362" t="s">
        <v>1751</v>
      </c>
      <c r="D362">
        <v>20596649</v>
      </c>
      <c r="E362" t="s">
        <v>3128</v>
      </c>
      <c r="F362" t="s">
        <v>1241</v>
      </c>
      <c r="G362" t="s">
        <v>3134</v>
      </c>
      <c r="H362" t="s">
        <v>1252</v>
      </c>
      <c r="J362" s="455">
        <v>46233</v>
      </c>
      <c r="U362" s="455">
        <v>46235</v>
      </c>
    </row>
    <row r="363" spans="1:21">
      <c r="A363" t="s">
        <v>1751</v>
      </c>
      <c r="B363" t="s">
        <v>4562</v>
      </c>
      <c r="C363" t="s">
        <v>1751</v>
      </c>
      <c r="D363">
        <v>20592897</v>
      </c>
      <c r="E363" t="s">
        <v>1897</v>
      </c>
      <c r="F363" t="s">
        <v>1241</v>
      </c>
      <c r="G363" t="s">
        <v>3134</v>
      </c>
      <c r="H363" t="s">
        <v>1247</v>
      </c>
      <c r="I363" t="s">
        <v>1545</v>
      </c>
      <c r="J363" s="455">
        <v>46229</v>
      </c>
      <c r="K363" s="455">
        <v>46229</v>
      </c>
      <c r="U363" s="455">
        <v>46235</v>
      </c>
    </row>
    <row r="364" spans="1:21">
      <c r="A364" t="s">
        <v>1751</v>
      </c>
      <c r="B364" t="s">
        <v>4563</v>
      </c>
      <c r="C364" t="s">
        <v>1751</v>
      </c>
      <c r="D364">
        <v>20591299</v>
      </c>
      <c r="E364" t="s">
        <v>3128</v>
      </c>
      <c r="F364" t="s">
        <v>1782</v>
      </c>
      <c r="G364" t="s">
        <v>3134</v>
      </c>
      <c r="H364" t="s">
        <v>3165</v>
      </c>
      <c r="J364" s="455">
        <v>46227</v>
      </c>
      <c r="U364" s="455">
        <v>46234</v>
      </c>
    </row>
    <row r="365" spans="1:21">
      <c r="A365" t="s">
        <v>1751</v>
      </c>
      <c r="B365" t="s">
        <v>4564</v>
      </c>
      <c r="C365" t="s">
        <v>1751</v>
      </c>
      <c r="D365">
        <v>20577815</v>
      </c>
      <c r="E365" t="s">
        <v>3128</v>
      </c>
      <c r="F365" t="s">
        <v>1237</v>
      </c>
      <c r="G365" t="s">
        <v>2009</v>
      </c>
      <c r="H365" t="s">
        <v>1248</v>
      </c>
      <c r="J365" s="455">
        <v>46213</v>
      </c>
      <c r="U365" s="455">
        <v>46227</v>
      </c>
    </row>
    <row r="366" spans="1:21">
      <c r="A366" t="s">
        <v>1751</v>
      </c>
      <c r="B366" t="s">
        <v>4565</v>
      </c>
      <c r="C366" t="s">
        <v>1751</v>
      </c>
      <c r="D366">
        <v>20590994</v>
      </c>
      <c r="E366" t="s">
        <v>3128</v>
      </c>
      <c r="F366" t="s">
        <v>1782</v>
      </c>
      <c r="G366" t="s">
        <v>3141</v>
      </c>
      <c r="H366" t="s">
        <v>1252</v>
      </c>
      <c r="J366" s="455">
        <v>46226</v>
      </c>
      <c r="U366" s="455">
        <v>46286</v>
      </c>
    </row>
    <row r="367" spans="1:21">
      <c r="A367" t="s">
        <v>1751</v>
      </c>
      <c r="B367" t="s">
        <v>10997</v>
      </c>
      <c r="C367" t="s">
        <v>1751</v>
      </c>
      <c r="D367">
        <v>20593046</v>
      </c>
      <c r="E367" t="s">
        <v>3128</v>
      </c>
      <c r="F367" t="s">
        <v>1241</v>
      </c>
      <c r="G367" t="s">
        <v>3134</v>
      </c>
      <c r="H367" t="s">
        <v>1252</v>
      </c>
      <c r="J367" s="455">
        <v>46229</v>
      </c>
      <c r="U367" s="455">
        <v>46231</v>
      </c>
    </row>
    <row r="368" spans="1:21">
      <c r="A368" t="s">
        <v>1751</v>
      </c>
      <c r="B368" t="s">
        <v>2972</v>
      </c>
      <c r="C368" t="s">
        <v>1751</v>
      </c>
      <c r="D368">
        <v>20567263</v>
      </c>
      <c r="E368" t="s">
        <v>3142</v>
      </c>
      <c r="F368" t="s">
        <v>1239</v>
      </c>
      <c r="G368" t="s">
        <v>3134</v>
      </c>
      <c r="H368" t="s">
        <v>1247</v>
      </c>
      <c r="I368" t="s">
        <v>1963</v>
      </c>
      <c r="J368" s="455">
        <v>46200</v>
      </c>
      <c r="K368" s="455">
        <v>46200</v>
      </c>
      <c r="L368" s="455">
        <v>46200</v>
      </c>
      <c r="M368" s="455">
        <v>46210</v>
      </c>
      <c r="N368" s="455">
        <v>46210</v>
      </c>
      <c r="P368" s="455">
        <v>46211</v>
      </c>
      <c r="Q368" s="455">
        <v>46211</v>
      </c>
      <c r="U368" s="455">
        <v>46211</v>
      </c>
    </row>
    <row r="369" spans="1:21">
      <c r="A369" t="s">
        <v>1751</v>
      </c>
      <c r="B369" t="s">
        <v>4566</v>
      </c>
      <c r="C369" t="s">
        <v>1751</v>
      </c>
      <c r="D369">
        <v>20574642</v>
      </c>
      <c r="E369" t="s">
        <v>3128</v>
      </c>
      <c r="F369" t="s">
        <v>1241</v>
      </c>
      <c r="G369" t="s">
        <v>3137</v>
      </c>
      <c r="H369" t="s">
        <v>1252</v>
      </c>
      <c r="J369" s="455">
        <v>46210</v>
      </c>
      <c r="U369" s="455">
        <v>46249</v>
      </c>
    </row>
    <row r="370" spans="1:21">
      <c r="A370" t="s">
        <v>1751</v>
      </c>
      <c r="B370" t="s">
        <v>4567</v>
      </c>
      <c r="C370" t="s">
        <v>1751</v>
      </c>
      <c r="D370">
        <v>20597735</v>
      </c>
      <c r="E370" t="s">
        <v>1907</v>
      </c>
      <c r="F370" t="s">
        <v>1241</v>
      </c>
      <c r="G370" t="s">
        <v>3134</v>
      </c>
      <c r="H370" t="s">
        <v>1247</v>
      </c>
      <c r="I370" t="s">
        <v>1567</v>
      </c>
      <c r="J370" s="455">
        <v>46234</v>
      </c>
      <c r="K370" s="455">
        <v>46234</v>
      </c>
      <c r="L370" s="455">
        <v>46234</v>
      </c>
      <c r="U370" s="455">
        <v>46234</v>
      </c>
    </row>
    <row r="371" spans="1:21">
      <c r="A371" t="s">
        <v>1751</v>
      </c>
      <c r="B371" t="s">
        <v>4568</v>
      </c>
      <c r="C371" t="s">
        <v>1751</v>
      </c>
      <c r="D371">
        <v>20574315</v>
      </c>
      <c r="E371" t="s">
        <v>3142</v>
      </c>
      <c r="F371" t="s">
        <v>1239</v>
      </c>
      <c r="G371" t="s">
        <v>2009</v>
      </c>
      <c r="H371" t="s">
        <v>1251</v>
      </c>
      <c r="I371" t="s">
        <v>4569</v>
      </c>
      <c r="J371" s="455">
        <v>46209</v>
      </c>
      <c r="K371" s="455">
        <v>46210</v>
      </c>
      <c r="L371" s="455">
        <v>46219</v>
      </c>
      <c r="M371" s="455">
        <v>46225</v>
      </c>
      <c r="N371" s="455">
        <v>46225</v>
      </c>
      <c r="P371" s="455">
        <v>46225</v>
      </c>
      <c r="Q371" s="455">
        <v>46226</v>
      </c>
      <c r="U371" s="455">
        <v>46293</v>
      </c>
    </row>
    <row r="372" spans="1:21">
      <c r="A372" t="s">
        <v>1751</v>
      </c>
      <c r="B372" t="s">
        <v>4570</v>
      </c>
      <c r="C372" t="s">
        <v>1751</v>
      </c>
      <c r="D372">
        <v>20584073</v>
      </c>
      <c r="E372" t="s">
        <v>3128</v>
      </c>
      <c r="F372" t="s">
        <v>1241</v>
      </c>
      <c r="G372" t="s">
        <v>3137</v>
      </c>
      <c r="H372" t="s">
        <v>3165</v>
      </c>
      <c r="J372" s="455">
        <v>46218</v>
      </c>
      <c r="U372" s="455">
        <v>46298</v>
      </c>
    </row>
    <row r="373" spans="1:21">
      <c r="A373" t="s">
        <v>1751</v>
      </c>
      <c r="B373" t="s">
        <v>4571</v>
      </c>
      <c r="C373" t="s">
        <v>1751</v>
      </c>
      <c r="D373">
        <v>20582388</v>
      </c>
      <c r="E373" t="s">
        <v>3128</v>
      </c>
      <c r="F373" t="s">
        <v>1241</v>
      </c>
      <c r="G373" t="s">
        <v>3141</v>
      </c>
      <c r="H373" t="s">
        <v>1252</v>
      </c>
      <c r="J373" s="455">
        <v>46217</v>
      </c>
      <c r="U373" s="455">
        <v>46278</v>
      </c>
    </row>
    <row r="374" spans="1:21">
      <c r="A374" t="s">
        <v>1751</v>
      </c>
      <c r="B374" t="s">
        <v>4572</v>
      </c>
      <c r="C374" t="s">
        <v>1751</v>
      </c>
      <c r="D374">
        <v>20580461</v>
      </c>
      <c r="E374" t="s">
        <v>3128</v>
      </c>
      <c r="F374" t="s">
        <v>1782</v>
      </c>
      <c r="G374" t="s">
        <v>3134</v>
      </c>
      <c r="H374" t="s">
        <v>3165</v>
      </c>
      <c r="J374" s="455">
        <v>46216</v>
      </c>
      <c r="U374" s="455">
        <v>46217</v>
      </c>
    </row>
    <row r="375" spans="1:21">
      <c r="A375" t="s">
        <v>1751</v>
      </c>
      <c r="B375" t="s">
        <v>4573</v>
      </c>
      <c r="C375" t="s">
        <v>1751</v>
      </c>
      <c r="D375">
        <v>20587477</v>
      </c>
      <c r="E375" t="s">
        <v>3128</v>
      </c>
      <c r="F375" t="s">
        <v>1782</v>
      </c>
      <c r="G375" t="s">
        <v>3137</v>
      </c>
      <c r="H375" t="s">
        <v>1252</v>
      </c>
      <c r="J375" s="455">
        <v>46223</v>
      </c>
      <c r="U375" s="455">
        <v>46255</v>
      </c>
    </row>
    <row r="376" spans="1:21">
      <c r="A376" t="s">
        <v>1751</v>
      </c>
      <c r="B376" t="s">
        <v>4574</v>
      </c>
      <c r="C376" t="s">
        <v>1751</v>
      </c>
      <c r="D376">
        <v>20593187</v>
      </c>
      <c r="E376" t="s">
        <v>3128</v>
      </c>
      <c r="F376" t="s">
        <v>1241</v>
      </c>
      <c r="G376" t="s">
        <v>3134</v>
      </c>
      <c r="H376" t="s">
        <v>3165</v>
      </c>
      <c r="J376" s="455">
        <v>46229</v>
      </c>
      <c r="U376" s="455">
        <v>46231</v>
      </c>
    </row>
    <row r="377" spans="1:21">
      <c r="A377" t="s">
        <v>1751</v>
      </c>
      <c r="B377" t="s">
        <v>4575</v>
      </c>
      <c r="C377" t="s">
        <v>1751</v>
      </c>
      <c r="D377">
        <v>20577799</v>
      </c>
      <c r="E377" t="s">
        <v>3128</v>
      </c>
      <c r="F377" t="s">
        <v>1782</v>
      </c>
      <c r="G377" t="s">
        <v>3134</v>
      </c>
      <c r="H377" t="s">
        <v>1252</v>
      </c>
      <c r="J377" s="455">
        <v>46213</v>
      </c>
      <c r="U377" s="455">
        <v>46223</v>
      </c>
    </row>
    <row r="378" spans="1:21">
      <c r="A378" t="s">
        <v>1751</v>
      </c>
      <c r="B378" t="s">
        <v>4576</v>
      </c>
      <c r="C378" t="s">
        <v>1751</v>
      </c>
      <c r="D378">
        <v>20576689</v>
      </c>
      <c r="E378" t="s">
        <v>3128</v>
      </c>
      <c r="F378" t="s">
        <v>3285</v>
      </c>
      <c r="G378" t="s">
        <v>3141</v>
      </c>
      <c r="H378" t="s">
        <v>1252</v>
      </c>
      <c r="J378" s="455">
        <v>46212</v>
      </c>
      <c r="U378" s="455">
        <v>46235</v>
      </c>
    </row>
    <row r="379" spans="1:21">
      <c r="A379" t="s">
        <v>1751</v>
      </c>
      <c r="B379" t="s">
        <v>4577</v>
      </c>
      <c r="C379" t="s">
        <v>1751</v>
      </c>
      <c r="D379">
        <v>20590677</v>
      </c>
      <c r="E379" t="s">
        <v>3128</v>
      </c>
      <c r="F379" t="s">
        <v>1241</v>
      </c>
      <c r="G379" t="s">
        <v>3129</v>
      </c>
      <c r="H379" t="s">
        <v>1252</v>
      </c>
      <c r="J379" s="455">
        <v>46226</v>
      </c>
      <c r="U379" s="455">
        <v>46241</v>
      </c>
    </row>
    <row r="380" spans="1:21">
      <c r="A380" t="s">
        <v>1751</v>
      </c>
      <c r="B380" t="s">
        <v>4578</v>
      </c>
      <c r="C380" t="s">
        <v>1751</v>
      </c>
      <c r="D380">
        <v>20586570</v>
      </c>
      <c r="E380" t="s">
        <v>1897</v>
      </c>
      <c r="F380" t="s">
        <v>1241</v>
      </c>
      <c r="G380" t="s">
        <v>3134</v>
      </c>
      <c r="H380" t="s">
        <v>1247</v>
      </c>
      <c r="I380" t="s">
        <v>1539</v>
      </c>
      <c r="J380" s="455">
        <v>46221</v>
      </c>
      <c r="K380" s="455">
        <v>46221</v>
      </c>
      <c r="U380" s="455">
        <v>46221</v>
      </c>
    </row>
    <row r="381" spans="1:21">
      <c r="A381" t="s">
        <v>1751</v>
      </c>
      <c r="B381" t="s">
        <v>4579</v>
      </c>
      <c r="C381" t="s">
        <v>1751</v>
      </c>
      <c r="D381">
        <v>20573990</v>
      </c>
      <c r="E381" t="s">
        <v>3128</v>
      </c>
      <c r="F381" t="s">
        <v>1241</v>
      </c>
      <c r="G381" t="s">
        <v>3129</v>
      </c>
      <c r="H381" t="s">
        <v>1252</v>
      </c>
      <c r="J381" s="455">
        <v>46209</v>
      </c>
      <c r="U381" s="455">
        <v>46209</v>
      </c>
    </row>
    <row r="382" spans="1:21">
      <c r="A382" t="s">
        <v>1751</v>
      </c>
      <c r="B382" t="s">
        <v>4580</v>
      </c>
      <c r="C382" t="s">
        <v>1751</v>
      </c>
      <c r="D382">
        <v>20589375</v>
      </c>
      <c r="E382" t="s">
        <v>3128</v>
      </c>
      <c r="F382" t="s">
        <v>1239</v>
      </c>
      <c r="G382" t="s">
        <v>3141</v>
      </c>
      <c r="H382" t="s">
        <v>1252</v>
      </c>
      <c r="J382" s="455">
        <v>46225</v>
      </c>
      <c r="U382" s="455">
        <v>46227</v>
      </c>
    </row>
    <row r="383" spans="1:21">
      <c r="A383" t="s">
        <v>1751</v>
      </c>
      <c r="B383" t="s">
        <v>4580</v>
      </c>
      <c r="C383" t="s">
        <v>1751</v>
      </c>
      <c r="D383">
        <v>20594995</v>
      </c>
      <c r="E383" t="s">
        <v>1897</v>
      </c>
      <c r="F383" t="s">
        <v>1241</v>
      </c>
      <c r="G383" t="s">
        <v>3134</v>
      </c>
      <c r="H383" t="s">
        <v>1247</v>
      </c>
      <c r="I383" t="s">
        <v>4557</v>
      </c>
      <c r="J383" s="455">
        <v>46231</v>
      </c>
      <c r="K383" s="455">
        <v>46231</v>
      </c>
      <c r="L383" s="455">
        <v>46241</v>
      </c>
      <c r="U383" s="455">
        <v>46301</v>
      </c>
    </row>
    <row r="384" spans="1:21">
      <c r="A384" t="s">
        <v>1751</v>
      </c>
      <c r="B384" t="s">
        <v>3595</v>
      </c>
      <c r="C384" t="s">
        <v>1751</v>
      </c>
      <c r="D384">
        <v>20564413</v>
      </c>
      <c r="E384" t="s">
        <v>3133</v>
      </c>
      <c r="F384" t="s">
        <v>1241</v>
      </c>
      <c r="G384" t="s">
        <v>3134</v>
      </c>
      <c r="H384" t="s">
        <v>1250</v>
      </c>
      <c r="I384" t="s">
        <v>2184</v>
      </c>
      <c r="J384" s="455">
        <v>46197</v>
      </c>
      <c r="K384" s="455">
        <v>46197</v>
      </c>
      <c r="R384" s="455">
        <v>46212</v>
      </c>
      <c r="U384" s="455">
        <v>46198</v>
      </c>
    </row>
    <row r="385" spans="1:21">
      <c r="A385" t="s">
        <v>1751</v>
      </c>
      <c r="B385" t="s">
        <v>4581</v>
      </c>
      <c r="C385" t="s">
        <v>1751</v>
      </c>
      <c r="D385">
        <v>20590245</v>
      </c>
      <c r="E385" t="s">
        <v>1897</v>
      </c>
      <c r="F385" t="s">
        <v>1241</v>
      </c>
      <c r="G385" t="s">
        <v>3134</v>
      </c>
      <c r="H385" t="s">
        <v>1247</v>
      </c>
      <c r="J385" s="455">
        <v>46225</v>
      </c>
      <c r="K385" s="455">
        <v>46225</v>
      </c>
      <c r="U385" s="455">
        <v>46284</v>
      </c>
    </row>
    <row r="386" spans="1:21">
      <c r="A386" t="s">
        <v>1751</v>
      </c>
      <c r="B386" t="s">
        <v>4582</v>
      </c>
      <c r="C386" t="s">
        <v>1751</v>
      </c>
      <c r="D386">
        <v>20595399</v>
      </c>
      <c r="E386" t="s">
        <v>1897</v>
      </c>
      <c r="F386" t="s">
        <v>1241</v>
      </c>
      <c r="G386" t="s">
        <v>2009</v>
      </c>
      <c r="H386" t="s">
        <v>3487</v>
      </c>
      <c r="J386" s="455">
        <v>46232</v>
      </c>
      <c r="K386" s="455">
        <v>46232</v>
      </c>
      <c r="U386" s="455">
        <v>46232</v>
      </c>
    </row>
    <row r="387" spans="1:21">
      <c r="A387" t="s">
        <v>1751</v>
      </c>
      <c r="B387" t="s">
        <v>4583</v>
      </c>
      <c r="C387" t="s">
        <v>1751</v>
      </c>
      <c r="D387">
        <v>20592112</v>
      </c>
      <c r="E387" t="s">
        <v>3128</v>
      </c>
      <c r="F387" t="s">
        <v>1782</v>
      </c>
      <c r="G387" t="s">
        <v>3141</v>
      </c>
      <c r="H387" t="s">
        <v>4278</v>
      </c>
      <c r="J387" s="455">
        <v>46228</v>
      </c>
      <c r="U387" s="455">
        <v>46241</v>
      </c>
    </row>
    <row r="388" spans="1:21">
      <c r="A388" t="s">
        <v>1751</v>
      </c>
      <c r="B388" t="s">
        <v>4584</v>
      </c>
      <c r="C388" t="s">
        <v>1751</v>
      </c>
      <c r="D388">
        <v>20586770</v>
      </c>
      <c r="E388" t="s">
        <v>3128</v>
      </c>
      <c r="F388" t="s">
        <v>1782</v>
      </c>
      <c r="G388" t="s">
        <v>3134</v>
      </c>
      <c r="H388" t="s">
        <v>3165</v>
      </c>
      <c r="J388" s="455">
        <v>46222</v>
      </c>
      <c r="U388" s="455">
        <v>46235</v>
      </c>
    </row>
    <row r="389" spans="1:21">
      <c r="A389" t="s">
        <v>1751</v>
      </c>
      <c r="B389" t="s">
        <v>3604</v>
      </c>
      <c r="C389" t="s">
        <v>1751</v>
      </c>
      <c r="D389">
        <v>20531585</v>
      </c>
      <c r="E389" t="s">
        <v>2008</v>
      </c>
      <c r="F389" t="s">
        <v>1243</v>
      </c>
      <c r="G389" t="s">
        <v>3134</v>
      </c>
      <c r="H389" t="s">
        <v>3165</v>
      </c>
      <c r="I389" t="s">
        <v>2708</v>
      </c>
      <c r="J389" s="455">
        <v>46162</v>
      </c>
      <c r="K389" s="455">
        <v>46177</v>
      </c>
      <c r="L389" s="455">
        <v>46178</v>
      </c>
      <c r="M389" s="455">
        <v>46203</v>
      </c>
      <c r="N389" s="455">
        <v>46203</v>
      </c>
      <c r="P389" s="455">
        <v>46206</v>
      </c>
      <c r="Q389" s="455">
        <v>46206</v>
      </c>
      <c r="U389" s="455">
        <v>46270</v>
      </c>
    </row>
    <row r="390" spans="1:21">
      <c r="A390" t="s">
        <v>1751</v>
      </c>
      <c r="B390" t="s">
        <v>3604</v>
      </c>
      <c r="C390" t="s">
        <v>1751</v>
      </c>
      <c r="D390">
        <v>20568506</v>
      </c>
      <c r="E390" t="s">
        <v>3133</v>
      </c>
      <c r="F390" t="s">
        <v>1241</v>
      </c>
      <c r="G390" t="s">
        <v>3143</v>
      </c>
      <c r="H390" t="s">
        <v>3165</v>
      </c>
      <c r="I390" t="s">
        <v>1811</v>
      </c>
      <c r="J390" s="455">
        <v>46202</v>
      </c>
      <c r="K390" s="455">
        <v>46203</v>
      </c>
      <c r="R390" s="455">
        <v>46206</v>
      </c>
      <c r="U390" s="455">
        <v>46214</v>
      </c>
    </row>
    <row r="391" spans="1:21">
      <c r="A391" t="s">
        <v>1751</v>
      </c>
      <c r="B391" t="s">
        <v>4585</v>
      </c>
      <c r="C391" t="s">
        <v>1751</v>
      </c>
      <c r="D391">
        <v>20587543</v>
      </c>
      <c r="E391" t="s">
        <v>1897</v>
      </c>
      <c r="F391" t="s">
        <v>1782</v>
      </c>
      <c r="G391" t="s">
        <v>3141</v>
      </c>
      <c r="H391" t="s">
        <v>3487</v>
      </c>
      <c r="J391" s="455">
        <v>46223</v>
      </c>
      <c r="K391" s="455">
        <v>46224</v>
      </c>
      <c r="U391" s="455">
        <v>46223</v>
      </c>
    </row>
    <row r="392" spans="1:21">
      <c r="A392" t="s">
        <v>1751</v>
      </c>
      <c r="B392" t="s">
        <v>4586</v>
      </c>
      <c r="C392" t="s">
        <v>1751</v>
      </c>
      <c r="D392">
        <v>20576097</v>
      </c>
      <c r="E392" t="s">
        <v>3128</v>
      </c>
      <c r="F392" t="s">
        <v>1241</v>
      </c>
      <c r="G392" t="s">
        <v>3143</v>
      </c>
      <c r="H392" t="s">
        <v>1251</v>
      </c>
      <c r="J392" s="455">
        <v>46211</v>
      </c>
      <c r="U392" s="455">
        <v>46211</v>
      </c>
    </row>
    <row r="393" spans="1:21">
      <c r="A393" t="s">
        <v>1751</v>
      </c>
      <c r="B393" t="s">
        <v>3609</v>
      </c>
      <c r="C393" t="s">
        <v>1751</v>
      </c>
      <c r="D393">
        <v>20585426</v>
      </c>
      <c r="E393" t="s">
        <v>1897</v>
      </c>
      <c r="F393" t="s">
        <v>1241</v>
      </c>
      <c r="G393" t="s">
        <v>3134</v>
      </c>
      <c r="H393" t="s">
        <v>1247</v>
      </c>
      <c r="J393" s="455">
        <v>46220</v>
      </c>
      <c r="K393" s="455">
        <v>46220</v>
      </c>
      <c r="U393" s="455">
        <v>46228</v>
      </c>
    </row>
    <row r="394" spans="1:21">
      <c r="A394" t="s">
        <v>1751</v>
      </c>
      <c r="B394" t="s">
        <v>3609</v>
      </c>
      <c r="C394" t="s">
        <v>1751</v>
      </c>
      <c r="D394">
        <v>20562234</v>
      </c>
      <c r="E394" t="s">
        <v>3133</v>
      </c>
      <c r="F394" t="s">
        <v>1243</v>
      </c>
      <c r="G394" t="s">
        <v>3129</v>
      </c>
      <c r="H394" t="s">
        <v>1251</v>
      </c>
      <c r="I394" t="s">
        <v>4587</v>
      </c>
      <c r="J394" s="455">
        <v>46195</v>
      </c>
      <c r="K394" s="455">
        <v>46211</v>
      </c>
      <c r="R394" s="455">
        <v>46218</v>
      </c>
      <c r="U394" s="455">
        <v>46195</v>
      </c>
    </row>
    <row r="395" spans="1:21">
      <c r="A395" t="s">
        <v>1751</v>
      </c>
      <c r="B395" t="s">
        <v>4588</v>
      </c>
      <c r="C395" t="s">
        <v>1751</v>
      </c>
      <c r="D395">
        <v>20574465</v>
      </c>
      <c r="E395" t="s">
        <v>3128</v>
      </c>
      <c r="F395" t="s">
        <v>1782</v>
      </c>
      <c r="G395" t="s">
        <v>3141</v>
      </c>
      <c r="H395" t="s">
        <v>1252</v>
      </c>
      <c r="J395" s="455">
        <v>46209</v>
      </c>
      <c r="U395" s="455">
        <v>46223</v>
      </c>
    </row>
    <row r="396" spans="1:21">
      <c r="A396" t="s">
        <v>1751</v>
      </c>
      <c r="B396" t="s">
        <v>4589</v>
      </c>
      <c r="C396" t="s">
        <v>1751</v>
      </c>
      <c r="D396">
        <v>20524518</v>
      </c>
      <c r="E396" t="s">
        <v>3142</v>
      </c>
      <c r="F396" t="s">
        <v>1242</v>
      </c>
      <c r="G396" t="s">
        <v>3129</v>
      </c>
      <c r="H396" t="s">
        <v>1253</v>
      </c>
      <c r="I396" t="s">
        <v>4590</v>
      </c>
      <c r="J396" s="455">
        <v>46155</v>
      </c>
      <c r="K396" s="455">
        <v>46162</v>
      </c>
      <c r="L396" s="455">
        <v>46162</v>
      </c>
      <c r="M396" s="455">
        <v>46165</v>
      </c>
      <c r="N396" s="455">
        <v>46165</v>
      </c>
      <c r="P396" s="455">
        <v>46165</v>
      </c>
      <c r="Q396" s="455">
        <v>46165</v>
      </c>
      <c r="U396" s="455">
        <v>46204</v>
      </c>
    </row>
    <row r="397" spans="1:21">
      <c r="A397" t="s">
        <v>1751</v>
      </c>
      <c r="B397" t="s">
        <v>2475</v>
      </c>
      <c r="C397" t="s">
        <v>1751</v>
      </c>
      <c r="D397">
        <v>20569139</v>
      </c>
      <c r="E397" t="s">
        <v>3142</v>
      </c>
      <c r="F397" t="s">
        <v>1239</v>
      </c>
      <c r="G397" t="s">
        <v>3134</v>
      </c>
      <c r="H397" t="s">
        <v>1247</v>
      </c>
      <c r="I397" t="s">
        <v>2474</v>
      </c>
      <c r="J397" s="455">
        <v>46203</v>
      </c>
      <c r="K397" s="455">
        <v>46203</v>
      </c>
      <c r="L397" s="455">
        <v>46203</v>
      </c>
      <c r="M397" s="455">
        <v>46205</v>
      </c>
      <c r="N397" s="455">
        <v>46205</v>
      </c>
      <c r="P397" s="455">
        <v>46205</v>
      </c>
      <c r="Q397" s="455">
        <v>46205</v>
      </c>
      <c r="U397" s="455">
        <v>46213</v>
      </c>
    </row>
    <row r="398" spans="1:21">
      <c r="A398" t="s">
        <v>1751</v>
      </c>
      <c r="B398" t="s">
        <v>3614</v>
      </c>
      <c r="C398" t="s">
        <v>1751</v>
      </c>
      <c r="D398">
        <v>20561922</v>
      </c>
      <c r="E398" t="s">
        <v>3133</v>
      </c>
      <c r="F398" t="s">
        <v>1241</v>
      </c>
      <c r="G398" t="s">
        <v>3134</v>
      </c>
      <c r="H398" t="s">
        <v>1252</v>
      </c>
      <c r="J398" s="455">
        <v>46194</v>
      </c>
      <c r="K398" s="455">
        <v>46197</v>
      </c>
      <c r="R398" s="455">
        <v>46211</v>
      </c>
      <c r="U398" s="455">
        <v>46195</v>
      </c>
    </row>
    <row r="399" spans="1:21">
      <c r="A399" t="s">
        <v>1751</v>
      </c>
      <c r="B399" t="s">
        <v>4591</v>
      </c>
      <c r="C399" t="s">
        <v>1751</v>
      </c>
      <c r="D399">
        <v>20574830</v>
      </c>
      <c r="E399" t="s">
        <v>3128</v>
      </c>
      <c r="F399" t="s">
        <v>1241</v>
      </c>
      <c r="G399" t="s">
        <v>3129</v>
      </c>
      <c r="H399" t="s">
        <v>3131</v>
      </c>
      <c r="J399" s="455">
        <v>46210</v>
      </c>
      <c r="U399" s="455">
        <v>46210</v>
      </c>
    </row>
    <row r="400" spans="1:21">
      <c r="A400" t="s">
        <v>1751</v>
      </c>
      <c r="B400" t="s">
        <v>4592</v>
      </c>
      <c r="C400" t="s">
        <v>1751</v>
      </c>
      <c r="D400">
        <v>20575181</v>
      </c>
      <c r="E400" t="s">
        <v>3128</v>
      </c>
      <c r="F400" t="s">
        <v>1241</v>
      </c>
      <c r="G400" t="s">
        <v>3141</v>
      </c>
      <c r="H400" t="s">
        <v>1248</v>
      </c>
      <c r="J400" s="455">
        <v>46210</v>
      </c>
      <c r="U400" s="455">
        <v>46210</v>
      </c>
    </row>
    <row r="401" spans="1:21">
      <c r="A401" t="s">
        <v>1751</v>
      </c>
      <c r="B401" t="s">
        <v>4593</v>
      </c>
      <c r="C401" t="s">
        <v>1751</v>
      </c>
      <c r="D401">
        <v>20592120</v>
      </c>
      <c r="E401" t="s">
        <v>3128</v>
      </c>
      <c r="F401" t="s">
        <v>1782</v>
      </c>
      <c r="G401" t="s">
        <v>3134</v>
      </c>
      <c r="H401" t="s">
        <v>3165</v>
      </c>
      <c r="J401" s="455">
        <v>46228</v>
      </c>
      <c r="U401" s="455">
        <v>46317</v>
      </c>
    </row>
    <row r="402" spans="1:21">
      <c r="A402" t="s">
        <v>1751</v>
      </c>
      <c r="B402" t="s">
        <v>4594</v>
      </c>
      <c r="C402" t="s">
        <v>1751</v>
      </c>
      <c r="D402">
        <v>20580924</v>
      </c>
      <c r="E402" t="s">
        <v>3133</v>
      </c>
      <c r="F402" t="s">
        <v>1241</v>
      </c>
      <c r="G402" t="s">
        <v>3134</v>
      </c>
      <c r="H402" t="s">
        <v>1252</v>
      </c>
      <c r="I402" t="s">
        <v>1945</v>
      </c>
      <c r="J402" s="455">
        <v>46217</v>
      </c>
      <c r="K402" s="455">
        <v>46217</v>
      </c>
      <c r="R402" s="455">
        <v>46220</v>
      </c>
      <c r="U402" s="455">
        <v>46217</v>
      </c>
    </row>
    <row r="403" spans="1:21">
      <c r="A403" t="s">
        <v>1751</v>
      </c>
      <c r="B403" t="s">
        <v>4594</v>
      </c>
      <c r="C403" t="s">
        <v>1751</v>
      </c>
      <c r="D403">
        <v>20578338</v>
      </c>
      <c r="E403" t="s">
        <v>3133</v>
      </c>
      <c r="F403" t="s">
        <v>1242</v>
      </c>
      <c r="G403" t="s">
        <v>3134</v>
      </c>
      <c r="H403" t="s">
        <v>1252</v>
      </c>
      <c r="I403" t="s">
        <v>1945</v>
      </c>
      <c r="J403" s="455">
        <v>46213</v>
      </c>
      <c r="K403" s="455">
        <v>46213</v>
      </c>
      <c r="L403" s="455">
        <v>46214</v>
      </c>
      <c r="S403" s="455">
        <v>46217</v>
      </c>
      <c r="U403" s="455">
        <v>46227</v>
      </c>
    </row>
    <row r="404" spans="1:21">
      <c r="A404" t="s">
        <v>1751</v>
      </c>
      <c r="B404" t="s">
        <v>4595</v>
      </c>
      <c r="C404" t="s">
        <v>1751</v>
      </c>
      <c r="D404">
        <v>20591252</v>
      </c>
      <c r="E404" t="s">
        <v>3557</v>
      </c>
      <c r="F404" t="s">
        <v>1242</v>
      </c>
      <c r="G404" t="s">
        <v>3134</v>
      </c>
      <c r="H404" t="s">
        <v>1247</v>
      </c>
      <c r="I404" t="s">
        <v>3385</v>
      </c>
      <c r="J404" s="455">
        <v>46226</v>
      </c>
      <c r="K404" s="455">
        <v>46226</v>
      </c>
      <c r="L404" s="455">
        <v>46230</v>
      </c>
      <c r="M404" s="455">
        <v>46233</v>
      </c>
      <c r="N404" s="455">
        <v>46233</v>
      </c>
      <c r="P404" s="455">
        <v>46233</v>
      </c>
      <c r="Q404" s="455">
        <v>46233</v>
      </c>
      <c r="U404" s="455">
        <v>46241</v>
      </c>
    </row>
    <row r="405" spans="1:21">
      <c r="A405" t="s">
        <v>1751</v>
      </c>
      <c r="B405" t="s">
        <v>4596</v>
      </c>
      <c r="C405" t="s">
        <v>1751</v>
      </c>
      <c r="D405">
        <v>20577112</v>
      </c>
      <c r="E405" t="s">
        <v>3128</v>
      </c>
      <c r="F405" t="s">
        <v>1241</v>
      </c>
      <c r="G405" t="s">
        <v>2009</v>
      </c>
      <c r="H405" t="s">
        <v>1251</v>
      </c>
      <c r="J405" s="455">
        <v>46212</v>
      </c>
      <c r="U405" s="455">
        <v>46212</v>
      </c>
    </row>
    <row r="406" spans="1:21">
      <c r="A406" t="s">
        <v>1751</v>
      </c>
      <c r="B406" t="s">
        <v>4597</v>
      </c>
      <c r="C406" t="s">
        <v>1751</v>
      </c>
      <c r="D406">
        <v>20573654</v>
      </c>
      <c r="E406" t="s">
        <v>1897</v>
      </c>
      <c r="F406" t="s">
        <v>1241</v>
      </c>
      <c r="G406" t="s">
        <v>3134</v>
      </c>
      <c r="H406" t="s">
        <v>1247</v>
      </c>
      <c r="I406" t="s">
        <v>4598</v>
      </c>
      <c r="J406" s="455">
        <v>46209</v>
      </c>
      <c r="K406" s="455">
        <v>46209</v>
      </c>
      <c r="U406" s="455">
        <v>46296</v>
      </c>
    </row>
    <row r="407" spans="1:21">
      <c r="A407" t="s">
        <v>1751</v>
      </c>
      <c r="B407" t="s">
        <v>3628</v>
      </c>
      <c r="C407" t="s">
        <v>1751</v>
      </c>
      <c r="D407">
        <v>20564821</v>
      </c>
      <c r="E407" t="s">
        <v>3133</v>
      </c>
      <c r="F407" t="s">
        <v>1241</v>
      </c>
      <c r="G407" t="s">
        <v>3134</v>
      </c>
      <c r="H407" t="s">
        <v>1247</v>
      </c>
      <c r="I407" t="s">
        <v>1908</v>
      </c>
      <c r="J407" s="455">
        <v>46197</v>
      </c>
      <c r="K407" s="455">
        <v>46197</v>
      </c>
      <c r="R407" s="455">
        <v>46212</v>
      </c>
      <c r="U407" s="455">
        <v>46213</v>
      </c>
    </row>
    <row r="408" spans="1:21">
      <c r="A408" t="s">
        <v>1751</v>
      </c>
      <c r="B408" t="s">
        <v>4599</v>
      </c>
      <c r="C408" t="s">
        <v>1751</v>
      </c>
      <c r="D408">
        <v>20579721</v>
      </c>
      <c r="E408" t="s">
        <v>3128</v>
      </c>
      <c r="F408" t="s">
        <v>1782</v>
      </c>
      <c r="G408" t="s">
        <v>3141</v>
      </c>
      <c r="H408" t="s">
        <v>1252</v>
      </c>
      <c r="J408" s="455">
        <v>46216</v>
      </c>
      <c r="U408" s="455">
        <v>46249</v>
      </c>
    </row>
    <row r="409" spans="1:21">
      <c r="A409" t="s">
        <v>1751</v>
      </c>
      <c r="B409" t="s">
        <v>3067</v>
      </c>
      <c r="C409" t="s">
        <v>1751</v>
      </c>
      <c r="D409">
        <v>20574714</v>
      </c>
      <c r="E409" t="s">
        <v>4600</v>
      </c>
      <c r="F409" t="s">
        <v>1242</v>
      </c>
      <c r="G409" t="s">
        <v>3134</v>
      </c>
      <c r="H409" t="s">
        <v>1247</v>
      </c>
      <c r="I409" t="s">
        <v>2629</v>
      </c>
      <c r="J409" s="455">
        <v>46210</v>
      </c>
      <c r="K409" s="455">
        <v>46210</v>
      </c>
      <c r="L409" s="455">
        <v>46213</v>
      </c>
      <c r="M409" s="455">
        <v>46234</v>
      </c>
      <c r="N409" s="455">
        <v>46234</v>
      </c>
      <c r="O409" s="455">
        <v>46234</v>
      </c>
      <c r="U409" s="455">
        <v>46242</v>
      </c>
    </row>
    <row r="410" spans="1:21">
      <c r="A410" t="s">
        <v>1751</v>
      </c>
      <c r="B410" t="s">
        <v>3067</v>
      </c>
      <c r="C410" t="s">
        <v>1751</v>
      </c>
      <c r="D410">
        <v>20576454</v>
      </c>
      <c r="E410" t="s">
        <v>3190</v>
      </c>
      <c r="F410" t="s">
        <v>1241</v>
      </c>
      <c r="G410" t="s">
        <v>3134</v>
      </c>
      <c r="H410" t="s">
        <v>1247</v>
      </c>
      <c r="I410" t="s">
        <v>2629</v>
      </c>
      <c r="J410" s="455">
        <v>46211</v>
      </c>
      <c r="K410" s="455">
        <v>46211</v>
      </c>
      <c r="R410" s="455">
        <v>46213</v>
      </c>
      <c r="U410" s="455">
        <v>46234</v>
      </c>
    </row>
    <row r="411" spans="1:21">
      <c r="A411" t="s">
        <v>1751</v>
      </c>
      <c r="B411" t="s">
        <v>3067</v>
      </c>
      <c r="C411" t="s">
        <v>1751</v>
      </c>
      <c r="D411">
        <v>20574713</v>
      </c>
      <c r="E411" t="s">
        <v>3128</v>
      </c>
      <c r="F411" t="s">
        <v>1241</v>
      </c>
      <c r="G411" t="s">
        <v>3129</v>
      </c>
      <c r="H411" t="s">
        <v>1253</v>
      </c>
      <c r="J411" s="455">
        <v>46210</v>
      </c>
      <c r="U411" s="455">
        <v>46210</v>
      </c>
    </row>
    <row r="412" spans="1:21">
      <c r="A412" t="s">
        <v>1751</v>
      </c>
      <c r="B412" t="s">
        <v>4601</v>
      </c>
      <c r="C412" t="s">
        <v>1751</v>
      </c>
      <c r="D412">
        <v>20589116</v>
      </c>
      <c r="E412" t="s">
        <v>1897</v>
      </c>
      <c r="F412" t="s">
        <v>1241</v>
      </c>
      <c r="G412" t="s">
        <v>3134</v>
      </c>
      <c r="H412" t="s">
        <v>1247</v>
      </c>
      <c r="J412" s="455">
        <v>46224</v>
      </c>
      <c r="K412" s="455">
        <v>46224</v>
      </c>
      <c r="U412" s="455">
        <v>46296</v>
      </c>
    </row>
    <row r="413" spans="1:21">
      <c r="A413" t="s">
        <v>1751</v>
      </c>
      <c r="B413" t="s">
        <v>3633</v>
      </c>
      <c r="C413" t="s">
        <v>1751</v>
      </c>
      <c r="D413">
        <v>20557293</v>
      </c>
      <c r="E413" t="s">
        <v>3133</v>
      </c>
      <c r="F413" t="s">
        <v>1242</v>
      </c>
      <c r="G413" t="s">
        <v>3134</v>
      </c>
      <c r="H413" t="s">
        <v>1247</v>
      </c>
      <c r="I413" t="s">
        <v>3634</v>
      </c>
      <c r="J413" s="455">
        <v>46189</v>
      </c>
      <c r="K413" s="455">
        <v>46189</v>
      </c>
      <c r="R413" s="455">
        <v>46205</v>
      </c>
      <c r="U413" s="455">
        <v>46279</v>
      </c>
    </row>
    <row r="414" spans="1:21">
      <c r="A414" t="s">
        <v>1751</v>
      </c>
      <c r="B414" t="s">
        <v>4602</v>
      </c>
      <c r="C414" t="s">
        <v>1751</v>
      </c>
      <c r="D414">
        <v>20591817</v>
      </c>
      <c r="E414" t="s">
        <v>3128</v>
      </c>
      <c r="F414" t="s">
        <v>1782</v>
      </c>
      <c r="G414" t="s">
        <v>3141</v>
      </c>
      <c r="H414" t="s">
        <v>4278</v>
      </c>
      <c r="J414" s="455">
        <v>46227</v>
      </c>
      <c r="U414" s="455">
        <v>46241</v>
      </c>
    </row>
    <row r="415" spans="1:21">
      <c r="A415" t="s">
        <v>1751</v>
      </c>
      <c r="B415" t="s">
        <v>4603</v>
      </c>
      <c r="C415" t="s">
        <v>1751</v>
      </c>
      <c r="D415">
        <v>20591051</v>
      </c>
      <c r="E415" t="s">
        <v>3128</v>
      </c>
      <c r="F415" t="s">
        <v>1243</v>
      </c>
      <c r="G415" t="s">
        <v>3129</v>
      </c>
      <c r="H415" t="s">
        <v>3131</v>
      </c>
      <c r="I415" t="s">
        <v>3168</v>
      </c>
      <c r="J415" s="455">
        <v>46226</v>
      </c>
      <c r="U415" s="455">
        <v>46226</v>
      </c>
    </row>
    <row r="416" spans="1:21">
      <c r="A416" t="s">
        <v>1751</v>
      </c>
      <c r="B416" t="s">
        <v>4603</v>
      </c>
      <c r="C416" t="s">
        <v>1751</v>
      </c>
      <c r="D416">
        <v>20593762</v>
      </c>
      <c r="E416" t="s">
        <v>1907</v>
      </c>
      <c r="F416" t="s">
        <v>1241</v>
      </c>
      <c r="G416" t="s">
        <v>3134</v>
      </c>
      <c r="H416" t="s">
        <v>1247</v>
      </c>
      <c r="I416" t="s">
        <v>4604</v>
      </c>
      <c r="J416" s="455">
        <v>46230</v>
      </c>
      <c r="K416" s="455">
        <v>46230</v>
      </c>
      <c r="L416" s="455">
        <v>46230</v>
      </c>
      <c r="U416" s="455">
        <v>46284</v>
      </c>
    </row>
    <row r="417" spans="1:21">
      <c r="A417" t="s">
        <v>1751</v>
      </c>
      <c r="B417" t="s">
        <v>4605</v>
      </c>
      <c r="C417" t="s">
        <v>1751</v>
      </c>
      <c r="D417">
        <v>20588946</v>
      </c>
      <c r="E417" t="s">
        <v>3128</v>
      </c>
      <c r="F417" t="s">
        <v>1241</v>
      </c>
      <c r="G417" t="s">
        <v>3141</v>
      </c>
      <c r="H417" t="s">
        <v>1252</v>
      </c>
      <c r="J417" s="455">
        <v>46224</v>
      </c>
      <c r="U417" s="455">
        <v>46234</v>
      </c>
    </row>
    <row r="418" spans="1:21">
      <c r="A418" t="s">
        <v>1751</v>
      </c>
      <c r="B418" t="s">
        <v>4606</v>
      </c>
      <c r="C418" t="s">
        <v>1751</v>
      </c>
      <c r="D418">
        <v>20576155</v>
      </c>
      <c r="E418" t="s">
        <v>3128</v>
      </c>
      <c r="F418" t="s">
        <v>1238</v>
      </c>
      <c r="G418" t="s">
        <v>3143</v>
      </c>
      <c r="H418" t="s">
        <v>1252</v>
      </c>
      <c r="I418" t="s">
        <v>3170</v>
      </c>
      <c r="J418" s="455">
        <v>46211</v>
      </c>
      <c r="U418" s="455">
        <v>46242</v>
      </c>
    </row>
    <row r="419" spans="1:21">
      <c r="A419" t="s">
        <v>1751</v>
      </c>
      <c r="B419" t="s">
        <v>4607</v>
      </c>
      <c r="C419" t="s">
        <v>1751</v>
      </c>
      <c r="D419">
        <v>20589414</v>
      </c>
      <c r="E419" t="s">
        <v>3128</v>
      </c>
      <c r="F419" t="s">
        <v>1782</v>
      </c>
      <c r="G419" t="s">
        <v>3134</v>
      </c>
      <c r="H419" t="s">
        <v>1252</v>
      </c>
      <c r="J419" s="455">
        <v>46225</v>
      </c>
      <c r="U419" s="455">
        <v>46235</v>
      </c>
    </row>
    <row r="420" spans="1:21">
      <c r="A420" t="s">
        <v>1751</v>
      </c>
      <c r="B420" t="s">
        <v>4608</v>
      </c>
      <c r="C420" t="s">
        <v>1751</v>
      </c>
      <c r="D420">
        <v>20594300</v>
      </c>
      <c r="E420" t="s">
        <v>3128</v>
      </c>
      <c r="F420" t="s">
        <v>1782</v>
      </c>
      <c r="G420" t="s">
        <v>3134</v>
      </c>
      <c r="H420" t="s">
        <v>3165</v>
      </c>
      <c r="J420" s="455">
        <v>46230</v>
      </c>
      <c r="U420" s="455">
        <v>46264</v>
      </c>
    </row>
    <row r="421" spans="1:21">
      <c r="A421" t="s">
        <v>1751</v>
      </c>
      <c r="B421" t="s">
        <v>4609</v>
      </c>
      <c r="C421" t="s">
        <v>1751</v>
      </c>
      <c r="D421">
        <v>20596130</v>
      </c>
      <c r="E421" t="s">
        <v>3128</v>
      </c>
      <c r="F421" t="s">
        <v>1241</v>
      </c>
      <c r="G421" t="s">
        <v>3134</v>
      </c>
      <c r="H421" t="s">
        <v>1252</v>
      </c>
      <c r="J421" s="455">
        <v>46232</v>
      </c>
      <c r="U421" s="455">
        <v>46250</v>
      </c>
    </row>
    <row r="422" spans="1:21">
      <c r="A422" t="s">
        <v>1751</v>
      </c>
      <c r="B422" t="s">
        <v>4610</v>
      </c>
      <c r="C422" t="s">
        <v>1751</v>
      </c>
      <c r="D422">
        <v>20590857</v>
      </c>
      <c r="E422" t="s">
        <v>3128</v>
      </c>
      <c r="F422" t="s">
        <v>1239</v>
      </c>
      <c r="G422" t="s">
        <v>3143</v>
      </c>
      <c r="H422" t="s">
        <v>1249</v>
      </c>
      <c r="I422" t="s">
        <v>3170</v>
      </c>
      <c r="J422" s="455">
        <v>46226</v>
      </c>
      <c r="U422" s="455">
        <v>46226</v>
      </c>
    </row>
    <row r="423" spans="1:21">
      <c r="A423" t="s">
        <v>1751</v>
      </c>
      <c r="B423" t="s">
        <v>4611</v>
      </c>
      <c r="C423" t="s">
        <v>1751</v>
      </c>
      <c r="D423">
        <v>20595761</v>
      </c>
      <c r="E423" t="s">
        <v>3128</v>
      </c>
      <c r="F423" t="s">
        <v>1241</v>
      </c>
      <c r="G423" t="s">
        <v>3129</v>
      </c>
      <c r="H423" t="s">
        <v>1252</v>
      </c>
      <c r="J423" s="455">
        <v>46232</v>
      </c>
      <c r="U423" s="455">
        <v>46249</v>
      </c>
    </row>
    <row r="424" spans="1:21">
      <c r="A424" t="s">
        <v>1751</v>
      </c>
      <c r="B424" t="s">
        <v>4612</v>
      </c>
      <c r="C424" t="s">
        <v>1751</v>
      </c>
      <c r="D424">
        <v>20575823</v>
      </c>
      <c r="E424" t="s">
        <v>3128</v>
      </c>
      <c r="F424" t="s">
        <v>1239</v>
      </c>
      <c r="G424" t="s">
        <v>3143</v>
      </c>
      <c r="H424" t="s">
        <v>1248</v>
      </c>
      <c r="I424" t="s">
        <v>1565</v>
      </c>
      <c r="J424" s="455">
        <v>46211</v>
      </c>
      <c r="U424" s="455">
        <v>46211</v>
      </c>
    </row>
    <row r="425" spans="1:21">
      <c r="A425" t="s">
        <v>1751</v>
      </c>
      <c r="B425" t="s">
        <v>4612</v>
      </c>
      <c r="C425" t="s">
        <v>1751</v>
      </c>
      <c r="D425">
        <v>20576743</v>
      </c>
      <c r="E425" t="s">
        <v>3133</v>
      </c>
      <c r="F425" t="s">
        <v>1239</v>
      </c>
      <c r="G425" t="s">
        <v>3134</v>
      </c>
      <c r="H425" t="s">
        <v>1248</v>
      </c>
      <c r="I425" t="s">
        <v>3385</v>
      </c>
      <c r="J425" s="455">
        <v>46212</v>
      </c>
      <c r="K425" s="455">
        <v>46212</v>
      </c>
      <c r="L425" s="455">
        <v>46212</v>
      </c>
      <c r="S425" s="455">
        <v>46219</v>
      </c>
      <c r="U425" s="455">
        <v>46220</v>
      </c>
    </row>
    <row r="426" spans="1:21">
      <c r="A426" t="s">
        <v>1751</v>
      </c>
      <c r="B426" t="s">
        <v>4613</v>
      </c>
      <c r="C426" t="s">
        <v>1751</v>
      </c>
      <c r="D426">
        <v>20592847</v>
      </c>
      <c r="E426" t="s">
        <v>3128</v>
      </c>
      <c r="F426" t="s">
        <v>1241</v>
      </c>
      <c r="G426" t="s">
        <v>3141</v>
      </c>
      <c r="H426" t="s">
        <v>1252</v>
      </c>
      <c r="J426" s="455">
        <v>46229</v>
      </c>
      <c r="U426" s="455">
        <v>46289</v>
      </c>
    </row>
    <row r="427" spans="1:21">
      <c r="A427" t="s">
        <v>1751</v>
      </c>
      <c r="B427" t="s">
        <v>4614</v>
      </c>
      <c r="C427" t="s">
        <v>1751</v>
      </c>
      <c r="D427">
        <v>20569947</v>
      </c>
      <c r="E427" t="s">
        <v>3128</v>
      </c>
      <c r="F427" t="s">
        <v>1782</v>
      </c>
      <c r="G427" t="s">
        <v>3141</v>
      </c>
      <c r="H427" t="s">
        <v>1252</v>
      </c>
      <c r="J427" s="455">
        <v>46204</v>
      </c>
      <c r="U427" s="455">
        <v>46205</v>
      </c>
    </row>
    <row r="428" spans="1:21">
      <c r="A428" t="s">
        <v>1751</v>
      </c>
      <c r="B428" t="s">
        <v>4615</v>
      </c>
      <c r="C428" t="s">
        <v>1751</v>
      </c>
      <c r="D428">
        <v>20586525</v>
      </c>
      <c r="E428" t="s">
        <v>1897</v>
      </c>
      <c r="F428" t="s">
        <v>1241</v>
      </c>
      <c r="G428" t="s">
        <v>3134</v>
      </c>
      <c r="H428" t="s">
        <v>1247</v>
      </c>
      <c r="I428" t="s">
        <v>2171</v>
      </c>
      <c r="J428" s="455">
        <v>46221</v>
      </c>
      <c r="K428" s="455">
        <v>46221</v>
      </c>
      <c r="U428" s="455">
        <v>46227</v>
      </c>
    </row>
    <row r="429" spans="1:21">
      <c r="A429" t="s">
        <v>1751</v>
      </c>
      <c r="B429" t="s">
        <v>4616</v>
      </c>
      <c r="C429" t="s">
        <v>1751</v>
      </c>
      <c r="D429">
        <v>20595568</v>
      </c>
      <c r="E429" t="s">
        <v>3128</v>
      </c>
      <c r="F429" t="s">
        <v>1241</v>
      </c>
      <c r="G429" t="s">
        <v>3134</v>
      </c>
      <c r="H429" t="s">
        <v>3165</v>
      </c>
      <c r="J429" s="455">
        <v>46232</v>
      </c>
      <c r="U429" s="455">
        <v>46233</v>
      </c>
    </row>
    <row r="430" spans="1:21">
      <c r="A430" t="s">
        <v>1751</v>
      </c>
      <c r="B430" t="s">
        <v>4617</v>
      </c>
      <c r="C430" t="s">
        <v>1751</v>
      </c>
      <c r="D430">
        <v>20575350</v>
      </c>
      <c r="E430" t="s">
        <v>3128</v>
      </c>
      <c r="F430" t="s">
        <v>1241</v>
      </c>
      <c r="G430" t="s">
        <v>3134</v>
      </c>
      <c r="H430" t="s">
        <v>3165</v>
      </c>
      <c r="J430" s="455">
        <v>46210</v>
      </c>
      <c r="U430" s="455">
        <v>46211</v>
      </c>
    </row>
    <row r="431" spans="1:21">
      <c r="A431" t="s">
        <v>1751</v>
      </c>
      <c r="B431" t="s">
        <v>3654</v>
      </c>
      <c r="C431" t="s">
        <v>1751</v>
      </c>
      <c r="D431">
        <v>20564295</v>
      </c>
      <c r="E431" t="s">
        <v>3142</v>
      </c>
      <c r="F431" t="s">
        <v>1237</v>
      </c>
      <c r="G431" t="s">
        <v>2009</v>
      </c>
      <c r="H431" t="s">
        <v>1247</v>
      </c>
      <c r="I431" t="s">
        <v>1899</v>
      </c>
      <c r="J431" s="455">
        <v>46197</v>
      </c>
      <c r="K431" s="455">
        <v>46197</v>
      </c>
      <c r="L431" s="455">
        <v>46197</v>
      </c>
      <c r="M431" s="455">
        <v>46216</v>
      </c>
      <c r="N431" s="455">
        <v>46216</v>
      </c>
      <c r="O431" s="455">
        <v>46216</v>
      </c>
      <c r="P431" s="455">
        <v>46216</v>
      </c>
      <c r="Q431" s="455">
        <v>46216</v>
      </c>
      <c r="U431" s="455">
        <v>46218</v>
      </c>
    </row>
    <row r="432" spans="1:21">
      <c r="A432" t="s">
        <v>1751</v>
      </c>
      <c r="B432" t="s">
        <v>4618</v>
      </c>
      <c r="C432" t="s">
        <v>1751</v>
      </c>
      <c r="D432">
        <v>20579082</v>
      </c>
      <c r="E432" t="s">
        <v>3128</v>
      </c>
      <c r="F432" t="s">
        <v>1782</v>
      </c>
      <c r="G432" t="s">
        <v>3141</v>
      </c>
      <c r="H432" t="s">
        <v>1252</v>
      </c>
      <c r="J432" s="455">
        <v>46214</v>
      </c>
      <c r="U432" s="455">
        <v>46275</v>
      </c>
    </row>
    <row r="433" spans="1:21">
      <c r="A433" t="s">
        <v>1751</v>
      </c>
      <c r="B433" t="s">
        <v>4619</v>
      </c>
      <c r="C433" t="s">
        <v>1751</v>
      </c>
      <c r="D433">
        <v>20580010</v>
      </c>
      <c r="E433" t="s">
        <v>3128</v>
      </c>
      <c r="F433" t="s">
        <v>1242</v>
      </c>
      <c r="G433" t="s">
        <v>3143</v>
      </c>
      <c r="H433" t="s">
        <v>3131</v>
      </c>
      <c r="J433" s="455">
        <v>46216</v>
      </c>
      <c r="U433" s="455">
        <v>46228</v>
      </c>
    </row>
    <row r="434" spans="1:21">
      <c r="A434" t="s">
        <v>1751</v>
      </c>
      <c r="B434" t="s">
        <v>4619</v>
      </c>
      <c r="C434" t="s">
        <v>1751</v>
      </c>
      <c r="D434">
        <v>20585469</v>
      </c>
      <c r="E434" t="s">
        <v>1897</v>
      </c>
      <c r="F434" t="s">
        <v>1237</v>
      </c>
      <c r="G434" t="s">
        <v>3143</v>
      </c>
      <c r="H434" t="s">
        <v>1249</v>
      </c>
      <c r="I434" t="s">
        <v>1910</v>
      </c>
      <c r="J434" s="455">
        <v>46220</v>
      </c>
      <c r="K434" s="455">
        <v>46229</v>
      </c>
      <c r="U434" s="455">
        <v>46234</v>
      </c>
    </row>
    <row r="435" spans="1:21">
      <c r="A435" t="s">
        <v>1751</v>
      </c>
      <c r="B435" t="s">
        <v>4620</v>
      </c>
      <c r="C435" t="s">
        <v>1751</v>
      </c>
      <c r="D435">
        <v>20597273</v>
      </c>
      <c r="E435" t="s">
        <v>3128</v>
      </c>
      <c r="F435" t="s">
        <v>1241</v>
      </c>
      <c r="G435" t="s">
        <v>3137</v>
      </c>
      <c r="H435" t="s">
        <v>1252</v>
      </c>
      <c r="J435" s="455">
        <v>46234</v>
      </c>
      <c r="U435" s="455">
        <v>46234</v>
      </c>
    </row>
    <row r="436" spans="1:21">
      <c r="A436" t="s">
        <v>1751</v>
      </c>
      <c r="B436" t="s">
        <v>4621</v>
      </c>
      <c r="C436" t="s">
        <v>1751</v>
      </c>
      <c r="D436">
        <v>20573516</v>
      </c>
      <c r="E436" t="s">
        <v>3128</v>
      </c>
      <c r="F436" t="s">
        <v>1782</v>
      </c>
      <c r="G436" t="s">
        <v>3129</v>
      </c>
      <c r="H436" t="s">
        <v>1253</v>
      </c>
      <c r="J436" s="455">
        <v>46209</v>
      </c>
      <c r="U436" s="455">
        <v>46209</v>
      </c>
    </row>
    <row r="437" spans="1:21">
      <c r="A437" t="s">
        <v>1751</v>
      </c>
      <c r="B437" t="s">
        <v>3665</v>
      </c>
      <c r="C437" t="s">
        <v>1751</v>
      </c>
      <c r="D437">
        <v>20529371</v>
      </c>
      <c r="E437" t="s">
        <v>3190</v>
      </c>
      <c r="F437" t="s">
        <v>1242</v>
      </c>
      <c r="G437" t="s">
        <v>3141</v>
      </c>
      <c r="H437" t="s">
        <v>1252</v>
      </c>
      <c r="I437" t="s">
        <v>1952</v>
      </c>
      <c r="J437" s="455">
        <v>46160</v>
      </c>
      <c r="R437" s="455">
        <v>46218</v>
      </c>
      <c r="U437" s="455">
        <v>46185</v>
      </c>
    </row>
    <row r="438" spans="1:21">
      <c r="A438" t="s">
        <v>1751</v>
      </c>
      <c r="B438" t="s">
        <v>4622</v>
      </c>
      <c r="C438" t="s">
        <v>1751</v>
      </c>
      <c r="D438">
        <v>20590259</v>
      </c>
      <c r="E438" t="s">
        <v>1897</v>
      </c>
      <c r="F438" t="s">
        <v>1241</v>
      </c>
      <c r="G438" t="s">
        <v>3134</v>
      </c>
      <c r="H438" t="s">
        <v>1247</v>
      </c>
      <c r="I438" t="s">
        <v>2480</v>
      </c>
      <c r="J438" s="455">
        <v>46225</v>
      </c>
      <c r="K438" s="455">
        <v>46225</v>
      </c>
      <c r="U438" s="455">
        <v>46225</v>
      </c>
    </row>
    <row r="439" spans="1:21">
      <c r="A439" t="s">
        <v>1751</v>
      </c>
      <c r="B439" t="s">
        <v>4623</v>
      </c>
      <c r="C439" t="s">
        <v>1751</v>
      </c>
      <c r="D439">
        <v>20573082</v>
      </c>
      <c r="E439" t="s">
        <v>3128</v>
      </c>
      <c r="F439" t="s">
        <v>1782</v>
      </c>
      <c r="G439" t="s">
        <v>3141</v>
      </c>
      <c r="H439" t="s">
        <v>1252</v>
      </c>
      <c r="J439" s="455">
        <v>46208</v>
      </c>
      <c r="U439" s="455">
        <v>46234</v>
      </c>
    </row>
    <row r="440" spans="1:21">
      <c r="A440" t="s">
        <v>1751</v>
      </c>
      <c r="B440" t="s">
        <v>4624</v>
      </c>
      <c r="C440" t="s">
        <v>1751</v>
      </c>
      <c r="D440">
        <v>20571052</v>
      </c>
      <c r="E440" t="s">
        <v>3128</v>
      </c>
      <c r="F440" t="s">
        <v>1241</v>
      </c>
      <c r="G440" t="s">
        <v>3137</v>
      </c>
      <c r="H440" t="s">
        <v>1252</v>
      </c>
      <c r="J440" s="455">
        <v>46205</v>
      </c>
      <c r="U440" s="455">
        <v>46214</v>
      </c>
    </row>
    <row r="441" spans="1:21">
      <c r="A441" t="s">
        <v>1751</v>
      </c>
      <c r="B441" t="s">
        <v>3669</v>
      </c>
      <c r="C441" t="s">
        <v>1751</v>
      </c>
      <c r="D441">
        <v>20567192</v>
      </c>
      <c r="E441" t="s">
        <v>3142</v>
      </c>
      <c r="F441" t="s">
        <v>1242</v>
      </c>
      <c r="G441" t="s">
        <v>2009</v>
      </c>
      <c r="H441" t="s">
        <v>1252</v>
      </c>
      <c r="I441" t="s">
        <v>1921</v>
      </c>
      <c r="J441" s="455">
        <v>46200</v>
      </c>
      <c r="K441" s="455">
        <v>46214</v>
      </c>
      <c r="L441" s="455">
        <v>46214</v>
      </c>
      <c r="M441" s="455">
        <v>46217</v>
      </c>
      <c r="N441" s="455">
        <v>46217</v>
      </c>
      <c r="P441" s="455">
        <v>46217</v>
      </c>
      <c r="Q441" s="455">
        <v>46217</v>
      </c>
      <c r="U441" s="455">
        <v>46263</v>
      </c>
    </row>
    <row r="442" spans="1:21">
      <c r="A442" t="s">
        <v>1751</v>
      </c>
      <c r="B442" t="s">
        <v>4625</v>
      </c>
      <c r="C442" t="s">
        <v>1751</v>
      </c>
      <c r="D442">
        <v>20597612</v>
      </c>
      <c r="E442" t="s">
        <v>3128</v>
      </c>
      <c r="F442" t="s">
        <v>1241</v>
      </c>
      <c r="G442" t="s">
        <v>2009</v>
      </c>
      <c r="H442" t="s">
        <v>1252</v>
      </c>
      <c r="J442" s="455">
        <v>46234</v>
      </c>
      <c r="U442" s="455">
        <v>46244</v>
      </c>
    </row>
    <row r="443" spans="1:21">
      <c r="A443" t="s">
        <v>1751</v>
      </c>
      <c r="B443" t="s">
        <v>4626</v>
      </c>
      <c r="C443" t="s">
        <v>1751</v>
      </c>
      <c r="D443">
        <v>20591180</v>
      </c>
      <c r="E443" t="s">
        <v>1897</v>
      </c>
      <c r="F443" t="s">
        <v>1241</v>
      </c>
      <c r="G443" t="s">
        <v>3134</v>
      </c>
      <c r="H443" t="s">
        <v>3165</v>
      </c>
      <c r="I443" t="s">
        <v>1545</v>
      </c>
      <c r="J443" s="455">
        <v>46226</v>
      </c>
      <c r="K443" s="455">
        <v>46233</v>
      </c>
      <c r="U443" s="455">
        <v>46235</v>
      </c>
    </row>
    <row r="444" spans="1:21">
      <c r="A444" t="s">
        <v>1751</v>
      </c>
      <c r="B444" t="s">
        <v>3109</v>
      </c>
      <c r="C444" t="s">
        <v>1751</v>
      </c>
      <c r="D444">
        <v>20569506</v>
      </c>
      <c r="E444" t="s">
        <v>3142</v>
      </c>
      <c r="F444" t="s">
        <v>1243</v>
      </c>
      <c r="G444" t="s">
        <v>3137</v>
      </c>
      <c r="H444" t="s">
        <v>1247</v>
      </c>
      <c r="I444" t="s">
        <v>1588</v>
      </c>
      <c r="J444" s="455">
        <v>46203</v>
      </c>
      <c r="K444" s="455">
        <v>46211</v>
      </c>
      <c r="L444" s="455">
        <v>46212</v>
      </c>
      <c r="M444" s="455">
        <v>46217</v>
      </c>
      <c r="N444" s="455">
        <v>46217</v>
      </c>
      <c r="P444" s="455">
        <v>46217</v>
      </c>
      <c r="Q444" s="455">
        <v>46217</v>
      </c>
      <c r="U444" s="455">
        <v>46228</v>
      </c>
    </row>
    <row r="445" spans="1:21">
      <c r="A445" t="s">
        <v>1751</v>
      </c>
      <c r="B445" t="s">
        <v>4627</v>
      </c>
      <c r="C445" t="s">
        <v>1751</v>
      </c>
      <c r="D445">
        <v>20586976</v>
      </c>
      <c r="E445" t="s">
        <v>3128</v>
      </c>
      <c r="F445" t="s">
        <v>1782</v>
      </c>
      <c r="G445" t="s">
        <v>3134</v>
      </c>
      <c r="H445" t="s">
        <v>3165</v>
      </c>
      <c r="J445" s="455">
        <v>46222</v>
      </c>
      <c r="U445" s="455">
        <v>46223</v>
      </c>
    </row>
    <row r="446" spans="1:21">
      <c r="A446" t="s">
        <v>1751</v>
      </c>
      <c r="B446" t="s">
        <v>3674</v>
      </c>
      <c r="C446" t="s">
        <v>1751</v>
      </c>
      <c r="D446">
        <v>20576938</v>
      </c>
      <c r="E446" t="s">
        <v>1897</v>
      </c>
      <c r="F446" t="s">
        <v>1241</v>
      </c>
      <c r="G446" t="s">
        <v>3134</v>
      </c>
      <c r="H446" t="s">
        <v>3165</v>
      </c>
      <c r="J446" s="455">
        <v>46212</v>
      </c>
      <c r="K446" s="455">
        <v>46212</v>
      </c>
      <c r="U446" s="455">
        <v>46212</v>
      </c>
    </row>
    <row r="447" spans="1:21">
      <c r="A447" t="s">
        <v>1751</v>
      </c>
      <c r="B447" t="s">
        <v>3021</v>
      </c>
      <c r="C447" t="s">
        <v>1751</v>
      </c>
      <c r="D447">
        <v>20578278</v>
      </c>
      <c r="E447" t="s">
        <v>3142</v>
      </c>
      <c r="F447" t="s">
        <v>1238</v>
      </c>
      <c r="G447" t="s">
        <v>3137</v>
      </c>
      <c r="H447" t="s">
        <v>1252</v>
      </c>
      <c r="I447" t="s">
        <v>3019</v>
      </c>
      <c r="J447" s="455">
        <v>46213</v>
      </c>
      <c r="K447" s="455">
        <v>46214</v>
      </c>
      <c r="L447" s="455">
        <v>46214</v>
      </c>
      <c r="M447" s="455">
        <v>46220</v>
      </c>
      <c r="N447" s="455">
        <v>46220</v>
      </c>
      <c r="P447" s="455">
        <v>46220</v>
      </c>
      <c r="Q447" s="455">
        <v>46223</v>
      </c>
      <c r="U447" s="455">
        <v>46224</v>
      </c>
    </row>
    <row r="448" spans="1:21">
      <c r="A448" t="s">
        <v>1751</v>
      </c>
      <c r="B448" t="s">
        <v>4628</v>
      </c>
      <c r="C448" t="s">
        <v>1751</v>
      </c>
      <c r="D448">
        <v>20573028</v>
      </c>
      <c r="E448" t="s">
        <v>3128</v>
      </c>
      <c r="F448" t="s">
        <v>1782</v>
      </c>
      <c r="G448" t="s">
        <v>3137</v>
      </c>
      <c r="H448" t="s">
        <v>1252</v>
      </c>
      <c r="J448" s="455">
        <v>46208</v>
      </c>
      <c r="U448" s="455">
        <v>46209</v>
      </c>
    </row>
    <row r="449" spans="1:21">
      <c r="A449" t="s">
        <v>1751</v>
      </c>
      <c r="B449" t="s">
        <v>4628</v>
      </c>
      <c r="C449" t="s">
        <v>1751</v>
      </c>
      <c r="D449">
        <v>20573027</v>
      </c>
      <c r="E449" t="s">
        <v>3128</v>
      </c>
      <c r="F449" t="s">
        <v>1782</v>
      </c>
      <c r="G449" t="s">
        <v>3134</v>
      </c>
      <c r="H449" t="s">
        <v>1252</v>
      </c>
      <c r="J449" s="455">
        <v>46208</v>
      </c>
      <c r="U449" s="455">
        <v>46209</v>
      </c>
    </row>
    <row r="450" spans="1:21">
      <c r="A450" t="s">
        <v>1751</v>
      </c>
      <c r="B450" t="s">
        <v>4629</v>
      </c>
      <c r="C450" t="s">
        <v>1751</v>
      </c>
      <c r="D450">
        <v>20589392</v>
      </c>
      <c r="E450" t="s">
        <v>3128</v>
      </c>
      <c r="F450" t="s">
        <v>1241</v>
      </c>
      <c r="G450" t="s">
        <v>3134</v>
      </c>
      <c r="H450" t="s">
        <v>3165</v>
      </c>
      <c r="J450" s="455">
        <v>46225</v>
      </c>
      <c r="U450" s="455">
        <v>46254</v>
      </c>
    </row>
    <row r="451" spans="1:21">
      <c r="A451" t="s">
        <v>1751</v>
      </c>
      <c r="B451" t="s">
        <v>4629</v>
      </c>
      <c r="C451" t="s">
        <v>1751</v>
      </c>
      <c r="D451">
        <v>20591951</v>
      </c>
      <c r="E451" t="s">
        <v>3128</v>
      </c>
      <c r="F451" t="s">
        <v>1238</v>
      </c>
      <c r="G451" t="s">
        <v>3137</v>
      </c>
      <c r="H451" t="s">
        <v>1252</v>
      </c>
      <c r="I451" t="s">
        <v>3170</v>
      </c>
      <c r="J451" s="455">
        <v>46227</v>
      </c>
      <c r="U451" s="455">
        <v>46290</v>
      </c>
    </row>
    <row r="452" spans="1:21">
      <c r="A452" t="s">
        <v>1751</v>
      </c>
      <c r="B452" t="s">
        <v>4630</v>
      </c>
      <c r="C452" t="s">
        <v>1751</v>
      </c>
      <c r="D452">
        <v>20588739</v>
      </c>
      <c r="E452" t="s">
        <v>3128</v>
      </c>
      <c r="F452" t="s">
        <v>1241</v>
      </c>
      <c r="G452" t="s">
        <v>3134</v>
      </c>
      <c r="H452" t="s">
        <v>1252</v>
      </c>
      <c r="J452" s="455">
        <v>46224</v>
      </c>
      <c r="U452" s="455">
        <v>46249</v>
      </c>
    </row>
    <row r="453" spans="1:21">
      <c r="A453" t="s">
        <v>1751</v>
      </c>
      <c r="B453" t="s">
        <v>4631</v>
      </c>
      <c r="C453" t="s">
        <v>1751</v>
      </c>
      <c r="D453">
        <v>20588071</v>
      </c>
      <c r="E453" t="s">
        <v>3128</v>
      </c>
      <c r="F453" t="s">
        <v>1782</v>
      </c>
      <c r="G453" t="s">
        <v>3134</v>
      </c>
      <c r="H453" t="s">
        <v>3165</v>
      </c>
      <c r="J453" s="455">
        <v>46223</v>
      </c>
      <c r="U453" s="455">
        <v>46234</v>
      </c>
    </row>
    <row r="454" spans="1:21">
      <c r="A454" t="s">
        <v>1751</v>
      </c>
      <c r="B454" t="s">
        <v>3683</v>
      </c>
      <c r="C454" t="s">
        <v>1751</v>
      </c>
      <c r="D454">
        <v>20562112</v>
      </c>
      <c r="E454" t="s">
        <v>3133</v>
      </c>
      <c r="F454" t="s">
        <v>1239</v>
      </c>
      <c r="G454" t="s">
        <v>3129</v>
      </c>
      <c r="H454" t="s">
        <v>3131</v>
      </c>
      <c r="I454" t="s">
        <v>3170</v>
      </c>
      <c r="J454" s="455">
        <v>46195</v>
      </c>
      <c r="K454" s="455">
        <v>46195</v>
      </c>
      <c r="R454" s="455">
        <v>46212</v>
      </c>
      <c r="U454" s="455">
        <v>46195</v>
      </c>
    </row>
    <row r="455" spans="1:21">
      <c r="A455" t="s">
        <v>1751</v>
      </c>
      <c r="B455" t="s">
        <v>4632</v>
      </c>
      <c r="C455" t="s">
        <v>1751</v>
      </c>
      <c r="D455">
        <v>20577856</v>
      </c>
      <c r="E455" t="s">
        <v>3133</v>
      </c>
      <c r="F455" t="s">
        <v>1239</v>
      </c>
      <c r="G455" t="s">
        <v>3143</v>
      </c>
      <c r="H455" t="s">
        <v>1940</v>
      </c>
      <c r="I455" t="s">
        <v>4604</v>
      </c>
      <c r="J455" s="455">
        <v>46213</v>
      </c>
      <c r="K455" s="455">
        <v>46213</v>
      </c>
      <c r="L455" s="455">
        <v>46213</v>
      </c>
      <c r="S455" s="455">
        <v>46226</v>
      </c>
      <c r="U455" s="455">
        <v>46284</v>
      </c>
    </row>
    <row r="456" spans="1:21">
      <c r="A456" t="s">
        <v>1751</v>
      </c>
      <c r="B456" t="s">
        <v>4633</v>
      </c>
      <c r="C456" t="s">
        <v>1751</v>
      </c>
      <c r="D456">
        <v>20575555</v>
      </c>
      <c r="E456" t="s">
        <v>3128</v>
      </c>
      <c r="F456" t="s">
        <v>1241</v>
      </c>
      <c r="G456" t="s">
        <v>3141</v>
      </c>
      <c r="H456" t="s">
        <v>1252</v>
      </c>
      <c r="J456" s="455">
        <v>46210</v>
      </c>
      <c r="U456" s="455">
        <v>46224</v>
      </c>
    </row>
    <row r="457" spans="1:21">
      <c r="A457" t="s">
        <v>1751</v>
      </c>
      <c r="B457" t="s">
        <v>4634</v>
      </c>
      <c r="C457" t="s">
        <v>1751</v>
      </c>
      <c r="D457">
        <v>20592503</v>
      </c>
      <c r="E457" t="s">
        <v>3128</v>
      </c>
      <c r="F457" t="s">
        <v>1782</v>
      </c>
      <c r="G457" t="s">
        <v>3134</v>
      </c>
      <c r="H457" t="s">
        <v>1252</v>
      </c>
      <c r="J457" s="455">
        <v>46228</v>
      </c>
      <c r="U457" s="455">
        <v>46288</v>
      </c>
    </row>
    <row r="458" spans="1:21">
      <c r="A458" t="s">
        <v>1751</v>
      </c>
      <c r="B458" t="s">
        <v>4635</v>
      </c>
      <c r="C458" t="s">
        <v>1751</v>
      </c>
      <c r="D458">
        <v>20583818</v>
      </c>
      <c r="E458" t="s">
        <v>3128</v>
      </c>
      <c r="F458" t="s">
        <v>1243</v>
      </c>
      <c r="G458" t="s">
        <v>3141</v>
      </c>
      <c r="H458" t="s">
        <v>1248</v>
      </c>
      <c r="J458" s="455">
        <v>46218</v>
      </c>
      <c r="U458" s="455">
        <v>46218</v>
      </c>
    </row>
    <row r="459" spans="1:21">
      <c r="A459" t="s">
        <v>1751</v>
      </c>
      <c r="B459" t="s">
        <v>4636</v>
      </c>
      <c r="C459" t="s">
        <v>1751</v>
      </c>
      <c r="D459">
        <v>20594374</v>
      </c>
      <c r="E459" t="s">
        <v>3128</v>
      </c>
      <c r="F459" t="s">
        <v>1241</v>
      </c>
      <c r="G459" t="s">
        <v>3134</v>
      </c>
      <c r="H459" t="s">
        <v>1252</v>
      </c>
      <c r="J459" s="455">
        <v>46231</v>
      </c>
      <c r="U459" s="455">
        <v>46259</v>
      </c>
    </row>
    <row r="460" spans="1:21">
      <c r="A460" t="s">
        <v>1751</v>
      </c>
      <c r="B460" t="s">
        <v>4637</v>
      </c>
      <c r="C460" t="s">
        <v>1751</v>
      </c>
      <c r="D460">
        <v>20590836</v>
      </c>
      <c r="E460" t="s">
        <v>3128</v>
      </c>
      <c r="F460" t="s">
        <v>1782</v>
      </c>
      <c r="G460" t="s">
        <v>3134</v>
      </c>
      <c r="H460" t="s">
        <v>1252</v>
      </c>
      <c r="J460" s="455">
        <v>46226</v>
      </c>
      <c r="U460" s="455">
        <v>46266</v>
      </c>
    </row>
    <row r="461" spans="1:21">
      <c r="A461" t="s">
        <v>1751</v>
      </c>
      <c r="B461" t="s">
        <v>4638</v>
      </c>
      <c r="C461" t="s">
        <v>1751</v>
      </c>
      <c r="D461">
        <v>20591850</v>
      </c>
      <c r="E461" t="s">
        <v>3128</v>
      </c>
      <c r="F461" t="s">
        <v>1782</v>
      </c>
      <c r="G461" t="s">
        <v>3134</v>
      </c>
      <c r="H461" t="s">
        <v>3165</v>
      </c>
      <c r="J461" s="455">
        <v>46227</v>
      </c>
      <c r="U461" s="455">
        <v>46277</v>
      </c>
    </row>
    <row r="462" spans="1:21">
      <c r="A462" t="s">
        <v>1751</v>
      </c>
      <c r="B462" t="s">
        <v>4639</v>
      </c>
      <c r="C462" t="s">
        <v>1751</v>
      </c>
      <c r="D462">
        <v>20577267</v>
      </c>
      <c r="E462" t="s">
        <v>3142</v>
      </c>
      <c r="F462" t="s">
        <v>3285</v>
      </c>
      <c r="G462" t="s">
        <v>3129</v>
      </c>
      <c r="H462" t="s">
        <v>1252</v>
      </c>
      <c r="I462" t="s">
        <v>3307</v>
      </c>
      <c r="J462" s="455">
        <v>46212</v>
      </c>
      <c r="K462" s="455">
        <v>46212</v>
      </c>
      <c r="L462" s="455">
        <v>46212</v>
      </c>
      <c r="M462" s="455">
        <v>46213</v>
      </c>
      <c r="N462" s="455">
        <v>46213</v>
      </c>
      <c r="P462" s="455">
        <v>46213</v>
      </c>
      <c r="Q462" s="455">
        <v>46214</v>
      </c>
      <c r="U462" s="455">
        <v>46227</v>
      </c>
    </row>
    <row r="463" spans="1:21">
      <c r="A463" t="s">
        <v>1751</v>
      </c>
      <c r="B463" t="s">
        <v>4640</v>
      </c>
      <c r="C463" t="s">
        <v>1751</v>
      </c>
      <c r="D463">
        <v>20571656</v>
      </c>
      <c r="E463" t="s">
        <v>3128</v>
      </c>
      <c r="F463" t="s">
        <v>1241</v>
      </c>
      <c r="G463" t="s">
        <v>3141</v>
      </c>
      <c r="H463" t="s">
        <v>1248</v>
      </c>
      <c r="J463" s="455">
        <v>46205</v>
      </c>
      <c r="U463" s="455">
        <v>46205</v>
      </c>
    </row>
    <row r="464" spans="1:21">
      <c r="A464" t="s">
        <v>1751</v>
      </c>
      <c r="B464" t="s">
        <v>4641</v>
      </c>
      <c r="C464" t="s">
        <v>1751</v>
      </c>
      <c r="D464">
        <v>20575616</v>
      </c>
      <c r="E464" t="s">
        <v>3128</v>
      </c>
      <c r="F464" t="s">
        <v>1241</v>
      </c>
      <c r="G464" t="s">
        <v>3137</v>
      </c>
      <c r="H464" t="s">
        <v>1252</v>
      </c>
      <c r="J464" s="455">
        <v>46210</v>
      </c>
      <c r="U464" s="455">
        <v>46235</v>
      </c>
    </row>
    <row r="465" spans="1:21">
      <c r="A465" t="s">
        <v>1751</v>
      </c>
      <c r="B465" t="s">
        <v>4642</v>
      </c>
      <c r="C465" t="s">
        <v>1751</v>
      </c>
      <c r="D465">
        <v>20576553</v>
      </c>
      <c r="E465" t="s">
        <v>3128</v>
      </c>
      <c r="F465" t="s">
        <v>1241</v>
      </c>
      <c r="G465" t="s">
        <v>3134</v>
      </c>
      <c r="H465" t="s">
        <v>3165</v>
      </c>
      <c r="J465" s="455">
        <v>46211</v>
      </c>
      <c r="U465" s="455">
        <v>46213</v>
      </c>
    </row>
    <row r="466" spans="1:21">
      <c r="A466" t="s">
        <v>1751</v>
      </c>
      <c r="B466" t="s">
        <v>4643</v>
      </c>
      <c r="C466" t="s">
        <v>1751</v>
      </c>
      <c r="D466">
        <v>20594746</v>
      </c>
      <c r="E466" t="s">
        <v>1897</v>
      </c>
      <c r="F466" t="s">
        <v>1239</v>
      </c>
      <c r="G466" t="s">
        <v>3143</v>
      </c>
      <c r="H466" t="s">
        <v>1251</v>
      </c>
      <c r="I466" t="s">
        <v>2509</v>
      </c>
      <c r="J466" s="455">
        <v>46231</v>
      </c>
      <c r="K466" s="455">
        <v>46231</v>
      </c>
      <c r="U466" s="455">
        <v>46231</v>
      </c>
    </row>
    <row r="467" spans="1:21">
      <c r="A467" t="s">
        <v>1751</v>
      </c>
      <c r="B467" t="s">
        <v>2969</v>
      </c>
      <c r="C467" t="s">
        <v>1751</v>
      </c>
      <c r="D467">
        <v>20540696</v>
      </c>
      <c r="E467" t="s">
        <v>3142</v>
      </c>
      <c r="F467" t="s">
        <v>1237</v>
      </c>
      <c r="G467" t="s">
        <v>3134</v>
      </c>
      <c r="H467" t="s">
        <v>1249</v>
      </c>
      <c r="I467" t="s">
        <v>1587</v>
      </c>
      <c r="J467" s="455">
        <v>46174</v>
      </c>
      <c r="K467" s="455">
        <v>46174</v>
      </c>
      <c r="L467" s="455">
        <v>46210</v>
      </c>
      <c r="M467" s="455">
        <v>46217</v>
      </c>
      <c r="N467" s="455">
        <v>46217</v>
      </c>
      <c r="P467" s="455">
        <v>46217</v>
      </c>
      <c r="Q467" s="455">
        <v>46217</v>
      </c>
      <c r="T467" s="455">
        <v>46206</v>
      </c>
      <c r="U467" s="455">
        <v>46234</v>
      </c>
    </row>
    <row r="468" spans="1:21">
      <c r="A468" t="s">
        <v>1751</v>
      </c>
      <c r="B468" t="s">
        <v>2969</v>
      </c>
      <c r="C468" t="s">
        <v>1751</v>
      </c>
      <c r="D468">
        <v>20579821</v>
      </c>
      <c r="E468" t="s">
        <v>1897</v>
      </c>
      <c r="F468" t="s">
        <v>1241</v>
      </c>
      <c r="G468" t="s">
        <v>3141</v>
      </c>
      <c r="H468" t="s">
        <v>1249</v>
      </c>
      <c r="J468" s="455">
        <v>46216</v>
      </c>
      <c r="K468" s="455">
        <v>46217</v>
      </c>
      <c r="U468" s="455">
        <v>46216</v>
      </c>
    </row>
    <row r="469" spans="1:21">
      <c r="A469" t="s">
        <v>1751</v>
      </c>
      <c r="B469" t="s">
        <v>2969</v>
      </c>
      <c r="C469" t="s">
        <v>1751</v>
      </c>
      <c r="D469">
        <v>20572088</v>
      </c>
      <c r="E469" t="s">
        <v>3133</v>
      </c>
      <c r="F469" t="s">
        <v>1237</v>
      </c>
      <c r="G469" t="s">
        <v>2009</v>
      </c>
      <c r="H469" t="s">
        <v>1249</v>
      </c>
      <c r="J469" s="455">
        <v>46206</v>
      </c>
      <c r="K469" s="455">
        <v>46210</v>
      </c>
      <c r="R469" s="455">
        <v>46212</v>
      </c>
      <c r="U469" s="455">
        <v>46206</v>
      </c>
    </row>
    <row r="470" spans="1:21">
      <c r="A470" t="s">
        <v>1751</v>
      </c>
      <c r="B470" t="s">
        <v>4644</v>
      </c>
      <c r="C470" t="s">
        <v>1751</v>
      </c>
      <c r="D470">
        <v>20592607</v>
      </c>
      <c r="E470" t="s">
        <v>1907</v>
      </c>
      <c r="F470" t="s">
        <v>1243</v>
      </c>
      <c r="G470" t="s">
        <v>3143</v>
      </c>
      <c r="H470" t="s">
        <v>1247</v>
      </c>
      <c r="I470" t="s">
        <v>1585</v>
      </c>
      <c r="J470" s="455">
        <v>46228</v>
      </c>
      <c r="K470" s="455">
        <v>46228</v>
      </c>
      <c r="L470" s="455">
        <v>46230</v>
      </c>
      <c r="U470" s="455">
        <v>46259</v>
      </c>
    </row>
    <row r="471" spans="1:21">
      <c r="A471" t="s">
        <v>1751</v>
      </c>
      <c r="B471" t="s">
        <v>3059</v>
      </c>
      <c r="C471" t="s">
        <v>1751</v>
      </c>
      <c r="D471">
        <v>20582046</v>
      </c>
      <c r="E471" t="s">
        <v>3142</v>
      </c>
      <c r="F471" t="s">
        <v>1242</v>
      </c>
      <c r="G471" t="s">
        <v>3143</v>
      </c>
      <c r="H471" t="s">
        <v>1248</v>
      </c>
      <c r="I471" t="s">
        <v>2148</v>
      </c>
      <c r="J471" s="455">
        <v>46217</v>
      </c>
      <c r="K471" s="455">
        <v>46217</v>
      </c>
      <c r="L471" s="455">
        <v>46217</v>
      </c>
      <c r="M471" s="455">
        <v>46230</v>
      </c>
      <c r="N471" s="455">
        <v>46230</v>
      </c>
      <c r="O471" s="455">
        <v>46230</v>
      </c>
      <c r="P471" s="455">
        <v>46230</v>
      </c>
      <c r="Q471" s="455">
        <v>46230</v>
      </c>
      <c r="T471" s="455">
        <v>46230</v>
      </c>
      <c r="U471" s="455">
        <v>46230</v>
      </c>
    </row>
    <row r="472" spans="1:21">
      <c r="A472" t="s">
        <v>1751</v>
      </c>
      <c r="B472" t="s">
        <v>3708</v>
      </c>
      <c r="C472" t="s">
        <v>1751</v>
      </c>
      <c r="D472">
        <v>20557418</v>
      </c>
      <c r="E472" t="s">
        <v>3190</v>
      </c>
      <c r="F472" t="s">
        <v>1242</v>
      </c>
      <c r="G472" t="s">
        <v>3143</v>
      </c>
      <c r="H472" t="s">
        <v>1248</v>
      </c>
      <c r="I472" t="s">
        <v>3055</v>
      </c>
      <c r="J472" s="455">
        <v>46189</v>
      </c>
      <c r="R472" s="455">
        <v>46217</v>
      </c>
      <c r="U472" s="455">
        <v>46213</v>
      </c>
    </row>
    <row r="473" spans="1:21">
      <c r="A473" t="s">
        <v>1751</v>
      </c>
      <c r="B473" t="s">
        <v>4645</v>
      </c>
      <c r="C473" t="s">
        <v>1751</v>
      </c>
      <c r="D473">
        <v>20574161</v>
      </c>
      <c r="E473" t="s">
        <v>3128</v>
      </c>
      <c r="F473" t="s">
        <v>1237</v>
      </c>
      <c r="G473" t="s">
        <v>3134</v>
      </c>
      <c r="H473" t="s">
        <v>1252</v>
      </c>
      <c r="J473" s="455">
        <v>46209</v>
      </c>
      <c r="U473" s="455">
        <v>46244</v>
      </c>
    </row>
    <row r="474" spans="1:21">
      <c r="A474" t="s">
        <v>1751</v>
      </c>
      <c r="B474" t="s">
        <v>4646</v>
      </c>
      <c r="C474" t="s">
        <v>1751</v>
      </c>
      <c r="D474">
        <v>20575533</v>
      </c>
      <c r="E474" t="s">
        <v>3128</v>
      </c>
      <c r="F474" t="s">
        <v>1241</v>
      </c>
      <c r="G474" t="s">
        <v>3141</v>
      </c>
      <c r="H474" t="s">
        <v>1251</v>
      </c>
      <c r="J474" s="455">
        <v>46210</v>
      </c>
      <c r="U474" s="455">
        <v>46210</v>
      </c>
    </row>
    <row r="475" spans="1:21">
      <c r="A475" t="s">
        <v>1751</v>
      </c>
      <c r="B475" t="s">
        <v>4647</v>
      </c>
      <c r="C475" t="s">
        <v>1751</v>
      </c>
      <c r="D475">
        <v>20572808</v>
      </c>
      <c r="E475" t="s">
        <v>3128</v>
      </c>
      <c r="F475" t="s">
        <v>1241</v>
      </c>
      <c r="G475" t="s">
        <v>2009</v>
      </c>
      <c r="H475" t="s">
        <v>1251</v>
      </c>
      <c r="J475" s="455">
        <v>46207</v>
      </c>
      <c r="U475" s="455">
        <v>46207</v>
      </c>
    </row>
    <row r="476" spans="1:21">
      <c r="A476" t="s">
        <v>1751</v>
      </c>
      <c r="B476" t="s">
        <v>4648</v>
      </c>
      <c r="C476" t="s">
        <v>1751</v>
      </c>
      <c r="D476">
        <v>20570143</v>
      </c>
      <c r="E476" t="s">
        <v>3128</v>
      </c>
      <c r="F476" t="s">
        <v>1782</v>
      </c>
      <c r="G476" t="s">
        <v>3129</v>
      </c>
      <c r="H476" t="s">
        <v>3131</v>
      </c>
      <c r="J476" s="455">
        <v>46204</v>
      </c>
      <c r="U476" s="455">
        <v>46204</v>
      </c>
    </row>
    <row r="477" spans="1:21">
      <c r="A477" t="s">
        <v>1751</v>
      </c>
      <c r="B477" t="s">
        <v>4649</v>
      </c>
      <c r="C477" t="s">
        <v>1751</v>
      </c>
      <c r="D477">
        <v>20593343</v>
      </c>
      <c r="E477" t="s">
        <v>3128</v>
      </c>
      <c r="F477" t="s">
        <v>1241</v>
      </c>
      <c r="G477" t="s">
        <v>3134</v>
      </c>
      <c r="H477" t="s">
        <v>3165</v>
      </c>
      <c r="J477" s="455">
        <v>46230</v>
      </c>
      <c r="U477" s="455">
        <v>46244</v>
      </c>
    </row>
    <row r="478" spans="1:21">
      <c r="A478" t="s">
        <v>1751</v>
      </c>
      <c r="B478" t="s">
        <v>4650</v>
      </c>
      <c r="C478" t="s">
        <v>1751</v>
      </c>
      <c r="D478">
        <v>20575392</v>
      </c>
      <c r="E478" t="s">
        <v>3128</v>
      </c>
      <c r="F478" t="s">
        <v>1241</v>
      </c>
      <c r="G478" t="s">
        <v>3141</v>
      </c>
      <c r="H478" t="s">
        <v>1252</v>
      </c>
      <c r="J478" s="455">
        <v>46210</v>
      </c>
      <c r="U478" s="455">
        <v>46210</v>
      </c>
    </row>
    <row r="479" spans="1:21">
      <c r="A479" t="s">
        <v>1751</v>
      </c>
      <c r="B479" t="s">
        <v>4651</v>
      </c>
      <c r="C479" t="s">
        <v>1751</v>
      </c>
      <c r="D479">
        <v>20591213</v>
      </c>
      <c r="E479" t="s">
        <v>3128</v>
      </c>
      <c r="F479" t="s">
        <v>1782</v>
      </c>
      <c r="G479" t="s">
        <v>3134</v>
      </c>
      <c r="H479" t="s">
        <v>3165</v>
      </c>
      <c r="J479" s="455">
        <v>46226</v>
      </c>
      <c r="U479" s="455">
        <v>46235</v>
      </c>
    </row>
    <row r="480" spans="1:21">
      <c r="A480" t="s">
        <v>1751</v>
      </c>
      <c r="B480" t="s">
        <v>4652</v>
      </c>
      <c r="C480" t="s">
        <v>1751</v>
      </c>
      <c r="D480">
        <v>20593935</v>
      </c>
      <c r="E480" t="s">
        <v>3128</v>
      </c>
      <c r="F480" t="s">
        <v>1782</v>
      </c>
      <c r="G480" t="s">
        <v>3141</v>
      </c>
      <c r="H480" t="s">
        <v>1251</v>
      </c>
      <c r="J480" s="455">
        <v>46230</v>
      </c>
      <c r="U480" s="455">
        <v>46230</v>
      </c>
    </row>
    <row r="481" spans="1:21">
      <c r="A481" t="s">
        <v>1751</v>
      </c>
      <c r="B481" t="s">
        <v>4653</v>
      </c>
      <c r="C481" t="s">
        <v>1751</v>
      </c>
      <c r="D481">
        <v>20575855</v>
      </c>
      <c r="E481" t="s">
        <v>3128</v>
      </c>
      <c r="F481" t="s">
        <v>1241</v>
      </c>
      <c r="G481" t="s">
        <v>3137</v>
      </c>
      <c r="H481" t="s">
        <v>1252</v>
      </c>
      <c r="J481" s="455">
        <v>46211</v>
      </c>
      <c r="U481" s="455">
        <v>46297</v>
      </c>
    </row>
    <row r="482" spans="1:21">
      <c r="A482" t="s">
        <v>1751</v>
      </c>
      <c r="B482" t="s">
        <v>4654</v>
      </c>
      <c r="C482" t="s">
        <v>1751</v>
      </c>
      <c r="D482">
        <v>20592449</v>
      </c>
      <c r="E482" t="s">
        <v>3128</v>
      </c>
      <c r="F482" t="s">
        <v>1241</v>
      </c>
      <c r="G482" t="s">
        <v>3129</v>
      </c>
      <c r="H482" t="s">
        <v>1253</v>
      </c>
      <c r="J482" s="455">
        <v>46228</v>
      </c>
      <c r="U482" s="455">
        <v>46235</v>
      </c>
    </row>
    <row r="483" spans="1:21">
      <c r="A483" t="s">
        <v>1751</v>
      </c>
      <c r="B483" t="s">
        <v>4655</v>
      </c>
      <c r="C483" t="s">
        <v>1751</v>
      </c>
      <c r="D483">
        <v>20594952</v>
      </c>
      <c r="E483" t="s">
        <v>3128</v>
      </c>
      <c r="F483" t="s">
        <v>1242</v>
      </c>
      <c r="G483" t="s">
        <v>3143</v>
      </c>
      <c r="H483" t="s">
        <v>1248</v>
      </c>
      <c r="I483" t="s">
        <v>3168</v>
      </c>
      <c r="J483" s="455">
        <v>46231</v>
      </c>
      <c r="U483" s="455">
        <v>46276</v>
      </c>
    </row>
    <row r="484" spans="1:21">
      <c r="A484" t="s">
        <v>1751</v>
      </c>
      <c r="B484" t="s">
        <v>4655</v>
      </c>
      <c r="C484" t="s">
        <v>1751</v>
      </c>
      <c r="D484">
        <v>20595656</v>
      </c>
      <c r="E484" t="s">
        <v>1907</v>
      </c>
      <c r="F484" t="s">
        <v>1242</v>
      </c>
      <c r="G484" t="s">
        <v>3134</v>
      </c>
      <c r="H484" t="s">
        <v>1247</v>
      </c>
      <c r="I484" t="s">
        <v>4416</v>
      </c>
      <c r="J484" s="455">
        <v>46232</v>
      </c>
      <c r="K484" s="455">
        <v>46232</v>
      </c>
      <c r="L484" s="455">
        <v>46232</v>
      </c>
      <c r="U484" s="455">
        <v>46272</v>
      </c>
    </row>
    <row r="485" spans="1:21">
      <c r="A485" t="s">
        <v>1751</v>
      </c>
      <c r="B485" t="s">
        <v>4656</v>
      </c>
      <c r="C485" t="s">
        <v>1751</v>
      </c>
      <c r="D485">
        <v>20593079</v>
      </c>
      <c r="E485" t="s">
        <v>3128</v>
      </c>
      <c r="F485" t="s">
        <v>3285</v>
      </c>
      <c r="G485" t="s">
        <v>3134</v>
      </c>
      <c r="H485" t="s">
        <v>1252</v>
      </c>
      <c r="J485" s="455">
        <v>46229</v>
      </c>
      <c r="U485" s="455">
        <v>46251</v>
      </c>
    </row>
    <row r="486" spans="1:21">
      <c r="A486" t="s">
        <v>1751</v>
      </c>
      <c r="B486" t="s">
        <v>3722</v>
      </c>
      <c r="C486" t="s">
        <v>1751</v>
      </c>
      <c r="D486">
        <v>20536317</v>
      </c>
      <c r="E486" t="s">
        <v>3133</v>
      </c>
      <c r="F486" t="s">
        <v>1243</v>
      </c>
      <c r="G486" t="s">
        <v>2009</v>
      </c>
      <c r="H486" t="s">
        <v>1252</v>
      </c>
      <c r="I486" t="s">
        <v>2640</v>
      </c>
      <c r="J486" s="455">
        <v>46168</v>
      </c>
      <c r="K486" s="455">
        <v>46189</v>
      </c>
      <c r="R486" s="455">
        <v>46205</v>
      </c>
      <c r="U486" s="455">
        <v>46200</v>
      </c>
    </row>
    <row r="487" spans="1:21">
      <c r="A487" t="s">
        <v>1751</v>
      </c>
      <c r="B487" t="s">
        <v>4657</v>
      </c>
      <c r="C487" t="s">
        <v>1751</v>
      </c>
      <c r="D487">
        <v>20580677</v>
      </c>
      <c r="E487" t="s">
        <v>3128</v>
      </c>
      <c r="F487" t="s">
        <v>1782</v>
      </c>
      <c r="G487" t="s">
        <v>3129</v>
      </c>
      <c r="H487" t="s">
        <v>1252</v>
      </c>
      <c r="J487" s="455">
        <v>46217</v>
      </c>
      <c r="U487" s="455">
        <v>46218</v>
      </c>
    </row>
    <row r="488" spans="1:21">
      <c r="A488" t="s">
        <v>1751</v>
      </c>
      <c r="B488" t="s">
        <v>4658</v>
      </c>
      <c r="C488" t="s">
        <v>1751</v>
      </c>
      <c r="D488">
        <v>20597272</v>
      </c>
      <c r="E488" t="s">
        <v>3190</v>
      </c>
      <c r="F488" t="s">
        <v>1241</v>
      </c>
      <c r="G488" t="s">
        <v>2009</v>
      </c>
      <c r="H488" t="s">
        <v>1251</v>
      </c>
      <c r="J488" s="455">
        <v>46234</v>
      </c>
      <c r="R488" s="455">
        <v>46234</v>
      </c>
      <c r="U488" s="455">
        <v>46234</v>
      </c>
    </row>
    <row r="489" spans="1:21">
      <c r="A489" t="s">
        <v>1751</v>
      </c>
      <c r="B489" t="s">
        <v>3723</v>
      </c>
      <c r="C489" t="s">
        <v>1751</v>
      </c>
      <c r="D489">
        <v>20552175</v>
      </c>
      <c r="E489" t="s">
        <v>3142</v>
      </c>
      <c r="F489" t="s">
        <v>1239</v>
      </c>
      <c r="G489" t="s">
        <v>3137</v>
      </c>
      <c r="H489" t="s">
        <v>1247</v>
      </c>
      <c r="I489" t="s">
        <v>3179</v>
      </c>
      <c r="J489" s="455">
        <v>46184</v>
      </c>
      <c r="K489" s="455">
        <v>46191</v>
      </c>
      <c r="L489" s="455">
        <v>46191</v>
      </c>
      <c r="M489" s="455">
        <v>46205</v>
      </c>
      <c r="N489" s="455">
        <v>46205</v>
      </c>
      <c r="O489" s="455">
        <v>46205</v>
      </c>
      <c r="P489" s="455">
        <v>46205</v>
      </c>
      <c r="Q489" s="455">
        <v>46206</v>
      </c>
      <c r="U489" s="455">
        <v>46209</v>
      </c>
    </row>
    <row r="490" spans="1:21">
      <c r="A490" t="s">
        <v>1751</v>
      </c>
      <c r="B490" t="s">
        <v>4659</v>
      </c>
      <c r="C490" t="s">
        <v>1751</v>
      </c>
      <c r="D490">
        <v>20585021</v>
      </c>
      <c r="E490" t="s">
        <v>3128</v>
      </c>
      <c r="F490" t="s">
        <v>1239</v>
      </c>
      <c r="G490" t="s">
        <v>3143</v>
      </c>
      <c r="H490" t="s">
        <v>1252</v>
      </c>
      <c r="J490" s="455">
        <v>46219</v>
      </c>
      <c r="U490" s="455">
        <v>46219</v>
      </c>
    </row>
    <row r="491" spans="1:21">
      <c r="A491" t="s">
        <v>1751</v>
      </c>
      <c r="B491" t="s">
        <v>4660</v>
      </c>
      <c r="C491" t="s">
        <v>1751</v>
      </c>
      <c r="D491">
        <v>20590229</v>
      </c>
      <c r="E491" t="s">
        <v>3128</v>
      </c>
      <c r="F491" t="s">
        <v>1782</v>
      </c>
      <c r="G491" t="s">
        <v>3134</v>
      </c>
      <c r="H491" t="s">
        <v>3165</v>
      </c>
      <c r="J491" s="455">
        <v>46225</v>
      </c>
      <c r="U491" s="455">
        <v>46293</v>
      </c>
    </row>
    <row r="492" spans="1:21">
      <c r="A492" t="s">
        <v>1751</v>
      </c>
      <c r="B492" t="s">
        <v>4661</v>
      </c>
      <c r="C492" t="s">
        <v>1751</v>
      </c>
      <c r="D492">
        <v>20583932</v>
      </c>
      <c r="E492" t="s">
        <v>3128</v>
      </c>
      <c r="F492" t="s">
        <v>1241</v>
      </c>
      <c r="G492" t="s">
        <v>3134</v>
      </c>
      <c r="H492" t="s">
        <v>3165</v>
      </c>
      <c r="J492" s="455">
        <v>46218</v>
      </c>
      <c r="U492" s="455">
        <v>46219</v>
      </c>
    </row>
    <row r="493" spans="1:21">
      <c r="A493" t="s">
        <v>1751</v>
      </c>
      <c r="B493" t="s">
        <v>4662</v>
      </c>
      <c r="C493" t="s">
        <v>1751</v>
      </c>
      <c r="D493">
        <v>20571592</v>
      </c>
      <c r="E493" t="s">
        <v>3128</v>
      </c>
      <c r="F493" t="s">
        <v>1241</v>
      </c>
      <c r="G493" t="s">
        <v>3137</v>
      </c>
      <c r="H493" t="s">
        <v>1252</v>
      </c>
      <c r="J493" s="455">
        <v>46205</v>
      </c>
      <c r="U493" s="455">
        <v>46206</v>
      </c>
    </row>
    <row r="494" spans="1:21">
      <c r="A494" t="s">
        <v>1751</v>
      </c>
      <c r="B494" t="s">
        <v>4663</v>
      </c>
      <c r="C494" t="s">
        <v>1751</v>
      </c>
      <c r="D494">
        <v>20594170</v>
      </c>
      <c r="E494" t="s">
        <v>3128</v>
      </c>
      <c r="F494" t="s">
        <v>1782</v>
      </c>
      <c r="G494" t="s">
        <v>3141</v>
      </c>
      <c r="H494" t="s">
        <v>4278</v>
      </c>
      <c r="J494" s="455">
        <v>46230</v>
      </c>
      <c r="U494" s="455">
        <v>46244</v>
      </c>
    </row>
    <row r="495" spans="1:21">
      <c r="A495" t="s">
        <v>1751</v>
      </c>
      <c r="B495" t="s">
        <v>4664</v>
      </c>
      <c r="C495" t="s">
        <v>1751</v>
      </c>
      <c r="D495">
        <v>20592942</v>
      </c>
      <c r="E495" t="s">
        <v>3128</v>
      </c>
      <c r="F495" t="s">
        <v>1241</v>
      </c>
      <c r="G495" t="s">
        <v>3134</v>
      </c>
      <c r="H495" t="s">
        <v>4278</v>
      </c>
      <c r="J495" s="455">
        <v>46229</v>
      </c>
      <c r="U495" s="455">
        <v>46243</v>
      </c>
    </row>
    <row r="496" spans="1:21">
      <c r="A496" t="s">
        <v>1751</v>
      </c>
      <c r="B496" t="s">
        <v>4665</v>
      </c>
      <c r="C496" t="s">
        <v>1751</v>
      </c>
      <c r="D496">
        <v>20596616</v>
      </c>
      <c r="E496" t="s">
        <v>3128</v>
      </c>
      <c r="F496" t="s">
        <v>1241</v>
      </c>
      <c r="G496" t="s">
        <v>3141</v>
      </c>
      <c r="H496" t="s">
        <v>1252</v>
      </c>
      <c r="J496" s="455">
        <v>46233</v>
      </c>
      <c r="U496" s="455">
        <v>46239</v>
      </c>
    </row>
    <row r="497" spans="1:21">
      <c r="A497" t="s">
        <v>1751</v>
      </c>
      <c r="B497" t="s">
        <v>4666</v>
      </c>
      <c r="C497" t="s">
        <v>1751</v>
      </c>
      <c r="D497">
        <v>20574637</v>
      </c>
      <c r="E497" t="s">
        <v>3128</v>
      </c>
      <c r="F497" t="s">
        <v>1241</v>
      </c>
      <c r="G497" t="s">
        <v>3134</v>
      </c>
      <c r="H497" t="s">
        <v>3165</v>
      </c>
      <c r="J497" s="455">
        <v>46210</v>
      </c>
      <c r="U497" s="455">
        <v>46211</v>
      </c>
    </row>
    <row r="498" spans="1:21">
      <c r="A498" t="s">
        <v>1751</v>
      </c>
      <c r="B498" t="s">
        <v>4667</v>
      </c>
      <c r="C498" t="s">
        <v>1751</v>
      </c>
      <c r="D498">
        <v>20582771</v>
      </c>
      <c r="E498" t="s">
        <v>1897</v>
      </c>
      <c r="F498" t="s">
        <v>1241</v>
      </c>
      <c r="G498" t="s">
        <v>3134</v>
      </c>
      <c r="H498" t="s">
        <v>1247</v>
      </c>
      <c r="I498" t="s">
        <v>2182</v>
      </c>
      <c r="J498" s="455">
        <v>46218</v>
      </c>
      <c r="K498" s="455">
        <v>46218</v>
      </c>
      <c r="U498" s="455">
        <v>46235</v>
      </c>
    </row>
    <row r="499" spans="1:21">
      <c r="A499" t="s">
        <v>1751</v>
      </c>
      <c r="B499" t="s">
        <v>4668</v>
      </c>
      <c r="C499" t="s">
        <v>1751</v>
      </c>
      <c r="D499">
        <v>20590125</v>
      </c>
      <c r="E499" t="s">
        <v>3128</v>
      </c>
      <c r="F499" t="s">
        <v>1782</v>
      </c>
      <c r="G499" t="s">
        <v>3134</v>
      </c>
      <c r="H499" t="s">
        <v>1252</v>
      </c>
      <c r="J499" s="455">
        <v>46225</v>
      </c>
      <c r="U499" s="455">
        <v>46249</v>
      </c>
    </row>
    <row r="500" spans="1:21">
      <c r="A500" t="s">
        <v>1751</v>
      </c>
      <c r="B500" t="s">
        <v>3733</v>
      </c>
      <c r="C500" t="s">
        <v>1751</v>
      </c>
      <c r="D500">
        <v>20564328</v>
      </c>
      <c r="E500" t="s">
        <v>3133</v>
      </c>
      <c r="F500" t="s">
        <v>1241</v>
      </c>
      <c r="G500" t="s">
        <v>3134</v>
      </c>
      <c r="H500" t="s">
        <v>1253</v>
      </c>
      <c r="J500" s="455">
        <v>46197</v>
      </c>
      <c r="K500" s="455">
        <v>46197</v>
      </c>
      <c r="R500" s="455">
        <v>46212</v>
      </c>
      <c r="U500" s="455">
        <v>46197</v>
      </c>
    </row>
    <row r="501" spans="1:21">
      <c r="A501" t="s">
        <v>1751</v>
      </c>
      <c r="B501" t="s">
        <v>3735</v>
      </c>
      <c r="C501" t="s">
        <v>1751</v>
      </c>
      <c r="D501">
        <v>20558674</v>
      </c>
      <c r="E501" t="s">
        <v>3133</v>
      </c>
      <c r="F501" t="s">
        <v>1241</v>
      </c>
      <c r="G501" t="s">
        <v>3134</v>
      </c>
      <c r="H501" t="s">
        <v>1247</v>
      </c>
      <c r="I501" t="s">
        <v>2449</v>
      </c>
      <c r="J501" s="455">
        <v>46190</v>
      </c>
      <c r="K501" s="455">
        <v>46190</v>
      </c>
      <c r="R501" s="455">
        <v>46205</v>
      </c>
      <c r="U501" s="455">
        <v>46234</v>
      </c>
    </row>
    <row r="502" spans="1:21">
      <c r="A502" t="s">
        <v>1751</v>
      </c>
      <c r="B502" t="s">
        <v>4669</v>
      </c>
      <c r="C502" t="s">
        <v>1751</v>
      </c>
      <c r="D502">
        <v>20581823</v>
      </c>
      <c r="E502" t="s">
        <v>3128</v>
      </c>
      <c r="F502" t="s">
        <v>1239</v>
      </c>
      <c r="G502" t="s">
        <v>3143</v>
      </c>
      <c r="H502" t="s">
        <v>1249</v>
      </c>
      <c r="I502" t="s">
        <v>3170</v>
      </c>
      <c r="J502" s="455">
        <v>46217</v>
      </c>
      <c r="U502" s="455">
        <v>46217</v>
      </c>
    </row>
    <row r="503" spans="1:21">
      <c r="A503" t="s">
        <v>1751</v>
      </c>
      <c r="B503" t="s">
        <v>4670</v>
      </c>
      <c r="C503" t="s">
        <v>1751</v>
      </c>
      <c r="D503">
        <v>20575467</v>
      </c>
      <c r="E503" t="s">
        <v>3128</v>
      </c>
      <c r="F503" t="s">
        <v>1237</v>
      </c>
      <c r="G503" t="s">
        <v>3137</v>
      </c>
      <c r="H503" t="s">
        <v>1247</v>
      </c>
      <c r="J503" s="455">
        <v>46210</v>
      </c>
      <c r="U503" s="455">
        <v>46210</v>
      </c>
    </row>
    <row r="504" spans="1:21">
      <c r="A504" t="s">
        <v>1751</v>
      </c>
      <c r="B504" t="s">
        <v>4671</v>
      </c>
      <c r="C504" t="s">
        <v>1751</v>
      </c>
      <c r="D504">
        <v>20589574</v>
      </c>
      <c r="E504" t="s">
        <v>3128</v>
      </c>
      <c r="F504" t="s">
        <v>1782</v>
      </c>
      <c r="G504" t="s">
        <v>3134</v>
      </c>
      <c r="H504" t="s">
        <v>1252</v>
      </c>
      <c r="J504" s="455">
        <v>46225</v>
      </c>
      <c r="U504" s="455">
        <v>46235</v>
      </c>
    </row>
    <row r="505" spans="1:21">
      <c r="A505" t="s">
        <v>1751</v>
      </c>
      <c r="B505" t="s">
        <v>4672</v>
      </c>
      <c r="C505" t="s">
        <v>1751</v>
      </c>
      <c r="D505">
        <v>20509529</v>
      </c>
      <c r="E505" t="s">
        <v>3190</v>
      </c>
      <c r="F505" t="s">
        <v>1239</v>
      </c>
      <c r="G505" t="s">
        <v>3129</v>
      </c>
      <c r="H505" t="s">
        <v>1247</v>
      </c>
      <c r="I505" t="s">
        <v>1565</v>
      </c>
      <c r="J505" s="455">
        <v>46137</v>
      </c>
      <c r="R505" s="455">
        <v>46216</v>
      </c>
      <c r="U505" s="455">
        <v>46137</v>
      </c>
    </row>
    <row r="506" spans="1:21">
      <c r="A506" t="s">
        <v>1751</v>
      </c>
      <c r="B506" t="s">
        <v>4673</v>
      </c>
      <c r="C506" t="s">
        <v>1751</v>
      </c>
      <c r="D506">
        <v>20597566</v>
      </c>
      <c r="E506" t="s">
        <v>3128</v>
      </c>
      <c r="F506" t="s">
        <v>1241</v>
      </c>
      <c r="G506" t="s">
        <v>2009</v>
      </c>
      <c r="H506" t="s">
        <v>1252</v>
      </c>
      <c r="J506" s="455">
        <v>46234</v>
      </c>
      <c r="U506" s="455">
        <v>46235</v>
      </c>
    </row>
    <row r="507" spans="1:21">
      <c r="A507" t="s">
        <v>1751</v>
      </c>
      <c r="B507" t="s">
        <v>2406</v>
      </c>
      <c r="C507" t="s">
        <v>1751</v>
      </c>
      <c r="D507">
        <v>20584013</v>
      </c>
      <c r="E507" t="s">
        <v>3142</v>
      </c>
      <c r="F507" t="s">
        <v>3285</v>
      </c>
      <c r="G507" t="s">
        <v>3134</v>
      </c>
      <c r="H507" t="s">
        <v>1247</v>
      </c>
      <c r="I507" t="s">
        <v>2405</v>
      </c>
      <c r="J507" s="455">
        <v>46218</v>
      </c>
      <c r="K507" s="455">
        <v>46218</v>
      </c>
      <c r="L507" s="455">
        <v>46218</v>
      </c>
      <c r="M507" s="455">
        <v>46224</v>
      </c>
      <c r="N507" s="455">
        <v>46226</v>
      </c>
      <c r="P507" s="455">
        <v>46228</v>
      </c>
      <c r="Q507" s="455">
        <v>46228</v>
      </c>
      <c r="U507" s="455">
        <v>46234</v>
      </c>
    </row>
    <row r="508" spans="1:21">
      <c r="A508" t="s">
        <v>1751</v>
      </c>
      <c r="B508" t="s">
        <v>3742</v>
      </c>
      <c r="C508" t="s">
        <v>1751</v>
      </c>
      <c r="D508">
        <v>20571749</v>
      </c>
      <c r="E508" t="s">
        <v>3128</v>
      </c>
      <c r="F508" t="s">
        <v>1241</v>
      </c>
      <c r="G508" t="s">
        <v>3134</v>
      </c>
      <c r="H508" t="s">
        <v>3165</v>
      </c>
      <c r="J508" s="455">
        <v>46205</v>
      </c>
      <c r="U508" s="455">
        <v>46228</v>
      </c>
    </row>
    <row r="509" spans="1:21">
      <c r="A509" t="s">
        <v>1751</v>
      </c>
      <c r="B509" t="s">
        <v>3744</v>
      </c>
      <c r="C509" t="s">
        <v>1751</v>
      </c>
      <c r="D509">
        <v>20565065</v>
      </c>
      <c r="E509" t="s">
        <v>3133</v>
      </c>
      <c r="F509" t="s">
        <v>1239</v>
      </c>
      <c r="G509" t="s">
        <v>3141</v>
      </c>
      <c r="H509" t="s">
        <v>1247</v>
      </c>
      <c r="I509" t="s">
        <v>2148</v>
      </c>
      <c r="J509" s="455">
        <v>46198</v>
      </c>
      <c r="K509" s="455">
        <v>46199</v>
      </c>
      <c r="L509" s="455">
        <v>46200</v>
      </c>
      <c r="S509" s="455">
        <v>46204</v>
      </c>
      <c r="U509" s="455">
        <v>46204</v>
      </c>
    </row>
    <row r="510" spans="1:21">
      <c r="A510" t="s">
        <v>1751</v>
      </c>
      <c r="B510" t="s">
        <v>3745</v>
      </c>
      <c r="C510" t="s">
        <v>1751</v>
      </c>
      <c r="D510">
        <v>20567205</v>
      </c>
      <c r="E510" t="s">
        <v>3133</v>
      </c>
      <c r="F510" t="s">
        <v>1241</v>
      </c>
      <c r="G510" t="s">
        <v>3134</v>
      </c>
      <c r="H510" t="s">
        <v>1247</v>
      </c>
      <c r="J510" s="455">
        <v>46200</v>
      </c>
      <c r="K510" s="455">
        <v>46200</v>
      </c>
      <c r="R510" s="455">
        <v>46212</v>
      </c>
      <c r="U510" s="455">
        <v>46200</v>
      </c>
    </row>
    <row r="511" spans="1:21">
      <c r="A511" t="s">
        <v>1751</v>
      </c>
      <c r="B511" t="s">
        <v>4674</v>
      </c>
      <c r="C511" t="s">
        <v>1751</v>
      </c>
      <c r="D511">
        <v>20592124</v>
      </c>
      <c r="E511" t="s">
        <v>3128</v>
      </c>
      <c r="F511" t="s">
        <v>1782</v>
      </c>
      <c r="G511" t="s">
        <v>3141</v>
      </c>
      <c r="H511" t="s">
        <v>4278</v>
      </c>
      <c r="J511" s="455">
        <v>46228</v>
      </c>
      <c r="U511" s="455">
        <v>46241</v>
      </c>
    </row>
    <row r="512" spans="1:21">
      <c r="A512" t="s">
        <v>1751</v>
      </c>
      <c r="B512" t="s">
        <v>3749</v>
      </c>
      <c r="C512" t="s">
        <v>1751</v>
      </c>
      <c r="D512">
        <v>20568025</v>
      </c>
      <c r="E512" t="s">
        <v>3133</v>
      </c>
      <c r="F512" t="s">
        <v>1239</v>
      </c>
      <c r="G512" t="s">
        <v>3134</v>
      </c>
      <c r="H512" t="s">
        <v>1247</v>
      </c>
      <c r="I512" t="s">
        <v>2941</v>
      </c>
      <c r="J512" s="455">
        <v>46202</v>
      </c>
      <c r="K512" s="455">
        <v>46202</v>
      </c>
      <c r="L512" s="455">
        <v>46203</v>
      </c>
      <c r="S512" s="455">
        <v>46210</v>
      </c>
      <c r="U512" s="455">
        <v>46214</v>
      </c>
    </row>
    <row r="513" spans="1:21">
      <c r="A513" t="s">
        <v>1751</v>
      </c>
      <c r="B513" t="s">
        <v>4675</v>
      </c>
      <c r="C513" t="s">
        <v>1751</v>
      </c>
      <c r="D513">
        <v>20592870</v>
      </c>
      <c r="E513" t="s">
        <v>3128</v>
      </c>
      <c r="F513" t="s">
        <v>3285</v>
      </c>
      <c r="G513" t="s">
        <v>3141</v>
      </c>
      <c r="H513" t="s">
        <v>4278</v>
      </c>
      <c r="J513" s="455">
        <v>46229</v>
      </c>
      <c r="U513" s="455">
        <v>46259</v>
      </c>
    </row>
    <row r="514" spans="1:21">
      <c r="A514" t="s">
        <v>1751</v>
      </c>
      <c r="B514" t="s">
        <v>4676</v>
      </c>
      <c r="C514" t="s">
        <v>1751</v>
      </c>
      <c r="D514">
        <v>20590449</v>
      </c>
      <c r="E514" t="s">
        <v>3128</v>
      </c>
      <c r="F514" t="s">
        <v>1782</v>
      </c>
      <c r="G514" t="s">
        <v>3141</v>
      </c>
      <c r="H514" t="s">
        <v>1252</v>
      </c>
      <c r="J514" s="455">
        <v>46226</v>
      </c>
      <c r="U514" s="455">
        <v>46228</v>
      </c>
    </row>
    <row r="515" spans="1:21">
      <c r="A515" t="s">
        <v>1751</v>
      </c>
      <c r="B515" t="s">
        <v>4677</v>
      </c>
      <c r="C515" t="s">
        <v>1751</v>
      </c>
      <c r="D515">
        <v>20579335</v>
      </c>
      <c r="E515" t="s">
        <v>3133</v>
      </c>
      <c r="F515" t="s">
        <v>1241</v>
      </c>
      <c r="G515" t="s">
        <v>3134</v>
      </c>
      <c r="H515" t="s">
        <v>1251</v>
      </c>
      <c r="I515" t="s">
        <v>2623</v>
      </c>
      <c r="J515" s="455">
        <v>46215</v>
      </c>
      <c r="K515" s="455">
        <v>46215</v>
      </c>
      <c r="L515" s="455">
        <v>46219</v>
      </c>
      <c r="S515" s="455">
        <v>46220</v>
      </c>
      <c r="U515" s="455">
        <v>46241</v>
      </c>
    </row>
    <row r="516" spans="1:21">
      <c r="A516" t="s">
        <v>1751</v>
      </c>
      <c r="B516" t="s">
        <v>3751</v>
      </c>
      <c r="C516" t="s">
        <v>1751</v>
      </c>
      <c r="D516">
        <v>20586850</v>
      </c>
      <c r="E516" t="s">
        <v>3128</v>
      </c>
      <c r="F516" t="s">
        <v>1241</v>
      </c>
      <c r="G516" t="s">
        <v>3141</v>
      </c>
      <c r="H516" t="s">
        <v>1252</v>
      </c>
      <c r="J516" s="455">
        <v>46222</v>
      </c>
      <c r="U516" s="455">
        <v>46222</v>
      </c>
    </row>
    <row r="517" spans="1:21">
      <c r="A517" t="s">
        <v>1751</v>
      </c>
      <c r="B517" t="s">
        <v>4678</v>
      </c>
      <c r="C517" t="s">
        <v>1751</v>
      </c>
      <c r="D517">
        <v>20577036</v>
      </c>
      <c r="E517" t="s">
        <v>3128</v>
      </c>
      <c r="F517" t="s">
        <v>1241</v>
      </c>
      <c r="G517" t="s">
        <v>3141</v>
      </c>
      <c r="H517" t="s">
        <v>1251</v>
      </c>
      <c r="J517" s="455">
        <v>46212</v>
      </c>
      <c r="U517" s="455">
        <v>46212</v>
      </c>
    </row>
    <row r="518" spans="1:21">
      <c r="A518" t="s">
        <v>1751</v>
      </c>
      <c r="B518" t="s">
        <v>4679</v>
      </c>
      <c r="C518" t="s">
        <v>1751</v>
      </c>
      <c r="D518">
        <v>20574603</v>
      </c>
      <c r="E518" t="s">
        <v>3128</v>
      </c>
      <c r="F518" t="s">
        <v>1241</v>
      </c>
      <c r="G518" t="s">
        <v>3141</v>
      </c>
      <c r="H518" t="s">
        <v>1252</v>
      </c>
      <c r="J518" s="455">
        <v>46210</v>
      </c>
      <c r="U518" s="455">
        <v>46296</v>
      </c>
    </row>
    <row r="519" spans="1:21">
      <c r="A519" t="s">
        <v>1751</v>
      </c>
      <c r="B519" t="s">
        <v>4679</v>
      </c>
      <c r="C519" t="s">
        <v>1751</v>
      </c>
      <c r="D519">
        <v>20574826</v>
      </c>
      <c r="E519" t="s">
        <v>3128</v>
      </c>
      <c r="F519" t="s">
        <v>1242</v>
      </c>
      <c r="G519" t="s">
        <v>3129</v>
      </c>
      <c r="H519" t="s">
        <v>1252</v>
      </c>
      <c r="J519" s="455">
        <v>46210</v>
      </c>
      <c r="U519" s="455">
        <v>46210</v>
      </c>
    </row>
    <row r="520" spans="1:21">
      <c r="A520" t="s">
        <v>1751</v>
      </c>
      <c r="B520" t="s">
        <v>3754</v>
      </c>
      <c r="C520" t="s">
        <v>1751</v>
      </c>
      <c r="D520">
        <v>20562627</v>
      </c>
      <c r="E520" t="s">
        <v>3133</v>
      </c>
      <c r="F520" t="s">
        <v>1237</v>
      </c>
      <c r="G520" t="s">
        <v>3143</v>
      </c>
      <c r="H520" t="s">
        <v>1248</v>
      </c>
      <c r="I520" t="s">
        <v>2640</v>
      </c>
      <c r="J520" s="455">
        <v>46195</v>
      </c>
      <c r="K520" s="455">
        <v>46199</v>
      </c>
      <c r="L520" s="455">
        <v>46199</v>
      </c>
      <c r="R520" s="455">
        <v>46212</v>
      </c>
      <c r="U520" s="455">
        <v>46228</v>
      </c>
    </row>
    <row r="521" spans="1:21">
      <c r="A521" t="s">
        <v>1751</v>
      </c>
      <c r="B521" t="s">
        <v>4680</v>
      </c>
      <c r="C521" t="s">
        <v>1751</v>
      </c>
      <c r="D521">
        <v>20572125</v>
      </c>
      <c r="E521" t="s">
        <v>3128</v>
      </c>
      <c r="F521" t="s">
        <v>1241</v>
      </c>
      <c r="G521" t="s">
        <v>3141</v>
      </c>
      <c r="H521" t="s">
        <v>1251</v>
      </c>
      <c r="J521" s="455">
        <v>46206</v>
      </c>
      <c r="U521" s="455">
        <v>46206</v>
      </c>
    </row>
    <row r="522" spans="1:21">
      <c r="A522" t="s">
        <v>1751</v>
      </c>
      <c r="B522" t="s">
        <v>4681</v>
      </c>
      <c r="C522" t="s">
        <v>1751</v>
      </c>
      <c r="D522">
        <v>20595548</v>
      </c>
      <c r="E522" t="s">
        <v>3128</v>
      </c>
      <c r="F522" t="s">
        <v>1241</v>
      </c>
      <c r="G522" t="s">
        <v>3129</v>
      </c>
      <c r="H522" t="s">
        <v>1252</v>
      </c>
      <c r="J522" s="455">
        <v>46232</v>
      </c>
      <c r="U522" s="455">
        <v>46232</v>
      </c>
    </row>
    <row r="523" spans="1:21">
      <c r="A523" t="s">
        <v>1751</v>
      </c>
      <c r="B523" t="s">
        <v>4682</v>
      </c>
      <c r="C523" t="s">
        <v>1751</v>
      </c>
      <c r="D523">
        <v>20575685</v>
      </c>
      <c r="E523" t="s">
        <v>3128</v>
      </c>
      <c r="F523" t="s">
        <v>1241</v>
      </c>
      <c r="G523" t="s">
        <v>3141</v>
      </c>
      <c r="H523" t="s">
        <v>1252</v>
      </c>
      <c r="J523" s="455">
        <v>46211</v>
      </c>
      <c r="U523" s="455">
        <v>46271</v>
      </c>
    </row>
    <row r="524" spans="1:21">
      <c r="A524" t="s">
        <v>1751</v>
      </c>
      <c r="B524" t="s">
        <v>4683</v>
      </c>
      <c r="C524" t="s">
        <v>1751</v>
      </c>
      <c r="D524">
        <v>20596917</v>
      </c>
      <c r="E524" t="s">
        <v>3128</v>
      </c>
      <c r="F524" t="s">
        <v>1241</v>
      </c>
      <c r="G524" t="s">
        <v>3137</v>
      </c>
      <c r="H524" t="s">
        <v>4278</v>
      </c>
      <c r="J524" s="455">
        <v>46233</v>
      </c>
      <c r="U524" s="455">
        <v>46246</v>
      </c>
    </row>
    <row r="525" spans="1:21">
      <c r="A525" t="s">
        <v>1751</v>
      </c>
      <c r="B525" t="s">
        <v>4684</v>
      </c>
      <c r="C525" t="s">
        <v>1751</v>
      </c>
      <c r="D525">
        <v>20571444</v>
      </c>
      <c r="E525" t="s">
        <v>3128</v>
      </c>
      <c r="F525" t="s">
        <v>1241</v>
      </c>
      <c r="G525" t="s">
        <v>3129</v>
      </c>
      <c r="H525" t="s">
        <v>3131</v>
      </c>
      <c r="J525" s="455">
        <v>46205</v>
      </c>
      <c r="U525" s="455">
        <v>46205</v>
      </c>
    </row>
    <row r="526" spans="1:21">
      <c r="A526" t="s">
        <v>1751</v>
      </c>
      <c r="B526" t="s">
        <v>4685</v>
      </c>
      <c r="C526" t="s">
        <v>1751</v>
      </c>
      <c r="D526">
        <v>20570666</v>
      </c>
      <c r="E526" t="s">
        <v>3128</v>
      </c>
      <c r="F526" t="s">
        <v>1241</v>
      </c>
      <c r="G526" t="s">
        <v>3129</v>
      </c>
      <c r="H526" t="s">
        <v>1252</v>
      </c>
      <c r="J526" s="455">
        <v>46204</v>
      </c>
      <c r="U526" s="455">
        <v>46265</v>
      </c>
    </row>
    <row r="527" spans="1:21">
      <c r="A527" t="s">
        <v>1751</v>
      </c>
      <c r="B527" t="s">
        <v>4686</v>
      </c>
      <c r="C527" t="s">
        <v>1751</v>
      </c>
      <c r="D527">
        <v>20575162</v>
      </c>
      <c r="E527" t="s">
        <v>3128</v>
      </c>
      <c r="F527" t="s">
        <v>1241</v>
      </c>
      <c r="G527" t="s">
        <v>3129</v>
      </c>
      <c r="H527" t="s">
        <v>3131</v>
      </c>
      <c r="J527" s="455">
        <v>46210</v>
      </c>
      <c r="U527" s="455">
        <v>46210</v>
      </c>
    </row>
    <row r="528" spans="1:21">
      <c r="A528" t="s">
        <v>1751</v>
      </c>
      <c r="B528" t="s">
        <v>4687</v>
      </c>
      <c r="C528" t="s">
        <v>1751</v>
      </c>
      <c r="D528">
        <v>20595665</v>
      </c>
      <c r="E528" t="s">
        <v>3128</v>
      </c>
      <c r="F528" t="s">
        <v>1238</v>
      </c>
      <c r="G528" t="s">
        <v>3141</v>
      </c>
      <c r="H528" t="s">
        <v>1252</v>
      </c>
      <c r="J528" s="455">
        <v>46232</v>
      </c>
      <c r="U528" s="455">
        <v>46261</v>
      </c>
    </row>
    <row r="529" spans="1:21">
      <c r="A529" t="s">
        <v>1751</v>
      </c>
      <c r="B529" t="s">
        <v>4688</v>
      </c>
      <c r="C529" t="s">
        <v>1751</v>
      </c>
      <c r="D529">
        <v>20591410</v>
      </c>
      <c r="E529" t="s">
        <v>3133</v>
      </c>
      <c r="F529" t="s">
        <v>1241</v>
      </c>
      <c r="G529" t="s">
        <v>3134</v>
      </c>
      <c r="H529" t="s">
        <v>1247</v>
      </c>
      <c r="I529" t="s">
        <v>2431</v>
      </c>
      <c r="J529" s="455">
        <v>46227</v>
      </c>
      <c r="K529" s="455">
        <v>46227</v>
      </c>
      <c r="L529" s="455">
        <v>46227</v>
      </c>
      <c r="S529" s="455">
        <v>46231</v>
      </c>
      <c r="U529" s="455">
        <v>46302</v>
      </c>
    </row>
    <row r="530" spans="1:21">
      <c r="A530" t="s">
        <v>1751</v>
      </c>
      <c r="B530" t="s">
        <v>4689</v>
      </c>
      <c r="C530" t="s">
        <v>1751</v>
      </c>
      <c r="D530">
        <v>20591911</v>
      </c>
      <c r="E530" t="s">
        <v>3128</v>
      </c>
      <c r="F530" t="s">
        <v>1782</v>
      </c>
      <c r="G530" t="s">
        <v>3141</v>
      </c>
      <c r="H530" t="s">
        <v>1247</v>
      </c>
      <c r="J530" s="455">
        <v>46227</v>
      </c>
      <c r="U530" s="455">
        <v>46227</v>
      </c>
    </row>
    <row r="531" spans="1:21">
      <c r="A531" t="s">
        <v>1751</v>
      </c>
      <c r="B531" t="s">
        <v>4689</v>
      </c>
      <c r="C531" t="s">
        <v>1751</v>
      </c>
      <c r="D531">
        <v>20592700</v>
      </c>
      <c r="E531" t="s">
        <v>1907</v>
      </c>
      <c r="F531" t="s">
        <v>1243</v>
      </c>
      <c r="G531" t="s">
        <v>3134</v>
      </c>
      <c r="H531" t="s">
        <v>1247</v>
      </c>
      <c r="I531" t="s">
        <v>1834</v>
      </c>
      <c r="J531" s="455">
        <v>46228</v>
      </c>
      <c r="K531" s="455">
        <v>46228</v>
      </c>
      <c r="L531" s="455">
        <v>46234</v>
      </c>
      <c r="U531" s="455">
        <v>46261</v>
      </c>
    </row>
    <row r="532" spans="1:21">
      <c r="A532" t="s">
        <v>1751</v>
      </c>
      <c r="B532" t="s">
        <v>4690</v>
      </c>
      <c r="C532" t="s">
        <v>1751</v>
      </c>
      <c r="D532">
        <v>20588066</v>
      </c>
      <c r="E532" t="s">
        <v>3128</v>
      </c>
      <c r="F532" t="s">
        <v>1782</v>
      </c>
      <c r="G532" t="s">
        <v>3134</v>
      </c>
      <c r="H532" t="s">
        <v>1252</v>
      </c>
      <c r="J532" s="455">
        <v>46223</v>
      </c>
      <c r="U532" s="455">
        <v>46223</v>
      </c>
    </row>
    <row r="533" spans="1:21">
      <c r="A533" t="s">
        <v>1751</v>
      </c>
      <c r="B533" t="s">
        <v>2989</v>
      </c>
      <c r="C533" t="s">
        <v>1751</v>
      </c>
      <c r="D533">
        <v>20572696</v>
      </c>
      <c r="E533" t="s">
        <v>1907</v>
      </c>
      <c r="F533" t="s">
        <v>1242</v>
      </c>
      <c r="G533" t="s">
        <v>3141</v>
      </c>
      <c r="H533" t="s">
        <v>1252</v>
      </c>
      <c r="I533" t="s">
        <v>4691</v>
      </c>
      <c r="J533" s="455">
        <v>46207</v>
      </c>
      <c r="K533" s="455">
        <v>46227</v>
      </c>
      <c r="L533" s="455">
        <v>46233</v>
      </c>
      <c r="U533" s="455">
        <v>46242</v>
      </c>
    </row>
    <row r="534" spans="1:21">
      <c r="A534" t="s">
        <v>1751</v>
      </c>
      <c r="B534" t="s">
        <v>4692</v>
      </c>
      <c r="C534" t="s">
        <v>1751</v>
      </c>
      <c r="D534">
        <v>20572729</v>
      </c>
      <c r="E534" t="s">
        <v>3128</v>
      </c>
      <c r="F534" t="s">
        <v>1782</v>
      </c>
      <c r="G534" t="s">
        <v>3134</v>
      </c>
      <c r="H534" t="s">
        <v>3165</v>
      </c>
      <c r="J534" s="455">
        <v>46207</v>
      </c>
      <c r="U534" s="455">
        <v>46208</v>
      </c>
    </row>
    <row r="535" spans="1:21">
      <c r="A535" t="s">
        <v>1751</v>
      </c>
      <c r="B535" t="s">
        <v>4693</v>
      </c>
      <c r="C535" t="s">
        <v>1751</v>
      </c>
      <c r="D535">
        <v>20590261</v>
      </c>
      <c r="E535" t="s">
        <v>3128</v>
      </c>
      <c r="F535" t="s">
        <v>1782</v>
      </c>
      <c r="G535" t="s">
        <v>3141</v>
      </c>
      <c r="H535" t="s">
        <v>4278</v>
      </c>
      <c r="J535" s="455">
        <v>46225</v>
      </c>
      <c r="U535" s="455">
        <v>46239</v>
      </c>
    </row>
    <row r="536" spans="1:21">
      <c r="A536" t="s">
        <v>1751</v>
      </c>
      <c r="B536" t="s">
        <v>3797</v>
      </c>
      <c r="C536" t="s">
        <v>1751</v>
      </c>
      <c r="D536">
        <v>20559134</v>
      </c>
      <c r="E536" t="s">
        <v>3133</v>
      </c>
      <c r="F536" t="s">
        <v>1241</v>
      </c>
      <c r="G536" t="s">
        <v>3143</v>
      </c>
      <c r="H536" t="s">
        <v>1249</v>
      </c>
      <c r="J536" s="455">
        <v>46190</v>
      </c>
      <c r="K536" s="455">
        <v>46193</v>
      </c>
      <c r="R536" s="455">
        <v>46205</v>
      </c>
      <c r="U536" s="455">
        <v>46244</v>
      </c>
    </row>
    <row r="537" spans="1:21">
      <c r="A537" t="s">
        <v>1751</v>
      </c>
      <c r="B537" t="s">
        <v>4694</v>
      </c>
      <c r="C537" t="s">
        <v>1751</v>
      </c>
      <c r="D537">
        <v>20590041</v>
      </c>
      <c r="E537" t="s">
        <v>3128</v>
      </c>
      <c r="F537" t="s">
        <v>1782</v>
      </c>
      <c r="G537" t="s">
        <v>3134</v>
      </c>
      <c r="H537" t="s">
        <v>3165</v>
      </c>
      <c r="J537" s="455">
        <v>46225</v>
      </c>
      <c r="U537" s="455">
        <v>46234</v>
      </c>
    </row>
    <row r="538" spans="1:21">
      <c r="A538" t="s">
        <v>1751</v>
      </c>
      <c r="B538" t="s">
        <v>4695</v>
      </c>
      <c r="C538" t="s">
        <v>1751</v>
      </c>
      <c r="D538">
        <v>20574625</v>
      </c>
      <c r="E538" t="s">
        <v>3128</v>
      </c>
      <c r="F538" t="s">
        <v>1241</v>
      </c>
      <c r="G538" t="s">
        <v>3137</v>
      </c>
      <c r="H538" t="s">
        <v>1251</v>
      </c>
      <c r="J538" s="455">
        <v>46210</v>
      </c>
      <c r="U538" s="455">
        <v>46210</v>
      </c>
    </row>
    <row r="539" spans="1:21">
      <c r="A539" t="s">
        <v>1751</v>
      </c>
      <c r="B539" t="s">
        <v>4696</v>
      </c>
      <c r="C539" t="s">
        <v>1751</v>
      </c>
      <c r="D539">
        <v>20592365</v>
      </c>
      <c r="E539" t="s">
        <v>3128</v>
      </c>
      <c r="F539" t="s">
        <v>1243</v>
      </c>
      <c r="G539" t="s">
        <v>2009</v>
      </c>
      <c r="H539" t="s">
        <v>1248</v>
      </c>
      <c r="J539" s="455">
        <v>46228</v>
      </c>
      <c r="U539" s="455">
        <v>46228</v>
      </c>
    </row>
    <row r="540" spans="1:21">
      <c r="A540" t="s">
        <v>1751</v>
      </c>
      <c r="B540" t="s">
        <v>4697</v>
      </c>
      <c r="C540" t="s">
        <v>1751</v>
      </c>
      <c r="D540">
        <v>20590091</v>
      </c>
      <c r="E540" t="s">
        <v>3128</v>
      </c>
      <c r="F540" t="s">
        <v>1241</v>
      </c>
      <c r="G540" t="s">
        <v>3137</v>
      </c>
      <c r="H540" t="s">
        <v>1252</v>
      </c>
      <c r="J540" s="455">
        <v>46225</v>
      </c>
      <c r="U540" s="455">
        <v>46237</v>
      </c>
    </row>
    <row r="541" spans="1:21">
      <c r="A541" t="s">
        <v>1751</v>
      </c>
      <c r="B541" t="s">
        <v>4698</v>
      </c>
      <c r="C541" t="s">
        <v>1751</v>
      </c>
      <c r="D541">
        <v>20576309</v>
      </c>
      <c r="E541" t="s">
        <v>3128</v>
      </c>
      <c r="F541" t="s">
        <v>1782</v>
      </c>
      <c r="G541" t="s">
        <v>3129</v>
      </c>
      <c r="H541" t="s">
        <v>3131</v>
      </c>
      <c r="J541" s="455">
        <v>46211</v>
      </c>
      <c r="U541" s="455">
        <v>46211</v>
      </c>
    </row>
    <row r="542" spans="1:21">
      <c r="A542" t="s">
        <v>1751</v>
      </c>
      <c r="B542" t="s">
        <v>4699</v>
      </c>
      <c r="C542" t="s">
        <v>1751</v>
      </c>
      <c r="D542">
        <v>20573302</v>
      </c>
      <c r="E542" t="s">
        <v>3128</v>
      </c>
      <c r="F542" t="s">
        <v>1782</v>
      </c>
      <c r="G542" t="s">
        <v>3134</v>
      </c>
      <c r="H542" t="s">
        <v>1252</v>
      </c>
      <c r="J542" s="455">
        <v>46208</v>
      </c>
      <c r="U542" s="455">
        <v>46235</v>
      </c>
    </row>
    <row r="543" spans="1:21">
      <c r="A543" t="s">
        <v>1751</v>
      </c>
      <c r="B543" t="s">
        <v>2951</v>
      </c>
      <c r="C543" t="s">
        <v>1751</v>
      </c>
      <c r="D543">
        <v>20557672</v>
      </c>
      <c r="E543" t="s">
        <v>3142</v>
      </c>
      <c r="F543" t="s">
        <v>1243</v>
      </c>
      <c r="G543" t="s">
        <v>3143</v>
      </c>
      <c r="H543" t="s">
        <v>1248</v>
      </c>
      <c r="I543" t="s">
        <v>2652</v>
      </c>
      <c r="J543" s="455">
        <v>46189</v>
      </c>
      <c r="K543" s="455">
        <v>46190</v>
      </c>
      <c r="L543" s="455">
        <v>46191</v>
      </c>
      <c r="M543" s="455">
        <v>46197</v>
      </c>
      <c r="N543" s="455">
        <v>46197</v>
      </c>
      <c r="P543" s="455">
        <v>46197</v>
      </c>
      <c r="Q543" s="455">
        <v>46198</v>
      </c>
      <c r="U543" s="455">
        <v>46214</v>
      </c>
    </row>
    <row r="544" spans="1:21">
      <c r="A544" t="s">
        <v>1751</v>
      </c>
      <c r="B544" t="s">
        <v>4700</v>
      </c>
      <c r="C544" t="s">
        <v>1751</v>
      </c>
      <c r="D544">
        <v>20573748</v>
      </c>
      <c r="E544" t="s">
        <v>3128</v>
      </c>
      <c r="F544" t="s">
        <v>1241</v>
      </c>
      <c r="G544" t="s">
        <v>3129</v>
      </c>
      <c r="H544" t="s">
        <v>3131</v>
      </c>
      <c r="J544" s="455">
        <v>46209</v>
      </c>
      <c r="U544" s="455">
        <v>46209</v>
      </c>
    </row>
    <row r="545" spans="1:21">
      <c r="A545" t="s">
        <v>1751</v>
      </c>
      <c r="B545" t="s">
        <v>4701</v>
      </c>
      <c r="C545" t="s">
        <v>1751</v>
      </c>
      <c r="D545">
        <v>20577524</v>
      </c>
      <c r="E545" t="s">
        <v>3128</v>
      </c>
      <c r="F545" t="s">
        <v>1241</v>
      </c>
      <c r="G545" t="s">
        <v>3137</v>
      </c>
      <c r="H545" t="s">
        <v>1252</v>
      </c>
      <c r="J545" s="455">
        <v>46212</v>
      </c>
      <c r="U545" s="455">
        <v>46262</v>
      </c>
    </row>
    <row r="546" spans="1:21">
      <c r="A546" t="s">
        <v>1751</v>
      </c>
      <c r="B546" t="s">
        <v>3808</v>
      </c>
      <c r="C546" t="s">
        <v>1751</v>
      </c>
      <c r="D546">
        <v>20585109</v>
      </c>
      <c r="E546" t="s">
        <v>3128</v>
      </c>
      <c r="F546" t="s">
        <v>1241</v>
      </c>
      <c r="G546" t="s">
        <v>3141</v>
      </c>
      <c r="H546" t="s">
        <v>1247</v>
      </c>
      <c r="J546" s="455">
        <v>46219</v>
      </c>
      <c r="U546" s="455">
        <v>46249</v>
      </c>
    </row>
    <row r="547" spans="1:21">
      <c r="A547" t="s">
        <v>1751</v>
      </c>
      <c r="B547" t="s">
        <v>4702</v>
      </c>
      <c r="C547" t="s">
        <v>1751</v>
      </c>
      <c r="D547">
        <v>20573247</v>
      </c>
      <c r="E547" t="s">
        <v>3128</v>
      </c>
      <c r="F547" t="s">
        <v>1242</v>
      </c>
      <c r="G547" t="s">
        <v>2009</v>
      </c>
      <c r="H547" t="s">
        <v>3165</v>
      </c>
      <c r="J547" s="455">
        <v>46208</v>
      </c>
      <c r="U547" s="455">
        <v>46208</v>
      </c>
    </row>
    <row r="548" spans="1:21">
      <c r="A548" t="s">
        <v>1751</v>
      </c>
      <c r="B548" t="s">
        <v>4703</v>
      </c>
      <c r="C548" t="s">
        <v>1751</v>
      </c>
      <c r="D548">
        <v>20591513</v>
      </c>
      <c r="E548" t="s">
        <v>3128</v>
      </c>
      <c r="F548" t="s">
        <v>1239</v>
      </c>
      <c r="G548" t="s">
        <v>3143</v>
      </c>
      <c r="H548" t="s">
        <v>1247</v>
      </c>
      <c r="I548" t="s">
        <v>1917</v>
      </c>
      <c r="J548" s="455">
        <v>46227</v>
      </c>
      <c r="U548" s="455">
        <v>46227</v>
      </c>
    </row>
    <row r="549" spans="1:21">
      <c r="A549" t="s">
        <v>1751</v>
      </c>
      <c r="B549" t="s">
        <v>4704</v>
      </c>
      <c r="C549" t="s">
        <v>1751</v>
      </c>
      <c r="D549">
        <v>20579931</v>
      </c>
      <c r="E549" t="s">
        <v>3128</v>
      </c>
      <c r="F549" t="s">
        <v>3285</v>
      </c>
      <c r="G549" t="s">
        <v>3129</v>
      </c>
      <c r="H549" t="s">
        <v>3131</v>
      </c>
      <c r="J549" s="455">
        <v>46216</v>
      </c>
      <c r="U549" s="455">
        <v>46216</v>
      </c>
    </row>
    <row r="550" spans="1:21">
      <c r="A550" t="s">
        <v>1751</v>
      </c>
      <c r="B550" t="s">
        <v>4705</v>
      </c>
      <c r="C550" t="s">
        <v>1751</v>
      </c>
      <c r="D550">
        <v>20577987</v>
      </c>
      <c r="E550" t="s">
        <v>3128</v>
      </c>
      <c r="F550" t="s">
        <v>1238</v>
      </c>
      <c r="G550" t="s">
        <v>3129</v>
      </c>
      <c r="H550" t="s">
        <v>1253</v>
      </c>
      <c r="J550" s="455">
        <v>46213</v>
      </c>
      <c r="U550" s="455">
        <v>46220</v>
      </c>
    </row>
    <row r="551" spans="1:21">
      <c r="A551" t="s">
        <v>1751</v>
      </c>
      <c r="B551" t="s">
        <v>3813</v>
      </c>
      <c r="C551" t="s">
        <v>1751</v>
      </c>
      <c r="D551">
        <v>20558140</v>
      </c>
      <c r="E551" t="s">
        <v>3142</v>
      </c>
      <c r="F551" t="s">
        <v>1237</v>
      </c>
      <c r="G551" t="s">
        <v>3134</v>
      </c>
      <c r="H551" t="s">
        <v>1247</v>
      </c>
      <c r="I551" t="s">
        <v>4706</v>
      </c>
      <c r="J551" s="455">
        <v>46189</v>
      </c>
      <c r="K551" s="455">
        <v>46189</v>
      </c>
      <c r="L551" s="455">
        <v>46197</v>
      </c>
      <c r="M551" s="455">
        <v>46211</v>
      </c>
      <c r="N551" s="455">
        <v>46211</v>
      </c>
      <c r="O551" s="455">
        <v>46211</v>
      </c>
      <c r="P551" s="455">
        <v>46211</v>
      </c>
      <c r="Q551" s="455">
        <v>46211</v>
      </c>
      <c r="U551" s="455">
        <v>46224</v>
      </c>
    </row>
    <row r="552" spans="1:21">
      <c r="A552" t="s">
        <v>1751</v>
      </c>
      <c r="B552" t="s">
        <v>3062</v>
      </c>
      <c r="C552" t="s">
        <v>1751</v>
      </c>
      <c r="D552">
        <v>20554518</v>
      </c>
      <c r="E552" t="s">
        <v>3142</v>
      </c>
      <c r="F552" t="s">
        <v>1239</v>
      </c>
      <c r="G552" t="s">
        <v>3134</v>
      </c>
      <c r="H552" t="s">
        <v>1249</v>
      </c>
      <c r="I552" t="s">
        <v>2676</v>
      </c>
      <c r="J552" s="455">
        <v>46186</v>
      </c>
      <c r="K552" s="455">
        <v>46186</v>
      </c>
      <c r="L552" s="455">
        <v>46197</v>
      </c>
      <c r="M552" s="455">
        <v>46212</v>
      </c>
      <c r="N552" s="455">
        <v>46212</v>
      </c>
      <c r="O552" s="455">
        <v>46213</v>
      </c>
      <c r="P552" s="455">
        <v>46216</v>
      </c>
      <c r="Q552" s="455">
        <v>46216</v>
      </c>
      <c r="U552" s="455">
        <v>46228</v>
      </c>
    </row>
    <row r="553" spans="1:21">
      <c r="A553" t="s">
        <v>1751</v>
      </c>
      <c r="B553" t="s">
        <v>4707</v>
      </c>
      <c r="C553" t="s">
        <v>1751</v>
      </c>
      <c r="D553">
        <v>20589320</v>
      </c>
      <c r="E553" t="s">
        <v>3128</v>
      </c>
      <c r="F553" t="s">
        <v>1241</v>
      </c>
      <c r="G553" t="s">
        <v>3134</v>
      </c>
      <c r="H553" t="s">
        <v>3165</v>
      </c>
      <c r="J553" s="455">
        <v>46224</v>
      </c>
      <c r="U553" s="455">
        <v>46226</v>
      </c>
    </row>
    <row r="554" spans="1:21">
      <c r="A554" t="s">
        <v>1751</v>
      </c>
      <c r="B554" t="s">
        <v>4708</v>
      </c>
      <c r="C554" t="s">
        <v>1751</v>
      </c>
      <c r="D554">
        <v>20596147</v>
      </c>
      <c r="E554" t="s">
        <v>3128</v>
      </c>
      <c r="F554" t="s">
        <v>1241</v>
      </c>
      <c r="G554" t="s">
        <v>3134</v>
      </c>
      <c r="H554" t="s">
        <v>3165</v>
      </c>
      <c r="J554" s="455">
        <v>46232</v>
      </c>
      <c r="U554" s="455">
        <v>46234</v>
      </c>
    </row>
    <row r="555" spans="1:21">
      <c r="A555" t="s">
        <v>1751</v>
      </c>
      <c r="B555" t="s">
        <v>4709</v>
      </c>
      <c r="C555" t="s">
        <v>1751</v>
      </c>
      <c r="D555">
        <v>20581246</v>
      </c>
      <c r="E555" t="s">
        <v>3128</v>
      </c>
      <c r="F555" t="s">
        <v>1242</v>
      </c>
      <c r="G555" t="s">
        <v>3143</v>
      </c>
      <c r="H555" t="s">
        <v>1249</v>
      </c>
      <c r="I555" t="s">
        <v>3042</v>
      </c>
      <c r="J555" s="455">
        <v>46217</v>
      </c>
      <c r="U555" s="455">
        <v>46228</v>
      </c>
    </row>
    <row r="556" spans="1:21">
      <c r="A556" t="s">
        <v>1751</v>
      </c>
      <c r="B556" t="s">
        <v>4710</v>
      </c>
      <c r="C556" t="s">
        <v>1751</v>
      </c>
      <c r="D556">
        <v>20584923</v>
      </c>
      <c r="E556" t="s">
        <v>3128</v>
      </c>
      <c r="F556" t="s">
        <v>1782</v>
      </c>
      <c r="G556" t="s">
        <v>3129</v>
      </c>
      <c r="H556" t="s">
        <v>1940</v>
      </c>
      <c r="J556" s="455">
        <v>46219</v>
      </c>
      <c r="U556" s="455">
        <v>46219</v>
      </c>
    </row>
    <row r="557" spans="1:21">
      <c r="A557" t="s">
        <v>1751</v>
      </c>
      <c r="B557" t="s">
        <v>4711</v>
      </c>
      <c r="C557" t="s">
        <v>1751</v>
      </c>
      <c r="D557">
        <v>20586475</v>
      </c>
      <c r="E557" t="s">
        <v>3128</v>
      </c>
      <c r="F557" t="s">
        <v>1238</v>
      </c>
      <c r="G557" t="s">
        <v>3134</v>
      </c>
      <c r="H557" t="s">
        <v>3165</v>
      </c>
      <c r="I557" t="s">
        <v>3170</v>
      </c>
      <c r="J557" s="455">
        <v>46221</v>
      </c>
      <c r="U557" s="455">
        <v>46357</v>
      </c>
    </row>
    <row r="558" spans="1:21">
      <c r="A558" t="s">
        <v>1751</v>
      </c>
      <c r="B558" t="s">
        <v>4712</v>
      </c>
      <c r="C558" t="s">
        <v>1751</v>
      </c>
      <c r="D558">
        <v>20591276</v>
      </c>
      <c r="E558" t="s">
        <v>3128</v>
      </c>
      <c r="F558" t="s">
        <v>1241</v>
      </c>
      <c r="G558" t="s">
        <v>2009</v>
      </c>
      <c r="H558" t="s">
        <v>1251</v>
      </c>
      <c r="J558" s="455">
        <v>46227</v>
      </c>
      <c r="U558" s="455">
        <v>46227</v>
      </c>
    </row>
    <row r="559" spans="1:21">
      <c r="A559" t="s">
        <v>1751</v>
      </c>
      <c r="B559" t="s">
        <v>4713</v>
      </c>
      <c r="C559" t="s">
        <v>1751</v>
      </c>
      <c r="D559">
        <v>20573070</v>
      </c>
      <c r="E559" t="s">
        <v>3190</v>
      </c>
      <c r="F559" t="s">
        <v>1238</v>
      </c>
      <c r="G559" t="s">
        <v>3134</v>
      </c>
      <c r="H559" t="s">
        <v>1252</v>
      </c>
      <c r="I559" t="s">
        <v>4195</v>
      </c>
      <c r="J559" s="455">
        <v>46208</v>
      </c>
      <c r="R559" s="455">
        <v>46211</v>
      </c>
      <c r="U559" s="455">
        <v>46218</v>
      </c>
    </row>
    <row r="560" spans="1:21">
      <c r="A560" t="s">
        <v>1751</v>
      </c>
      <c r="B560" t="s">
        <v>4714</v>
      </c>
      <c r="C560" t="s">
        <v>1751</v>
      </c>
      <c r="D560">
        <v>20592760</v>
      </c>
      <c r="E560" t="s">
        <v>3128</v>
      </c>
      <c r="F560" t="s">
        <v>1241</v>
      </c>
      <c r="G560" t="s">
        <v>3141</v>
      </c>
      <c r="H560" t="s">
        <v>1252</v>
      </c>
      <c r="J560" s="455">
        <v>46229</v>
      </c>
      <c r="U560" s="455">
        <v>46289</v>
      </c>
    </row>
    <row r="561" spans="1:21">
      <c r="A561" t="s">
        <v>1751</v>
      </c>
      <c r="B561" t="s">
        <v>4715</v>
      </c>
      <c r="C561" t="s">
        <v>1751</v>
      </c>
      <c r="D561">
        <v>20574316</v>
      </c>
      <c r="E561" t="s">
        <v>3128</v>
      </c>
      <c r="F561" t="s">
        <v>1241</v>
      </c>
      <c r="G561" t="s">
        <v>3137</v>
      </c>
      <c r="H561" t="s">
        <v>1252</v>
      </c>
      <c r="J561" s="455">
        <v>46209</v>
      </c>
      <c r="U561" s="455">
        <v>46237</v>
      </c>
    </row>
    <row r="562" spans="1:21">
      <c r="A562" t="s">
        <v>1751</v>
      </c>
      <c r="B562" t="s">
        <v>2644</v>
      </c>
      <c r="C562" t="s">
        <v>1751</v>
      </c>
      <c r="D562">
        <v>20585571</v>
      </c>
      <c r="E562" t="s">
        <v>3142</v>
      </c>
      <c r="F562" t="s">
        <v>1238</v>
      </c>
      <c r="G562" t="s">
        <v>3134</v>
      </c>
      <c r="H562" t="s">
        <v>1247</v>
      </c>
      <c r="I562" t="s">
        <v>1577</v>
      </c>
      <c r="J562" s="455">
        <v>46220</v>
      </c>
      <c r="K562" s="455">
        <v>46220</v>
      </c>
      <c r="L562" s="455">
        <v>46221</v>
      </c>
      <c r="M562" s="455">
        <v>46230</v>
      </c>
      <c r="N562" s="455">
        <v>46230</v>
      </c>
      <c r="P562" s="455">
        <v>46231</v>
      </c>
      <c r="Q562" s="455">
        <v>46231</v>
      </c>
      <c r="U562" s="455">
        <v>46234</v>
      </c>
    </row>
    <row r="563" spans="1:21">
      <c r="A563" t="s">
        <v>1751</v>
      </c>
      <c r="B563" t="s">
        <v>4716</v>
      </c>
      <c r="C563" t="s">
        <v>1751</v>
      </c>
      <c r="D563">
        <v>20572818</v>
      </c>
      <c r="E563" t="s">
        <v>3128</v>
      </c>
      <c r="F563" t="s">
        <v>1238</v>
      </c>
      <c r="G563" t="s">
        <v>3141</v>
      </c>
      <c r="H563" t="s">
        <v>1247</v>
      </c>
      <c r="I563" t="s">
        <v>2148</v>
      </c>
      <c r="J563" s="455">
        <v>46207</v>
      </c>
      <c r="U563" s="455">
        <v>46265</v>
      </c>
    </row>
    <row r="564" spans="1:21">
      <c r="A564" t="s">
        <v>1751</v>
      </c>
      <c r="B564" t="s">
        <v>3833</v>
      </c>
      <c r="C564" t="s">
        <v>1751</v>
      </c>
      <c r="D564">
        <v>20568286</v>
      </c>
      <c r="E564" t="s">
        <v>3133</v>
      </c>
      <c r="F564" t="s">
        <v>1241</v>
      </c>
      <c r="G564" t="s">
        <v>3129</v>
      </c>
      <c r="H564" t="s">
        <v>1253</v>
      </c>
      <c r="J564" s="455">
        <v>46202</v>
      </c>
      <c r="K564" s="455">
        <v>46202</v>
      </c>
      <c r="R564" s="455">
        <v>46212</v>
      </c>
      <c r="U564" s="455">
        <v>46202</v>
      </c>
    </row>
    <row r="565" spans="1:21">
      <c r="A565" t="s">
        <v>1751</v>
      </c>
      <c r="B565" t="s">
        <v>3834</v>
      </c>
      <c r="C565" t="s">
        <v>1751</v>
      </c>
      <c r="D565">
        <v>20560519</v>
      </c>
      <c r="E565" t="s">
        <v>3133</v>
      </c>
      <c r="F565" t="s">
        <v>1241</v>
      </c>
      <c r="G565" t="s">
        <v>3137</v>
      </c>
      <c r="H565" t="s">
        <v>1252</v>
      </c>
      <c r="J565" s="455">
        <v>46192</v>
      </c>
      <c r="K565" s="455">
        <v>46192</v>
      </c>
      <c r="R565" s="455">
        <v>46205</v>
      </c>
      <c r="U565" s="455">
        <v>46204</v>
      </c>
    </row>
    <row r="566" spans="1:21">
      <c r="A566" t="s">
        <v>1751</v>
      </c>
      <c r="B566" t="s">
        <v>4717</v>
      </c>
      <c r="C566" t="s">
        <v>1751</v>
      </c>
      <c r="D566">
        <v>20579954</v>
      </c>
      <c r="E566" t="s">
        <v>3128</v>
      </c>
      <c r="F566" t="s">
        <v>1242</v>
      </c>
      <c r="G566" t="s">
        <v>3141</v>
      </c>
      <c r="H566" t="s">
        <v>1248</v>
      </c>
      <c r="J566" s="455">
        <v>46216</v>
      </c>
      <c r="U566" s="455">
        <v>46242</v>
      </c>
    </row>
    <row r="567" spans="1:21">
      <c r="A567" t="s">
        <v>1751</v>
      </c>
      <c r="B567" t="s">
        <v>4718</v>
      </c>
      <c r="C567" t="s">
        <v>1751</v>
      </c>
      <c r="D567">
        <v>20581169</v>
      </c>
      <c r="E567" t="s">
        <v>3128</v>
      </c>
      <c r="F567" t="s">
        <v>1237</v>
      </c>
      <c r="G567" t="s">
        <v>3141</v>
      </c>
      <c r="H567" t="s">
        <v>1248</v>
      </c>
      <c r="J567" s="455">
        <v>46217</v>
      </c>
      <c r="U567" s="455">
        <v>46231</v>
      </c>
    </row>
    <row r="568" spans="1:21">
      <c r="A568" t="s">
        <v>1751</v>
      </c>
      <c r="B568" t="s">
        <v>4719</v>
      </c>
      <c r="C568" t="s">
        <v>1751</v>
      </c>
      <c r="D568">
        <v>20596188</v>
      </c>
      <c r="E568" t="s">
        <v>3128</v>
      </c>
      <c r="F568" t="s">
        <v>1782</v>
      </c>
      <c r="G568" t="s">
        <v>3137</v>
      </c>
      <c r="H568" t="s">
        <v>1251</v>
      </c>
      <c r="J568" s="455">
        <v>46232</v>
      </c>
      <c r="U568" s="455">
        <v>46235</v>
      </c>
    </row>
    <row r="569" spans="1:21">
      <c r="A569" t="s">
        <v>1751</v>
      </c>
      <c r="B569" t="s">
        <v>4720</v>
      </c>
      <c r="C569" t="s">
        <v>1751</v>
      </c>
      <c r="D569">
        <v>20578805</v>
      </c>
      <c r="E569" t="s">
        <v>3128</v>
      </c>
      <c r="F569" t="s">
        <v>1239</v>
      </c>
      <c r="G569" t="s">
        <v>3143</v>
      </c>
      <c r="H569" t="s">
        <v>1251</v>
      </c>
      <c r="I569" t="s">
        <v>1565</v>
      </c>
      <c r="J569" s="455">
        <v>46214</v>
      </c>
      <c r="U569" s="455">
        <v>46214</v>
      </c>
    </row>
    <row r="570" spans="1:21">
      <c r="A570" t="s">
        <v>1751</v>
      </c>
      <c r="B570" t="s">
        <v>4721</v>
      </c>
      <c r="C570" t="s">
        <v>1751</v>
      </c>
      <c r="D570">
        <v>20589062</v>
      </c>
      <c r="E570" t="s">
        <v>3128</v>
      </c>
      <c r="F570" t="s">
        <v>1242</v>
      </c>
      <c r="G570" t="s">
        <v>3143</v>
      </c>
      <c r="H570" t="s">
        <v>1248</v>
      </c>
      <c r="I570" t="s">
        <v>3170</v>
      </c>
      <c r="J570" s="455">
        <v>46224</v>
      </c>
      <c r="U570" s="455">
        <v>46235</v>
      </c>
    </row>
    <row r="571" spans="1:21">
      <c r="A571" t="s">
        <v>1751</v>
      </c>
      <c r="B571" t="s">
        <v>3842</v>
      </c>
      <c r="C571" t="s">
        <v>1751</v>
      </c>
      <c r="D571">
        <v>20559805</v>
      </c>
      <c r="E571" t="s">
        <v>1907</v>
      </c>
      <c r="F571" t="s">
        <v>1241</v>
      </c>
      <c r="G571" t="s">
        <v>3143</v>
      </c>
      <c r="H571" t="s">
        <v>1249</v>
      </c>
      <c r="I571" t="s">
        <v>4722</v>
      </c>
      <c r="J571" s="455">
        <v>46191</v>
      </c>
      <c r="K571" s="455">
        <v>46217</v>
      </c>
      <c r="L571" s="455">
        <v>46217</v>
      </c>
      <c r="T571" s="455">
        <v>46230</v>
      </c>
      <c r="U571" s="455">
        <v>46279</v>
      </c>
    </row>
    <row r="572" spans="1:21">
      <c r="A572" t="s">
        <v>1751</v>
      </c>
      <c r="B572" t="s">
        <v>4723</v>
      </c>
      <c r="C572" t="s">
        <v>1751</v>
      </c>
      <c r="D572">
        <v>20587731</v>
      </c>
      <c r="E572" t="s">
        <v>3128</v>
      </c>
      <c r="F572" t="s">
        <v>1241</v>
      </c>
      <c r="G572" t="s">
        <v>3137</v>
      </c>
      <c r="H572" t="s">
        <v>1251</v>
      </c>
      <c r="J572" s="455">
        <v>46223</v>
      </c>
      <c r="U572" s="455">
        <v>46223</v>
      </c>
    </row>
    <row r="573" spans="1:21">
      <c r="A573" t="s">
        <v>1751</v>
      </c>
      <c r="B573" t="s">
        <v>4724</v>
      </c>
      <c r="C573" t="s">
        <v>1751</v>
      </c>
      <c r="D573">
        <v>20585027</v>
      </c>
      <c r="E573" t="s">
        <v>3128</v>
      </c>
      <c r="F573" t="s">
        <v>1243</v>
      </c>
      <c r="G573" t="s">
        <v>3143</v>
      </c>
      <c r="H573" t="s">
        <v>1252</v>
      </c>
      <c r="I573" t="s">
        <v>3170</v>
      </c>
      <c r="J573" s="455">
        <v>46219</v>
      </c>
      <c r="U573" s="455">
        <v>46219</v>
      </c>
    </row>
    <row r="574" spans="1:21">
      <c r="A574" t="s">
        <v>1751</v>
      </c>
      <c r="B574" t="s">
        <v>3844</v>
      </c>
      <c r="C574" t="s">
        <v>1751</v>
      </c>
      <c r="D574">
        <v>20566129</v>
      </c>
      <c r="E574" t="s">
        <v>3142</v>
      </c>
      <c r="F574" t="s">
        <v>1239</v>
      </c>
      <c r="G574" t="s">
        <v>3143</v>
      </c>
      <c r="H574" t="s">
        <v>1249</v>
      </c>
      <c r="I574" t="s">
        <v>3845</v>
      </c>
      <c r="J574" s="455">
        <v>46199</v>
      </c>
      <c r="K574" s="455">
        <v>46199</v>
      </c>
      <c r="L574" s="455">
        <v>46203</v>
      </c>
      <c r="M574" s="455">
        <v>46204</v>
      </c>
      <c r="N574" s="455">
        <v>46204</v>
      </c>
      <c r="P574" s="455">
        <v>46204</v>
      </c>
      <c r="Q574" s="455">
        <v>46204</v>
      </c>
      <c r="U574" s="455">
        <v>46216</v>
      </c>
    </row>
    <row r="575" spans="1:21">
      <c r="A575" t="s">
        <v>1751</v>
      </c>
      <c r="B575" t="s">
        <v>4725</v>
      </c>
      <c r="C575" t="s">
        <v>1751</v>
      </c>
      <c r="D575">
        <v>20574675</v>
      </c>
      <c r="E575" t="s">
        <v>3128</v>
      </c>
      <c r="F575" t="s">
        <v>1238</v>
      </c>
      <c r="G575" t="s">
        <v>2009</v>
      </c>
      <c r="H575" t="s">
        <v>1251</v>
      </c>
      <c r="I575" t="s">
        <v>3170</v>
      </c>
      <c r="J575" s="455">
        <v>46210</v>
      </c>
      <c r="U575" s="455">
        <v>46233</v>
      </c>
    </row>
    <row r="576" spans="1:21">
      <c r="A576" t="s">
        <v>1751</v>
      </c>
      <c r="B576" t="s">
        <v>4726</v>
      </c>
      <c r="C576" t="s">
        <v>1751</v>
      </c>
      <c r="D576">
        <v>20591925</v>
      </c>
      <c r="E576" t="s">
        <v>3128</v>
      </c>
      <c r="F576" t="s">
        <v>1782</v>
      </c>
      <c r="G576" t="s">
        <v>3141</v>
      </c>
      <c r="H576" t="s">
        <v>1252</v>
      </c>
      <c r="J576" s="455">
        <v>46227</v>
      </c>
      <c r="U576" s="455">
        <v>46261</v>
      </c>
    </row>
    <row r="577" spans="1:21">
      <c r="A577" t="s">
        <v>1751</v>
      </c>
      <c r="B577" t="s">
        <v>4727</v>
      </c>
      <c r="C577" t="s">
        <v>1751</v>
      </c>
      <c r="D577">
        <v>20588583</v>
      </c>
      <c r="E577" t="s">
        <v>3128</v>
      </c>
      <c r="F577" t="s">
        <v>1241</v>
      </c>
      <c r="G577" t="s">
        <v>3129</v>
      </c>
      <c r="H577" t="s">
        <v>1252</v>
      </c>
      <c r="J577" s="455">
        <v>46224</v>
      </c>
      <c r="U577" s="455">
        <v>46224</v>
      </c>
    </row>
    <row r="578" spans="1:21">
      <c r="A578" t="s">
        <v>1751</v>
      </c>
      <c r="B578" t="s">
        <v>4728</v>
      </c>
      <c r="C578" t="s">
        <v>1751</v>
      </c>
      <c r="D578">
        <v>20595529</v>
      </c>
      <c r="E578" t="s">
        <v>1907</v>
      </c>
      <c r="F578" t="s">
        <v>1242</v>
      </c>
      <c r="G578" t="s">
        <v>3143</v>
      </c>
      <c r="H578" t="s">
        <v>1248</v>
      </c>
      <c r="I578" t="s">
        <v>2182</v>
      </c>
      <c r="J578" s="455">
        <v>46232</v>
      </c>
      <c r="K578" s="455">
        <v>46232</v>
      </c>
      <c r="L578" s="455">
        <v>46232</v>
      </c>
      <c r="U578" s="455">
        <v>46262</v>
      </c>
    </row>
    <row r="579" spans="1:21">
      <c r="A579" t="s">
        <v>1751</v>
      </c>
      <c r="B579" t="s">
        <v>4729</v>
      </c>
      <c r="C579" t="s">
        <v>1751</v>
      </c>
      <c r="D579">
        <v>20570642</v>
      </c>
      <c r="E579" t="s">
        <v>3128</v>
      </c>
      <c r="F579" t="s">
        <v>1782</v>
      </c>
      <c r="G579" t="s">
        <v>3134</v>
      </c>
      <c r="H579" t="s">
        <v>3165</v>
      </c>
      <c r="J579" s="455">
        <v>46204</v>
      </c>
      <c r="U579" s="455">
        <v>46239</v>
      </c>
    </row>
    <row r="580" spans="1:21">
      <c r="A580" t="s">
        <v>1751</v>
      </c>
      <c r="B580" t="s">
        <v>4730</v>
      </c>
      <c r="C580" t="s">
        <v>1751</v>
      </c>
      <c r="D580">
        <v>20584435</v>
      </c>
      <c r="E580" t="s">
        <v>3128</v>
      </c>
      <c r="F580" t="s">
        <v>1782</v>
      </c>
      <c r="G580" t="s">
        <v>3137</v>
      </c>
      <c r="H580" t="s">
        <v>1247</v>
      </c>
      <c r="J580" s="455">
        <v>46219</v>
      </c>
      <c r="U580" s="455">
        <v>46233</v>
      </c>
    </row>
    <row r="581" spans="1:21">
      <c r="A581" t="s">
        <v>1751</v>
      </c>
      <c r="B581" t="s">
        <v>4731</v>
      </c>
      <c r="C581" t="s">
        <v>1751</v>
      </c>
      <c r="D581">
        <v>20585301</v>
      </c>
      <c r="E581" t="s">
        <v>3128</v>
      </c>
      <c r="F581" t="s">
        <v>1782</v>
      </c>
      <c r="G581" t="s">
        <v>3137</v>
      </c>
      <c r="H581" t="s">
        <v>1252</v>
      </c>
      <c r="J581" s="455">
        <v>46220</v>
      </c>
      <c r="U581" s="455">
        <v>46236</v>
      </c>
    </row>
    <row r="582" spans="1:21">
      <c r="A582" t="s">
        <v>1751</v>
      </c>
      <c r="B582" t="s">
        <v>4732</v>
      </c>
      <c r="C582" t="s">
        <v>1751</v>
      </c>
      <c r="D582">
        <v>20592864</v>
      </c>
      <c r="E582" t="s">
        <v>3128</v>
      </c>
      <c r="F582" t="s">
        <v>3285</v>
      </c>
      <c r="G582" t="s">
        <v>3141</v>
      </c>
      <c r="H582" t="s">
        <v>4278</v>
      </c>
      <c r="J582" s="455">
        <v>46229</v>
      </c>
      <c r="U582" s="455">
        <v>46259</v>
      </c>
    </row>
    <row r="583" spans="1:21">
      <c r="A583" t="s">
        <v>1751</v>
      </c>
      <c r="B583" t="s">
        <v>10998</v>
      </c>
      <c r="C583" t="s">
        <v>1751</v>
      </c>
      <c r="D583">
        <v>20595674</v>
      </c>
      <c r="E583" t="s">
        <v>3128</v>
      </c>
      <c r="F583" t="s">
        <v>1241</v>
      </c>
      <c r="G583" t="s">
        <v>3129</v>
      </c>
      <c r="H583" t="s">
        <v>3131</v>
      </c>
      <c r="J583" s="455">
        <v>46232</v>
      </c>
      <c r="U583" s="455">
        <v>46232</v>
      </c>
    </row>
    <row r="584" spans="1:21">
      <c r="A584" t="s">
        <v>1751</v>
      </c>
      <c r="B584" t="s">
        <v>4733</v>
      </c>
      <c r="C584" t="s">
        <v>1751</v>
      </c>
      <c r="D584">
        <v>20584123</v>
      </c>
      <c r="E584" t="s">
        <v>1897</v>
      </c>
      <c r="F584" t="s">
        <v>1241</v>
      </c>
      <c r="G584" t="s">
        <v>3134</v>
      </c>
      <c r="H584" t="s">
        <v>1247</v>
      </c>
      <c r="I584" t="s">
        <v>2182</v>
      </c>
      <c r="J584" s="455">
        <v>46218</v>
      </c>
      <c r="K584" s="455">
        <v>46218</v>
      </c>
      <c r="U584" s="455">
        <v>46235</v>
      </c>
    </row>
    <row r="585" spans="1:21">
      <c r="A585" t="s">
        <v>1751</v>
      </c>
      <c r="B585" t="s">
        <v>4734</v>
      </c>
      <c r="C585" t="s">
        <v>1751</v>
      </c>
      <c r="D585">
        <v>20585861</v>
      </c>
      <c r="E585" t="s">
        <v>3128</v>
      </c>
      <c r="F585" t="s">
        <v>1238</v>
      </c>
      <c r="G585" t="s">
        <v>3143</v>
      </c>
      <c r="H585" t="s">
        <v>1248</v>
      </c>
      <c r="I585" t="s">
        <v>3170</v>
      </c>
      <c r="J585" s="455">
        <v>46220</v>
      </c>
      <c r="U585" s="455">
        <v>46220</v>
      </c>
    </row>
    <row r="586" spans="1:21">
      <c r="A586" t="s">
        <v>1751</v>
      </c>
      <c r="B586" t="s">
        <v>4735</v>
      </c>
      <c r="C586" t="s">
        <v>1751</v>
      </c>
      <c r="D586">
        <v>20594200</v>
      </c>
      <c r="E586" t="s">
        <v>3128</v>
      </c>
      <c r="F586" t="s">
        <v>1782</v>
      </c>
      <c r="G586" t="s">
        <v>3137</v>
      </c>
      <c r="H586" t="s">
        <v>1252</v>
      </c>
      <c r="J586" s="455">
        <v>46230</v>
      </c>
      <c r="U586" s="455">
        <v>46233</v>
      </c>
    </row>
    <row r="587" spans="1:21">
      <c r="A587" t="s">
        <v>1751</v>
      </c>
      <c r="B587" t="s">
        <v>4736</v>
      </c>
      <c r="C587" t="s">
        <v>1751</v>
      </c>
      <c r="D587">
        <v>20590133</v>
      </c>
      <c r="E587" t="s">
        <v>3128</v>
      </c>
      <c r="F587" t="s">
        <v>1243</v>
      </c>
      <c r="G587" t="s">
        <v>3137</v>
      </c>
      <c r="H587" t="s">
        <v>1252</v>
      </c>
      <c r="I587" t="s">
        <v>3168</v>
      </c>
      <c r="J587" s="455">
        <v>46225</v>
      </c>
      <c r="U587" s="455">
        <v>46433</v>
      </c>
    </row>
    <row r="588" spans="1:21">
      <c r="A588" t="s">
        <v>1751</v>
      </c>
      <c r="B588" t="s">
        <v>4737</v>
      </c>
      <c r="C588" t="s">
        <v>1751</v>
      </c>
      <c r="D588">
        <v>20593230</v>
      </c>
      <c r="E588" t="s">
        <v>3128</v>
      </c>
      <c r="F588" t="s">
        <v>1241</v>
      </c>
      <c r="G588" t="s">
        <v>3137</v>
      </c>
      <c r="H588" t="s">
        <v>4278</v>
      </c>
      <c r="J588" s="455">
        <v>46230</v>
      </c>
      <c r="U588" s="455">
        <v>46260</v>
      </c>
    </row>
    <row r="589" spans="1:21">
      <c r="A589" t="s">
        <v>1751</v>
      </c>
      <c r="B589" t="s">
        <v>4738</v>
      </c>
      <c r="C589" t="s">
        <v>1751</v>
      </c>
      <c r="D589">
        <v>20594628</v>
      </c>
      <c r="E589" t="s">
        <v>3128</v>
      </c>
      <c r="F589" t="s">
        <v>1782</v>
      </c>
      <c r="G589" t="s">
        <v>3134</v>
      </c>
      <c r="H589" t="s">
        <v>1252</v>
      </c>
      <c r="J589" s="455">
        <v>46231</v>
      </c>
      <c r="U589" s="455">
        <v>46262</v>
      </c>
    </row>
    <row r="590" spans="1:21">
      <c r="A590" t="s">
        <v>1751</v>
      </c>
      <c r="B590" t="s">
        <v>4739</v>
      </c>
      <c r="C590" t="s">
        <v>1751</v>
      </c>
      <c r="D590">
        <v>20573895</v>
      </c>
      <c r="E590" t="s">
        <v>3128</v>
      </c>
      <c r="F590" t="s">
        <v>1237</v>
      </c>
      <c r="G590" t="s">
        <v>3143</v>
      </c>
      <c r="H590" t="s">
        <v>1251</v>
      </c>
      <c r="I590" t="s">
        <v>1917</v>
      </c>
      <c r="J590" s="455">
        <v>46209</v>
      </c>
      <c r="U590" s="455">
        <v>46241</v>
      </c>
    </row>
    <row r="591" spans="1:21">
      <c r="A591" t="s">
        <v>1751</v>
      </c>
      <c r="B591" t="s">
        <v>4740</v>
      </c>
      <c r="C591" t="s">
        <v>1751</v>
      </c>
      <c r="D591">
        <v>20585586</v>
      </c>
      <c r="E591" t="s">
        <v>3128</v>
      </c>
      <c r="F591" t="s">
        <v>1782</v>
      </c>
      <c r="G591" t="s">
        <v>3141</v>
      </c>
      <c r="H591" t="s">
        <v>1247</v>
      </c>
      <c r="J591" s="455">
        <v>46220</v>
      </c>
      <c r="U591" s="455">
        <v>46220</v>
      </c>
    </row>
    <row r="592" spans="1:21">
      <c r="A592" t="s">
        <v>1751</v>
      </c>
      <c r="B592" t="s">
        <v>4741</v>
      </c>
      <c r="C592" t="s">
        <v>1751</v>
      </c>
      <c r="D592">
        <v>20573231</v>
      </c>
      <c r="E592" t="s">
        <v>3128</v>
      </c>
      <c r="F592" t="s">
        <v>1782</v>
      </c>
      <c r="G592" t="s">
        <v>3141</v>
      </c>
      <c r="H592" t="s">
        <v>1252</v>
      </c>
      <c r="J592" s="455">
        <v>46208</v>
      </c>
      <c r="U592" s="455">
        <v>46234</v>
      </c>
    </row>
    <row r="593" spans="1:21">
      <c r="A593" t="s">
        <v>1751</v>
      </c>
      <c r="B593" t="s">
        <v>4742</v>
      </c>
      <c r="C593" t="s">
        <v>1751</v>
      </c>
      <c r="D593">
        <v>20588421</v>
      </c>
      <c r="E593" t="s">
        <v>3128</v>
      </c>
      <c r="F593" t="s">
        <v>1241</v>
      </c>
      <c r="G593" t="s">
        <v>3129</v>
      </c>
      <c r="H593" t="s">
        <v>1252</v>
      </c>
      <c r="J593" s="455">
        <v>46224</v>
      </c>
      <c r="U593" s="455">
        <v>46224</v>
      </c>
    </row>
    <row r="594" spans="1:21">
      <c r="A594" t="s">
        <v>1751</v>
      </c>
      <c r="B594" t="s">
        <v>4743</v>
      </c>
      <c r="C594" t="s">
        <v>1751</v>
      </c>
      <c r="D594">
        <v>20584987</v>
      </c>
      <c r="E594" t="s">
        <v>3128</v>
      </c>
      <c r="F594" t="s">
        <v>1239</v>
      </c>
      <c r="G594" t="s">
        <v>3143</v>
      </c>
      <c r="H594" t="s">
        <v>3165</v>
      </c>
      <c r="I594" t="s">
        <v>4368</v>
      </c>
      <c r="J594" s="455">
        <v>46219</v>
      </c>
      <c r="U594" s="455">
        <v>46219</v>
      </c>
    </row>
    <row r="595" spans="1:21">
      <c r="A595" t="s">
        <v>1751</v>
      </c>
      <c r="B595" t="s">
        <v>3876</v>
      </c>
      <c r="C595" t="s">
        <v>1751</v>
      </c>
      <c r="D595">
        <v>20558866</v>
      </c>
      <c r="E595" t="s">
        <v>3142</v>
      </c>
      <c r="F595" t="s">
        <v>1239</v>
      </c>
      <c r="G595" t="s">
        <v>3134</v>
      </c>
      <c r="H595" t="s">
        <v>1247</v>
      </c>
      <c r="I595" t="s">
        <v>3877</v>
      </c>
      <c r="J595" s="455">
        <v>46190</v>
      </c>
      <c r="K595" s="455">
        <v>46190</v>
      </c>
      <c r="L595" s="455">
        <v>46190</v>
      </c>
      <c r="M595" s="455">
        <v>46195</v>
      </c>
      <c r="N595" s="455">
        <v>46196</v>
      </c>
      <c r="O595" s="455">
        <v>46196</v>
      </c>
      <c r="P595" s="455">
        <v>46196</v>
      </c>
      <c r="Q595" s="455">
        <v>46196</v>
      </c>
      <c r="U595" s="455">
        <v>46214</v>
      </c>
    </row>
    <row r="596" spans="1:21">
      <c r="A596" t="s">
        <v>1751</v>
      </c>
      <c r="B596" t="s">
        <v>4744</v>
      </c>
      <c r="C596" t="s">
        <v>1751</v>
      </c>
      <c r="D596">
        <v>20575214</v>
      </c>
      <c r="E596" t="s">
        <v>3128</v>
      </c>
      <c r="F596" t="s">
        <v>1241</v>
      </c>
      <c r="G596" t="s">
        <v>3129</v>
      </c>
      <c r="H596" t="s">
        <v>1252</v>
      </c>
      <c r="J596" s="455">
        <v>46210</v>
      </c>
      <c r="U596" s="455">
        <v>46210</v>
      </c>
    </row>
    <row r="597" spans="1:21">
      <c r="A597" t="s">
        <v>1751</v>
      </c>
      <c r="B597" t="s">
        <v>4745</v>
      </c>
      <c r="C597" t="s">
        <v>1751</v>
      </c>
      <c r="D597">
        <v>20595206</v>
      </c>
      <c r="E597" t="s">
        <v>3128</v>
      </c>
      <c r="F597" t="s">
        <v>1782</v>
      </c>
      <c r="G597" t="s">
        <v>3141</v>
      </c>
      <c r="H597" t="s">
        <v>1252</v>
      </c>
      <c r="J597" s="455">
        <v>46231</v>
      </c>
      <c r="U597" s="455">
        <v>46232</v>
      </c>
    </row>
    <row r="598" spans="1:21">
      <c r="A598" t="s">
        <v>1751</v>
      </c>
      <c r="B598" t="s">
        <v>4746</v>
      </c>
      <c r="C598" t="s">
        <v>1751</v>
      </c>
      <c r="D598">
        <v>20571258</v>
      </c>
      <c r="E598" t="s">
        <v>1897</v>
      </c>
      <c r="F598" t="s">
        <v>1237</v>
      </c>
      <c r="G598" t="s">
        <v>3143</v>
      </c>
      <c r="H598" t="s">
        <v>1248</v>
      </c>
      <c r="I598" t="s">
        <v>3264</v>
      </c>
      <c r="J598" s="455">
        <v>46205</v>
      </c>
      <c r="K598" s="455">
        <v>46212</v>
      </c>
      <c r="U598" s="455">
        <v>46221</v>
      </c>
    </row>
    <row r="599" spans="1:21">
      <c r="A599" t="s">
        <v>1751</v>
      </c>
      <c r="B599" t="s">
        <v>4747</v>
      </c>
      <c r="C599" t="s">
        <v>1751</v>
      </c>
      <c r="D599">
        <v>20589521</v>
      </c>
      <c r="E599" t="s">
        <v>3128</v>
      </c>
      <c r="F599" t="s">
        <v>1782</v>
      </c>
      <c r="G599" t="s">
        <v>3129</v>
      </c>
      <c r="H599" t="s">
        <v>3131</v>
      </c>
      <c r="J599" s="455">
        <v>46225</v>
      </c>
      <c r="U599" s="455">
        <v>46225</v>
      </c>
    </row>
    <row r="600" spans="1:21">
      <c r="A600" t="s">
        <v>1751</v>
      </c>
      <c r="B600" t="s">
        <v>3063</v>
      </c>
      <c r="C600" t="s">
        <v>1751</v>
      </c>
      <c r="D600">
        <v>20578615</v>
      </c>
      <c r="E600" t="s">
        <v>3557</v>
      </c>
      <c r="F600" t="s">
        <v>1239</v>
      </c>
      <c r="G600" t="s">
        <v>3143</v>
      </c>
      <c r="H600" t="s">
        <v>1249</v>
      </c>
      <c r="I600" t="s">
        <v>2678</v>
      </c>
      <c r="J600" s="455">
        <v>46214</v>
      </c>
      <c r="K600" s="455">
        <v>46214</v>
      </c>
      <c r="L600" s="455">
        <v>46214</v>
      </c>
      <c r="M600" s="455">
        <v>46220</v>
      </c>
      <c r="N600" s="455">
        <v>46224</v>
      </c>
      <c r="O600" s="455">
        <v>46224</v>
      </c>
      <c r="P600" s="455">
        <v>46231</v>
      </c>
      <c r="Q600" s="455">
        <v>46231</v>
      </c>
      <c r="U600" s="455">
        <v>46235</v>
      </c>
    </row>
    <row r="601" spans="1:21">
      <c r="A601" t="s">
        <v>1751</v>
      </c>
      <c r="B601" t="s">
        <v>4748</v>
      </c>
      <c r="C601" t="s">
        <v>1751</v>
      </c>
      <c r="D601">
        <v>20578690</v>
      </c>
      <c r="E601" t="s">
        <v>1897</v>
      </c>
      <c r="F601" t="s">
        <v>1241</v>
      </c>
      <c r="G601" t="s">
        <v>3134</v>
      </c>
      <c r="H601" t="s">
        <v>3542</v>
      </c>
      <c r="J601" s="455">
        <v>46214</v>
      </c>
      <c r="K601" s="455">
        <v>46214</v>
      </c>
      <c r="U601" s="455">
        <v>46214</v>
      </c>
    </row>
    <row r="602" spans="1:21">
      <c r="A602" t="s">
        <v>1751</v>
      </c>
      <c r="B602" t="s">
        <v>4749</v>
      </c>
      <c r="C602" t="s">
        <v>1751</v>
      </c>
      <c r="D602">
        <v>20572816</v>
      </c>
      <c r="E602" t="s">
        <v>3128</v>
      </c>
      <c r="F602" t="s">
        <v>1782</v>
      </c>
      <c r="G602" t="s">
        <v>3134</v>
      </c>
      <c r="H602" t="s">
        <v>1252</v>
      </c>
      <c r="J602" s="455">
        <v>46207</v>
      </c>
      <c r="U602" s="455">
        <v>46209</v>
      </c>
    </row>
    <row r="603" spans="1:21">
      <c r="A603" t="s">
        <v>1751</v>
      </c>
      <c r="B603" t="s">
        <v>4750</v>
      </c>
      <c r="C603" t="s">
        <v>1751</v>
      </c>
      <c r="D603">
        <v>20593574</v>
      </c>
      <c r="E603" t="s">
        <v>1897</v>
      </c>
      <c r="F603" t="s">
        <v>1241</v>
      </c>
      <c r="G603" t="s">
        <v>3134</v>
      </c>
      <c r="H603" t="s">
        <v>1247</v>
      </c>
      <c r="I603" t="s">
        <v>3363</v>
      </c>
      <c r="J603" s="455">
        <v>46230</v>
      </c>
      <c r="K603" s="455">
        <v>46230</v>
      </c>
      <c r="U603" s="455">
        <v>46230</v>
      </c>
    </row>
    <row r="604" spans="1:21">
      <c r="A604" t="s">
        <v>1751</v>
      </c>
      <c r="B604" t="s">
        <v>2996</v>
      </c>
      <c r="C604" t="s">
        <v>1751</v>
      </c>
      <c r="D604">
        <v>20566024</v>
      </c>
      <c r="E604" t="s">
        <v>3142</v>
      </c>
      <c r="F604" t="s">
        <v>1242</v>
      </c>
      <c r="G604" t="s">
        <v>3137</v>
      </c>
      <c r="H604" t="s">
        <v>1251</v>
      </c>
      <c r="I604" t="s">
        <v>2472</v>
      </c>
      <c r="J604" s="455">
        <v>46199</v>
      </c>
      <c r="K604" s="455">
        <v>46203</v>
      </c>
      <c r="L604" s="455">
        <v>46203</v>
      </c>
      <c r="M604" s="455">
        <v>46206</v>
      </c>
      <c r="N604" s="455">
        <v>46206</v>
      </c>
      <c r="P604" s="455">
        <v>46206</v>
      </c>
      <c r="Q604" s="455">
        <v>46206</v>
      </c>
      <c r="U604" s="455">
        <v>46249</v>
      </c>
    </row>
    <row r="605" spans="1:21">
      <c r="A605" t="s">
        <v>1751</v>
      </c>
      <c r="B605" t="s">
        <v>4751</v>
      </c>
      <c r="C605" t="s">
        <v>1751</v>
      </c>
      <c r="D605">
        <v>20593231</v>
      </c>
      <c r="E605" t="s">
        <v>3128</v>
      </c>
      <c r="F605" t="s">
        <v>1782</v>
      </c>
      <c r="G605" t="s">
        <v>3143</v>
      </c>
      <c r="H605" t="s">
        <v>3220</v>
      </c>
      <c r="J605" s="455">
        <v>46230</v>
      </c>
      <c r="U605" s="455">
        <v>46230</v>
      </c>
    </row>
    <row r="606" spans="1:21">
      <c r="A606" t="s">
        <v>1751</v>
      </c>
      <c r="B606" t="s">
        <v>4752</v>
      </c>
      <c r="C606" t="s">
        <v>1751</v>
      </c>
      <c r="D606">
        <v>20587047</v>
      </c>
      <c r="E606" t="s">
        <v>1897</v>
      </c>
      <c r="F606" t="s">
        <v>1241</v>
      </c>
      <c r="G606" t="s">
        <v>3134</v>
      </c>
      <c r="H606" t="s">
        <v>1247</v>
      </c>
      <c r="J606" s="455">
        <v>46222</v>
      </c>
      <c r="K606" s="455">
        <v>46222</v>
      </c>
      <c r="U606" s="455">
        <v>46222</v>
      </c>
    </row>
    <row r="607" spans="1:21">
      <c r="A607" t="s">
        <v>1751</v>
      </c>
      <c r="B607" t="s">
        <v>4753</v>
      </c>
      <c r="C607" t="s">
        <v>1751</v>
      </c>
      <c r="D607">
        <v>20577712</v>
      </c>
      <c r="E607" t="s">
        <v>3128</v>
      </c>
      <c r="F607" t="s">
        <v>1782</v>
      </c>
      <c r="G607" t="s">
        <v>3141</v>
      </c>
      <c r="H607" t="s">
        <v>1252</v>
      </c>
      <c r="J607" s="455">
        <v>46213</v>
      </c>
      <c r="U607" s="455">
        <v>46273</v>
      </c>
    </row>
    <row r="608" spans="1:21">
      <c r="A608" t="s">
        <v>1751</v>
      </c>
      <c r="B608" t="s">
        <v>4754</v>
      </c>
      <c r="C608" t="s">
        <v>1751</v>
      </c>
      <c r="D608">
        <v>20592412</v>
      </c>
      <c r="E608" t="s">
        <v>3128</v>
      </c>
      <c r="F608" t="s">
        <v>1238</v>
      </c>
      <c r="G608" t="s">
        <v>3143</v>
      </c>
      <c r="H608" t="s">
        <v>1251</v>
      </c>
      <c r="I608" t="s">
        <v>3170</v>
      </c>
      <c r="J608" s="455">
        <v>46228</v>
      </c>
      <c r="U608" s="455">
        <v>46248</v>
      </c>
    </row>
    <row r="609" spans="1:21">
      <c r="A609" t="s">
        <v>1751</v>
      </c>
      <c r="B609" t="s">
        <v>3887</v>
      </c>
      <c r="C609" t="s">
        <v>1751</v>
      </c>
      <c r="D609">
        <v>20509839</v>
      </c>
      <c r="E609" t="s">
        <v>3190</v>
      </c>
      <c r="F609" t="s">
        <v>1242</v>
      </c>
      <c r="G609" t="s">
        <v>3129</v>
      </c>
      <c r="H609" t="s">
        <v>3131</v>
      </c>
      <c r="I609" t="s">
        <v>1831</v>
      </c>
      <c r="J609" s="455">
        <v>46137</v>
      </c>
      <c r="R609" s="455">
        <v>46218</v>
      </c>
      <c r="U609" s="455">
        <v>46211</v>
      </c>
    </row>
    <row r="610" spans="1:21">
      <c r="A610" t="s">
        <v>1751</v>
      </c>
      <c r="B610" t="s">
        <v>3887</v>
      </c>
      <c r="C610" t="s">
        <v>1751</v>
      </c>
      <c r="D610">
        <v>20551484</v>
      </c>
      <c r="E610" t="s">
        <v>3190</v>
      </c>
      <c r="F610" t="s">
        <v>1242</v>
      </c>
      <c r="G610" t="s">
        <v>3143</v>
      </c>
      <c r="H610" t="s">
        <v>3131</v>
      </c>
      <c r="J610" s="455">
        <v>46183</v>
      </c>
      <c r="R610" s="455">
        <v>46218</v>
      </c>
      <c r="U610" s="455">
        <v>46183</v>
      </c>
    </row>
    <row r="611" spans="1:21">
      <c r="A611" t="s">
        <v>1751</v>
      </c>
      <c r="B611" t="s">
        <v>4755</v>
      </c>
      <c r="C611" t="s">
        <v>1751</v>
      </c>
      <c r="D611">
        <v>20581200</v>
      </c>
      <c r="E611" t="s">
        <v>3128</v>
      </c>
      <c r="F611" t="s">
        <v>1237</v>
      </c>
      <c r="G611" t="s">
        <v>3143</v>
      </c>
      <c r="H611" t="s">
        <v>1248</v>
      </c>
      <c r="I611" t="s">
        <v>1917</v>
      </c>
      <c r="J611" s="455">
        <v>46217</v>
      </c>
      <c r="U611" s="455">
        <v>46262</v>
      </c>
    </row>
    <row r="612" spans="1:21">
      <c r="A612" t="s">
        <v>1751</v>
      </c>
      <c r="B612" t="s">
        <v>4755</v>
      </c>
      <c r="C612" t="s">
        <v>1751</v>
      </c>
      <c r="D612">
        <v>20582207</v>
      </c>
      <c r="E612" t="s">
        <v>3142</v>
      </c>
      <c r="F612" t="s">
        <v>1237</v>
      </c>
      <c r="G612" t="s">
        <v>3134</v>
      </c>
      <c r="H612" t="s">
        <v>1247</v>
      </c>
      <c r="I612" t="s">
        <v>2411</v>
      </c>
      <c r="J612" s="455">
        <v>46217</v>
      </c>
      <c r="K612" s="455">
        <v>46219</v>
      </c>
      <c r="L612" s="455">
        <v>46220</v>
      </c>
      <c r="M612" s="455">
        <v>46223</v>
      </c>
      <c r="N612" s="455">
        <v>46224</v>
      </c>
      <c r="P612" s="455">
        <v>46224</v>
      </c>
      <c r="Q612" s="455">
        <v>46224</v>
      </c>
      <c r="U612" s="455">
        <v>46296</v>
      </c>
    </row>
    <row r="613" spans="1:21">
      <c r="A613" t="s">
        <v>1751</v>
      </c>
      <c r="B613" t="s">
        <v>4756</v>
      </c>
      <c r="C613" t="s">
        <v>1751</v>
      </c>
      <c r="D613">
        <v>20587230</v>
      </c>
      <c r="E613" t="s">
        <v>3128</v>
      </c>
      <c r="F613" t="s">
        <v>1241</v>
      </c>
      <c r="G613" t="s">
        <v>3134</v>
      </c>
      <c r="H613" t="s">
        <v>1247</v>
      </c>
      <c r="J613" s="455">
        <v>46222</v>
      </c>
      <c r="U613" s="455">
        <v>46222</v>
      </c>
    </row>
    <row r="614" spans="1:21">
      <c r="A614" t="s">
        <v>1751</v>
      </c>
      <c r="B614" t="s">
        <v>3084</v>
      </c>
      <c r="C614" t="s">
        <v>1751</v>
      </c>
      <c r="D614">
        <v>20572650</v>
      </c>
      <c r="E614" t="s">
        <v>3142</v>
      </c>
      <c r="F614" t="s">
        <v>1241</v>
      </c>
      <c r="G614" t="s">
        <v>3134</v>
      </c>
      <c r="H614" t="s">
        <v>1247</v>
      </c>
      <c r="I614" t="s">
        <v>2448</v>
      </c>
      <c r="J614" s="455">
        <v>46207</v>
      </c>
      <c r="K614" s="455">
        <v>46207</v>
      </c>
      <c r="L614" s="455">
        <v>46209</v>
      </c>
      <c r="M614" s="455">
        <v>46213</v>
      </c>
      <c r="N614" s="455">
        <v>46213</v>
      </c>
      <c r="P614" s="455">
        <v>46213</v>
      </c>
      <c r="Q614" s="455">
        <v>46214</v>
      </c>
      <c r="U614" s="455">
        <v>46242</v>
      </c>
    </row>
    <row r="615" spans="1:21">
      <c r="A615" t="s">
        <v>1751</v>
      </c>
      <c r="B615" t="s">
        <v>4757</v>
      </c>
      <c r="C615" t="s">
        <v>1751</v>
      </c>
      <c r="D615">
        <v>20571551</v>
      </c>
      <c r="E615" t="s">
        <v>3128</v>
      </c>
      <c r="F615" t="s">
        <v>1243</v>
      </c>
      <c r="G615" t="s">
        <v>3143</v>
      </c>
      <c r="H615" t="s">
        <v>1251</v>
      </c>
      <c r="J615" s="455">
        <v>46205</v>
      </c>
      <c r="U615" s="455">
        <v>46205</v>
      </c>
    </row>
    <row r="616" spans="1:21">
      <c r="A616" t="s">
        <v>1751</v>
      </c>
      <c r="B616" t="s">
        <v>3892</v>
      </c>
      <c r="C616" t="s">
        <v>1751</v>
      </c>
      <c r="D616">
        <v>20566405</v>
      </c>
      <c r="E616" t="s">
        <v>3190</v>
      </c>
      <c r="F616" t="s">
        <v>1237</v>
      </c>
      <c r="G616" t="s">
        <v>3143</v>
      </c>
      <c r="H616" t="s">
        <v>1248</v>
      </c>
      <c r="I616" t="s">
        <v>3168</v>
      </c>
      <c r="J616" s="455">
        <v>46199</v>
      </c>
      <c r="K616" s="455">
        <v>46199</v>
      </c>
      <c r="R616" s="455">
        <v>46204</v>
      </c>
      <c r="U616" s="455">
        <v>46199</v>
      </c>
    </row>
    <row r="617" spans="1:21">
      <c r="A617" t="s">
        <v>1751</v>
      </c>
      <c r="B617" t="s">
        <v>4758</v>
      </c>
      <c r="C617" t="s">
        <v>1751</v>
      </c>
      <c r="D617">
        <v>20589864</v>
      </c>
      <c r="E617" t="s">
        <v>3128</v>
      </c>
      <c r="F617" t="s">
        <v>1782</v>
      </c>
      <c r="G617" t="s">
        <v>3134</v>
      </c>
      <c r="H617" t="s">
        <v>3165</v>
      </c>
      <c r="J617" s="455">
        <v>46225</v>
      </c>
      <c r="U617" s="455">
        <v>46253</v>
      </c>
    </row>
    <row r="618" spans="1:21">
      <c r="A618" t="s">
        <v>1751</v>
      </c>
      <c r="B618" t="s">
        <v>4759</v>
      </c>
      <c r="C618" t="s">
        <v>1751</v>
      </c>
      <c r="D618">
        <v>20589313</v>
      </c>
      <c r="E618" t="s">
        <v>3128</v>
      </c>
      <c r="F618" t="s">
        <v>1241</v>
      </c>
      <c r="G618" t="s">
        <v>3134</v>
      </c>
      <c r="H618" t="s">
        <v>1252</v>
      </c>
      <c r="J618" s="455">
        <v>46224</v>
      </c>
      <c r="U618" s="455">
        <v>46285</v>
      </c>
    </row>
    <row r="619" spans="1:21">
      <c r="A619" t="s">
        <v>1751</v>
      </c>
      <c r="B619" t="s">
        <v>4760</v>
      </c>
      <c r="C619" t="s">
        <v>1751</v>
      </c>
      <c r="D619">
        <v>20596975</v>
      </c>
      <c r="E619" t="s">
        <v>3128</v>
      </c>
      <c r="F619" t="s">
        <v>1782</v>
      </c>
      <c r="G619" t="s">
        <v>3141</v>
      </c>
      <c r="H619" t="s">
        <v>4278</v>
      </c>
      <c r="J619" s="455">
        <v>46233</v>
      </c>
      <c r="U619" s="455">
        <v>46263</v>
      </c>
    </row>
    <row r="620" spans="1:21">
      <c r="A620" t="s">
        <v>1751</v>
      </c>
      <c r="B620" t="s">
        <v>4761</v>
      </c>
      <c r="C620" t="s">
        <v>1751</v>
      </c>
      <c r="D620">
        <v>20590333</v>
      </c>
      <c r="E620" t="s">
        <v>3128</v>
      </c>
      <c r="F620" t="s">
        <v>3285</v>
      </c>
      <c r="G620" t="s">
        <v>3134</v>
      </c>
      <c r="H620" t="s">
        <v>1252</v>
      </c>
      <c r="J620" s="455">
        <v>46225</v>
      </c>
      <c r="U620" s="455">
        <v>46250</v>
      </c>
    </row>
    <row r="621" spans="1:21">
      <c r="A621" t="s">
        <v>1751</v>
      </c>
      <c r="B621" t="s">
        <v>3897</v>
      </c>
      <c r="C621" t="s">
        <v>1751</v>
      </c>
      <c r="D621">
        <v>20561254</v>
      </c>
      <c r="E621" t="s">
        <v>3133</v>
      </c>
      <c r="F621" t="s">
        <v>1241</v>
      </c>
      <c r="G621" t="s">
        <v>3134</v>
      </c>
      <c r="H621" t="s">
        <v>1247</v>
      </c>
      <c r="I621" t="s">
        <v>2986</v>
      </c>
      <c r="J621" s="455">
        <v>46193</v>
      </c>
      <c r="K621" s="455">
        <v>46193</v>
      </c>
      <c r="R621" s="455">
        <v>46211</v>
      </c>
      <c r="U621" s="455">
        <v>46199</v>
      </c>
    </row>
    <row r="622" spans="1:21">
      <c r="A622" t="s">
        <v>1751</v>
      </c>
      <c r="B622" t="s">
        <v>4762</v>
      </c>
      <c r="C622" t="s">
        <v>1751</v>
      </c>
      <c r="D622">
        <v>20576688</v>
      </c>
      <c r="E622" t="s">
        <v>3128</v>
      </c>
      <c r="F622" t="s">
        <v>1237</v>
      </c>
      <c r="G622" t="s">
        <v>3143</v>
      </c>
      <c r="H622" t="s">
        <v>3165</v>
      </c>
      <c r="J622" s="455">
        <v>46212</v>
      </c>
      <c r="U622" s="455">
        <v>46212</v>
      </c>
    </row>
    <row r="623" spans="1:21">
      <c r="A623" t="s">
        <v>1751</v>
      </c>
      <c r="B623" t="s">
        <v>4763</v>
      </c>
      <c r="C623" t="s">
        <v>1751</v>
      </c>
      <c r="D623">
        <v>20592774</v>
      </c>
      <c r="E623" t="s">
        <v>3128</v>
      </c>
      <c r="F623" t="s">
        <v>3285</v>
      </c>
      <c r="G623" t="s">
        <v>3141</v>
      </c>
      <c r="H623" t="s">
        <v>4278</v>
      </c>
      <c r="J623" s="455">
        <v>46229</v>
      </c>
      <c r="U623" s="455">
        <v>46243</v>
      </c>
    </row>
    <row r="624" spans="1:21">
      <c r="A624" t="s">
        <v>1751</v>
      </c>
      <c r="B624" t="s">
        <v>3902</v>
      </c>
      <c r="C624" t="s">
        <v>1751</v>
      </c>
      <c r="D624">
        <v>20564942</v>
      </c>
      <c r="E624" t="s">
        <v>1897</v>
      </c>
      <c r="F624" t="s">
        <v>1241</v>
      </c>
      <c r="G624" t="s">
        <v>3137</v>
      </c>
      <c r="H624" t="s">
        <v>1252</v>
      </c>
      <c r="J624" s="455">
        <v>46198</v>
      </c>
      <c r="K624" s="455">
        <v>46204</v>
      </c>
      <c r="U624" s="455">
        <v>46235</v>
      </c>
    </row>
    <row r="625" spans="1:21">
      <c r="A625" t="s">
        <v>1751</v>
      </c>
      <c r="B625" t="s">
        <v>4764</v>
      </c>
      <c r="C625" t="s">
        <v>1751</v>
      </c>
      <c r="D625">
        <v>20573217</v>
      </c>
      <c r="E625" t="s">
        <v>1897</v>
      </c>
      <c r="F625" t="s">
        <v>1241</v>
      </c>
      <c r="G625" t="s">
        <v>3137</v>
      </c>
      <c r="H625" t="s">
        <v>1252</v>
      </c>
      <c r="I625" t="s">
        <v>4765</v>
      </c>
      <c r="J625" s="455">
        <v>46208</v>
      </c>
      <c r="K625" s="455">
        <v>46211</v>
      </c>
      <c r="U625" s="455">
        <v>46328</v>
      </c>
    </row>
    <row r="626" spans="1:21">
      <c r="A626" t="s">
        <v>1751</v>
      </c>
      <c r="B626" t="s">
        <v>4766</v>
      </c>
      <c r="C626" t="s">
        <v>1751</v>
      </c>
      <c r="D626">
        <v>20575585</v>
      </c>
      <c r="E626" t="s">
        <v>3128</v>
      </c>
      <c r="F626" t="s">
        <v>1241</v>
      </c>
      <c r="G626" t="s">
        <v>3134</v>
      </c>
      <c r="H626" t="s">
        <v>3165</v>
      </c>
      <c r="J626" s="455">
        <v>46210</v>
      </c>
      <c r="U626" s="455">
        <v>46212</v>
      </c>
    </row>
    <row r="627" spans="1:21">
      <c r="A627" t="s">
        <v>1751</v>
      </c>
      <c r="B627" t="s">
        <v>4767</v>
      </c>
      <c r="C627" t="s">
        <v>1751</v>
      </c>
      <c r="D627">
        <v>20597211</v>
      </c>
      <c r="E627" t="s">
        <v>3128</v>
      </c>
      <c r="F627" t="s">
        <v>1782</v>
      </c>
      <c r="G627" t="s">
        <v>3134</v>
      </c>
      <c r="H627" t="s">
        <v>3165</v>
      </c>
      <c r="J627" s="455">
        <v>46234</v>
      </c>
      <c r="U627" s="455">
        <v>46235</v>
      </c>
    </row>
    <row r="628" spans="1:21">
      <c r="A628" t="s">
        <v>1751</v>
      </c>
      <c r="B628" t="s">
        <v>4768</v>
      </c>
      <c r="C628" t="s">
        <v>1751</v>
      </c>
      <c r="D628">
        <v>20591261</v>
      </c>
      <c r="E628" t="s">
        <v>3128</v>
      </c>
      <c r="F628" t="s">
        <v>1241</v>
      </c>
      <c r="G628" t="s">
        <v>2009</v>
      </c>
      <c r="H628" t="s">
        <v>2291</v>
      </c>
      <c r="J628" s="455">
        <v>46227</v>
      </c>
      <c r="U628" s="455">
        <v>46227</v>
      </c>
    </row>
    <row r="629" spans="1:21">
      <c r="A629" t="s">
        <v>1751</v>
      </c>
      <c r="B629" t="s">
        <v>4769</v>
      </c>
      <c r="C629" t="s">
        <v>1751</v>
      </c>
      <c r="D629">
        <v>20584028</v>
      </c>
      <c r="E629" t="s">
        <v>3128</v>
      </c>
      <c r="F629" t="s">
        <v>3285</v>
      </c>
      <c r="G629" t="s">
        <v>3134</v>
      </c>
      <c r="H629" t="s">
        <v>3165</v>
      </c>
      <c r="J629" s="455">
        <v>46218</v>
      </c>
      <c r="U629" s="455">
        <v>46239</v>
      </c>
    </row>
    <row r="630" spans="1:21">
      <c r="A630" t="s">
        <v>1751</v>
      </c>
      <c r="B630" t="s">
        <v>4770</v>
      </c>
      <c r="C630" t="s">
        <v>1751</v>
      </c>
      <c r="D630">
        <v>20581059</v>
      </c>
      <c r="E630" t="s">
        <v>3128</v>
      </c>
      <c r="F630" t="s">
        <v>1241</v>
      </c>
      <c r="G630" t="s">
        <v>3137</v>
      </c>
      <c r="H630" t="s">
        <v>1247</v>
      </c>
      <c r="J630" s="455">
        <v>46217</v>
      </c>
      <c r="U630" s="455">
        <v>46217</v>
      </c>
    </row>
    <row r="631" spans="1:21">
      <c r="A631" t="s">
        <v>1751</v>
      </c>
      <c r="B631" t="s">
        <v>4771</v>
      </c>
      <c r="C631" t="s">
        <v>1751</v>
      </c>
      <c r="D631">
        <v>20588641</v>
      </c>
      <c r="E631" t="s">
        <v>3128</v>
      </c>
      <c r="F631" t="s">
        <v>1241</v>
      </c>
      <c r="G631" t="s">
        <v>3141</v>
      </c>
      <c r="H631" t="s">
        <v>1252</v>
      </c>
      <c r="J631" s="455">
        <v>46224</v>
      </c>
      <c r="U631" s="455">
        <v>46284</v>
      </c>
    </row>
    <row r="632" spans="1:21">
      <c r="A632" t="s">
        <v>1751</v>
      </c>
      <c r="B632" t="s">
        <v>3909</v>
      </c>
      <c r="C632" t="s">
        <v>1751</v>
      </c>
      <c r="D632">
        <v>20559977</v>
      </c>
      <c r="E632" t="s">
        <v>3133</v>
      </c>
      <c r="F632" t="s">
        <v>1241</v>
      </c>
      <c r="G632" t="s">
        <v>3134</v>
      </c>
      <c r="H632" t="s">
        <v>1252</v>
      </c>
      <c r="I632" t="s">
        <v>2173</v>
      </c>
      <c r="J632" s="455">
        <v>46191</v>
      </c>
      <c r="K632" s="455">
        <v>46191</v>
      </c>
      <c r="R632" s="455">
        <v>46205</v>
      </c>
      <c r="U632" s="455">
        <v>46202</v>
      </c>
    </row>
    <row r="633" spans="1:21">
      <c r="A633" t="s">
        <v>1751</v>
      </c>
      <c r="B633" t="s">
        <v>4772</v>
      </c>
      <c r="C633" t="s">
        <v>1751</v>
      </c>
      <c r="D633">
        <v>20594209</v>
      </c>
      <c r="E633" t="s">
        <v>3128</v>
      </c>
      <c r="F633" t="s">
        <v>1782</v>
      </c>
      <c r="G633" t="s">
        <v>3141</v>
      </c>
      <c r="H633" t="s">
        <v>1252</v>
      </c>
      <c r="J633" s="455">
        <v>46230</v>
      </c>
      <c r="U633" s="455">
        <v>46254</v>
      </c>
    </row>
    <row r="634" spans="1:21">
      <c r="A634" t="s">
        <v>1751</v>
      </c>
      <c r="B634" t="s">
        <v>3064</v>
      </c>
      <c r="C634" t="s">
        <v>1751</v>
      </c>
      <c r="D634">
        <v>20591225</v>
      </c>
      <c r="E634" t="s">
        <v>3142</v>
      </c>
      <c r="F634" t="s">
        <v>1243</v>
      </c>
      <c r="G634" t="s">
        <v>3134</v>
      </c>
      <c r="H634" t="s">
        <v>1247</v>
      </c>
      <c r="I634" t="s">
        <v>2627</v>
      </c>
      <c r="J634" s="455">
        <v>46226</v>
      </c>
      <c r="K634" s="455">
        <v>46226</v>
      </c>
      <c r="L634" s="455">
        <v>46227</v>
      </c>
      <c r="M634" s="455">
        <v>46228</v>
      </c>
      <c r="N634" s="455">
        <v>46228</v>
      </c>
      <c r="P634" s="455">
        <v>46230</v>
      </c>
      <c r="Q634" s="455">
        <v>46231</v>
      </c>
      <c r="U634" s="455">
        <v>46248</v>
      </c>
    </row>
    <row r="635" spans="1:21">
      <c r="A635" t="s">
        <v>1751</v>
      </c>
      <c r="B635" t="s">
        <v>4773</v>
      </c>
      <c r="C635" t="s">
        <v>1751</v>
      </c>
      <c r="D635">
        <v>20591182</v>
      </c>
      <c r="E635" t="s">
        <v>1897</v>
      </c>
      <c r="F635" t="s">
        <v>1241</v>
      </c>
      <c r="G635" t="s">
        <v>3134</v>
      </c>
      <c r="H635" t="s">
        <v>1251</v>
      </c>
      <c r="I635" t="s">
        <v>2941</v>
      </c>
      <c r="J635" s="455">
        <v>46226</v>
      </c>
      <c r="K635" s="455">
        <v>46226</v>
      </c>
      <c r="U635" s="455">
        <v>46227</v>
      </c>
    </row>
    <row r="636" spans="1:21">
      <c r="A636" t="s">
        <v>1751</v>
      </c>
      <c r="B636" t="s">
        <v>4774</v>
      </c>
      <c r="C636" t="s">
        <v>1751</v>
      </c>
      <c r="D636">
        <v>20592158</v>
      </c>
      <c r="E636" t="s">
        <v>3128</v>
      </c>
      <c r="F636" t="s">
        <v>1241</v>
      </c>
      <c r="G636" t="s">
        <v>3134</v>
      </c>
      <c r="H636" t="s">
        <v>3165</v>
      </c>
      <c r="J636" s="455">
        <v>46228</v>
      </c>
      <c r="U636" s="455">
        <v>46375</v>
      </c>
    </row>
    <row r="637" spans="1:21">
      <c r="A637" t="s">
        <v>1751</v>
      </c>
      <c r="B637" t="s">
        <v>3910</v>
      </c>
      <c r="C637" t="s">
        <v>1751</v>
      </c>
      <c r="D637">
        <v>20564681</v>
      </c>
      <c r="E637" t="s">
        <v>3133</v>
      </c>
      <c r="F637" t="s">
        <v>1241</v>
      </c>
      <c r="G637" t="s">
        <v>3134</v>
      </c>
      <c r="H637" t="s">
        <v>1247</v>
      </c>
      <c r="I637" t="s">
        <v>2455</v>
      </c>
      <c r="J637" s="455">
        <v>46197</v>
      </c>
      <c r="K637" s="455">
        <v>46197</v>
      </c>
      <c r="R637" s="455">
        <v>46212</v>
      </c>
      <c r="U637" s="455">
        <v>46204</v>
      </c>
    </row>
    <row r="638" spans="1:21">
      <c r="A638" t="s">
        <v>1751</v>
      </c>
      <c r="B638" t="s">
        <v>4775</v>
      </c>
      <c r="C638" t="s">
        <v>1751</v>
      </c>
      <c r="D638">
        <v>20578465</v>
      </c>
      <c r="E638" t="s">
        <v>3128</v>
      </c>
      <c r="F638" t="s">
        <v>1782</v>
      </c>
      <c r="G638" t="s">
        <v>3141</v>
      </c>
      <c r="H638" t="s">
        <v>1252</v>
      </c>
      <c r="J638" s="455">
        <v>46214</v>
      </c>
      <c r="U638" s="455">
        <v>46235</v>
      </c>
    </row>
    <row r="639" spans="1:21">
      <c r="A639" t="s">
        <v>1751</v>
      </c>
      <c r="B639" t="s">
        <v>4776</v>
      </c>
      <c r="C639" t="s">
        <v>1751</v>
      </c>
      <c r="D639">
        <v>20595595</v>
      </c>
      <c r="E639" t="s">
        <v>3128</v>
      </c>
      <c r="F639" t="s">
        <v>3285</v>
      </c>
      <c r="G639" t="s">
        <v>3141</v>
      </c>
      <c r="H639" t="s">
        <v>1252</v>
      </c>
      <c r="J639" s="455">
        <v>46232</v>
      </c>
      <c r="U639" s="455">
        <v>46234</v>
      </c>
    </row>
    <row r="640" spans="1:21">
      <c r="A640" t="s">
        <v>1751</v>
      </c>
      <c r="B640" t="s">
        <v>4777</v>
      </c>
      <c r="C640" t="s">
        <v>1751</v>
      </c>
      <c r="D640">
        <v>20584594</v>
      </c>
      <c r="E640" t="s">
        <v>3128</v>
      </c>
      <c r="F640" t="s">
        <v>1241</v>
      </c>
      <c r="G640" t="s">
        <v>3141</v>
      </c>
      <c r="H640" t="s">
        <v>1252</v>
      </c>
      <c r="J640" s="455">
        <v>46219</v>
      </c>
      <c r="U640" s="455">
        <v>46235</v>
      </c>
    </row>
    <row r="641" spans="1:21">
      <c r="A641" t="s">
        <v>1751</v>
      </c>
      <c r="B641" t="s">
        <v>4778</v>
      </c>
      <c r="C641" t="s">
        <v>1751</v>
      </c>
      <c r="D641">
        <v>20575486</v>
      </c>
      <c r="E641" t="s">
        <v>1897</v>
      </c>
      <c r="F641" t="s">
        <v>1241</v>
      </c>
      <c r="G641" t="s">
        <v>3141</v>
      </c>
      <c r="H641" t="s">
        <v>1251</v>
      </c>
      <c r="I641" t="s">
        <v>2437</v>
      </c>
      <c r="J641" s="455">
        <v>46210</v>
      </c>
      <c r="K641" s="455">
        <v>46213</v>
      </c>
      <c r="U641" s="455">
        <v>46248</v>
      </c>
    </row>
    <row r="642" spans="1:21">
      <c r="A642" t="s">
        <v>1751</v>
      </c>
      <c r="B642" t="s">
        <v>4779</v>
      </c>
      <c r="C642" t="s">
        <v>1751</v>
      </c>
      <c r="D642">
        <v>20580375</v>
      </c>
      <c r="E642" t="s">
        <v>3128</v>
      </c>
      <c r="F642" t="s">
        <v>1239</v>
      </c>
      <c r="G642" t="s">
        <v>3143</v>
      </c>
      <c r="H642" t="s">
        <v>1249</v>
      </c>
      <c r="I642" t="s">
        <v>1588</v>
      </c>
      <c r="J642" s="455">
        <v>46216</v>
      </c>
      <c r="U642" s="455">
        <v>46216</v>
      </c>
    </row>
    <row r="643" spans="1:21">
      <c r="A643" t="s">
        <v>1751</v>
      </c>
      <c r="B643" t="s">
        <v>4780</v>
      </c>
      <c r="C643" t="s">
        <v>1751</v>
      </c>
      <c r="D643">
        <v>20572216</v>
      </c>
      <c r="E643" t="s">
        <v>3128</v>
      </c>
      <c r="F643" t="s">
        <v>1238</v>
      </c>
      <c r="G643" t="s">
        <v>3143</v>
      </c>
      <c r="H643" t="s">
        <v>1252</v>
      </c>
      <c r="I643" t="s">
        <v>3170</v>
      </c>
      <c r="J643" s="455">
        <v>46206</v>
      </c>
      <c r="U643" s="455">
        <v>46249</v>
      </c>
    </row>
    <row r="644" spans="1:21">
      <c r="A644" t="s">
        <v>1751</v>
      </c>
      <c r="B644" t="s">
        <v>3925</v>
      </c>
      <c r="C644" t="s">
        <v>1751</v>
      </c>
      <c r="D644">
        <v>20568746</v>
      </c>
      <c r="E644" t="s">
        <v>3133</v>
      </c>
      <c r="F644" t="s">
        <v>1239</v>
      </c>
      <c r="G644" t="s">
        <v>3137</v>
      </c>
      <c r="H644" t="s">
        <v>1252</v>
      </c>
      <c r="I644" t="s">
        <v>1963</v>
      </c>
      <c r="J644" s="455">
        <v>46202</v>
      </c>
      <c r="K644" s="455">
        <v>46202</v>
      </c>
      <c r="R644" s="455">
        <v>46212</v>
      </c>
      <c r="U644" s="455">
        <v>46230</v>
      </c>
    </row>
    <row r="645" spans="1:21">
      <c r="A645" t="s">
        <v>1751</v>
      </c>
      <c r="B645" t="s">
        <v>3926</v>
      </c>
      <c r="C645" t="s">
        <v>1751</v>
      </c>
      <c r="D645">
        <v>20562063</v>
      </c>
      <c r="E645" t="s">
        <v>3133</v>
      </c>
      <c r="F645" t="s">
        <v>1241</v>
      </c>
      <c r="G645" t="s">
        <v>3134</v>
      </c>
      <c r="H645" t="s">
        <v>1248</v>
      </c>
      <c r="I645" t="s">
        <v>1554</v>
      </c>
      <c r="J645" s="455">
        <v>46195</v>
      </c>
      <c r="K645" s="455">
        <v>46195</v>
      </c>
      <c r="R645" s="455">
        <v>46211</v>
      </c>
      <c r="U645" s="455">
        <v>46232</v>
      </c>
    </row>
    <row r="646" spans="1:21">
      <c r="A646" t="s">
        <v>1751</v>
      </c>
      <c r="B646" t="s">
        <v>2943</v>
      </c>
      <c r="C646" t="s">
        <v>1751</v>
      </c>
      <c r="D646">
        <v>20580326</v>
      </c>
      <c r="E646" t="s">
        <v>1907</v>
      </c>
      <c r="F646" t="s">
        <v>1239</v>
      </c>
      <c r="G646" t="s">
        <v>3143</v>
      </c>
      <c r="H646" t="s">
        <v>3358</v>
      </c>
      <c r="I646" t="s">
        <v>2941</v>
      </c>
      <c r="J646" s="455">
        <v>46216</v>
      </c>
      <c r="K646" s="455">
        <v>46226</v>
      </c>
      <c r="L646" s="455">
        <v>46226</v>
      </c>
      <c r="U646" s="455">
        <v>46248</v>
      </c>
    </row>
    <row r="647" spans="1:21">
      <c r="A647" t="s">
        <v>1751</v>
      </c>
      <c r="B647" t="s">
        <v>4781</v>
      </c>
      <c r="C647" t="s">
        <v>1751</v>
      </c>
      <c r="D647">
        <v>20587829</v>
      </c>
      <c r="E647" t="s">
        <v>3128</v>
      </c>
      <c r="F647" t="s">
        <v>1238</v>
      </c>
      <c r="G647" t="s">
        <v>3143</v>
      </c>
      <c r="H647" t="s">
        <v>1248</v>
      </c>
      <c r="I647" t="s">
        <v>2148</v>
      </c>
      <c r="J647" s="455">
        <v>46223</v>
      </c>
      <c r="U647" s="455">
        <v>46279</v>
      </c>
    </row>
    <row r="648" spans="1:21">
      <c r="A648" t="s">
        <v>1751</v>
      </c>
      <c r="B648" t="s">
        <v>4782</v>
      </c>
      <c r="C648" t="s">
        <v>1751</v>
      </c>
      <c r="D648">
        <v>20594270</v>
      </c>
      <c r="E648" t="s">
        <v>3128</v>
      </c>
      <c r="F648" t="s">
        <v>1782</v>
      </c>
      <c r="G648" t="s">
        <v>3141</v>
      </c>
      <c r="H648" t="s">
        <v>1252</v>
      </c>
      <c r="J648" s="455">
        <v>46230</v>
      </c>
      <c r="U648" s="455">
        <v>46230</v>
      </c>
    </row>
    <row r="649" spans="1:21">
      <c r="A649" t="s">
        <v>1751</v>
      </c>
      <c r="B649" t="s">
        <v>4783</v>
      </c>
      <c r="C649" t="s">
        <v>1751</v>
      </c>
      <c r="D649">
        <v>20575680</v>
      </c>
      <c r="E649" t="s">
        <v>3128</v>
      </c>
      <c r="F649" t="s">
        <v>1241</v>
      </c>
      <c r="G649" t="s">
        <v>3141</v>
      </c>
      <c r="H649" t="s">
        <v>1252</v>
      </c>
      <c r="J649" s="455">
        <v>46211</v>
      </c>
      <c r="U649" s="455">
        <v>46211</v>
      </c>
    </row>
    <row r="650" spans="1:21">
      <c r="A650" t="s">
        <v>1751</v>
      </c>
      <c r="B650" t="s">
        <v>4784</v>
      </c>
      <c r="C650" t="s">
        <v>1751</v>
      </c>
      <c r="D650">
        <v>20593065</v>
      </c>
      <c r="E650" t="s">
        <v>1897</v>
      </c>
      <c r="F650" t="s">
        <v>1241</v>
      </c>
      <c r="G650" t="s">
        <v>3134</v>
      </c>
      <c r="H650" t="s">
        <v>1252</v>
      </c>
      <c r="I650" t="s">
        <v>2686</v>
      </c>
      <c r="J650" s="455">
        <v>46229</v>
      </c>
      <c r="K650" s="455">
        <v>46229</v>
      </c>
      <c r="U650" s="455">
        <v>46234</v>
      </c>
    </row>
    <row r="651" spans="1:21">
      <c r="A651" t="s">
        <v>1751</v>
      </c>
      <c r="B651" t="s">
        <v>4785</v>
      </c>
      <c r="C651" t="s">
        <v>1751</v>
      </c>
      <c r="D651">
        <v>20589431</v>
      </c>
      <c r="E651" t="s">
        <v>3128</v>
      </c>
      <c r="F651" t="s">
        <v>1782</v>
      </c>
      <c r="G651" t="s">
        <v>3134</v>
      </c>
      <c r="H651" t="s">
        <v>1252</v>
      </c>
      <c r="J651" s="455">
        <v>46225</v>
      </c>
      <c r="U651" s="455">
        <v>46254</v>
      </c>
    </row>
    <row r="652" spans="1:21">
      <c r="A652" t="s">
        <v>1751</v>
      </c>
      <c r="B652" t="s">
        <v>4786</v>
      </c>
      <c r="C652" t="s">
        <v>1751</v>
      </c>
      <c r="D652">
        <v>20594503</v>
      </c>
      <c r="E652" t="s">
        <v>3128</v>
      </c>
      <c r="F652" t="s">
        <v>1241</v>
      </c>
      <c r="G652" t="s">
        <v>3141</v>
      </c>
      <c r="H652" t="s">
        <v>4278</v>
      </c>
      <c r="J652" s="455">
        <v>46231</v>
      </c>
      <c r="U652" s="455">
        <v>46245</v>
      </c>
    </row>
    <row r="653" spans="1:21">
      <c r="A653" t="s">
        <v>1751</v>
      </c>
      <c r="B653" t="s">
        <v>4787</v>
      </c>
      <c r="C653" t="s">
        <v>1751</v>
      </c>
      <c r="D653">
        <v>20592557</v>
      </c>
      <c r="E653" t="s">
        <v>3128</v>
      </c>
      <c r="F653" t="s">
        <v>1237</v>
      </c>
      <c r="G653" t="s">
        <v>3129</v>
      </c>
      <c r="H653" t="s">
        <v>3131</v>
      </c>
      <c r="I653" t="s">
        <v>3170</v>
      </c>
      <c r="J653" s="455">
        <v>46228</v>
      </c>
      <c r="U653" s="455">
        <v>46228</v>
      </c>
    </row>
    <row r="654" spans="1:21">
      <c r="A654" t="s">
        <v>1751</v>
      </c>
      <c r="B654" t="s">
        <v>1115</v>
      </c>
      <c r="C654" t="s">
        <v>1751</v>
      </c>
      <c r="D654">
        <v>20566717</v>
      </c>
      <c r="E654" t="s">
        <v>3142</v>
      </c>
      <c r="F654" t="s">
        <v>1241</v>
      </c>
      <c r="G654" t="s">
        <v>3134</v>
      </c>
      <c r="H654" t="s">
        <v>1247</v>
      </c>
      <c r="I654" t="s">
        <v>2964</v>
      </c>
      <c r="J654" s="455">
        <v>46199</v>
      </c>
      <c r="K654" s="455">
        <v>46199</v>
      </c>
      <c r="L654" s="455">
        <v>46200</v>
      </c>
      <c r="M654" s="455">
        <v>46202</v>
      </c>
      <c r="N654" s="455">
        <v>46202</v>
      </c>
      <c r="P654" s="455">
        <v>46212</v>
      </c>
      <c r="Q654" s="455">
        <v>46212</v>
      </c>
      <c r="U654" s="455">
        <v>46219</v>
      </c>
    </row>
    <row r="655" spans="1:21">
      <c r="A655" t="s">
        <v>1751</v>
      </c>
      <c r="B655" t="s">
        <v>4788</v>
      </c>
      <c r="C655" t="s">
        <v>1751</v>
      </c>
      <c r="D655">
        <v>20573219</v>
      </c>
      <c r="E655" t="s">
        <v>3128</v>
      </c>
      <c r="F655" t="s">
        <v>1782</v>
      </c>
      <c r="G655" t="s">
        <v>3134</v>
      </c>
      <c r="H655" t="s">
        <v>3165</v>
      </c>
      <c r="J655" s="455">
        <v>46208</v>
      </c>
      <c r="U655" s="455">
        <v>46296</v>
      </c>
    </row>
    <row r="656" spans="1:21">
      <c r="A656" t="s">
        <v>1751</v>
      </c>
      <c r="B656" t="s">
        <v>4789</v>
      </c>
      <c r="C656" t="s">
        <v>1751</v>
      </c>
      <c r="D656">
        <v>20588904</v>
      </c>
      <c r="E656" t="s">
        <v>3128</v>
      </c>
      <c r="F656" t="s">
        <v>1241</v>
      </c>
      <c r="G656" t="s">
        <v>3141</v>
      </c>
      <c r="H656" t="s">
        <v>1247</v>
      </c>
      <c r="J656" s="455">
        <v>46224</v>
      </c>
      <c r="U656" s="455">
        <v>46254</v>
      </c>
    </row>
    <row r="657" spans="1:21">
      <c r="A657" t="s">
        <v>1751</v>
      </c>
      <c r="B657" t="s">
        <v>4790</v>
      </c>
      <c r="C657" t="s">
        <v>1751</v>
      </c>
      <c r="D657">
        <v>20575431</v>
      </c>
      <c r="E657" t="s">
        <v>3128</v>
      </c>
      <c r="F657" t="s">
        <v>1241</v>
      </c>
      <c r="G657" t="s">
        <v>3141</v>
      </c>
      <c r="H657" t="s">
        <v>1252</v>
      </c>
      <c r="J657" s="455">
        <v>46210</v>
      </c>
      <c r="U657" s="455">
        <v>46254</v>
      </c>
    </row>
    <row r="658" spans="1:21">
      <c r="A658" t="s">
        <v>1751</v>
      </c>
      <c r="B658" t="s">
        <v>4791</v>
      </c>
      <c r="C658" t="s">
        <v>1751</v>
      </c>
      <c r="D658">
        <v>20591365</v>
      </c>
      <c r="E658" t="s">
        <v>1907</v>
      </c>
      <c r="F658" t="s">
        <v>1238</v>
      </c>
      <c r="G658" t="s">
        <v>3143</v>
      </c>
      <c r="H658" t="s">
        <v>1248</v>
      </c>
      <c r="I658" t="s">
        <v>1593</v>
      </c>
      <c r="J658" s="455">
        <v>46227</v>
      </c>
      <c r="K658" s="455">
        <v>46233</v>
      </c>
      <c r="L658" s="455">
        <v>46233</v>
      </c>
      <c r="U658" s="455">
        <v>46279</v>
      </c>
    </row>
    <row r="659" spans="1:21">
      <c r="A659" t="s">
        <v>1751</v>
      </c>
      <c r="B659" t="s">
        <v>4792</v>
      </c>
      <c r="C659" t="s">
        <v>1751</v>
      </c>
      <c r="D659">
        <v>20591148</v>
      </c>
      <c r="E659" t="s">
        <v>3128</v>
      </c>
      <c r="F659" t="s">
        <v>1782</v>
      </c>
      <c r="G659" t="s">
        <v>3141</v>
      </c>
      <c r="H659" t="s">
        <v>1252</v>
      </c>
      <c r="J659" s="455">
        <v>46226</v>
      </c>
      <c r="U659" s="455">
        <v>46266</v>
      </c>
    </row>
    <row r="660" spans="1:21">
      <c r="A660" t="s">
        <v>1751</v>
      </c>
      <c r="B660" t="s">
        <v>4793</v>
      </c>
      <c r="C660" t="s">
        <v>1751</v>
      </c>
      <c r="D660">
        <v>20579373</v>
      </c>
      <c r="E660" t="s">
        <v>3128</v>
      </c>
      <c r="F660" t="s">
        <v>1241</v>
      </c>
      <c r="G660" t="s">
        <v>3137</v>
      </c>
      <c r="H660" t="s">
        <v>1251</v>
      </c>
      <c r="J660" s="455">
        <v>46215</v>
      </c>
      <c r="U660" s="455">
        <v>46215</v>
      </c>
    </row>
    <row r="661" spans="1:21">
      <c r="A661" t="s">
        <v>1751</v>
      </c>
      <c r="B661" t="s">
        <v>4794</v>
      </c>
      <c r="C661" t="s">
        <v>1751</v>
      </c>
      <c r="D661">
        <v>20591998</v>
      </c>
      <c r="E661" t="s">
        <v>3128</v>
      </c>
      <c r="F661" t="s">
        <v>1782</v>
      </c>
      <c r="G661" t="s">
        <v>3141</v>
      </c>
      <c r="H661" t="s">
        <v>4278</v>
      </c>
      <c r="J661" s="455">
        <v>46227</v>
      </c>
      <c r="U661" s="455">
        <v>46235</v>
      </c>
    </row>
    <row r="662" spans="1:21">
      <c r="A662" t="s">
        <v>1751</v>
      </c>
      <c r="B662" t="s">
        <v>4795</v>
      </c>
      <c r="C662" t="s">
        <v>1751</v>
      </c>
      <c r="D662">
        <v>20586268</v>
      </c>
      <c r="E662" t="s">
        <v>3142</v>
      </c>
      <c r="F662" t="s">
        <v>1241</v>
      </c>
      <c r="G662" t="s">
        <v>3134</v>
      </c>
      <c r="H662" t="s">
        <v>1249</v>
      </c>
      <c r="I662" t="s">
        <v>4796</v>
      </c>
      <c r="J662" s="455">
        <v>46221</v>
      </c>
      <c r="K662" s="455">
        <v>46221</v>
      </c>
      <c r="L662" s="455">
        <v>46221</v>
      </c>
      <c r="M662" s="455">
        <v>46230</v>
      </c>
      <c r="N662" s="455">
        <v>46230</v>
      </c>
      <c r="P662" s="455">
        <v>46232</v>
      </c>
      <c r="Q662" s="455">
        <v>46232</v>
      </c>
      <c r="U662" s="455">
        <v>46261</v>
      </c>
    </row>
    <row r="663" spans="1:21">
      <c r="A663" t="s">
        <v>1751</v>
      </c>
      <c r="B663" t="s">
        <v>4797</v>
      </c>
      <c r="C663" t="s">
        <v>1751</v>
      </c>
      <c r="D663">
        <v>20574544</v>
      </c>
      <c r="E663" t="s">
        <v>3128</v>
      </c>
      <c r="F663" t="s">
        <v>1241</v>
      </c>
      <c r="G663" t="s">
        <v>3129</v>
      </c>
      <c r="H663" t="s">
        <v>1251</v>
      </c>
      <c r="J663" s="455">
        <v>46209</v>
      </c>
      <c r="U663" s="455">
        <v>46209</v>
      </c>
    </row>
    <row r="664" spans="1:21">
      <c r="A664" t="s">
        <v>1751</v>
      </c>
      <c r="B664" t="s">
        <v>4798</v>
      </c>
      <c r="C664" t="s">
        <v>1751</v>
      </c>
      <c r="D664">
        <v>20571164</v>
      </c>
      <c r="E664" t="s">
        <v>3128</v>
      </c>
      <c r="F664" t="s">
        <v>1241</v>
      </c>
      <c r="G664" t="s">
        <v>3129</v>
      </c>
      <c r="H664" t="s">
        <v>1253</v>
      </c>
      <c r="J664" s="455">
        <v>46205</v>
      </c>
      <c r="U664" s="455">
        <v>46205</v>
      </c>
    </row>
    <row r="665" spans="1:21">
      <c r="A665" t="s">
        <v>1751</v>
      </c>
      <c r="B665" t="s">
        <v>4799</v>
      </c>
      <c r="C665" t="s">
        <v>1751</v>
      </c>
      <c r="D665">
        <v>20586791</v>
      </c>
      <c r="E665" t="s">
        <v>3128</v>
      </c>
      <c r="F665" t="s">
        <v>1782</v>
      </c>
      <c r="G665" t="s">
        <v>3141</v>
      </c>
      <c r="H665" t="s">
        <v>1252</v>
      </c>
      <c r="J665" s="455">
        <v>46222</v>
      </c>
      <c r="U665" s="455">
        <v>46235</v>
      </c>
    </row>
    <row r="666" spans="1:21">
      <c r="A666" t="s">
        <v>1751</v>
      </c>
      <c r="B666" t="s">
        <v>4800</v>
      </c>
      <c r="C666" t="s">
        <v>1751</v>
      </c>
      <c r="D666">
        <v>20591826</v>
      </c>
      <c r="E666" t="s">
        <v>3128</v>
      </c>
      <c r="F666" t="s">
        <v>1782</v>
      </c>
      <c r="G666" t="s">
        <v>3134</v>
      </c>
      <c r="H666" t="s">
        <v>1252</v>
      </c>
      <c r="J666" s="455">
        <v>46227</v>
      </c>
      <c r="U666" s="455">
        <v>46235</v>
      </c>
    </row>
    <row r="667" spans="1:21">
      <c r="A667" t="s">
        <v>1751</v>
      </c>
      <c r="B667" t="s">
        <v>4801</v>
      </c>
      <c r="C667" t="s">
        <v>1751</v>
      </c>
      <c r="D667">
        <v>20586763</v>
      </c>
      <c r="E667" t="s">
        <v>3128</v>
      </c>
      <c r="F667" t="s">
        <v>1782</v>
      </c>
      <c r="G667" t="s">
        <v>3141</v>
      </c>
      <c r="H667" t="s">
        <v>1252</v>
      </c>
      <c r="J667" s="455">
        <v>46221</v>
      </c>
      <c r="U667" s="455">
        <v>46275</v>
      </c>
    </row>
    <row r="668" spans="1:21">
      <c r="A668" t="s">
        <v>1751</v>
      </c>
      <c r="B668" t="s">
        <v>3944</v>
      </c>
      <c r="C668" t="s">
        <v>1751</v>
      </c>
      <c r="D668">
        <v>20566135</v>
      </c>
      <c r="E668" t="s">
        <v>3133</v>
      </c>
      <c r="F668" t="s">
        <v>1241</v>
      </c>
      <c r="G668" t="s">
        <v>3134</v>
      </c>
      <c r="H668" t="s">
        <v>1247</v>
      </c>
      <c r="I668" t="s">
        <v>2134</v>
      </c>
      <c r="J668" s="455">
        <v>46199</v>
      </c>
      <c r="K668" s="455">
        <v>46199</v>
      </c>
      <c r="R668" s="455">
        <v>46212</v>
      </c>
      <c r="U668" s="455">
        <v>46218</v>
      </c>
    </row>
    <row r="669" spans="1:21">
      <c r="A669" t="s">
        <v>1751</v>
      </c>
      <c r="B669" t="s">
        <v>3103</v>
      </c>
      <c r="C669" t="s">
        <v>1751</v>
      </c>
      <c r="D669">
        <v>20584968</v>
      </c>
      <c r="E669" t="s">
        <v>3142</v>
      </c>
      <c r="F669" t="s">
        <v>1239</v>
      </c>
      <c r="G669" t="s">
        <v>3134</v>
      </c>
      <c r="H669" t="s">
        <v>1249</v>
      </c>
      <c r="I669" t="s">
        <v>1582</v>
      </c>
      <c r="J669" s="455">
        <v>46219</v>
      </c>
      <c r="K669" s="455">
        <v>46219</v>
      </c>
      <c r="L669" s="455">
        <v>46220</v>
      </c>
      <c r="M669" s="455">
        <v>46230</v>
      </c>
      <c r="N669" s="455">
        <v>46230</v>
      </c>
      <c r="P669" s="455">
        <v>46231</v>
      </c>
      <c r="Q669" s="455">
        <v>46231</v>
      </c>
      <c r="U669" s="455">
        <v>46241</v>
      </c>
    </row>
    <row r="670" spans="1:21">
      <c r="A670" t="s">
        <v>1751</v>
      </c>
      <c r="B670" t="s">
        <v>4802</v>
      </c>
      <c r="C670" t="s">
        <v>1751</v>
      </c>
      <c r="D670">
        <v>20582338</v>
      </c>
      <c r="E670" t="s">
        <v>3128</v>
      </c>
      <c r="F670" t="s">
        <v>1241</v>
      </c>
      <c r="G670" t="s">
        <v>3134</v>
      </c>
      <c r="H670" t="s">
        <v>1252</v>
      </c>
      <c r="J670" s="455">
        <v>46217</v>
      </c>
      <c r="U670" s="455">
        <v>46225</v>
      </c>
    </row>
    <row r="671" spans="1:21">
      <c r="A671" t="s">
        <v>1751</v>
      </c>
      <c r="B671" t="s">
        <v>3948</v>
      </c>
      <c r="C671" t="s">
        <v>1751</v>
      </c>
      <c r="D671">
        <v>20565846</v>
      </c>
      <c r="E671" t="s">
        <v>3133</v>
      </c>
      <c r="F671" t="s">
        <v>1241</v>
      </c>
      <c r="G671" t="s">
        <v>3134</v>
      </c>
      <c r="H671" t="s">
        <v>1247</v>
      </c>
      <c r="I671" t="s">
        <v>2173</v>
      </c>
      <c r="J671" s="455">
        <v>46198</v>
      </c>
      <c r="K671" s="455">
        <v>46198</v>
      </c>
      <c r="R671" s="455">
        <v>46212</v>
      </c>
      <c r="U671" s="455">
        <v>46209</v>
      </c>
    </row>
    <row r="672" spans="1:21">
      <c r="A672" t="s">
        <v>1751</v>
      </c>
      <c r="B672" t="s">
        <v>4803</v>
      </c>
      <c r="C672" t="s">
        <v>1751</v>
      </c>
      <c r="D672">
        <v>20582029</v>
      </c>
      <c r="E672" t="s">
        <v>3133</v>
      </c>
      <c r="F672" t="s">
        <v>1243</v>
      </c>
      <c r="G672" t="s">
        <v>3129</v>
      </c>
      <c r="H672" t="s">
        <v>3131</v>
      </c>
      <c r="J672" s="455">
        <v>46217</v>
      </c>
      <c r="K672" s="455">
        <v>46220</v>
      </c>
      <c r="L672" s="455">
        <v>46221</v>
      </c>
      <c r="S672" s="455">
        <v>46233</v>
      </c>
      <c r="U672" s="455">
        <v>46237</v>
      </c>
    </row>
    <row r="673" spans="1:21">
      <c r="A673" t="s">
        <v>1751</v>
      </c>
      <c r="B673" t="s">
        <v>4803</v>
      </c>
      <c r="C673" t="s">
        <v>1751</v>
      </c>
      <c r="D673">
        <v>20586494</v>
      </c>
      <c r="E673" t="s">
        <v>3128</v>
      </c>
      <c r="F673" t="s">
        <v>1241</v>
      </c>
      <c r="G673" t="s">
        <v>2009</v>
      </c>
      <c r="H673" t="s">
        <v>3131</v>
      </c>
      <c r="J673" s="455">
        <v>46221</v>
      </c>
      <c r="U673" s="455">
        <v>46235</v>
      </c>
    </row>
    <row r="674" spans="1:21">
      <c r="A674" t="s">
        <v>1751</v>
      </c>
      <c r="B674" t="s">
        <v>4804</v>
      </c>
      <c r="C674" t="s">
        <v>1751</v>
      </c>
      <c r="D674">
        <v>20596405</v>
      </c>
      <c r="E674" t="s">
        <v>3128</v>
      </c>
      <c r="F674" t="s">
        <v>1241</v>
      </c>
      <c r="G674" t="s">
        <v>3137</v>
      </c>
      <c r="H674" t="s">
        <v>1251</v>
      </c>
      <c r="J674" s="455">
        <v>46233</v>
      </c>
      <c r="U674" s="455">
        <v>46233</v>
      </c>
    </row>
    <row r="675" spans="1:21">
      <c r="A675" t="s">
        <v>1751</v>
      </c>
      <c r="B675" t="s">
        <v>4805</v>
      </c>
      <c r="C675" t="s">
        <v>1751</v>
      </c>
      <c r="D675">
        <v>20577376</v>
      </c>
      <c r="E675" t="s">
        <v>1897</v>
      </c>
      <c r="F675" t="s">
        <v>1241</v>
      </c>
      <c r="G675" t="s">
        <v>3134</v>
      </c>
      <c r="H675" t="s">
        <v>1247</v>
      </c>
      <c r="I675" t="s">
        <v>2674</v>
      </c>
      <c r="J675" s="455">
        <v>46212</v>
      </c>
      <c r="K675" s="455">
        <v>46212</v>
      </c>
      <c r="U675" s="455">
        <v>46296</v>
      </c>
    </row>
    <row r="676" spans="1:21">
      <c r="A676" t="s">
        <v>1751</v>
      </c>
      <c r="B676" t="s">
        <v>4806</v>
      </c>
      <c r="C676" t="s">
        <v>1751</v>
      </c>
      <c r="D676">
        <v>20596460</v>
      </c>
      <c r="E676" t="s">
        <v>3128</v>
      </c>
      <c r="F676" t="s">
        <v>1237</v>
      </c>
      <c r="G676" t="s">
        <v>3141</v>
      </c>
      <c r="H676" t="s">
        <v>1252</v>
      </c>
      <c r="J676" s="455">
        <v>46233</v>
      </c>
      <c r="U676" s="455">
        <v>46244</v>
      </c>
    </row>
    <row r="677" spans="1:21">
      <c r="A677" t="s">
        <v>1751</v>
      </c>
      <c r="B677" t="s">
        <v>4807</v>
      </c>
      <c r="C677" t="s">
        <v>1751</v>
      </c>
      <c r="D677">
        <v>20580308</v>
      </c>
      <c r="E677" t="s">
        <v>3128</v>
      </c>
      <c r="F677" t="s">
        <v>1241</v>
      </c>
      <c r="G677" t="s">
        <v>2009</v>
      </c>
      <c r="H677" t="s">
        <v>3358</v>
      </c>
      <c r="I677" t="s">
        <v>2660</v>
      </c>
      <c r="J677" s="455">
        <v>46216</v>
      </c>
      <c r="U677" s="455">
        <v>46228</v>
      </c>
    </row>
    <row r="678" spans="1:21">
      <c r="A678" t="s">
        <v>1751</v>
      </c>
      <c r="B678" t="s">
        <v>4808</v>
      </c>
      <c r="C678" t="s">
        <v>1751</v>
      </c>
      <c r="D678">
        <v>20571232</v>
      </c>
      <c r="E678" t="s">
        <v>3128</v>
      </c>
      <c r="F678" t="s">
        <v>1238</v>
      </c>
      <c r="G678" t="s">
        <v>3143</v>
      </c>
      <c r="H678" t="s">
        <v>1251</v>
      </c>
      <c r="I678" t="s">
        <v>3170</v>
      </c>
      <c r="J678" s="455">
        <v>46205</v>
      </c>
      <c r="U678" s="455">
        <v>46224</v>
      </c>
    </row>
    <row r="679" spans="1:21">
      <c r="A679" t="s">
        <v>1751</v>
      </c>
      <c r="B679" t="s">
        <v>4809</v>
      </c>
      <c r="C679" t="s">
        <v>1751</v>
      </c>
      <c r="D679">
        <v>20589181</v>
      </c>
      <c r="E679" t="s">
        <v>3128</v>
      </c>
      <c r="F679" t="s">
        <v>3285</v>
      </c>
      <c r="G679" t="s">
        <v>3137</v>
      </c>
      <c r="H679" t="s">
        <v>1252</v>
      </c>
      <c r="J679" s="455">
        <v>46224</v>
      </c>
      <c r="U679" s="455">
        <v>46235</v>
      </c>
    </row>
    <row r="680" spans="1:21">
      <c r="A680" t="s">
        <v>1751</v>
      </c>
      <c r="B680" t="s">
        <v>4810</v>
      </c>
      <c r="C680" t="s">
        <v>1751</v>
      </c>
      <c r="D680">
        <v>20588666</v>
      </c>
      <c r="E680" t="s">
        <v>3128</v>
      </c>
      <c r="F680" t="s">
        <v>1241</v>
      </c>
      <c r="G680" t="s">
        <v>3137</v>
      </c>
      <c r="H680" t="s">
        <v>1252</v>
      </c>
      <c r="J680" s="455">
        <v>46224</v>
      </c>
      <c r="U680" s="455">
        <v>46242</v>
      </c>
    </row>
    <row r="681" spans="1:21">
      <c r="A681" t="s">
        <v>1751</v>
      </c>
      <c r="B681" t="s">
        <v>4811</v>
      </c>
      <c r="C681" t="s">
        <v>1751</v>
      </c>
      <c r="D681">
        <v>20593116</v>
      </c>
      <c r="E681" t="s">
        <v>3128</v>
      </c>
      <c r="F681" t="s">
        <v>1241</v>
      </c>
      <c r="G681" t="s">
        <v>3141</v>
      </c>
      <c r="H681" t="s">
        <v>1252</v>
      </c>
      <c r="J681" s="455">
        <v>46229</v>
      </c>
      <c r="U681" s="455">
        <v>46265</v>
      </c>
    </row>
    <row r="682" spans="1:21">
      <c r="A682" t="s">
        <v>1751</v>
      </c>
      <c r="B682" t="s">
        <v>4812</v>
      </c>
      <c r="C682" t="s">
        <v>1751</v>
      </c>
      <c r="D682">
        <v>20595191</v>
      </c>
      <c r="E682" t="s">
        <v>3128</v>
      </c>
      <c r="F682" t="s">
        <v>1241</v>
      </c>
      <c r="G682" t="s">
        <v>3141</v>
      </c>
      <c r="H682" t="s">
        <v>1252</v>
      </c>
      <c r="J682" s="455">
        <v>46231</v>
      </c>
      <c r="U682" s="455">
        <v>46280</v>
      </c>
    </row>
    <row r="683" spans="1:21">
      <c r="A683" t="s">
        <v>1751</v>
      </c>
      <c r="B683" t="s">
        <v>4813</v>
      </c>
      <c r="C683" t="s">
        <v>1751</v>
      </c>
      <c r="D683">
        <v>20588780</v>
      </c>
      <c r="E683" t="s">
        <v>1907</v>
      </c>
      <c r="F683" t="s">
        <v>1238</v>
      </c>
      <c r="G683" t="s">
        <v>3129</v>
      </c>
      <c r="H683" t="s">
        <v>1252</v>
      </c>
      <c r="I683" t="s">
        <v>2576</v>
      </c>
      <c r="J683" s="455">
        <v>46224</v>
      </c>
      <c r="K683" s="455">
        <v>46224</v>
      </c>
      <c r="L683" s="455">
        <v>46225</v>
      </c>
      <c r="U683" s="455">
        <v>46256</v>
      </c>
    </row>
    <row r="684" spans="1:21">
      <c r="A684" t="s">
        <v>1751</v>
      </c>
      <c r="B684" t="s">
        <v>4814</v>
      </c>
      <c r="C684" t="s">
        <v>1751</v>
      </c>
      <c r="D684">
        <v>20572219</v>
      </c>
      <c r="E684" t="s">
        <v>1897</v>
      </c>
      <c r="F684" t="s">
        <v>1242</v>
      </c>
      <c r="G684" t="s">
        <v>2009</v>
      </c>
      <c r="H684" t="s">
        <v>1252</v>
      </c>
      <c r="I684" t="s">
        <v>3363</v>
      </c>
      <c r="J684" s="455">
        <v>46206</v>
      </c>
      <c r="K684" s="455">
        <v>46209</v>
      </c>
      <c r="U684" s="455">
        <v>46235</v>
      </c>
    </row>
    <row r="685" spans="1:21">
      <c r="A685" t="s">
        <v>1751</v>
      </c>
      <c r="B685" t="s">
        <v>3958</v>
      </c>
      <c r="C685" t="s">
        <v>1751</v>
      </c>
      <c r="D685">
        <v>20564518</v>
      </c>
      <c r="E685" t="s">
        <v>3133</v>
      </c>
      <c r="F685" t="s">
        <v>1241</v>
      </c>
      <c r="G685" t="s">
        <v>2009</v>
      </c>
      <c r="H685" t="s">
        <v>1252</v>
      </c>
      <c r="I685" t="s">
        <v>3202</v>
      </c>
      <c r="J685" s="455">
        <v>46197</v>
      </c>
      <c r="K685" s="455">
        <v>46197</v>
      </c>
      <c r="R685" s="455">
        <v>46212</v>
      </c>
      <c r="U685" s="455">
        <v>46202</v>
      </c>
    </row>
    <row r="686" spans="1:21">
      <c r="A686" t="s">
        <v>1751</v>
      </c>
      <c r="B686" t="s">
        <v>4815</v>
      </c>
      <c r="C686" t="s">
        <v>1751</v>
      </c>
      <c r="D686">
        <v>20597168</v>
      </c>
      <c r="E686" t="s">
        <v>3128</v>
      </c>
      <c r="F686" t="s">
        <v>1782</v>
      </c>
      <c r="G686" t="s">
        <v>3137</v>
      </c>
      <c r="H686" t="s">
        <v>1252</v>
      </c>
      <c r="J686" s="455">
        <v>46234</v>
      </c>
      <c r="U686" s="455">
        <v>46365</v>
      </c>
    </row>
    <row r="687" spans="1:21">
      <c r="A687" t="s">
        <v>1751</v>
      </c>
      <c r="B687" t="s">
        <v>4816</v>
      </c>
      <c r="C687" t="s">
        <v>1751</v>
      </c>
      <c r="D687">
        <v>20590296</v>
      </c>
      <c r="E687" t="s">
        <v>3128</v>
      </c>
      <c r="F687" t="s">
        <v>1782</v>
      </c>
      <c r="G687" t="s">
        <v>3141</v>
      </c>
      <c r="H687" t="s">
        <v>1252</v>
      </c>
      <c r="J687" s="455">
        <v>46225</v>
      </c>
      <c r="U687" s="455">
        <v>46249</v>
      </c>
    </row>
    <row r="688" spans="1:21">
      <c r="A688" t="s">
        <v>1751</v>
      </c>
      <c r="B688" t="s">
        <v>4817</v>
      </c>
      <c r="C688" t="s">
        <v>1751</v>
      </c>
      <c r="D688">
        <v>20592856</v>
      </c>
      <c r="E688" t="s">
        <v>3128</v>
      </c>
      <c r="F688" t="s">
        <v>1241</v>
      </c>
      <c r="G688" t="s">
        <v>2009</v>
      </c>
      <c r="H688" t="s">
        <v>1247</v>
      </c>
      <c r="J688" s="455">
        <v>46229</v>
      </c>
      <c r="U688" s="455">
        <v>46229</v>
      </c>
    </row>
    <row r="689" spans="1:21">
      <c r="A689" t="s">
        <v>1751</v>
      </c>
      <c r="B689" t="s">
        <v>3971</v>
      </c>
      <c r="C689" t="s">
        <v>1751</v>
      </c>
      <c r="D689">
        <v>20563210</v>
      </c>
      <c r="E689" t="s">
        <v>3133</v>
      </c>
      <c r="F689" t="s">
        <v>1242</v>
      </c>
      <c r="G689" t="s">
        <v>3143</v>
      </c>
      <c r="H689" t="s">
        <v>1251</v>
      </c>
      <c r="I689" t="s">
        <v>3972</v>
      </c>
      <c r="J689" s="455">
        <v>46196</v>
      </c>
      <c r="K689" s="455">
        <v>46197</v>
      </c>
      <c r="R689" s="455">
        <v>46212</v>
      </c>
      <c r="U689" s="455">
        <v>46213</v>
      </c>
    </row>
    <row r="690" spans="1:21">
      <c r="A690" t="s">
        <v>1751</v>
      </c>
      <c r="B690" t="s">
        <v>3971</v>
      </c>
      <c r="C690" t="s">
        <v>1751</v>
      </c>
      <c r="D690">
        <v>20563276</v>
      </c>
      <c r="E690" t="s">
        <v>3133</v>
      </c>
      <c r="F690" t="s">
        <v>1241</v>
      </c>
      <c r="G690" t="s">
        <v>3134</v>
      </c>
      <c r="H690" t="s">
        <v>1247</v>
      </c>
      <c r="J690" s="455">
        <v>46196</v>
      </c>
      <c r="K690" s="455">
        <v>46196</v>
      </c>
      <c r="R690" s="455">
        <v>46217</v>
      </c>
      <c r="U690" s="455">
        <v>46203</v>
      </c>
    </row>
    <row r="691" spans="1:21">
      <c r="A691" t="s">
        <v>1751</v>
      </c>
      <c r="B691" t="s">
        <v>4818</v>
      </c>
      <c r="C691" t="s">
        <v>1751</v>
      </c>
      <c r="D691">
        <v>20584614</v>
      </c>
      <c r="E691" t="s">
        <v>3142</v>
      </c>
      <c r="F691" t="s">
        <v>1239</v>
      </c>
      <c r="G691" t="s">
        <v>3143</v>
      </c>
      <c r="H691" t="s">
        <v>1247</v>
      </c>
      <c r="I691" t="s">
        <v>4819</v>
      </c>
      <c r="J691" s="455">
        <v>46219</v>
      </c>
      <c r="K691" s="455">
        <v>46219</v>
      </c>
      <c r="L691" s="455">
        <v>46219</v>
      </c>
      <c r="M691" s="455">
        <v>46224</v>
      </c>
      <c r="N691" s="455">
        <v>46224</v>
      </c>
      <c r="O691" s="455">
        <v>46224</v>
      </c>
      <c r="P691" s="455">
        <v>46224</v>
      </c>
      <c r="Q691" s="455">
        <v>46224</v>
      </c>
      <c r="U691" s="455">
        <v>46234</v>
      </c>
    </row>
    <row r="692" spans="1:21">
      <c r="A692" t="s">
        <v>1751</v>
      </c>
      <c r="B692" t="s">
        <v>4820</v>
      </c>
      <c r="C692" t="s">
        <v>1751</v>
      </c>
      <c r="D692">
        <v>20586417</v>
      </c>
      <c r="E692" t="s">
        <v>3128</v>
      </c>
      <c r="F692" t="s">
        <v>1782</v>
      </c>
      <c r="G692" t="s">
        <v>3141</v>
      </c>
      <c r="H692" t="s">
        <v>1252</v>
      </c>
      <c r="J692" s="455">
        <v>46221</v>
      </c>
      <c r="U692" s="455">
        <v>46275</v>
      </c>
    </row>
    <row r="693" spans="1:21">
      <c r="A693" t="s">
        <v>1751</v>
      </c>
      <c r="B693" t="s">
        <v>4821</v>
      </c>
      <c r="C693" t="s">
        <v>1751</v>
      </c>
      <c r="D693">
        <v>20586421</v>
      </c>
      <c r="E693" t="s">
        <v>3128</v>
      </c>
      <c r="F693" t="s">
        <v>1782</v>
      </c>
      <c r="G693" t="s">
        <v>3143</v>
      </c>
      <c r="H693" t="s">
        <v>3165</v>
      </c>
      <c r="I693" t="s">
        <v>3170</v>
      </c>
      <c r="J693" s="455">
        <v>46221</v>
      </c>
      <c r="U693" s="455">
        <v>46221</v>
      </c>
    </row>
    <row r="694" spans="1:21">
      <c r="A694" t="s">
        <v>1751</v>
      </c>
      <c r="B694" t="s">
        <v>3981</v>
      </c>
      <c r="C694" t="s">
        <v>1751</v>
      </c>
      <c r="D694">
        <v>20561574</v>
      </c>
      <c r="E694" t="s">
        <v>3133</v>
      </c>
      <c r="F694" t="s">
        <v>1241</v>
      </c>
      <c r="G694" t="s">
        <v>3134</v>
      </c>
      <c r="H694" t="s">
        <v>1247</v>
      </c>
      <c r="J694" s="455">
        <v>46193</v>
      </c>
      <c r="K694" s="455">
        <v>46193</v>
      </c>
      <c r="R694" s="455">
        <v>46211</v>
      </c>
      <c r="U694" s="455">
        <v>46193</v>
      </c>
    </row>
    <row r="695" spans="1:21">
      <c r="A695" t="s">
        <v>1751</v>
      </c>
      <c r="B695" t="s">
        <v>4822</v>
      </c>
      <c r="C695" t="s">
        <v>1751</v>
      </c>
      <c r="D695">
        <v>20595087</v>
      </c>
      <c r="E695" t="s">
        <v>3128</v>
      </c>
      <c r="F695" t="s">
        <v>1241</v>
      </c>
      <c r="G695" t="s">
        <v>3134</v>
      </c>
      <c r="H695" t="s">
        <v>1252</v>
      </c>
      <c r="J695" s="455">
        <v>46231</v>
      </c>
      <c r="U695" s="455">
        <v>46234</v>
      </c>
    </row>
    <row r="696" spans="1:21">
      <c r="A696" t="s">
        <v>1751</v>
      </c>
      <c r="B696" t="s">
        <v>4823</v>
      </c>
      <c r="C696" t="s">
        <v>1751</v>
      </c>
      <c r="D696">
        <v>20595369</v>
      </c>
      <c r="E696" t="s">
        <v>3128</v>
      </c>
      <c r="F696" t="s">
        <v>1241</v>
      </c>
      <c r="G696" t="s">
        <v>2009</v>
      </c>
      <c r="H696" t="s">
        <v>1251</v>
      </c>
      <c r="J696" s="455">
        <v>46232</v>
      </c>
      <c r="U696" s="455">
        <v>46232</v>
      </c>
    </row>
    <row r="697" spans="1:21">
      <c r="A697" t="s">
        <v>1751</v>
      </c>
      <c r="B697" t="s">
        <v>4824</v>
      </c>
      <c r="C697" t="s">
        <v>1751</v>
      </c>
      <c r="D697">
        <v>20586285</v>
      </c>
      <c r="E697" t="s">
        <v>3128</v>
      </c>
      <c r="F697" t="s">
        <v>1782</v>
      </c>
      <c r="G697" t="s">
        <v>3137</v>
      </c>
      <c r="H697" t="s">
        <v>1252</v>
      </c>
      <c r="J697" s="455">
        <v>46221</v>
      </c>
      <c r="U697" s="455">
        <v>46240</v>
      </c>
    </row>
    <row r="698" spans="1:21">
      <c r="A698" t="s">
        <v>1751</v>
      </c>
      <c r="B698" t="s">
        <v>4825</v>
      </c>
      <c r="C698" t="s">
        <v>1751</v>
      </c>
      <c r="D698">
        <v>20580131</v>
      </c>
      <c r="E698" t="s">
        <v>3128</v>
      </c>
      <c r="F698" t="s">
        <v>1237</v>
      </c>
      <c r="G698" t="s">
        <v>3141</v>
      </c>
      <c r="H698" t="s">
        <v>1251</v>
      </c>
      <c r="J698" s="455">
        <v>46216</v>
      </c>
      <c r="U698" s="455">
        <v>46216</v>
      </c>
    </row>
    <row r="699" spans="1:21">
      <c r="A699" t="s">
        <v>1751</v>
      </c>
      <c r="B699" t="s">
        <v>4826</v>
      </c>
      <c r="C699" t="s">
        <v>1751</v>
      </c>
      <c r="D699">
        <v>20586074</v>
      </c>
      <c r="E699" t="s">
        <v>3128</v>
      </c>
      <c r="F699" t="s">
        <v>1243</v>
      </c>
      <c r="G699" t="s">
        <v>3137</v>
      </c>
      <c r="H699" t="s">
        <v>1252</v>
      </c>
      <c r="I699" t="s">
        <v>3168</v>
      </c>
      <c r="J699" s="455">
        <v>46220</v>
      </c>
      <c r="U699" s="455">
        <v>46281</v>
      </c>
    </row>
    <row r="700" spans="1:21">
      <c r="A700" t="s">
        <v>1751</v>
      </c>
      <c r="B700" t="s">
        <v>4827</v>
      </c>
      <c r="C700" t="s">
        <v>1751</v>
      </c>
      <c r="D700">
        <v>20583285</v>
      </c>
      <c r="E700" t="s">
        <v>3128</v>
      </c>
      <c r="F700" t="s">
        <v>1242</v>
      </c>
      <c r="G700" t="s">
        <v>3143</v>
      </c>
      <c r="H700" t="s">
        <v>1252</v>
      </c>
      <c r="I700" t="s">
        <v>3972</v>
      </c>
      <c r="J700" s="455">
        <v>46218</v>
      </c>
      <c r="U700" s="455">
        <v>46218</v>
      </c>
    </row>
    <row r="701" spans="1:21">
      <c r="A701" t="s">
        <v>1751</v>
      </c>
      <c r="B701" t="s">
        <v>4828</v>
      </c>
      <c r="C701" t="s">
        <v>1751</v>
      </c>
      <c r="D701">
        <v>20578576</v>
      </c>
      <c r="E701" t="s">
        <v>3128</v>
      </c>
      <c r="F701" t="s">
        <v>1239</v>
      </c>
      <c r="G701" t="s">
        <v>3143</v>
      </c>
      <c r="H701" t="s">
        <v>1249</v>
      </c>
      <c r="J701" s="455">
        <v>46214</v>
      </c>
      <c r="U701" s="455">
        <v>46214</v>
      </c>
    </row>
    <row r="702" spans="1:21">
      <c r="A702" t="s">
        <v>1751</v>
      </c>
      <c r="B702" t="s">
        <v>4829</v>
      </c>
      <c r="C702" t="s">
        <v>1751</v>
      </c>
      <c r="D702">
        <v>20588964</v>
      </c>
      <c r="E702" t="s">
        <v>3128</v>
      </c>
      <c r="F702" t="s">
        <v>1241</v>
      </c>
      <c r="G702" t="s">
        <v>2009</v>
      </c>
      <c r="H702" t="s">
        <v>1251</v>
      </c>
      <c r="J702" s="455">
        <v>46224</v>
      </c>
      <c r="U702" s="455">
        <v>46248</v>
      </c>
    </row>
    <row r="703" spans="1:21">
      <c r="A703" t="s">
        <v>1751</v>
      </c>
      <c r="B703" t="s">
        <v>3038</v>
      </c>
      <c r="C703" t="s">
        <v>1751</v>
      </c>
      <c r="D703">
        <v>20561929</v>
      </c>
      <c r="E703" t="s">
        <v>3142</v>
      </c>
      <c r="F703" t="s">
        <v>1243</v>
      </c>
      <c r="G703" t="s">
        <v>2009</v>
      </c>
      <c r="H703" t="s">
        <v>1251</v>
      </c>
      <c r="I703" t="s">
        <v>2710</v>
      </c>
      <c r="J703" s="455">
        <v>46194</v>
      </c>
      <c r="K703" s="455">
        <v>46195</v>
      </c>
      <c r="L703" s="455">
        <v>46201</v>
      </c>
      <c r="M703" s="455">
        <v>46206</v>
      </c>
      <c r="N703" s="455">
        <v>46206</v>
      </c>
      <c r="P703" s="455">
        <v>46208</v>
      </c>
      <c r="Q703" s="455">
        <v>46209</v>
      </c>
      <c r="U703" s="455">
        <v>46234</v>
      </c>
    </row>
    <row r="704" spans="1:21">
      <c r="A704" t="s">
        <v>1751</v>
      </c>
      <c r="B704" t="s">
        <v>4830</v>
      </c>
      <c r="C704" t="s">
        <v>1751</v>
      </c>
      <c r="D704">
        <v>20576825</v>
      </c>
      <c r="E704" t="s">
        <v>2008</v>
      </c>
      <c r="F704" t="s">
        <v>1242</v>
      </c>
      <c r="G704" t="s">
        <v>3137</v>
      </c>
      <c r="H704" t="s">
        <v>1251</v>
      </c>
      <c r="I704" t="s">
        <v>4831</v>
      </c>
      <c r="J704" s="455">
        <v>46212</v>
      </c>
      <c r="K704" s="455">
        <v>46212</v>
      </c>
      <c r="L704" s="455">
        <v>46223</v>
      </c>
      <c r="M704" s="455">
        <v>46231</v>
      </c>
      <c r="N704" s="455">
        <v>46231</v>
      </c>
      <c r="U704" s="455">
        <v>46235</v>
      </c>
    </row>
    <row r="705" spans="1:21">
      <c r="A705" t="s">
        <v>1751</v>
      </c>
      <c r="B705" t="s">
        <v>4832</v>
      </c>
      <c r="C705" t="s">
        <v>1751</v>
      </c>
      <c r="D705">
        <v>20587003</v>
      </c>
      <c r="E705" t="s">
        <v>1897</v>
      </c>
      <c r="F705" t="s">
        <v>1242</v>
      </c>
      <c r="G705" t="s">
        <v>3134</v>
      </c>
      <c r="H705" t="s">
        <v>1247</v>
      </c>
      <c r="J705" s="455">
        <v>46222</v>
      </c>
      <c r="K705" s="455">
        <v>46222</v>
      </c>
      <c r="U705" s="455">
        <v>46222</v>
      </c>
    </row>
    <row r="706" spans="1:21">
      <c r="A706" t="s">
        <v>1751</v>
      </c>
      <c r="B706" t="s">
        <v>4833</v>
      </c>
      <c r="C706" t="s">
        <v>1751</v>
      </c>
      <c r="D706">
        <v>20595493</v>
      </c>
      <c r="E706" t="s">
        <v>3128</v>
      </c>
      <c r="F706" t="s">
        <v>1242</v>
      </c>
      <c r="G706" t="s">
        <v>2009</v>
      </c>
      <c r="H706" t="s">
        <v>1251</v>
      </c>
      <c r="J706" s="455">
        <v>46232</v>
      </c>
      <c r="U706" s="455">
        <v>46256</v>
      </c>
    </row>
    <row r="707" spans="1:21">
      <c r="A707" t="s">
        <v>1751</v>
      </c>
      <c r="B707" t="s">
        <v>4834</v>
      </c>
      <c r="C707" t="s">
        <v>1751</v>
      </c>
      <c r="D707">
        <v>20578038</v>
      </c>
      <c r="E707" t="s">
        <v>3142</v>
      </c>
      <c r="F707" t="s">
        <v>1239</v>
      </c>
      <c r="G707" t="s">
        <v>3143</v>
      </c>
      <c r="H707" t="s">
        <v>1252</v>
      </c>
      <c r="I707" t="s">
        <v>3972</v>
      </c>
      <c r="J707" s="455">
        <v>46213</v>
      </c>
      <c r="K707" s="455">
        <v>46221</v>
      </c>
      <c r="L707" s="455">
        <v>46222</v>
      </c>
      <c r="M707" s="455">
        <v>46225</v>
      </c>
      <c r="N707" s="455">
        <v>46225</v>
      </c>
      <c r="P707" s="455">
        <v>46225</v>
      </c>
      <c r="Q707" s="455">
        <v>46226</v>
      </c>
      <c r="U707" s="455">
        <v>46255</v>
      </c>
    </row>
    <row r="708" spans="1:21">
      <c r="A708" t="s">
        <v>1751</v>
      </c>
      <c r="B708" t="s">
        <v>4835</v>
      </c>
      <c r="C708" t="s">
        <v>1751</v>
      </c>
      <c r="D708">
        <v>20589206</v>
      </c>
      <c r="E708" t="s">
        <v>1897</v>
      </c>
      <c r="F708" t="s">
        <v>1241</v>
      </c>
      <c r="G708" t="s">
        <v>3134</v>
      </c>
      <c r="H708" t="s">
        <v>1247</v>
      </c>
      <c r="I708" t="s">
        <v>3616</v>
      </c>
      <c r="J708" s="455">
        <v>46224</v>
      </c>
      <c r="K708" s="455">
        <v>46224</v>
      </c>
      <c r="U708" s="455">
        <v>46235</v>
      </c>
    </row>
    <row r="709" spans="1:21">
      <c r="A709" t="s">
        <v>1751</v>
      </c>
      <c r="B709" t="s">
        <v>4836</v>
      </c>
      <c r="C709" t="s">
        <v>1751</v>
      </c>
      <c r="D709">
        <v>20596513</v>
      </c>
      <c r="E709" t="s">
        <v>3128</v>
      </c>
      <c r="F709" t="s">
        <v>1238</v>
      </c>
      <c r="G709" t="s">
        <v>3143</v>
      </c>
      <c r="H709" t="s">
        <v>1249</v>
      </c>
      <c r="I709" t="s">
        <v>3170</v>
      </c>
      <c r="J709" s="455">
        <v>46233</v>
      </c>
      <c r="U709" s="455">
        <v>46240</v>
      </c>
    </row>
    <row r="710" spans="1:21">
      <c r="A710" t="s">
        <v>1751</v>
      </c>
      <c r="B710" t="s">
        <v>4837</v>
      </c>
      <c r="C710" t="s">
        <v>1751</v>
      </c>
      <c r="D710">
        <v>20573812</v>
      </c>
      <c r="E710" t="s">
        <v>3128</v>
      </c>
      <c r="F710" t="s">
        <v>1242</v>
      </c>
      <c r="G710" t="s">
        <v>3129</v>
      </c>
      <c r="H710" t="s">
        <v>1253</v>
      </c>
      <c r="J710" s="455">
        <v>46209</v>
      </c>
      <c r="U710" s="455">
        <v>46216</v>
      </c>
    </row>
    <row r="711" spans="1:21">
      <c r="A711" t="s">
        <v>1751</v>
      </c>
      <c r="B711" t="s">
        <v>4837</v>
      </c>
      <c r="C711" t="s">
        <v>1751</v>
      </c>
      <c r="D711">
        <v>20573767</v>
      </c>
      <c r="E711" t="s">
        <v>3133</v>
      </c>
      <c r="F711" t="s">
        <v>1241</v>
      </c>
      <c r="G711" t="s">
        <v>3134</v>
      </c>
      <c r="H711" t="s">
        <v>1247</v>
      </c>
      <c r="I711" t="s">
        <v>3752</v>
      </c>
      <c r="J711" s="455">
        <v>46209</v>
      </c>
      <c r="K711" s="455">
        <v>46209</v>
      </c>
      <c r="R711" s="455">
        <v>46227</v>
      </c>
      <c r="U711" s="455">
        <v>46209</v>
      </c>
    </row>
    <row r="712" spans="1:21">
      <c r="A712" t="s">
        <v>1751</v>
      </c>
      <c r="B712" t="s">
        <v>4838</v>
      </c>
      <c r="C712" t="s">
        <v>1751</v>
      </c>
      <c r="D712">
        <v>20571463</v>
      </c>
      <c r="E712" t="s">
        <v>3128</v>
      </c>
      <c r="F712" t="s">
        <v>1241</v>
      </c>
      <c r="G712" t="s">
        <v>3134</v>
      </c>
      <c r="H712" t="s">
        <v>1252</v>
      </c>
      <c r="J712" s="455">
        <v>46205</v>
      </c>
      <c r="U712" s="455">
        <v>46211</v>
      </c>
    </row>
    <row r="713" spans="1:21">
      <c r="A713" t="s">
        <v>1751</v>
      </c>
      <c r="B713" t="s">
        <v>4838</v>
      </c>
      <c r="C713" t="s">
        <v>1751</v>
      </c>
      <c r="D713">
        <v>20571464</v>
      </c>
      <c r="E713" t="s">
        <v>3128</v>
      </c>
      <c r="F713" t="s">
        <v>1238</v>
      </c>
      <c r="G713" t="s">
        <v>3137</v>
      </c>
      <c r="H713" t="s">
        <v>1252</v>
      </c>
      <c r="I713" t="s">
        <v>4195</v>
      </c>
      <c r="J713" s="455">
        <v>46205</v>
      </c>
      <c r="U713" s="455">
        <v>46233</v>
      </c>
    </row>
    <row r="714" spans="1:21">
      <c r="A714" t="s">
        <v>1751</v>
      </c>
      <c r="B714" t="s">
        <v>4839</v>
      </c>
      <c r="C714" t="s">
        <v>1751</v>
      </c>
      <c r="D714">
        <v>20577730</v>
      </c>
      <c r="E714" t="s">
        <v>1897</v>
      </c>
      <c r="F714" t="s">
        <v>1782</v>
      </c>
      <c r="G714" t="s">
        <v>3141</v>
      </c>
      <c r="H714" t="s">
        <v>3487</v>
      </c>
      <c r="J714" s="455">
        <v>46213</v>
      </c>
      <c r="K714" s="455">
        <v>46220</v>
      </c>
      <c r="U714" s="455">
        <v>46213</v>
      </c>
    </row>
    <row r="715" spans="1:21">
      <c r="A715" t="s">
        <v>1751</v>
      </c>
      <c r="B715" t="s">
        <v>4840</v>
      </c>
      <c r="C715" t="s">
        <v>1751</v>
      </c>
      <c r="D715">
        <v>20593372</v>
      </c>
      <c r="E715" t="s">
        <v>3128</v>
      </c>
      <c r="F715" t="s">
        <v>1241</v>
      </c>
      <c r="G715" t="s">
        <v>3134</v>
      </c>
      <c r="H715" t="s">
        <v>1252</v>
      </c>
      <c r="J715" s="455">
        <v>46230</v>
      </c>
      <c r="U715" s="455">
        <v>46265</v>
      </c>
    </row>
    <row r="716" spans="1:21">
      <c r="A716" t="s">
        <v>1751</v>
      </c>
      <c r="B716" t="s">
        <v>4841</v>
      </c>
      <c r="C716" t="s">
        <v>1751</v>
      </c>
      <c r="D716">
        <v>20593286</v>
      </c>
      <c r="E716" t="s">
        <v>3128</v>
      </c>
      <c r="F716" t="s">
        <v>3285</v>
      </c>
      <c r="G716" t="s">
        <v>3134</v>
      </c>
      <c r="H716" t="s">
        <v>3165</v>
      </c>
      <c r="J716" s="455">
        <v>46230</v>
      </c>
      <c r="U716" s="455">
        <v>46275</v>
      </c>
    </row>
    <row r="717" spans="1:21">
      <c r="A717" t="s">
        <v>1751</v>
      </c>
      <c r="B717" t="s">
        <v>4842</v>
      </c>
      <c r="C717" t="s">
        <v>1751</v>
      </c>
      <c r="D717">
        <v>20578555</v>
      </c>
      <c r="E717" t="s">
        <v>3128</v>
      </c>
      <c r="F717" t="s">
        <v>1241</v>
      </c>
      <c r="G717" t="s">
        <v>3141</v>
      </c>
      <c r="H717" t="s">
        <v>1252</v>
      </c>
      <c r="J717" s="455">
        <v>46214</v>
      </c>
      <c r="U717" s="455">
        <v>46234</v>
      </c>
    </row>
    <row r="718" spans="1:21">
      <c r="A718" t="s">
        <v>1751</v>
      </c>
      <c r="B718" t="s">
        <v>3090</v>
      </c>
      <c r="C718" t="s">
        <v>1751</v>
      </c>
      <c r="D718">
        <v>20571469</v>
      </c>
      <c r="E718" t="s">
        <v>3142</v>
      </c>
      <c r="F718" t="s">
        <v>1242</v>
      </c>
      <c r="G718" t="s">
        <v>3143</v>
      </c>
      <c r="H718" t="s">
        <v>1251</v>
      </c>
      <c r="I718" t="s">
        <v>2520</v>
      </c>
      <c r="J718" s="455">
        <v>46205</v>
      </c>
      <c r="K718" s="455">
        <v>46205</v>
      </c>
      <c r="L718" s="455">
        <v>46206</v>
      </c>
      <c r="M718" s="455">
        <v>46211</v>
      </c>
      <c r="N718" s="455">
        <v>46211</v>
      </c>
      <c r="P718" s="455">
        <v>46211</v>
      </c>
      <c r="Q718" s="455">
        <v>46211</v>
      </c>
      <c r="U718" s="455">
        <v>46235</v>
      </c>
    </row>
    <row r="719" spans="1:21">
      <c r="A719" t="s">
        <v>1751</v>
      </c>
      <c r="B719" t="s">
        <v>3006</v>
      </c>
      <c r="C719" t="s">
        <v>1751</v>
      </c>
      <c r="D719">
        <v>20528801</v>
      </c>
      <c r="E719" t="s">
        <v>3142</v>
      </c>
      <c r="F719" t="s">
        <v>1239</v>
      </c>
      <c r="G719" t="s">
        <v>3134</v>
      </c>
      <c r="H719" t="s">
        <v>1247</v>
      </c>
      <c r="I719" t="s">
        <v>1801</v>
      </c>
      <c r="J719" s="455">
        <v>46159</v>
      </c>
      <c r="K719" s="455">
        <v>46159</v>
      </c>
      <c r="L719" s="455">
        <v>46171</v>
      </c>
      <c r="M719" s="455">
        <v>46181</v>
      </c>
      <c r="N719" s="455">
        <v>46181</v>
      </c>
      <c r="P719" s="455">
        <v>46203</v>
      </c>
      <c r="Q719" s="455">
        <v>46204</v>
      </c>
      <c r="U719" s="455">
        <v>46206</v>
      </c>
    </row>
    <row r="720" spans="1:21">
      <c r="A720" t="s">
        <v>1751</v>
      </c>
      <c r="B720" t="s">
        <v>4843</v>
      </c>
      <c r="C720" t="s">
        <v>1751</v>
      </c>
      <c r="D720">
        <v>20579856</v>
      </c>
      <c r="E720" t="s">
        <v>3128</v>
      </c>
      <c r="F720" t="s">
        <v>1782</v>
      </c>
      <c r="G720" t="s">
        <v>3141</v>
      </c>
      <c r="H720" t="s">
        <v>1251</v>
      </c>
      <c r="J720" s="455">
        <v>46216</v>
      </c>
      <c r="U720" s="455">
        <v>46234</v>
      </c>
    </row>
    <row r="721" spans="1:21">
      <c r="A721" t="s">
        <v>1751</v>
      </c>
      <c r="B721" t="s">
        <v>4844</v>
      </c>
      <c r="C721" t="s">
        <v>1751</v>
      </c>
      <c r="D721">
        <v>20592769</v>
      </c>
      <c r="E721" t="s">
        <v>3128</v>
      </c>
      <c r="F721" t="s">
        <v>1241</v>
      </c>
      <c r="G721" t="s">
        <v>3141</v>
      </c>
      <c r="H721" t="s">
        <v>1252</v>
      </c>
      <c r="J721" s="455">
        <v>46229</v>
      </c>
      <c r="U721" s="455">
        <v>46232</v>
      </c>
    </row>
    <row r="722" spans="1:21">
      <c r="A722" t="s">
        <v>1751</v>
      </c>
      <c r="B722" t="s">
        <v>4845</v>
      </c>
      <c r="C722" t="s">
        <v>1751</v>
      </c>
      <c r="D722">
        <v>20592724</v>
      </c>
      <c r="E722" t="s">
        <v>3128</v>
      </c>
      <c r="F722" t="s">
        <v>1782</v>
      </c>
      <c r="G722" t="s">
        <v>3134</v>
      </c>
      <c r="H722" t="s">
        <v>3165</v>
      </c>
      <c r="J722" s="455">
        <v>46228</v>
      </c>
      <c r="U722" s="455">
        <v>46240</v>
      </c>
    </row>
    <row r="723" spans="1:21">
      <c r="A723" t="s">
        <v>1751</v>
      </c>
      <c r="B723" t="s">
        <v>4846</v>
      </c>
      <c r="C723" t="s">
        <v>1751</v>
      </c>
      <c r="D723">
        <v>20590867</v>
      </c>
      <c r="E723" t="s">
        <v>3128</v>
      </c>
      <c r="F723" t="s">
        <v>1241</v>
      </c>
      <c r="G723" t="s">
        <v>2009</v>
      </c>
      <c r="H723" t="s">
        <v>1252</v>
      </c>
      <c r="J723" s="455">
        <v>46226</v>
      </c>
      <c r="U723" s="455">
        <v>46226</v>
      </c>
    </row>
    <row r="724" spans="1:21">
      <c r="A724" t="s">
        <v>1751</v>
      </c>
      <c r="B724" t="s">
        <v>4847</v>
      </c>
      <c r="C724" t="s">
        <v>1751</v>
      </c>
      <c r="D724">
        <v>20572974</v>
      </c>
      <c r="E724" t="s">
        <v>1897</v>
      </c>
      <c r="F724" t="s">
        <v>1242</v>
      </c>
      <c r="G724" t="s">
        <v>3137</v>
      </c>
      <c r="H724" t="s">
        <v>1252</v>
      </c>
      <c r="J724" s="455">
        <v>46208</v>
      </c>
      <c r="K724" s="455">
        <v>46214</v>
      </c>
      <c r="U724" s="455">
        <v>46258</v>
      </c>
    </row>
    <row r="725" spans="1:21">
      <c r="A725" t="s">
        <v>1751</v>
      </c>
      <c r="B725" t="s">
        <v>4848</v>
      </c>
      <c r="C725" t="s">
        <v>1751</v>
      </c>
      <c r="D725">
        <v>20572982</v>
      </c>
      <c r="E725" t="s">
        <v>3128</v>
      </c>
      <c r="F725" t="s">
        <v>1242</v>
      </c>
      <c r="G725" t="s">
        <v>3141</v>
      </c>
      <c r="H725" t="s">
        <v>1252</v>
      </c>
      <c r="I725" t="s">
        <v>3170</v>
      </c>
      <c r="J725" s="455">
        <v>46208</v>
      </c>
      <c r="U725" s="455">
        <v>46269</v>
      </c>
    </row>
    <row r="726" spans="1:21">
      <c r="A726" t="s">
        <v>1751</v>
      </c>
      <c r="B726" t="s">
        <v>4849</v>
      </c>
      <c r="C726" t="s">
        <v>1751</v>
      </c>
      <c r="D726">
        <v>20587341</v>
      </c>
      <c r="E726" t="s">
        <v>3128</v>
      </c>
      <c r="F726" t="s">
        <v>3285</v>
      </c>
      <c r="G726" t="s">
        <v>3134</v>
      </c>
      <c r="H726" t="s">
        <v>3165</v>
      </c>
      <c r="J726" s="455">
        <v>46223</v>
      </c>
      <c r="U726" s="455">
        <v>46234</v>
      </c>
    </row>
    <row r="727" spans="1:21">
      <c r="A727" t="s">
        <v>1751</v>
      </c>
      <c r="B727" t="s">
        <v>4850</v>
      </c>
      <c r="C727" t="s">
        <v>1751</v>
      </c>
      <c r="D727">
        <v>20575692</v>
      </c>
      <c r="E727" t="s">
        <v>3128</v>
      </c>
      <c r="F727" t="s">
        <v>1241</v>
      </c>
      <c r="G727" t="s">
        <v>3134</v>
      </c>
      <c r="H727" t="s">
        <v>3165</v>
      </c>
      <c r="J727" s="455">
        <v>46211</v>
      </c>
      <c r="U727" s="455">
        <v>46212</v>
      </c>
    </row>
    <row r="728" spans="1:21">
      <c r="A728" t="s">
        <v>1751</v>
      </c>
      <c r="B728" t="s">
        <v>4851</v>
      </c>
      <c r="C728" t="s">
        <v>1751</v>
      </c>
      <c r="D728">
        <v>20597388</v>
      </c>
      <c r="E728" t="s">
        <v>3128</v>
      </c>
      <c r="F728" t="s">
        <v>1241</v>
      </c>
      <c r="G728" t="s">
        <v>3129</v>
      </c>
      <c r="H728" t="s">
        <v>1252</v>
      </c>
      <c r="J728" s="455">
        <v>46234</v>
      </c>
      <c r="U728" s="455">
        <v>46234</v>
      </c>
    </row>
    <row r="729" spans="1:21">
      <c r="A729" t="s">
        <v>1751</v>
      </c>
      <c r="B729" t="s">
        <v>4852</v>
      </c>
      <c r="C729" t="s">
        <v>1751</v>
      </c>
      <c r="D729">
        <v>20575412</v>
      </c>
      <c r="E729" t="s">
        <v>3128</v>
      </c>
      <c r="F729" t="s">
        <v>1241</v>
      </c>
      <c r="G729" t="s">
        <v>3141</v>
      </c>
      <c r="H729" t="s">
        <v>1252</v>
      </c>
      <c r="J729" s="455">
        <v>46210</v>
      </c>
      <c r="U729" s="455">
        <v>46224</v>
      </c>
    </row>
    <row r="730" spans="1:21">
      <c r="A730" t="s">
        <v>1751</v>
      </c>
      <c r="B730" t="s">
        <v>4853</v>
      </c>
      <c r="C730" t="s">
        <v>1751</v>
      </c>
      <c r="D730">
        <v>20592126</v>
      </c>
      <c r="E730" t="s">
        <v>3128</v>
      </c>
      <c r="F730" t="s">
        <v>1241</v>
      </c>
      <c r="G730" t="s">
        <v>3141</v>
      </c>
      <c r="H730" t="s">
        <v>4278</v>
      </c>
      <c r="J730" s="455">
        <v>46228</v>
      </c>
      <c r="U730" s="455">
        <v>46242</v>
      </c>
    </row>
    <row r="731" spans="1:21">
      <c r="A731" t="s">
        <v>1751</v>
      </c>
      <c r="B731" t="s">
        <v>4854</v>
      </c>
      <c r="C731" t="s">
        <v>1751</v>
      </c>
      <c r="D731">
        <v>20573367</v>
      </c>
      <c r="E731" t="s">
        <v>3128</v>
      </c>
      <c r="F731" t="s">
        <v>1238</v>
      </c>
      <c r="G731" t="s">
        <v>2009</v>
      </c>
      <c r="H731" t="s">
        <v>1252</v>
      </c>
      <c r="I731" t="s">
        <v>3170</v>
      </c>
      <c r="J731" s="455">
        <v>46209</v>
      </c>
      <c r="U731" s="455">
        <v>46235</v>
      </c>
    </row>
    <row r="732" spans="1:21">
      <c r="A732" t="s">
        <v>1751</v>
      </c>
      <c r="B732" t="s">
        <v>4855</v>
      </c>
      <c r="C732" t="s">
        <v>1751</v>
      </c>
      <c r="D732">
        <v>20575977</v>
      </c>
      <c r="E732" t="s">
        <v>3128</v>
      </c>
      <c r="F732" t="s">
        <v>1243</v>
      </c>
      <c r="G732" t="s">
        <v>3141</v>
      </c>
      <c r="H732" t="s">
        <v>1252</v>
      </c>
      <c r="J732" s="455">
        <v>46211</v>
      </c>
      <c r="U732" s="455">
        <v>46211</v>
      </c>
    </row>
    <row r="733" spans="1:21">
      <c r="A733" t="s">
        <v>1751</v>
      </c>
      <c r="B733" t="s">
        <v>4855</v>
      </c>
      <c r="C733" t="s">
        <v>1751</v>
      </c>
      <c r="D733">
        <v>20576108</v>
      </c>
      <c r="E733" t="s">
        <v>3133</v>
      </c>
      <c r="F733" t="s">
        <v>1241</v>
      </c>
      <c r="G733" t="s">
        <v>3134</v>
      </c>
      <c r="H733" t="s">
        <v>1247</v>
      </c>
      <c r="J733" s="455">
        <v>46211</v>
      </c>
      <c r="K733" s="455">
        <v>46211</v>
      </c>
      <c r="R733" s="455">
        <v>46212</v>
      </c>
      <c r="U733" s="455">
        <v>46211</v>
      </c>
    </row>
    <row r="734" spans="1:21">
      <c r="A734" t="s">
        <v>1751</v>
      </c>
      <c r="B734" t="s">
        <v>4855</v>
      </c>
      <c r="C734" t="s">
        <v>1751</v>
      </c>
      <c r="D734">
        <v>20576012</v>
      </c>
      <c r="E734" t="s">
        <v>2008</v>
      </c>
      <c r="F734" t="s">
        <v>1243</v>
      </c>
      <c r="G734" t="s">
        <v>3134</v>
      </c>
      <c r="H734" t="s">
        <v>1247</v>
      </c>
      <c r="I734" t="s">
        <v>3634</v>
      </c>
      <c r="J734" s="455">
        <v>46211</v>
      </c>
      <c r="K734" s="455">
        <v>46211</v>
      </c>
      <c r="L734" s="455">
        <v>46211</v>
      </c>
      <c r="M734" s="455">
        <v>46213</v>
      </c>
      <c r="U734" s="455">
        <v>46279</v>
      </c>
    </row>
    <row r="735" spans="1:21">
      <c r="A735" t="s">
        <v>1751</v>
      </c>
      <c r="B735" t="s">
        <v>4023</v>
      </c>
      <c r="C735" t="s">
        <v>1751</v>
      </c>
      <c r="D735">
        <v>20544916</v>
      </c>
      <c r="E735" t="s">
        <v>3190</v>
      </c>
      <c r="F735" t="s">
        <v>1241</v>
      </c>
      <c r="G735" t="s">
        <v>3129</v>
      </c>
      <c r="H735" t="s">
        <v>3131</v>
      </c>
      <c r="J735" s="455">
        <v>46177</v>
      </c>
      <c r="R735" s="455">
        <v>46218</v>
      </c>
      <c r="U735" s="455">
        <v>46177</v>
      </c>
    </row>
    <row r="736" spans="1:21">
      <c r="A736" t="s">
        <v>1751</v>
      </c>
      <c r="B736" t="s">
        <v>4856</v>
      </c>
      <c r="C736" t="s">
        <v>1751</v>
      </c>
      <c r="D736">
        <v>20584916</v>
      </c>
      <c r="E736" t="s">
        <v>3128</v>
      </c>
      <c r="F736" t="s">
        <v>1782</v>
      </c>
      <c r="G736" t="s">
        <v>3129</v>
      </c>
      <c r="H736" t="s">
        <v>1253</v>
      </c>
      <c r="J736" s="455">
        <v>46219</v>
      </c>
      <c r="U736" s="455">
        <v>46219</v>
      </c>
    </row>
    <row r="737" spans="1:21">
      <c r="A737" t="s">
        <v>1751</v>
      </c>
      <c r="B737" t="s">
        <v>4857</v>
      </c>
      <c r="C737" t="s">
        <v>1751</v>
      </c>
      <c r="D737">
        <v>20594876</v>
      </c>
      <c r="E737" t="s">
        <v>3128</v>
      </c>
      <c r="F737" t="s">
        <v>3285</v>
      </c>
      <c r="G737" t="s">
        <v>3141</v>
      </c>
      <c r="H737" t="s">
        <v>1252</v>
      </c>
      <c r="J737" s="455">
        <v>46231</v>
      </c>
      <c r="U737" s="455">
        <v>46233</v>
      </c>
    </row>
    <row r="738" spans="1:21">
      <c r="A738" t="s">
        <v>1751</v>
      </c>
      <c r="B738" t="s">
        <v>4858</v>
      </c>
      <c r="C738" t="s">
        <v>1751</v>
      </c>
      <c r="D738">
        <v>20585905</v>
      </c>
      <c r="E738" t="s">
        <v>3133</v>
      </c>
      <c r="F738" t="s">
        <v>1238</v>
      </c>
      <c r="G738" t="s">
        <v>3143</v>
      </c>
      <c r="H738" t="s">
        <v>1251</v>
      </c>
      <c r="I738" t="s">
        <v>4368</v>
      </c>
      <c r="J738" s="455">
        <v>46220</v>
      </c>
      <c r="K738" s="455">
        <v>46221</v>
      </c>
      <c r="L738" s="455">
        <v>46221</v>
      </c>
      <c r="S738" s="455">
        <v>46230</v>
      </c>
      <c r="U738" s="455">
        <v>46234</v>
      </c>
    </row>
    <row r="739" spans="1:21">
      <c r="A739" t="s">
        <v>1751</v>
      </c>
      <c r="B739" t="s">
        <v>4859</v>
      </c>
      <c r="C739" t="s">
        <v>1751</v>
      </c>
      <c r="D739">
        <v>20586088</v>
      </c>
      <c r="E739" t="s">
        <v>3128</v>
      </c>
      <c r="F739" t="s">
        <v>1782</v>
      </c>
      <c r="G739" t="s">
        <v>3141</v>
      </c>
      <c r="H739" t="s">
        <v>1252</v>
      </c>
      <c r="J739" s="455">
        <v>46220</v>
      </c>
      <c r="U739" s="455">
        <v>46244</v>
      </c>
    </row>
    <row r="740" spans="1:21">
      <c r="A740" t="s">
        <v>1751</v>
      </c>
      <c r="B740" t="s">
        <v>3086</v>
      </c>
      <c r="C740" t="s">
        <v>1751</v>
      </c>
      <c r="D740">
        <v>20589680</v>
      </c>
      <c r="E740" t="s">
        <v>3142</v>
      </c>
      <c r="F740" t="s">
        <v>1239</v>
      </c>
      <c r="G740" t="s">
        <v>3137</v>
      </c>
      <c r="H740" t="s">
        <v>1247</v>
      </c>
      <c r="I740" t="s">
        <v>2480</v>
      </c>
      <c r="J740" s="455">
        <v>46225</v>
      </c>
      <c r="K740" s="455">
        <v>46227</v>
      </c>
      <c r="L740" s="455">
        <v>46227</v>
      </c>
      <c r="M740" s="455">
        <v>46228</v>
      </c>
      <c r="N740" s="455">
        <v>46228</v>
      </c>
      <c r="P740" s="455">
        <v>46228</v>
      </c>
      <c r="Q740" s="455">
        <v>46230</v>
      </c>
      <c r="U740" s="455">
        <v>46248</v>
      </c>
    </row>
    <row r="741" spans="1:21">
      <c r="A741" t="s">
        <v>1751</v>
      </c>
      <c r="B741" t="s">
        <v>4032</v>
      </c>
      <c r="C741" t="s">
        <v>1751</v>
      </c>
      <c r="D741">
        <v>20530949</v>
      </c>
      <c r="E741" t="s">
        <v>3133</v>
      </c>
      <c r="F741" t="s">
        <v>1782</v>
      </c>
      <c r="G741" t="s">
        <v>3141</v>
      </c>
      <c r="H741" t="s">
        <v>1252</v>
      </c>
      <c r="I741" t="s">
        <v>2437</v>
      </c>
      <c r="J741" s="455">
        <v>46161</v>
      </c>
      <c r="K741" s="455">
        <v>46197</v>
      </c>
      <c r="R741" s="455">
        <v>46211</v>
      </c>
      <c r="U741" s="455">
        <v>46296</v>
      </c>
    </row>
    <row r="742" spans="1:21">
      <c r="A742" t="s">
        <v>1751</v>
      </c>
      <c r="B742" t="s">
        <v>4860</v>
      </c>
      <c r="C742" t="s">
        <v>1751</v>
      </c>
      <c r="D742">
        <v>20596931</v>
      </c>
      <c r="E742" t="s">
        <v>3128</v>
      </c>
      <c r="F742" t="s">
        <v>1241</v>
      </c>
      <c r="G742" t="s">
        <v>3141</v>
      </c>
      <c r="H742" t="s">
        <v>1247</v>
      </c>
      <c r="J742" s="455">
        <v>46233</v>
      </c>
      <c r="U742" s="455">
        <v>46233</v>
      </c>
    </row>
    <row r="743" spans="1:21">
      <c r="A743" t="s">
        <v>1751</v>
      </c>
      <c r="B743" t="s">
        <v>4861</v>
      </c>
      <c r="C743" t="s">
        <v>1751</v>
      </c>
      <c r="D743">
        <v>20584669</v>
      </c>
      <c r="E743" t="s">
        <v>3128</v>
      </c>
      <c r="F743" t="s">
        <v>1239</v>
      </c>
      <c r="G743" t="s">
        <v>3143</v>
      </c>
      <c r="H743" t="s">
        <v>1252</v>
      </c>
      <c r="I743" t="s">
        <v>4308</v>
      </c>
      <c r="J743" s="455">
        <v>46219</v>
      </c>
      <c r="U743" s="455">
        <v>46219</v>
      </c>
    </row>
    <row r="744" spans="1:21">
      <c r="A744" t="s">
        <v>1751</v>
      </c>
      <c r="B744" t="s">
        <v>4862</v>
      </c>
      <c r="C744" t="s">
        <v>1751</v>
      </c>
      <c r="D744">
        <v>20591753</v>
      </c>
      <c r="E744" t="s">
        <v>3128</v>
      </c>
      <c r="F744" t="s">
        <v>1782</v>
      </c>
      <c r="G744" t="s">
        <v>3137</v>
      </c>
      <c r="H744" t="s">
        <v>1251</v>
      </c>
      <c r="J744" s="455">
        <v>46227</v>
      </c>
      <c r="U744" s="455">
        <v>46235</v>
      </c>
    </row>
    <row r="745" spans="1:21">
      <c r="A745" t="s">
        <v>1751</v>
      </c>
      <c r="B745" t="s">
        <v>4863</v>
      </c>
      <c r="C745" t="s">
        <v>1751</v>
      </c>
      <c r="D745">
        <v>20582378</v>
      </c>
      <c r="E745" t="s">
        <v>3128</v>
      </c>
      <c r="F745" t="s">
        <v>1241</v>
      </c>
      <c r="G745" t="s">
        <v>3141</v>
      </c>
      <c r="H745" t="s">
        <v>1252</v>
      </c>
      <c r="J745" s="455">
        <v>46217</v>
      </c>
      <c r="U745" s="455">
        <v>46245</v>
      </c>
    </row>
    <row r="746" spans="1:21">
      <c r="A746" t="s">
        <v>1751</v>
      </c>
      <c r="B746" t="s">
        <v>4864</v>
      </c>
      <c r="C746" t="s">
        <v>1751</v>
      </c>
      <c r="D746">
        <v>20593169</v>
      </c>
      <c r="E746" t="s">
        <v>1897</v>
      </c>
      <c r="F746" t="s">
        <v>1241</v>
      </c>
      <c r="G746" t="s">
        <v>3134</v>
      </c>
      <c r="H746" t="s">
        <v>1247</v>
      </c>
      <c r="I746" t="s">
        <v>4865</v>
      </c>
      <c r="J746" s="455">
        <v>46229</v>
      </c>
      <c r="K746" s="455">
        <v>46229</v>
      </c>
      <c r="U746" s="455">
        <v>46290</v>
      </c>
    </row>
    <row r="747" spans="1:21">
      <c r="A747" t="s">
        <v>1751</v>
      </c>
      <c r="B747" t="s">
        <v>4866</v>
      </c>
      <c r="C747" t="s">
        <v>1751</v>
      </c>
      <c r="D747">
        <v>20576464</v>
      </c>
      <c r="E747" t="s">
        <v>3128</v>
      </c>
      <c r="F747" t="s">
        <v>1241</v>
      </c>
      <c r="G747" t="s">
        <v>3141</v>
      </c>
      <c r="H747" t="s">
        <v>1252</v>
      </c>
      <c r="J747" s="455">
        <v>46211</v>
      </c>
      <c r="U747" s="455">
        <v>46277</v>
      </c>
    </row>
    <row r="748" spans="1:21">
      <c r="A748" t="s">
        <v>1751</v>
      </c>
      <c r="B748" t="s">
        <v>4867</v>
      </c>
      <c r="C748" t="s">
        <v>1751</v>
      </c>
      <c r="D748">
        <v>20576630</v>
      </c>
      <c r="E748" t="s">
        <v>3128</v>
      </c>
      <c r="F748" t="s">
        <v>1241</v>
      </c>
      <c r="G748" t="s">
        <v>3141</v>
      </c>
      <c r="H748" t="s">
        <v>1252</v>
      </c>
      <c r="J748" s="455">
        <v>46212</v>
      </c>
      <c r="U748" s="455">
        <v>46241</v>
      </c>
    </row>
    <row r="749" spans="1:21">
      <c r="A749" t="s">
        <v>1751</v>
      </c>
      <c r="B749" t="s">
        <v>4868</v>
      </c>
      <c r="C749" t="s">
        <v>1751</v>
      </c>
      <c r="D749">
        <v>20578437</v>
      </c>
      <c r="E749" t="s">
        <v>1897</v>
      </c>
      <c r="F749" t="s">
        <v>1241</v>
      </c>
      <c r="G749" t="s">
        <v>3134</v>
      </c>
      <c r="H749" t="s">
        <v>1247</v>
      </c>
      <c r="J749" s="455">
        <v>46214</v>
      </c>
      <c r="K749" s="455">
        <v>46214</v>
      </c>
      <c r="U749" s="455">
        <v>46214</v>
      </c>
    </row>
    <row r="750" spans="1:21">
      <c r="A750" t="s">
        <v>1751</v>
      </c>
      <c r="B750" t="s">
        <v>4869</v>
      </c>
      <c r="C750" t="s">
        <v>1751</v>
      </c>
      <c r="D750">
        <v>20588475</v>
      </c>
      <c r="E750" t="s">
        <v>3128</v>
      </c>
      <c r="F750" t="s">
        <v>1243</v>
      </c>
      <c r="G750" t="s">
        <v>3129</v>
      </c>
      <c r="H750" t="s">
        <v>1253</v>
      </c>
      <c r="J750" s="455">
        <v>46224</v>
      </c>
      <c r="U750" s="455">
        <v>46224</v>
      </c>
    </row>
    <row r="751" spans="1:21">
      <c r="A751" t="s">
        <v>1751</v>
      </c>
      <c r="B751" t="s">
        <v>4870</v>
      </c>
      <c r="C751" t="s">
        <v>1751</v>
      </c>
      <c r="D751">
        <v>20593592</v>
      </c>
      <c r="E751" t="s">
        <v>3128</v>
      </c>
      <c r="F751" t="s">
        <v>1241</v>
      </c>
      <c r="G751" t="s">
        <v>3129</v>
      </c>
      <c r="H751" t="s">
        <v>1253</v>
      </c>
      <c r="J751" s="455">
        <v>46230</v>
      </c>
      <c r="U751" s="455">
        <v>46230</v>
      </c>
    </row>
    <row r="752" spans="1:21">
      <c r="A752" t="s">
        <v>1751</v>
      </c>
      <c r="B752" t="s">
        <v>4871</v>
      </c>
      <c r="C752" t="s">
        <v>1751</v>
      </c>
      <c r="D752">
        <v>20586208</v>
      </c>
      <c r="E752" t="s">
        <v>3128</v>
      </c>
      <c r="F752" t="s">
        <v>1238</v>
      </c>
      <c r="G752" t="s">
        <v>3143</v>
      </c>
      <c r="H752" t="s">
        <v>1252</v>
      </c>
      <c r="J752" s="455">
        <v>46221</v>
      </c>
      <c r="U752" s="455">
        <v>46266</v>
      </c>
    </row>
    <row r="753" spans="1:21">
      <c r="A753" t="s">
        <v>1751</v>
      </c>
      <c r="B753" t="s">
        <v>2988</v>
      </c>
      <c r="C753" t="s">
        <v>1751</v>
      </c>
      <c r="D753">
        <v>20569496</v>
      </c>
      <c r="E753" t="s">
        <v>3142</v>
      </c>
      <c r="F753" t="s">
        <v>1242</v>
      </c>
      <c r="G753" t="s">
        <v>3143</v>
      </c>
      <c r="H753" t="s">
        <v>1248</v>
      </c>
      <c r="I753" t="s">
        <v>2986</v>
      </c>
      <c r="J753" s="455">
        <v>46203</v>
      </c>
      <c r="K753" s="455">
        <v>46210</v>
      </c>
      <c r="L753" s="455">
        <v>46210</v>
      </c>
      <c r="M753" s="455">
        <v>46219</v>
      </c>
      <c r="N753" s="455">
        <v>46219</v>
      </c>
      <c r="P753" s="455">
        <v>46220</v>
      </c>
      <c r="Q753" s="455">
        <v>46220</v>
      </c>
      <c r="U753" s="455">
        <v>46230</v>
      </c>
    </row>
    <row r="754" spans="1:21">
      <c r="A754" t="s">
        <v>1751</v>
      </c>
      <c r="B754" t="s">
        <v>4872</v>
      </c>
      <c r="C754" t="s">
        <v>1751</v>
      </c>
      <c r="D754">
        <v>20589814</v>
      </c>
      <c r="E754" t="s">
        <v>3128</v>
      </c>
      <c r="F754" t="s">
        <v>1238</v>
      </c>
      <c r="G754" t="s">
        <v>3143</v>
      </c>
      <c r="H754" t="s">
        <v>3515</v>
      </c>
      <c r="I754" t="s">
        <v>2148</v>
      </c>
      <c r="J754" s="455">
        <v>46225</v>
      </c>
      <c r="U754" s="455">
        <v>46265</v>
      </c>
    </row>
    <row r="755" spans="1:21">
      <c r="A755" t="s">
        <v>1751</v>
      </c>
      <c r="B755" t="s">
        <v>4873</v>
      </c>
      <c r="C755" t="s">
        <v>1751</v>
      </c>
      <c r="D755">
        <v>20589197</v>
      </c>
      <c r="E755" t="s">
        <v>3128</v>
      </c>
      <c r="F755" t="s">
        <v>1241</v>
      </c>
      <c r="G755" t="s">
        <v>3134</v>
      </c>
      <c r="H755" t="s">
        <v>1252</v>
      </c>
      <c r="J755" s="455">
        <v>46224</v>
      </c>
      <c r="U755" s="455">
        <v>46245</v>
      </c>
    </row>
    <row r="756" spans="1:21">
      <c r="A756" t="s">
        <v>1751</v>
      </c>
      <c r="B756" t="s">
        <v>4874</v>
      </c>
      <c r="C756" t="s">
        <v>1751</v>
      </c>
      <c r="D756">
        <v>20572320</v>
      </c>
      <c r="E756" t="s">
        <v>3128</v>
      </c>
      <c r="F756" t="s">
        <v>1782</v>
      </c>
      <c r="G756" t="s">
        <v>3141</v>
      </c>
      <c r="H756" t="s">
        <v>1252</v>
      </c>
      <c r="J756" s="455">
        <v>46206</v>
      </c>
      <c r="U756" s="455">
        <v>46235</v>
      </c>
    </row>
    <row r="757" spans="1:21">
      <c r="A757" t="s">
        <v>1751</v>
      </c>
      <c r="B757" t="s">
        <v>4875</v>
      </c>
      <c r="C757" t="s">
        <v>1751</v>
      </c>
      <c r="D757">
        <v>20520324</v>
      </c>
      <c r="E757" t="s">
        <v>1897</v>
      </c>
      <c r="F757" t="s">
        <v>1237</v>
      </c>
      <c r="G757" t="s">
        <v>3134</v>
      </c>
      <c r="H757" t="s">
        <v>1252</v>
      </c>
      <c r="I757" t="s">
        <v>1561</v>
      </c>
      <c r="J757" s="455">
        <v>46150</v>
      </c>
      <c r="K757" s="455">
        <v>46228</v>
      </c>
      <c r="U757" s="455">
        <v>46240</v>
      </c>
    </row>
    <row r="758" spans="1:21">
      <c r="A758" t="s">
        <v>1751</v>
      </c>
      <c r="B758" t="s">
        <v>4876</v>
      </c>
      <c r="C758" t="s">
        <v>1751</v>
      </c>
      <c r="D758">
        <v>20577816</v>
      </c>
      <c r="E758" t="s">
        <v>3128</v>
      </c>
      <c r="F758" t="s">
        <v>1782</v>
      </c>
      <c r="G758" t="s">
        <v>3141</v>
      </c>
      <c r="H758" t="s">
        <v>1252</v>
      </c>
      <c r="J758" s="455">
        <v>46213</v>
      </c>
      <c r="U758" s="455">
        <v>46218</v>
      </c>
    </row>
    <row r="759" spans="1:21">
      <c r="A759" t="s">
        <v>1751</v>
      </c>
      <c r="B759" t="s">
        <v>4877</v>
      </c>
      <c r="C759" t="s">
        <v>1751</v>
      </c>
      <c r="D759">
        <v>20596141</v>
      </c>
      <c r="E759" t="s">
        <v>3128</v>
      </c>
      <c r="F759" t="s">
        <v>1241</v>
      </c>
      <c r="G759" t="s">
        <v>3141</v>
      </c>
      <c r="H759" t="s">
        <v>1252</v>
      </c>
      <c r="J759" s="455">
        <v>46232</v>
      </c>
      <c r="U759" s="455">
        <v>46296</v>
      </c>
    </row>
    <row r="760" spans="1:21">
      <c r="A760" t="s">
        <v>1751</v>
      </c>
      <c r="B760" t="s">
        <v>4878</v>
      </c>
      <c r="C760" t="s">
        <v>1751</v>
      </c>
      <c r="D760">
        <v>20576827</v>
      </c>
      <c r="E760" t="s">
        <v>3128</v>
      </c>
      <c r="F760" t="s">
        <v>1241</v>
      </c>
      <c r="G760" t="s">
        <v>3134</v>
      </c>
      <c r="H760" t="s">
        <v>3165</v>
      </c>
      <c r="J760" s="455">
        <v>46212</v>
      </c>
      <c r="U760" s="455">
        <v>46270</v>
      </c>
    </row>
    <row r="761" spans="1:21">
      <c r="A761" t="s">
        <v>1751</v>
      </c>
      <c r="B761" t="s">
        <v>4879</v>
      </c>
      <c r="C761" t="s">
        <v>1751</v>
      </c>
      <c r="D761">
        <v>20586080</v>
      </c>
      <c r="E761" t="s">
        <v>3128</v>
      </c>
      <c r="F761" t="s">
        <v>1782</v>
      </c>
      <c r="G761" t="s">
        <v>3134</v>
      </c>
      <c r="H761" t="s">
        <v>1252</v>
      </c>
      <c r="J761" s="455">
        <v>46220</v>
      </c>
      <c r="U761" s="455">
        <v>46235</v>
      </c>
    </row>
    <row r="762" spans="1:21">
      <c r="A762" t="s">
        <v>1751</v>
      </c>
      <c r="B762" t="s">
        <v>4880</v>
      </c>
      <c r="C762" t="s">
        <v>1751</v>
      </c>
      <c r="D762">
        <v>20586609</v>
      </c>
      <c r="E762" t="s">
        <v>3128</v>
      </c>
      <c r="F762" t="s">
        <v>1782</v>
      </c>
      <c r="G762" t="s">
        <v>3134</v>
      </c>
      <c r="H762" t="s">
        <v>1252</v>
      </c>
      <c r="J762" s="455">
        <v>46221</v>
      </c>
      <c r="U762" s="455">
        <v>46235</v>
      </c>
    </row>
    <row r="763" spans="1:21">
      <c r="A763" t="s">
        <v>1751</v>
      </c>
      <c r="B763" t="s">
        <v>4881</v>
      </c>
      <c r="C763" t="s">
        <v>1751</v>
      </c>
      <c r="D763">
        <v>20579041</v>
      </c>
      <c r="E763" t="s">
        <v>3128</v>
      </c>
      <c r="F763" t="s">
        <v>1782</v>
      </c>
      <c r="G763" t="s">
        <v>3141</v>
      </c>
      <c r="H763" t="s">
        <v>1252</v>
      </c>
      <c r="J763" s="455">
        <v>46214</v>
      </c>
      <c r="U763" s="455">
        <v>46235</v>
      </c>
    </row>
    <row r="764" spans="1:21">
      <c r="A764" t="s">
        <v>1751</v>
      </c>
      <c r="B764" t="s">
        <v>4882</v>
      </c>
      <c r="C764" t="s">
        <v>1751</v>
      </c>
      <c r="D764">
        <v>20573395</v>
      </c>
      <c r="E764" t="s">
        <v>3128</v>
      </c>
      <c r="F764" t="s">
        <v>1239</v>
      </c>
      <c r="G764" t="s">
        <v>2009</v>
      </c>
      <c r="H764" t="s">
        <v>1251</v>
      </c>
      <c r="J764" s="455">
        <v>46209</v>
      </c>
      <c r="U764" s="455">
        <v>46209</v>
      </c>
    </row>
    <row r="765" spans="1:21">
      <c r="A765" t="s">
        <v>1751</v>
      </c>
      <c r="B765" t="s">
        <v>4883</v>
      </c>
      <c r="C765" t="s">
        <v>1751</v>
      </c>
      <c r="D765">
        <v>20593738</v>
      </c>
      <c r="E765" t="s">
        <v>3128</v>
      </c>
      <c r="F765" t="s">
        <v>1782</v>
      </c>
      <c r="G765" t="s">
        <v>3141</v>
      </c>
      <c r="H765" t="s">
        <v>1251</v>
      </c>
      <c r="J765" s="455">
        <v>46230</v>
      </c>
      <c r="U765" s="455">
        <v>46230</v>
      </c>
    </row>
    <row r="766" spans="1:21">
      <c r="A766" t="s">
        <v>1751</v>
      </c>
      <c r="B766" t="s">
        <v>4884</v>
      </c>
      <c r="C766" t="s">
        <v>1751</v>
      </c>
      <c r="D766">
        <v>20578099</v>
      </c>
      <c r="E766" t="s">
        <v>1897</v>
      </c>
      <c r="F766" t="s">
        <v>1241</v>
      </c>
      <c r="G766" t="s">
        <v>2009</v>
      </c>
      <c r="H766" t="s">
        <v>1252</v>
      </c>
      <c r="J766" s="455">
        <v>46213</v>
      </c>
      <c r="K766" s="455">
        <v>46213</v>
      </c>
      <c r="U766" s="455">
        <v>46227</v>
      </c>
    </row>
    <row r="767" spans="1:21">
      <c r="A767" t="s">
        <v>1751</v>
      </c>
      <c r="B767" t="s">
        <v>4885</v>
      </c>
      <c r="C767" t="s">
        <v>1751</v>
      </c>
      <c r="D767">
        <v>20576985</v>
      </c>
      <c r="E767" t="s">
        <v>3128</v>
      </c>
      <c r="F767" t="s">
        <v>1237</v>
      </c>
      <c r="G767" t="s">
        <v>3129</v>
      </c>
      <c r="H767" t="s">
        <v>1252</v>
      </c>
      <c r="J767" s="455">
        <v>46212</v>
      </c>
      <c r="U767" s="455">
        <v>46266</v>
      </c>
    </row>
    <row r="768" spans="1:21">
      <c r="A768" t="s">
        <v>1751</v>
      </c>
      <c r="B768" t="s">
        <v>4060</v>
      </c>
      <c r="C768" t="s">
        <v>1751</v>
      </c>
      <c r="D768">
        <v>20566772</v>
      </c>
      <c r="E768" t="s">
        <v>3142</v>
      </c>
      <c r="F768" t="s">
        <v>1243</v>
      </c>
      <c r="G768" t="s">
        <v>3134</v>
      </c>
      <c r="H768" t="s">
        <v>1248</v>
      </c>
      <c r="I768" t="s">
        <v>4061</v>
      </c>
      <c r="J768" s="455">
        <v>46199</v>
      </c>
      <c r="K768" s="455">
        <v>46199</v>
      </c>
      <c r="L768" s="455">
        <v>46200</v>
      </c>
      <c r="M768" s="455">
        <v>46204</v>
      </c>
      <c r="N768" s="455">
        <v>46204</v>
      </c>
      <c r="P768" s="455">
        <v>46205</v>
      </c>
      <c r="Q768" s="455">
        <v>46205</v>
      </c>
      <c r="U768" s="455">
        <v>46233</v>
      </c>
    </row>
    <row r="769" spans="1:21">
      <c r="A769" t="s">
        <v>1751</v>
      </c>
      <c r="B769" t="s">
        <v>4886</v>
      </c>
      <c r="C769" t="s">
        <v>1751</v>
      </c>
      <c r="D769">
        <v>20580266</v>
      </c>
      <c r="E769" t="s">
        <v>3128</v>
      </c>
      <c r="F769" t="s">
        <v>1238</v>
      </c>
      <c r="G769" t="s">
        <v>3143</v>
      </c>
      <c r="H769" t="s">
        <v>1251</v>
      </c>
      <c r="I769" t="s">
        <v>3168</v>
      </c>
      <c r="J769" s="455">
        <v>46216</v>
      </c>
      <c r="U769" s="455">
        <v>46267</v>
      </c>
    </row>
    <row r="770" spans="1:21">
      <c r="A770" t="s">
        <v>1751</v>
      </c>
      <c r="B770" t="s">
        <v>4887</v>
      </c>
      <c r="C770" t="s">
        <v>1751</v>
      </c>
      <c r="D770">
        <v>20575626</v>
      </c>
      <c r="E770" t="s">
        <v>3128</v>
      </c>
      <c r="F770" t="s">
        <v>1241</v>
      </c>
      <c r="G770" t="s">
        <v>3141</v>
      </c>
      <c r="H770" t="s">
        <v>1252</v>
      </c>
      <c r="J770" s="455">
        <v>46210</v>
      </c>
      <c r="U770" s="455">
        <v>46276</v>
      </c>
    </row>
    <row r="771" spans="1:21">
      <c r="A771" t="s">
        <v>1751</v>
      </c>
      <c r="B771" t="s">
        <v>4888</v>
      </c>
      <c r="C771" t="s">
        <v>1751</v>
      </c>
      <c r="D771">
        <v>20579855</v>
      </c>
      <c r="E771" t="s">
        <v>3128</v>
      </c>
      <c r="F771" t="s">
        <v>1238</v>
      </c>
      <c r="G771" t="s">
        <v>3143</v>
      </c>
      <c r="H771" t="s">
        <v>1248</v>
      </c>
      <c r="I771" t="s">
        <v>3170</v>
      </c>
      <c r="J771" s="455">
        <v>46216</v>
      </c>
      <c r="U771" s="455">
        <v>46233</v>
      </c>
    </row>
    <row r="772" spans="1:21">
      <c r="A772" t="s">
        <v>1751</v>
      </c>
      <c r="B772" t="s">
        <v>4889</v>
      </c>
      <c r="C772" t="s">
        <v>1751</v>
      </c>
      <c r="D772">
        <v>20590750</v>
      </c>
      <c r="E772" t="s">
        <v>3128</v>
      </c>
      <c r="F772" t="s">
        <v>1238</v>
      </c>
      <c r="G772" t="s">
        <v>2009</v>
      </c>
      <c r="H772" t="s">
        <v>1248</v>
      </c>
      <c r="J772" s="455">
        <v>46226</v>
      </c>
      <c r="U772" s="455">
        <v>46237</v>
      </c>
    </row>
    <row r="773" spans="1:21">
      <c r="A773" t="s">
        <v>1751</v>
      </c>
      <c r="B773" t="s">
        <v>4890</v>
      </c>
      <c r="C773" t="s">
        <v>1751</v>
      </c>
      <c r="D773">
        <v>20590395</v>
      </c>
      <c r="E773" t="s">
        <v>3128</v>
      </c>
      <c r="F773" t="s">
        <v>1241</v>
      </c>
      <c r="G773" t="s">
        <v>3141</v>
      </c>
      <c r="H773" t="s">
        <v>1252</v>
      </c>
      <c r="J773" s="455">
        <v>46226</v>
      </c>
      <c r="U773" s="455">
        <v>46233</v>
      </c>
    </row>
    <row r="774" spans="1:21">
      <c r="A774" t="s">
        <v>1751</v>
      </c>
      <c r="B774" t="s">
        <v>4891</v>
      </c>
      <c r="C774" t="s">
        <v>1751</v>
      </c>
      <c r="D774">
        <v>20571100</v>
      </c>
      <c r="E774" t="s">
        <v>1897</v>
      </c>
      <c r="F774" t="s">
        <v>1241</v>
      </c>
      <c r="G774" t="s">
        <v>3134</v>
      </c>
      <c r="H774" t="s">
        <v>1940</v>
      </c>
      <c r="J774" s="455">
        <v>46205</v>
      </c>
      <c r="K774" s="455">
        <v>46205</v>
      </c>
      <c r="U774" s="455">
        <v>46205</v>
      </c>
    </row>
    <row r="775" spans="1:21">
      <c r="A775" t="s">
        <v>1751</v>
      </c>
      <c r="B775" t="s">
        <v>4892</v>
      </c>
      <c r="C775" t="s">
        <v>1751</v>
      </c>
      <c r="D775">
        <v>20572512</v>
      </c>
      <c r="E775" t="s">
        <v>3128</v>
      </c>
      <c r="F775" t="s">
        <v>1241</v>
      </c>
      <c r="G775" t="s">
        <v>3134</v>
      </c>
      <c r="H775" t="s">
        <v>3165</v>
      </c>
      <c r="J775" s="455">
        <v>46206</v>
      </c>
      <c r="U775" s="455">
        <v>46235</v>
      </c>
    </row>
    <row r="776" spans="1:21">
      <c r="A776" t="s">
        <v>1751</v>
      </c>
      <c r="B776" t="s">
        <v>4893</v>
      </c>
      <c r="C776" t="s">
        <v>1751</v>
      </c>
      <c r="D776">
        <v>20580423</v>
      </c>
      <c r="E776" t="s">
        <v>3128</v>
      </c>
      <c r="F776" t="s">
        <v>1782</v>
      </c>
      <c r="G776" t="s">
        <v>3134</v>
      </c>
      <c r="H776" t="s">
        <v>3165</v>
      </c>
      <c r="J776" s="455">
        <v>46216</v>
      </c>
      <c r="U776" s="455">
        <v>46217</v>
      </c>
    </row>
    <row r="777" spans="1:21">
      <c r="A777" t="s">
        <v>1751</v>
      </c>
      <c r="B777" t="s">
        <v>3041</v>
      </c>
      <c r="C777" t="s">
        <v>1751</v>
      </c>
      <c r="D777">
        <v>20567200</v>
      </c>
      <c r="E777" t="s">
        <v>3142</v>
      </c>
      <c r="F777" t="s">
        <v>1242</v>
      </c>
      <c r="G777" t="s">
        <v>2009</v>
      </c>
      <c r="H777" t="s">
        <v>1252</v>
      </c>
      <c r="I777" t="s">
        <v>3039</v>
      </c>
      <c r="J777" s="455">
        <v>46200</v>
      </c>
      <c r="K777" s="455">
        <v>46214</v>
      </c>
      <c r="L777" s="455">
        <v>46215</v>
      </c>
      <c r="M777" s="455">
        <v>46216</v>
      </c>
      <c r="N777" s="455">
        <v>46216</v>
      </c>
      <c r="P777" s="455">
        <v>46218</v>
      </c>
      <c r="Q777" s="455">
        <v>46218</v>
      </c>
      <c r="U777" s="455">
        <v>46263</v>
      </c>
    </row>
    <row r="778" spans="1:21">
      <c r="A778" t="s">
        <v>1751</v>
      </c>
      <c r="B778" t="s">
        <v>4894</v>
      </c>
      <c r="C778" t="s">
        <v>1751</v>
      </c>
      <c r="D778">
        <v>20576681</v>
      </c>
      <c r="E778" t="s">
        <v>3128</v>
      </c>
      <c r="F778" t="s">
        <v>1239</v>
      </c>
      <c r="G778" t="s">
        <v>3129</v>
      </c>
      <c r="H778" t="s">
        <v>1251</v>
      </c>
      <c r="I778" t="s">
        <v>1917</v>
      </c>
      <c r="J778" s="455">
        <v>46212</v>
      </c>
      <c r="U778" s="455">
        <v>46212</v>
      </c>
    </row>
    <row r="779" spans="1:21">
      <c r="A779" t="s">
        <v>1751</v>
      </c>
      <c r="B779" t="s">
        <v>4895</v>
      </c>
      <c r="C779" t="s">
        <v>1751</v>
      </c>
      <c r="D779">
        <v>20571721</v>
      </c>
      <c r="E779" t="s">
        <v>3128</v>
      </c>
      <c r="F779" t="s">
        <v>1782</v>
      </c>
      <c r="G779" t="s">
        <v>3129</v>
      </c>
      <c r="H779" t="s">
        <v>1253</v>
      </c>
      <c r="J779" s="455">
        <v>46205</v>
      </c>
      <c r="U779" s="455">
        <v>46205</v>
      </c>
    </row>
    <row r="780" spans="1:21">
      <c r="A780" t="s">
        <v>1751</v>
      </c>
      <c r="B780" t="s">
        <v>4896</v>
      </c>
      <c r="C780" t="s">
        <v>1751</v>
      </c>
      <c r="D780">
        <v>20587935</v>
      </c>
      <c r="E780" t="s">
        <v>3128</v>
      </c>
      <c r="F780" t="s">
        <v>1242</v>
      </c>
      <c r="G780" t="s">
        <v>2009</v>
      </c>
      <c r="H780" t="s">
        <v>1249</v>
      </c>
      <c r="J780" s="455">
        <v>46223</v>
      </c>
      <c r="U780" s="455">
        <v>46228</v>
      </c>
    </row>
    <row r="781" spans="1:21">
      <c r="A781" t="s">
        <v>1751</v>
      </c>
      <c r="B781" t="s">
        <v>4897</v>
      </c>
      <c r="C781" t="s">
        <v>1751</v>
      </c>
      <c r="D781">
        <v>20591361</v>
      </c>
      <c r="E781" t="s">
        <v>3128</v>
      </c>
      <c r="F781" t="s">
        <v>1782</v>
      </c>
      <c r="G781" t="s">
        <v>3134</v>
      </c>
      <c r="H781" t="s">
        <v>1252</v>
      </c>
      <c r="J781" s="455">
        <v>46227</v>
      </c>
      <c r="U781" s="455">
        <v>46231</v>
      </c>
    </row>
    <row r="782" spans="1:21">
      <c r="A782" t="s">
        <v>1751</v>
      </c>
      <c r="B782" t="s">
        <v>4069</v>
      </c>
      <c r="C782" t="s">
        <v>1751</v>
      </c>
      <c r="D782">
        <v>20562211</v>
      </c>
      <c r="E782" t="s">
        <v>3133</v>
      </c>
      <c r="F782" t="s">
        <v>1241</v>
      </c>
      <c r="G782" t="s">
        <v>3134</v>
      </c>
      <c r="H782" t="s">
        <v>1247</v>
      </c>
      <c r="I782" t="s">
        <v>4070</v>
      </c>
      <c r="J782" s="455">
        <v>46195</v>
      </c>
      <c r="K782" s="455">
        <v>46195</v>
      </c>
      <c r="R782" s="455">
        <v>46212</v>
      </c>
      <c r="U782" s="455">
        <v>46249</v>
      </c>
    </row>
    <row r="783" spans="1:21">
      <c r="A783" t="s">
        <v>1751</v>
      </c>
      <c r="B783" t="s">
        <v>4898</v>
      </c>
      <c r="C783" t="s">
        <v>1751</v>
      </c>
      <c r="D783">
        <v>20589139</v>
      </c>
      <c r="E783" t="s">
        <v>3128</v>
      </c>
      <c r="F783" t="s">
        <v>3285</v>
      </c>
      <c r="G783" t="s">
        <v>3134</v>
      </c>
      <c r="H783" t="s">
        <v>3165</v>
      </c>
      <c r="J783" s="455">
        <v>46224</v>
      </c>
      <c r="U783" s="455">
        <v>46235</v>
      </c>
    </row>
    <row r="784" spans="1:21">
      <c r="A784" t="s">
        <v>1751</v>
      </c>
      <c r="B784" t="s">
        <v>4071</v>
      </c>
      <c r="C784" t="s">
        <v>1751</v>
      </c>
      <c r="D784">
        <v>20568146</v>
      </c>
      <c r="E784" t="s">
        <v>3133</v>
      </c>
      <c r="F784" t="s">
        <v>1241</v>
      </c>
      <c r="G784" t="s">
        <v>3134</v>
      </c>
      <c r="H784" t="s">
        <v>1247</v>
      </c>
      <c r="I784" t="s">
        <v>2476</v>
      </c>
      <c r="J784" s="455">
        <v>46202</v>
      </c>
      <c r="K784" s="455">
        <v>46202</v>
      </c>
      <c r="R784" s="455">
        <v>46212</v>
      </c>
      <c r="U784" s="455">
        <v>46202</v>
      </c>
    </row>
    <row r="785" spans="1:21">
      <c r="A785" t="s">
        <v>1751</v>
      </c>
      <c r="B785" t="s">
        <v>4899</v>
      </c>
      <c r="C785" t="s">
        <v>1751</v>
      </c>
      <c r="D785">
        <v>20592452</v>
      </c>
      <c r="E785" t="s">
        <v>3128</v>
      </c>
      <c r="F785" t="s">
        <v>1782</v>
      </c>
      <c r="G785" t="s">
        <v>3129</v>
      </c>
      <c r="H785" t="s">
        <v>1248</v>
      </c>
      <c r="J785" s="455">
        <v>46228</v>
      </c>
      <c r="U785" s="455">
        <v>46275</v>
      </c>
    </row>
    <row r="786" spans="1:21">
      <c r="A786" t="s">
        <v>1751</v>
      </c>
      <c r="B786" t="s">
        <v>4899</v>
      </c>
      <c r="C786" t="s">
        <v>1751</v>
      </c>
      <c r="D786">
        <v>20591542</v>
      </c>
      <c r="E786" t="s">
        <v>3128</v>
      </c>
      <c r="F786" t="s">
        <v>1238</v>
      </c>
      <c r="G786" t="s">
        <v>3129</v>
      </c>
      <c r="H786" t="s">
        <v>1251</v>
      </c>
      <c r="J786" s="455">
        <v>46227</v>
      </c>
      <c r="U786" s="455">
        <v>46262</v>
      </c>
    </row>
    <row r="787" spans="1:21">
      <c r="A787" t="s">
        <v>1751</v>
      </c>
      <c r="B787" t="s">
        <v>4900</v>
      </c>
      <c r="C787" t="s">
        <v>1751</v>
      </c>
      <c r="D787">
        <v>20576337</v>
      </c>
      <c r="E787" t="s">
        <v>3128</v>
      </c>
      <c r="F787" t="s">
        <v>1242</v>
      </c>
      <c r="G787" t="s">
        <v>2009</v>
      </c>
      <c r="H787" t="s">
        <v>1252</v>
      </c>
      <c r="J787" s="455">
        <v>46211</v>
      </c>
      <c r="U787" s="455">
        <v>46227</v>
      </c>
    </row>
    <row r="788" spans="1:21">
      <c r="A788" t="s">
        <v>1751</v>
      </c>
      <c r="B788" t="s">
        <v>4901</v>
      </c>
      <c r="C788" t="s">
        <v>1751</v>
      </c>
      <c r="D788">
        <v>20594870</v>
      </c>
      <c r="E788" t="s">
        <v>3128</v>
      </c>
      <c r="F788" t="s">
        <v>1242</v>
      </c>
      <c r="G788" t="s">
        <v>3143</v>
      </c>
      <c r="H788" t="s">
        <v>1248</v>
      </c>
      <c r="I788" t="s">
        <v>3363</v>
      </c>
      <c r="J788" s="455">
        <v>46231</v>
      </c>
      <c r="U788" s="455">
        <v>46256</v>
      </c>
    </row>
    <row r="789" spans="1:21">
      <c r="A789" t="s">
        <v>1751</v>
      </c>
      <c r="B789" t="s">
        <v>4902</v>
      </c>
      <c r="C789" t="s">
        <v>1751</v>
      </c>
      <c r="D789">
        <v>20591249</v>
      </c>
      <c r="E789" t="s">
        <v>3128</v>
      </c>
      <c r="F789" t="s">
        <v>1782</v>
      </c>
      <c r="G789" t="s">
        <v>3141</v>
      </c>
      <c r="H789" t="s">
        <v>4278</v>
      </c>
      <c r="J789" s="455">
        <v>46226</v>
      </c>
      <c r="U789" s="455">
        <v>46241</v>
      </c>
    </row>
    <row r="790" spans="1:21">
      <c r="A790" t="s">
        <v>1751</v>
      </c>
      <c r="B790" t="s">
        <v>4903</v>
      </c>
      <c r="C790" t="s">
        <v>1751</v>
      </c>
      <c r="D790">
        <v>20586968</v>
      </c>
      <c r="E790" t="s">
        <v>3128</v>
      </c>
      <c r="F790" t="s">
        <v>1782</v>
      </c>
      <c r="G790" t="s">
        <v>3134</v>
      </c>
      <c r="H790" t="s">
        <v>1252</v>
      </c>
      <c r="J790" s="455">
        <v>46222</v>
      </c>
      <c r="U790" s="455">
        <v>46222</v>
      </c>
    </row>
    <row r="791" spans="1:21">
      <c r="A791" t="s">
        <v>1751</v>
      </c>
      <c r="B791" t="s">
        <v>4904</v>
      </c>
      <c r="C791" t="s">
        <v>1751</v>
      </c>
      <c r="D791">
        <v>20585017</v>
      </c>
      <c r="E791" t="s">
        <v>3128</v>
      </c>
      <c r="F791" t="s">
        <v>1782</v>
      </c>
      <c r="G791" t="s">
        <v>3134</v>
      </c>
      <c r="H791" t="s">
        <v>1252</v>
      </c>
      <c r="J791" s="455">
        <v>46219</v>
      </c>
      <c r="U791" s="455">
        <v>46235</v>
      </c>
    </row>
    <row r="792" spans="1:21">
      <c r="A792" t="s">
        <v>1751</v>
      </c>
      <c r="B792" t="s">
        <v>4905</v>
      </c>
      <c r="C792" t="s">
        <v>1751</v>
      </c>
      <c r="D792">
        <v>20573400</v>
      </c>
      <c r="E792" t="s">
        <v>3128</v>
      </c>
      <c r="F792" t="s">
        <v>1782</v>
      </c>
      <c r="G792" t="s">
        <v>3137</v>
      </c>
      <c r="H792" t="s">
        <v>1252</v>
      </c>
      <c r="J792" s="455">
        <v>46209</v>
      </c>
      <c r="U792" s="455">
        <v>46272</v>
      </c>
    </row>
    <row r="793" spans="1:21">
      <c r="A793" t="s">
        <v>1751</v>
      </c>
      <c r="B793" t="s">
        <v>4076</v>
      </c>
      <c r="C793" t="s">
        <v>1751</v>
      </c>
      <c r="D793">
        <v>20588027</v>
      </c>
      <c r="E793" t="s">
        <v>3128</v>
      </c>
      <c r="F793" t="s">
        <v>1782</v>
      </c>
      <c r="G793" t="s">
        <v>3129</v>
      </c>
      <c r="H793" t="s">
        <v>3131</v>
      </c>
      <c r="J793" s="455">
        <v>46223</v>
      </c>
      <c r="U793" s="455">
        <v>46266</v>
      </c>
    </row>
    <row r="794" spans="1:21">
      <c r="A794" t="s">
        <v>1751</v>
      </c>
      <c r="B794" t="s">
        <v>4906</v>
      </c>
      <c r="C794" t="s">
        <v>1751</v>
      </c>
      <c r="D794">
        <v>20587661</v>
      </c>
      <c r="E794" t="s">
        <v>3128</v>
      </c>
      <c r="F794" t="s">
        <v>3285</v>
      </c>
      <c r="G794" t="s">
        <v>3129</v>
      </c>
      <c r="H794" t="s">
        <v>1253</v>
      </c>
      <c r="J794" s="455">
        <v>46223</v>
      </c>
      <c r="U794" s="455">
        <v>46223</v>
      </c>
    </row>
    <row r="795" spans="1:21">
      <c r="A795" t="s">
        <v>1751</v>
      </c>
      <c r="B795" t="s">
        <v>4907</v>
      </c>
      <c r="C795" t="s">
        <v>1751</v>
      </c>
      <c r="D795">
        <v>20588719</v>
      </c>
      <c r="E795" t="s">
        <v>3128</v>
      </c>
      <c r="F795" t="s">
        <v>3285</v>
      </c>
      <c r="G795" t="s">
        <v>3129</v>
      </c>
      <c r="H795" t="s">
        <v>1252</v>
      </c>
      <c r="J795" s="455">
        <v>46224</v>
      </c>
      <c r="U795" s="455">
        <v>46233</v>
      </c>
    </row>
    <row r="796" spans="1:21">
      <c r="A796" t="s">
        <v>1751</v>
      </c>
      <c r="B796" t="s">
        <v>4908</v>
      </c>
      <c r="C796" t="s">
        <v>1751</v>
      </c>
      <c r="D796">
        <v>20574695</v>
      </c>
      <c r="E796" t="s">
        <v>3128</v>
      </c>
      <c r="F796" t="s">
        <v>1241</v>
      </c>
      <c r="G796" t="s">
        <v>3129</v>
      </c>
      <c r="H796" t="s">
        <v>1253</v>
      </c>
      <c r="J796" s="455">
        <v>46210</v>
      </c>
      <c r="U796" s="455">
        <v>46266</v>
      </c>
    </row>
    <row r="797" spans="1:21">
      <c r="A797" t="s">
        <v>1751</v>
      </c>
      <c r="B797" t="s">
        <v>4909</v>
      </c>
      <c r="C797" t="s">
        <v>1751</v>
      </c>
      <c r="D797">
        <v>20578654</v>
      </c>
      <c r="E797" t="s">
        <v>3128</v>
      </c>
      <c r="F797" t="s">
        <v>1782</v>
      </c>
      <c r="G797" t="s">
        <v>3129</v>
      </c>
      <c r="H797" t="s">
        <v>1252</v>
      </c>
      <c r="J797" s="455">
        <v>46214</v>
      </c>
      <c r="U797" s="455">
        <v>46221</v>
      </c>
    </row>
    <row r="798" spans="1:21">
      <c r="A798" t="s">
        <v>1751</v>
      </c>
      <c r="B798" t="s">
        <v>4910</v>
      </c>
      <c r="C798" t="s">
        <v>1751</v>
      </c>
      <c r="D798">
        <v>20577650</v>
      </c>
      <c r="E798" t="s">
        <v>3128</v>
      </c>
      <c r="F798" t="s">
        <v>1782</v>
      </c>
      <c r="G798" t="s">
        <v>3129</v>
      </c>
      <c r="H798" t="s">
        <v>3131</v>
      </c>
      <c r="J798" s="455">
        <v>46213</v>
      </c>
      <c r="U798" s="455">
        <v>46213</v>
      </c>
    </row>
    <row r="799" spans="1:21">
      <c r="A799" t="s">
        <v>1751</v>
      </c>
      <c r="B799" t="s">
        <v>4911</v>
      </c>
      <c r="C799" t="s">
        <v>1751</v>
      </c>
      <c r="D799">
        <v>20570721</v>
      </c>
      <c r="E799" t="s">
        <v>3128</v>
      </c>
      <c r="F799" t="s">
        <v>1241</v>
      </c>
      <c r="G799" t="s">
        <v>3129</v>
      </c>
      <c r="H799" t="s">
        <v>3131</v>
      </c>
      <c r="J799" s="455">
        <v>46204</v>
      </c>
      <c r="U799" s="455">
        <v>46204</v>
      </c>
    </row>
    <row r="800" spans="1:21">
      <c r="A800" t="s">
        <v>1751</v>
      </c>
      <c r="B800" t="s">
        <v>4912</v>
      </c>
      <c r="C800" t="s">
        <v>1751</v>
      </c>
      <c r="D800">
        <v>20572688</v>
      </c>
      <c r="E800" t="s">
        <v>3128</v>
      </c>
      <c r="F800" t="s">
        <v>1241</v>
      </c>
      <c r="G800" t="s">
        <v>3129</v>
      </c>
      <c r="H800" t="s">
        <v>3131</v>
      </c>
      <c r="J800" s="455">
        <v>46207</v>
      </c>
      <c r="U800" s="455">
        <v>46207</v>
      </c>
    </row>
    <row r="801" spans="1:21">
      <c r="A801" t="s">
        <v>1751</v>
      </c>
      <c r="B801" t="s">
        <v>4913</v>
      </c>
      <c r="C801" t="s">
        <v>1751</v>
      </c>
      <c r="D801">
        <v>20593627</v>
      </c>
      <c r="E801" t="s">
        <v>3128</v>
      </c>
      <c r="F801" t="s">
        <v>1782</v>
      </c>
      <c r="G801" t="s">
        <v>3129</v>
      </c>
      <c r="H801" t="s">
        <v>3131</v>
      </c>
      <c r="J801" s="455">
        <v>46230</v>
      </c>
      <c r="U801" s="455">
        <v>46230</v>
      </c>
    </row>
    <row r="802" spans="1:21">
      <c r="A802" t="s">
        <v>1751</v>
      </c>
      <c r="B802" t="s">
        <v>4914</v>
      </c>
      <c r="C802" t="s">
        <v>1751</v>
      </c>
      <c r="D802">
        <v>20594542</v>
      </c>
      <c r="E802" t="s">
        <v>3128</v>
      </c>
      <c r="F802" t="s">
        <v>1241</v>
      </c>
      <c r="G802" t="s">
        <v>3129</v>
      </c>
      <c r="H802" t="s">
        <v>3131</v>
      </c>
      <c r="J802" s="455">
        <v>46231</v>
      </c>
      <c r="U802" s="455">
        <v>46231</v>
      </c>
    </row>
    <row r="803" spans="1:21">
      <c r="A803" t="s">
        <v>1751</v>
      </c>
      <c r="B803" t="s">
        <v>4915</v>
      </c>
      <c r="C803" t="s">
        <v>1751</v>
      </c>
      <c r="D803">
        <v>20583782</v>
      </c>
      <c r="E803" t="s">
        <v>3128</v>
      </c>
      <c r="F803" t="s">
        <v>1241</v>
      </c>
      <c r="G803" t="s">
        <v>3129</v>
      </c>
      <c r="H803" t="s">
        <v>3131</v>
      </c>
      <c r="J803" s="455">
        <v>46218</v>
      </c>
      <c r="U803" s="455">
        <v>46218</v>
      </c>
    </row>
    <row r="804" spans="1:21">
      <c r="A804" t="s">
        <v>1751</v>
      </c>
      <c r="B804" t="s">
        <v>4916</v>
      </c>
      <c r="C804" t="s">
        <v>1751</v>
      </c>
      <c r="D804">
        <v>20570710</v>
      </c>
      <c r="E804" t="s">
        <v>3128</v>
      </c>
      <c r="F804" t="s">
        <v>1782</v>
      </c>
      <c r="G804" t="s">
        <v>3129</v>
      </c>
      <c r="H804" t="s">
        <v>3131</v>
      </c>
      <c r="J804" s="455">
        <v>46204</v>
      </c>
      <c r="U804" s="455">
        <v>46204</v>
      </c>
    </row>
    <row r="805" spans="1:21">
      <c r="A805" t="s">
        <v>1751</v>
      </c>
      <c r="B805" t="s">
        <v>4917</v>
      </c>
      <c r="C805" t="s">
        <v>1751</v>
      </c>
      <c r="D805">
        <v>20591822</v>
      </c>
      <c r="E805" t="s">
        <v>3128</v>
      </c>
      <c r="F805" t="s">
        <v>1782</v>
      </c>
      <c r="G805" t="s">
        <v>3129</v>
      </c>
      <c r="H805" t="s">
        <v>3131</v>
      </c>
      <c r="J805" s="455">
        <v>46227</v>
      </c>
      <c r="U805" s="455">
        <v>46227</v>
      </c>
    </row>
    <row r="806" spans="1:21">
      <c r="A806" t="s">
        <v>1751</v>
      </c>
      <c r="B806" t="s">
        <v>4918</v>
      </c>
      <c r="C806" t="s">
        <v>1751</v>
      </c>
      <c r="D806">
        <v>20597312</v>
      </c>
      <c r="E806" t="s">
        <v>3128</v>
      </c>
      <c r="F806" t="s">
        <v>1241</v>
      </c>
      <c r="G806" t="s">
        <v>2009</v>
      </c>
      <c r="H806" t="s">
        <v>1251</v>
      </c>
      <c r="J806" s="455">
        <v>46234</v>
      </c>
      <c r="U806" s="455">
        <v>46234</v>
      </c>
    </row>
    <row r="807" spans="1:21">
      <c r="A807" t="s">
        <v>1751</v>
      </c>
      <c r="B807" t="s">
        <v>4919</v>
      </c>
      <c r="C807" t="s">
        <v>1751</v>
      </c>
      <c r="D807">
        <v>20584792</v>
      </c>
      <c r="E807" t="s">
        <v>3128</v>
      </c>
      <c r="F807" t="s">
        <v>1241</v>
      </c>
      <c r="G807" t="s">
        <v>3129</v>
      </c>
      <c r="H807" t="s">
        <v>1252</v>
      </c>
      <c r="J807" s="455">
        <v>46219</v>
      </c>
      <c r="U807" s="455">
        <v>46250</v>
      </c>
    </row>
    <row r="808" spans="1:21">
      <c r="A808" t="s">
        <v>1751</v>
      </c>
      <c r="B808" t="s">
        <v>4920</v>
      </c>
      <c r="C808" t="s">
        <v>1751</v>
      </c>
      <c r="D808">
        <v>20591555</v>
      </c>
      <c r="E808" t="s">
        <v>3128</v>
      </c>
      <c r="F808" t="s">
        <v>1241</v>
      </c>
      <c r="G808" t="s">
        <v>3129</v>
      </c>
      <c r="H808" t="s">
        <v>3131</v>
      </c>
      <c r="J808" s="455">
        <v>46227</v>
      </c>
      <c r="U808" s="455">
        <v>46235</v>
      </c>
    </row>
    <row r="809" spans="1:21">
      <c r="A809" t="s">
        <v>1751</v>
      </c>
      <c r="B809" t="s">
        <v>4921</v>
      </c>
      <c r="C809" t="s">
        <v>1751</v>
      </c>
      <c r="D809">
        <v>20575173</v>
      </c>
      <c r="E809" t="s">
        <v>3128</v>
      </c>
      <c r="F809" t="s">
        <v>1241</v>
      </c>
      <c r="G809" t="s">
        <v>3129</v>
      </c>
      <c r="H809" t="s">
        <v>3377</v>
      </c>
      <c r="J809" s="455">
        <v>46210</v>
      </c>
      <c r="U809" s="455">
        <v>46210</v>
      </c>
    </row>
    <row r="810" spans="1:21">
      <c r="A810" t="s">
        <v>1751</v>
      </c>
      <c r="B810" t="s">
        <v>4922</v>
      </c>
      <c r="C810" t="s">
        <v>1751</v>
      </c>
      <c r="D810">
        <v>20578791</v>
      </c>
      <c r="E810" t="s">
        <v>3128</v>
      </c>
      <c r="F810" t="s">
        <v>1241</v>
      </c>
      <c r="G810" t="s">
        <v>3129</v>
      </c>
      <c r="H810" t="s">
        <v>1253</v>
      </c>
      <c r="J810" s="455">
        <v>46214</v>
      </c>
      <c r="U810" s="455">
        <v>46214</v>
      </c>
    </row>
    <row r="811" spans="1:21">
      <c r="A811" t="s">
        <v>1751</v>
      </c>
      <c r="B811" t="s">
        <v>4923</v>
      </c>
      <c r="C811" t="s">
        <v>1751</v>
      </c>
      <c r="D811">
        <v>20581276</v>
      </c>
      <c r="E811" t="s">
        <v>3128</v>
      </c>
      <c r="F811" t="s">
        <v>1782</v>
      </c>
      <c r="G811" t="s">
        <v>3129</v>
      </c>
      <c r="H811" t="s">
        <v>3131</v>
      </c>
      <c r="J811" s="455">
        <v>46217</v>
      </c>
      <c r="U811" s="455">
        <v>46217</v>
      </c>
    </row>
    <row r="812" spans="1:21">
      <c r="A812" t="s">
        <v>1751</v>
      </c>
      <c r="B812" t="s">
        <v>4924</v>
      </c>
      <c r="C812" t="s">
        <v>1751</v>
      </c>
      <c r="D812">
        <v>20571966</v>
      </c>
      <c r="E812" t="s">
        <v>3128</v>
      </c>
      <c r="F812" t="s">
        <v>1782</v>
      </c>
      <c r="G812" t="s">
        <v>3129</v>
      </c>
      <c r="H812" t="s">
        <v>1252</v>
      </c>
      <c r="I812" t="s">
        <v>4070</v>
      </c>
      <c r="J812" s="455">
        <v>46206</v>
      </c>
      <c r="U812" s="455">
        <v>46241</v>
      </c>
    </row>
    <row r="813" spans="1:21">
      <c r="A813" t="s">
        <v>1751</v>
      </c>
      <c r="B813" t="s">
        <v>4925</v>
      </c>
      <c r="C813" t="s">
        <v>1751</v>
      </c>
      <c r="D813">
        <v>20596498</v>
      </c>
      <c r="E813" t="s">
        <v>3128</v>
      </c>
      <c r="F813" t="s">
        <v>1782</v>
      </c>
      <c r="G813" t="s">
        <v>3129</v>
      </c>
      <c r="H813" t="s">
        <v>1252</v>
      </c>
      <c r="J813" s="455">
        <v>46233</v>
      </c>
      <c r="U813" s="455">
        <v>46233</v>
      </c>
    </row>
    <row r="814" spans="1:21">
      <c r="A814" t="s">
        <v>1751</v>
      </c>
      <c r="B814" t="s">
        <v>4097</v>
      </c>
      <c r="C814" t="s">
        <v>1751</v>
      </c>
      <c r="D814">
        <v>20587699</v>
      </c>
      <c r="E814" t="s">
        <v>3128</v>
      </c>
      <c r="F814" t="s">
        <v>1782</v>
      </c>
      <c r="G814" t="s">
        <v>3129</v>
      </c>
      <c r="H814" t="s">
        <v>1252</v>
      </c>
      <c r="J814" s="455">
        <v>46223</v>
      </c>
      <c r="U814" s="455">
        <v>46223</v>
      </c>
    </row>
    <row r="815" spans="1:21">
      <c r="A815" t="s">
        <v>1751</v>
      </c>
      <c r="B815" t="s">
        <v>4926</v>
      </c>
      <c r="C815" t="s">
        <v>1751</v>
      </c>
      <c r="D815">
        <v>20573599</v>
      </c>
      <c r="E815" t="s">
        <v>3128</v>
      </c>
      <c r="F815" t="s">
        <v>1241</v>
      </c>
      <c r="G815" t="s">
        <v>3129</v>
      </c>
      <c r="H815" t="s">
        <v>3377</v>
      </c>
      <c r="J815" s="455">
        <v>46209</v>
      </c>
      <c r="U815" s="455">
        <v>46235</v>
      </c>
    </row>
    <row r="816" spans="1:21">
      <c r="A816" t="s">
        <v>1751</v>
      </c>
      <c r="B816" t="s">
        <v>4100</v>
      </c>
      <c r="C816" t="s">
        <v>1751</v>
      </c>
      <c r="D816">
        <v>20580344</v>
      </c>
      <c r="E816" t="s">
        <v>3128</v>
      </c>
      <c r="F816" t="s">
        <v>1782</v>
      </c>
      <c r="G816" t="s">
        <v>3129</v>
      </c>
      <c r="H816" t="s">
        <v>1252</v>
      </c>
      <c r="J816" s="455">
        <v>46216</v>
      </c>
      <c r="U816" s="455">
        <v>46216</v>
      </c>
    </row>
    <row r="817" spans="1:21">
      <c r="A817" t="s">
        <v>1751</v>
      </c>
      <c r="B817" t="s">
        <v>4102</v>
      </c>
      <c r="C817" t="s">
        <v>1751</v>
      </c>
      <c r="D817">
        <v>20587657</v>
      </c>
      <c r="E817" t="s">
        <v>3128</v>
      </c>
      <c r="F817" t="s">
        <v>1782</v>
      </c>
      <c r="G817" t="s">
        <v>3129</v>
      </c>
      <c r="H817" t="s">
        <v>3131</v>
      </c>
      <c r="J817" s="455">
        <v>46223</v>
      </c>
      <c r="U817" s="455">
        <v>46223</v>
      </c>
    </row>
    <row r="818" spans="1:21">
      <c r="A818" t="s">
        <v>1751</v>
      </c>
      <c r="B818" t="s">
        <v>4104</v>
      </c>
      <c r="C818" t="s">
        <v>1751</v>
      </c>
      <c r="D818">
        <v>20578108</v>
      </c>
      <c r="E818" t="s">
        <v>3128</v>
      </c>
      <c r="F818" t="s">
        <v>1782</v>
      </c>
      <c r="G818" t="s">
        <v>3129</v>
      </c>
      <c r="H818" t="s">
        <v>1253</v>
      </c>
      <c r="J818" s="455">
        <v>46213</v>
      </c>
      <c r="U818" s="455">
        <v>46213</v>
      </c>
    </row>
    <row r="819" spans="1:21">
      <c r="A819" t="s">
        <v>1751</v>
      </c>
      <c r="B819" t="s">
        <v>4927</v>
      </c>
      <c r="C819" t="s">
        <v>1751</v>
      </c>
      <c r="D819">
        <v>20595435</v>
      </c>
      <c r="E819" t="s">
        <v>3128</v>
      </c>
      <c r="F819" t="s">
        <v>1782</v>
      </c>
      <c r="G819" t="s">
        <v>3129</v>
      </c>
      <c r="H819" t="s">
        <v>1252</v>
      </c>
      <c r="J819" s="455">
        <v>46232</v>
      </c>
      <c r="U819" s="455">
        <v>46232</v>
      </c>
    </row>
    <row r="820" spans="1:21">
      <c r="A820" t="s">
        <v>1751</v>
      </c>
      <c r="B820" t="s">
        <v>4928</v>
      </c>
      <c r="C820" t="s">
        <v>1751</v>
      </c>
      <c r="D820">
        <v>20591719</v>
      </c>
      <c r="E820" t="s">
        <v>3128</v>
      </c>
      <c r="F820" t="s">
        <v>1241</v>
      </c>
      <c r="G820" t="s">
        <v>3129</v>
      </c>
      <c r="H820" t="s">
        <v>1252</v>
      </c>
      <c r="J820" s="455">
        <v>46227</v>
      </c>
      <c r="U820" s="455">
        <v>46227</v>
      </c>
    </row>
    <row r="821" spans="1:21">
      <c r="A821" t="s">
        <v>1751</v>
      </c>
      <c r="B821" t="s">
        <v>4110</v>
      </c>
      <c r="C821" t="s">
        <v>1751</v>
      </c>
      <c r="D821">
        <v>20593913</v>
      </c>
      <c r="E821" t="s">
        <v>3128</v>
      </c>
      <c r="F821" t="s">
        <v>1241</v>
      </c>
      <c r="G821" t="s">
        <v>3129</v>
      </c>
      <c r="H821" t="s">
        <v>3377</v>
      </c>
      <c r="J821" s="455">
        <v>46230</v>
      </c>
      <c r="U821" s="455">
        <v>46230</v>
      </c>
    </row>
    <row r="822" spans="1:21">
      <c r="A822" t="s">
        <v>1751</v>
      </c>
      <c r="B822" t="s">
        <v>4929</v>
      </c>
      <c r="C822" t="s">
        <v>1751</v>
      </c>
      <c r="D822">
        <v>20591642</v>
      </c>
      <c r="E822" t="s">
        <v>3128</v>
      </c>
      <c r="F822" t="s">
        <v>1782</v>
      </c>
      <c r="G822" t="s">
        <v>3129</v>
      </c>
      <c r="H822" t="s">
        <v>3487</v>
      </c>
      <c r="J822" s="455">
        <v>46227</v>
      </c>
      <c r="U822" s="455">
        <v>46227</v>
      </c>
    </row>
    <row r="823" spans="1:21">
      <c r="A823" t="s">
        <v>1751</v>
      </c>
      <c r="B823" t="s">
        <v>4930</v>
      </c>
      <c r="C823" t="s">
        <v>1751</v>
      </c>
      <c r="D823">
        <v>20583217</v>
      </c>
      <c r="E823" t="s">
        <v>3128</v>
      </c>
      <c r="F823" t="s">
        <v>1241</v>
      </c>
      <c r="G823" t="s">
        <v>3129</v>
      </c>
      <c r="H823" t="s">
        <v>1253</v>
      </c>
      <c r="J823" s="455">
        <v>46218</v>
      </c>
      <c r="U823" s="455">
        <v>46280</v>
      </c>
    </row>
    <row r="824" spans="1:21">
      <c r="A824" t="s">
        <v>1751</v>
      </c>
      <c r="B824" t="s">
        <v>4931</v>
      </c>
      <c r="C824" t="s">
        <v>1751</v>
      </c>
      <c r="D824">
        <v>20592180</v>
      </c>
      <c r="E824" t="s">
        <v>3128</v>
      </c>
      <c r="F824" t="s">
        <v>1782</v>
      </c>
      <c r="G824" t="s">
        <v>3129</v>
      </c>
      <c r="H824" t="s">
        <v>3131</v>
      </c>
      <c r="J824" s="455">
        <v>46228</v>
      </c>
      <c r="U824" s="455">
        <v>46266</v>
      </c>
    </row>
    <row r="825" spans="1:21">
      <c r="A825" t="s">
        <v>1751</v>
      </c>
      <c r="B825" t="s">
        <v>4932</v>
      </c>
      <c r="C825" t="s">
        <v>1751</v>
      </c>
      <c r="D825">
        <v>20577975</v>
      </c>
      <c r="E825" t="s">
        <v>3128</v>
      </c>
      <c r="F825" t="s">
        <v>1241</v>
      </c>
      <c r="G825" t="s">
        <v>3129</v>
      </c>
      <c r="H825" t="s">
        <v>3131</v>
      </c>
      <c r="J825" s="455">
        <v>46213</v>
      </c>
      <c r="U825" s="455">
        <v>46235</v>
      </c>
    </row>
    <row r="826" spans="1:21">
      <c r="A826" t="s">
        <v>1751</v>
      </c>
      <c r="B826" t="s">
        <v>4933</v>
      </c>
      <c r="C826" t="s">
        <v>1751</v>
      </c>
      <c r="D826">
        <v>20578840</v>
      </c>
      <c r="E826" t="s">
        <v>3128</v>
      </c>
      <c r="F826" t="s">
        <v>1241</v>
      </c>
      <c r="G826" t="s">
        <v>3129</v>
      </c>
      <c r="H826" t="s">
        <v>3131</v>
      </c>
      <c r="J826" s="455">
        <v>46214</v>
      </c>
      <c r="U826" s="455">
        <v>46214</v>
      </c>
    </row>
    <row r="827" spans="1:21">
      <c r="A827" t="s">
        <v>1751</v>
      </c>
      <c r="B827" t="s">
        <v>4934</v>
      </c>
      <c r="C827" t="s">
        <v>1751</v>
      </c>
      <c r="D827">
        <v>20596569</v>
      </c>
      <c r="E827" t="s">
        <v>3128</v>
      </c>
      <c r="F827" t="s">
        <v>1782</v>
      </c>
      <c r="G827" t="s">
        <v>3129</v>
      </c>
      <c r="H827" t="s">
        <v>1253</v>
      </c>
      <c r="J827" s="455">
        <v>46233</v>
      </c>
      <c r="U827" s="455">
        <v>46233</v>
      </c>
    </row>
    <row r="828" spans="1:21">
      <c r="A828" t="s">
        <v>1751</v>
      </c>
      <c r="B828" t="s">
        <v>4935</v>
      </c>
      <c r="C828" t="s">
        <v>1751</v>
      </c>
      <c r="D828">
        <v>20576027</v>
      </c>
      <c r="E828" t="s">
        <v>3128</v>
      </c>
      <c r="F828" t="s">
        <v>1782</v>
      </c>
      <c r="G828" t="s">
        <v>3129</v>
      </c>
      <c r="H828" t="s">
        <v>3377</v>
      </c>
      <c r="J828" s="455">
        <v>46211</v>
      </c>
      <c r="U828" s="455">
        <v>46211</v>
      </c>
    </row>
    <row r="829" spans="1:21">
      <c r="A829" t="s">
        <v>1751</v>
      </c>
      <c r="B829" t="s">
        <v>4936</v>
      </c>
      <c r="C829" t="s">
        <v>1751</v>
      </c>
      <c r="D829">
        <v>20592432</v>
      </c>
      <c r="E829" t="s">
        <v>3128</v>
      </c>
      <c r="F829" t="s">
        <v>1782</v>
      </c>
      <c r="G829" t="s">
        <v>3129</v>
      </c>
      <c r="H829" t="s">
        <v>1252</v>
      </c>
      <c r="J829" s="455">
        <v>46228</v>
      </c>
      <c r="U829" s="455">
        <v>46228</v>
      </c>
    </row>
    <row r="830" spans="1:21">
      <c r="A830" t="s">
        <v>1751</v>
      </c>
      <c r="B830" t="s">
        <v>4937</v>
      </c>
      <c r="C830" t="s">
        <v>1751</v>
      </c>
      <c r="D830">
        <v>20587523</v>
      </c>
      <c r="E830" t="s">
        <v>3128</v>
      </c>
      <c r="F830" t="s">
        <v>1782</v>
      </c>
      <c r="G830" t="s">
        <v>3129</v>
      </c>
      <c r="H830" t="s">
        <v>3377</v>
      </c>
      <c r="J830" s="455">
        <v>46223</v>
      </c>
      <c r="U830" s="455">
        <v>46223</v>
      </c>
    </row>
    <row r="831" spans="1:21">
      <c r="A831" t="s">
        <v>1751</v>
      </c>
      <c r="B831" t="s">
        <v>4938</v>
      </c>
      <c r="C831" t="s">
        <v>1751</v>
      </c>
      <c r="D831">
        <v>20595859</v>
      </c>
      <c r="E831" t="s">
        <v>3128</v>
      </c>
      <c r="F831" t="s">
        <v>1241</v>
      </c>
      <c r="G831" t="s">
        <v>3129</v>
      </c>
      <c r="H831" t="s">
        <v>1253</v>
      </c>
      <c r="J831" s="455">
        <v>46232</v>
      </c>
      <c r="U831" s="455">
        <v>46232</v>
      </c>
    </row>
    <row r="832" spans="1:21">
      <c r="A832" t="s">
        <v>1751</v>
      </c>
      <c r="B832" t="s">
        <v>4939</v>
      </c>
      <c r="C832" t="s">
        <v>1751</v>
      </c>
      <c r="D832">
        <v>20570175</v>
      </c>
      <c r="E832" t="s">
        <v>3128</v>
      </c>
      <c r="F832" t="s">
        <v>1241</v>
      </c>
      <c r="G832" t="s">
        <v>3129</v>
      </c>
      <c r="H832" t="s">
        <v>1252</v>
      </c>
      <c r="J832" s="455">
        <v>46204</v>
      </c>
      <c r="U832" s="455">
        <v>46204</v>
      </c>
    </row>
    <row r="833" spans="1:21">
      <c r="A833" t="s">
        <v>1751</v>
      </c>
      <c r="B833" t="s">
        <v>4940</v>
      </c>
      <c r="C833" t="s">
        <v>1751</v>
      </c>
      <c r="D833">
        <v>20572789</v>
      </c>
      <c r="E833" t="s">
        <v>3128</v>
      </c>
      <c r="F833" t="s">
        <v>1782</v>
      </c>
      <c r="G833" t="s">
        <v>3129</v>
      </c>
      <c r="H833" t="s">
        <v>1252</v>
      </c>
      <c r="J833" s="455">
        <v>46207</v>
      </c>
      <c r="U833" s="455">
        <v>46207</v>
      </c>
    </row>
    <row r="834" spans="1:21">
      <c r="A834" t="s">
        <v>1751</v>
      </c>
      <c r="B834" t="s">
        <v>4941</v>
      </c>
      <c r="C834" t="s">
        <v>1751</v>
      </c>
      <c r="D834">
        <v>20538010</v>
      </c>
      <c r="E834" t="s">
        <v>3190</v>
      </c>
      <c r="F834" t="s">
        <v>1782</v>
      </c>
      <c r="G834" t="s">
        <v>3129</v>
      </c>
      <c r="H834" t="s">
        <v>1253</v>
      </c>
      <c r="J834" s="455">
        <v>46170</v>
      </c>
      <c r="R834" s="455">
        <v>46218</v>
      </c>
      <c r="U834" s="455">
        <v>46170</v>
      </c>
    </row>
    <row r="835" spans="1:21">
      <c r="A835" t="s">
        <v>1751</v>
      </c>
      <c r="B835" t="s">
        <v>4127</v>
      </c>
      <c r="C835" t="s">
        <v>1751</v>
      </c>
      <c r="D835">
        <v>20588786</v>
      </c>
      <c r="E835" t="s">
        <v>3128</v>
      </c>
      <c r="F835" t="s">
        <v>1241</v>
      </c>
      <c r="G835" t="s">
        <v>3129</v>
      </c>
      <c r="H835" t="s">
        <v>1252</v>
      </c>
      <c r="J835" s="455">
        <v>46224</v>
      </c>
      <c r="U835" s="455">
        <v>46224</v>
      </c>
    </row>
    <row r="836" spans="1:21">
      <c r="A836" t="s">
        <v>1751</v>
      </c>
      <c r="B836" t="s">
        <v>4942</v>
      </c>
      <c r="C836" t="s">
        <v>1751</v>
      </c>
      <c r="D836">
        <v>20588783</v>
      </c>
      <c r="E836" t="s">
        <v>3128</v>
      </c>
      <c r="F836" t="s">
        <v>1241</v>
      </c>
      <c r="G836" t="s">
        <v>3129</v>
      </c>
      <c r="H836" t="s">
        <v>1253</v>
      </c>
      <c r="J836" s="455">
        <v>46224</v>
      </c>
      <c r="U836" s="455">
        <v>46224</v>
      </c>
    </row>
    <row r="837" spans="1:21">
      <c r="A837" t="s">
        <v>1751</v>
      </c>
      <c r="B837" t="s">
        <v>4943</v>
      </c>
      <c r="C837" t="s">
        <v>1751</v>
      </c>
      <c r="D837">
        <v>20585925</v>
      </c>
      <c r="E837" t="s">
        <v>3128</v>
      </c>
      <c r="F837" t="s">
        <v>1782</v>
      </c>
      <c r="G837" t="s">
        <v>3129</v>
      </c>
      <c r="H837" t="s">
        <v>1253</v>
      </c>
      <c r="J837" s="455">
        <v>46220</v>
      </c>
      <c r="U837" s="455">
        <v>46234</v>
      </c>
    </row>
    <row r="838" spans="1:21">
      <c r="A838" t="s">
        <v>1751</v>
      </c>
      <c r="B838" t="s">
        <v>4944</v>
      </c>
      <c r="C838" t="s">
        <v>1751</v>
      </c>
      <c r="D838">
        <v>20594066</v>
      </c>
      <c r="E838" t="s">
        <v>3128</v>
      </c>
      <c r="F838" t="s">
        <v>1782</v>
      </c>
      <c r="G838" t="s">
        <v>3129</v>
      </c>
      <c r="H838" t="s">
        <v>1252</v>
      </c>
      <c r="J838" s="455">
        <v>46230</v>
      </c>
      <c r="U838" s="455">
        <v>46230</v>
      </c>
    </row>
    <row r="839" spans="1:21">
      <c r="A839" t="s">
        <v>1751</v>
      </c>
      <c r="B839" t="s">
        <v>4945</v>
      </c>
      <c r="C839" t="s">
        <v>1751</v>
      </c>
      <c r="D839">
        <v>20583076</v>
      </c>
      <c r="E839" t="s">
        <v>3128</v>
      </c>
      <c r="F839" t="s">
        <v>3285</v>
      </c>
      <c r="G839" t="s">
        <v>3129</v>
      </c>
      <c r="H839" t="s">
        <v>1252</v>
      </c>
      <c r="J839" s="455">
        <v>46218</v>
      </c>
      <c r="U839" s="455">
        <v>46218</v>
      </c>
    </row>
    <row r="840" spans="1:21">
      <c r="A840" t="s">
        <v>1751</v>
      </c>
      <c r="B840" t="s">
        <v>4946</v>
      </c>
      <c r="C840" t="s">
        <v>1751</v>
      </c>
      <c r="D840">
        <v>20585869</v>
      </c>
      <c r="E840" t="s">
        <v>3128</v>
      </c>
      <c r="F840" t="s">
        <v>1782</v>
      </c>
      <c r="G840" t="s">
        <v>3129</v>
      </c>
      <c r="H840" t="s">
        <v>1252</v>
      </c>
      <c r="J840" s="455">
        <v>46220</v>
      </c>
      <c r="U840" s="455">
        <v>46235</v>
      </c>
    </row>
    <row r="841" spans="1:21">
      <c r="A841" t="s">
        <v>1751</v>
      </c>
      <c r="B841" t="s">
        <v>4947</v>
      </c>
      <c r="C841" t="s">
        <v>1751</v>
      </c>
      <c r="D841">
        <v>20594872</v>
      </c>
      <c r="E841" t="s">
        <v>3128</v>
      </c>
      <c r="F841" t="s">
        <v>1241</v>
      </c>
      <c r="G841" t="s">
        <v>3129</v>
      </c>
      <c r="H841" t="s">
        <v>1252</v>
      </c>
      <c r="J841" s="455">
        <v>46231</v>
      </c>
      <c r="U841" s="455">
        <v>46231</v>
      </c>
    </row>
    <row r="842" spans="1:21">
      <c r="A842" t="s">
        <v>1751</v>
      </c>
      <c r="B842" t="s">
        <v>4948</v>
      </c>
      <c r="C842" t="s">
        <v>1751</v>
      </c>
      <c r="D842">
        <v>20593393</v>
      </c>
      <c r="E842" t="s">
        <v>3128</v>
      </c>
      <c r="F842" t="s">
        <v>1241</v>
      </c>
      <c r="G842" t="s">
        <v>3129</v>
      </c>
      <c r="H842" t="s">
        <v>3131</v>
      </c>
      <c r="J842" s="455">
        <v>46230</v>
      </c>
      <c r="U842" s="455">
        <v>46230</v>
      </c>
    </row>
    <row r="843" spans="1:21">
      <c r="A843" t="s">
        <v>1751</v>
      </c>
      <c r="B843" t="s">
        <v>4949</v>
      </c>
      <c r="C843" t="s">
        <v>1751</v>
      </c>
      <c r="D843">
        <v>20590607</v>
      </c>
      <c r="E843" t="s">
        <v>3128</v>
      </c>
      <c r="F843" t="s">
        <v>1241</v>
      </c>
      <c r="G843" t="s">
        <v>3129</v>
      </c>
      <c r="H843" t="s">
        <v>1253</v>
      </c>
      <c r="J843" s="455">
        <v>46226</v>
      </c>
      <c r="U843" s="455">
        <v>46226</v>
      </c>
    </row>
    <row r="844" spans="1:21">
      <c r="A844" t="s">
        <v>1751</v>
      </c>
      <c r="B844" t="s">
        <v>4950</v>
      </c>
      <c r="C844" t="s">
        <v>1751</v>
      </c>
      <c r="D844">
        <v>20592205</v>
      </c>
      <c r="E844" t="s">
        <v>3128</v>
      </c>
      <c r="F844" t="s">
        <v>1782</v>
      </c>
      <c r="G844" t="s">
        <v>3129</v>
      </c>
      <c r="H844" t="s">
        <v>1253</v>
      </c>
      <c r="J844" s="455">
        <v>46228</v>
      </c>
      <c r="U844" s="455">
        <v>46228</v>
      </c>
    </row>
    <row r="845" spans="1:21">
      <c r="A845" t="s">
        <v>1751</v>
      </c>
      <c r="B845" t="s">
        <v>4144</v>
      </c>
      <c r="C845" t="s">
        <v>1751</v>
      </c>
      <c r="D845">
        <v>20586356</v>
      </c>
      <c r="E845" t="s">
        <v>3128</v>
      </c>
      <c r="F845" t="s">
        <v>1782</v>
      </c>
      <c r="G845" t="s">
        <v>3129</v>
      </c>
      <c r="H845" t="s">
        <v>1252</v>
      </c>
      <c r="J845" s="455">
        <v>46221</v>
      </c>
      <c r="U845" s="455">
        <v>46221</v>
      </c>
    </row>
    <row r="846" spans="1:21">
      <c r="A846" t="s">
        <v>1751</v>
      </c>
      <c r="B846" t="s">
        <v>4951</v>
      </c>
      <c r="C846" t="s">
        <v>1751</v>
      </c>
      <c r="D846">
        <v>20591635</v>
      </c>
      <c r="E846" t="s">
        <v>3128</v>
      </c>
      <c r="F846" t="s">
        <v>1241</v>
      </c>
      <c r="G846" t="s">
        <v>3129</v>
      </c>
      <c r="H846" t="s">
        <v>1253</v>
      </c>
      <c r="J846" s="455">
        <v>46227</v>
      </c>
      <c r="U846" s="455">
        <v>46227</v>
      </c>
    </row>
    <row r="847" spans="1:21">
      <c r="A847" t="s">
        <v>1751</v>
      </c>
      <c r="B847" t="s">
        <v>4952</v>
      </c>
      <c r="C847" t="s">
        <v>1751</v>
      </c>
      <c r="D847">
        <v>20577807</v>
      </c>
      <c r="E847" t="s">
        <v>3128</v>
      </c>
      <c r="F847" t="s">
        <v>1782</v>
      </c>
      <c r="G847" t="s">
        <v>3129</v>
      </c>
      <c r="H847" t="s">
        <v>3377</v>
      </c>
      <c r="J847" s="455">
        <v>46213</v>
      </c>
      <c r="U847" s="455">
        <v>46213</v>
      </c>
    </row>
    <row r="848" spans="1:21">
      <c r="A848" t="s">
        <v>1751</v>
      </c>
      <c r="B848" t="s">
        <v>4953</v>
      </c>
      <c r="C848" t="s">
        <v>1751</v>
      </c>
      <c r="D848">
        <v>20596835</v>
      </c>
      <c r="E848" t="s">
        <v>3128</v>
      </c>
      <c r="F848" t="s">
        <v>1241</v>
      </c>
      <c r="G848" t="s">
        <v>3129</v>
      </c>
      <c r="H848" t="s">
        <v>1252</v>
      </c>
      <c r="J848" s="455">
        <v>46233</v>
      </c>
      <c r="U848" s="455">
        <v>46233</v>
      </c>
    </row>
    <row r="849" spans="1:21">
      <c r="A849" t="s">
        <v>1751</v>
      </c>
      <c r="B849" t="s">
        <v>4954</v>
      </c>
      <c r="C849" t="s">
        <v>1751</v>
      </c>
      <c r="D849">
        <v>20591685</v>
      </c>
      <c r="E849" t="s">
        <v>3128</v>
      </c>
      <c r="F849" t="s">
        <v>1241</v>
      </c>
      <c r="G849" t="s">
        <v>3137</v>
      </c>
      <c r="H849" t="s">
        <v>1247</v>
      </c>
      <c r="J849" s="455">
        <v>46227</v>
      </c>
      <c r="U849" s="455">
        <v>46246</v>
      </c>
    </row>
    <row r="850" spans="1:21">
      <c r="A850" t="s">
        <v>1751</v>
      </c>
      <c r="B850" t="s">
        <v>4955</v>
      </c>
      <c r="C850" t="s">
        <v>1751</v>
      </c>
      <c r="D850">
        <v>20570428</v>
      </c>
      <c r="E850" t="s">
        <v>3128</v>
      </c>
      <c r="F850" t="s">
        <v>1241</v>
      </c>
      <c r="G850" t="s">
        <v>3129</v>
      </c>
      <c r="H850" t="s">
        <v>1252</v>
      </c>
      <c r="J850" s="455">
        <v>46204</v>
      </c>
      <c r="U850" s="455">
        <v>46204</v>
      </c>
    </row>
    <row r="851" spans="1:21">
      <c r="A851" t="s">
        <v>1751</v>
      </c>
      <c r="B851" t="s">
        <v>4956</v>
      </c>
      <c r="C851" t="s">
        <v>1751</v>
      </c>
      <c r="D851">
        <v>20596306</v>
      </c>
      <c r="E851" t="s">
        <v>3128</v>
      </c>
      <c r="F851" t="s">
        <v>1782</v>
      </c>
      <c r="G851" t="s">
        <v>3129</v>
      </c>
      <c r="H851" t="s">
        <v>1253</v>
      </c>
      <c r="J851" s="455">
        <v>46233</v>
      </c>
      <c r="U851" s="455">
        <v>46233</v>
      </c>
    </row>
    <row r="852" spans="1:21">
      <c r="A852" t="s">
        <v>1751</v>
      </c>
      <c r="B852" t="s">
        <v>4957</v>
      </c>
      <c r="C852" t="s">
        <v>1751</v>
      </c>
      <c r="D852">
        <v>20592506</v>
      </c>
      <c r="E852" t="s">
        <v>3128</v>
      </c>
      <c r="F852" t="s">
        <v>1782</v>
      </c>
      <c r="G852" t="s">
        <v>3129</v>
      </c>
      <c r="H852" t="s">
        <v>3131</v>
      </c>
      <c r="J852" s="455">
        <v>46228</v>
      </c>
      <c r="U852" s="455">
        <v>46228</v>
      </c>
    </row>
    <row r="853" spans="1:21">
      <c r="A853" t="s">
        <v>1751</v>
      </c>
      <c r="B853" t="s">
        <v>4958</v>
      </c>
      <c r="C853" t="s">
        <v>1751</v>
      </c>
      <c r="D853">
        <v>20576324</v>
      </c>
      <c r="E853" t="s">
        <v>3128</v>
      </c>
      <c r="F853" t="s">
        <v>1241</v>
      </c>
      <c r="G853" t="s">
        <v>3129</v>
      </c>
      <c r="H853" t="s">
        <v>3131</v>
      </c>
      <c r="J853" s="455">
        <v>46211</v>
      </c>
      <c r="U853" s="455">
        <v>46211</v>
      </c>
    </row>
    <row r="854" spans="1:21">
      <c r="A854" t="s">
        <v>1751</v>
      </c>
      <c r="B854" t="s">
        <v>4959</v>
      </c>
      <c r="C854" t="s">
        <v>1751</v>
      </c>
      <c r="D854">
        <v>20591634</v>
      </c>
      <c r="E854" t="s">
        <v>3128</v>
      </c>
      <c r="F854" t="s">
        <v>1241</v>
      </c>
      <c r="G854" t="s">
        <v>3129</v>
      </c>
      <c r="H854" t="s">
        <v>1253</v>
      </c>
      <c r="J854" s="455">
        <v>46227</v>
      </c>
      <c r="U854" s="455">
        <v>46227</v>
      </c>
    </row>
    <row r="855" spans="1:21">
      <c r="A855" t="s">
        <v>1751</v>
      </c>
      <c r="B855" t="s">
        <v>4960</v>
      </c>
      <c r="C855" t="s">
        <v>1751</v>
      </c>
      <c r="D855">
        <v>20578799</v>
      </c>
      <c r="E855" t="s">
        <v>3128</v>
      </c>
      <c r="F855" t="s">
        <v>1241</v>
      </c>
      <c r="G855" t="s">
        <v>3129</v>
      </c>
      <c r="H855" t="s">
        <v>1253</v>
      </c>
      <c r="J855" s="455">
        <v>46214</v>
      </c>
      <c r="U855" s="455">
        <v>46214</v>
      </c>
    </row>
    <row r="856" spans="1:21">
      <c r="A856" t="s">
        <v>1751</v>
      </c>
      <c r="B856" t="s">
        <v>4961</v>
      </c>
      <c r="C856" t="s">
        <v>1751</v>
      </c>
      <c r="D856">
        <v>20573111</v>
      </c>
      <c r="E856" t="s">
        <v>3128</v>
      </c>
      <c r="F856" t="s">
        <v>1782</v>
      </c>
      <c r="G856" t="s">
        <v>3129</v>
      </c>
      <c r="H856" t="s">
        <v>1252</v>
      </c>
      <c r="J856" s="455">
        <v>46208</v>
      </c>
      <c r="U856" s="455">
        <v>46215</v>
      </c>
    </row>
    <row r="857" spans="1:21">
      <c r="A857" t="s">
        <v>1751</v>
      </c>
      <c r="B857" t="s">
        <v>4962</v>
      </c>
      <c r="C857" t="s">
        <v>1751</v>
      </c>
      <c r="D857">
        <v>20593880</v>
      </c>
      <c r="E857" t="s">
        <v>3128</v>
      </c>
      <c r="F857" t="s">
        <v>1782</v>
      </c>
      <c r="G857" t="s">
        <v>3129</v>
      </c>
      <c r="H857" t="s">
        <v>3377</v>
      </c>
      <c r="J857" s="455">
        <v>46230</v>
      </c>
      <c r="U857" s="455">
        <v>46230</v>
      </c>
    </row>
    <row r="858" spans="1:21">
      <c r="A858" t="s">
        <v>1751</v>
      </c>
      <c r="B858" t="s">
        <v>4963</v>
      </c>
      <c r="C858" t="s">
        <v>1751</v>
      </c>
      <c r="D858">
        <v>20586194</v>
      </c>
      <c r="E858" t="s">
        <v>3128</v>
      </c>
      <c r="F858" t="s">
        <v>1782</v>
      </c>
      <c r="G858" t="s">
        <v>3129</v>
      </c>
      <c r="H858" t="s">
        <v>1252</v>
      </c>
      <c r="J858" s="455">
        <v>46221</v>
      </c>
      <c r="U858" s="455">
        <v>46221</v>
      </c>
    </row>
    <row r="859" spans="1:21">
      <c r="A859" t="s">
        <v>1751</v>
      </c>
      <c r="B859" t="s">
        <v>4964</v>
      </c>
      <c r="C859" t="s">
        <v>1751</v>
      </c>
      <c r="D859">
        <v>20597261</v>
      </c>
      <c r="E859" t="s">
        <v>3128</v>
      </c>
      <c r="F859" t="s">
        <v>1782</v>
      </c>
      <c r="G859" t="s">
        <v>3129</v>
      </c>
      <c r="H859" t="s">
        <v>1252</v>
      </c>
      <c r="J859" s="455">
        <v>46234</v>
      </c>
      <c r="U859" s="455">
        <v>46309</v>
      </c>
    </row>
    <row r="860" spans="1:21">
      <c r="A860" t="s">
        <v>1751</v>
      </c>
      <c r="B860" t="s">
        <v>4965</v>
      </c>
      <c r="C860" t="s">
        <v>1751</v>
      </c>
      <c r="D860">
        <v>20590740</v>
      </c>
      <c r="E860" t="s">
        <v>3128</v>
      </c>
      <c r="F860" t="s">
        <v>1782</v>
      </c>
      <c r="G860" t="s">
        <v>3129</v>
      </c>
      <c r="H860" t="s">
        <v>3131</v>
      </c>
      <c r="J860" s="455">
        <v>46226</v>
      </c>
      <c r="U860" s="455">
        <v>46226</v>
      </c>
    </row>
    <row r="861" spans="1:21">
      <c r="A861" t="s">
        <v>1751</v>
      </c>
      <c r="B861" t="s">
        <v>4966</v>
      </c>
      <c r="C861" t="s">
        <v>1751</v>
      </c>
      <c r="D861">
        <v>20595345</v>
      </c>
      <c r="E861" t="s">
        <v>3128</v>
      </c>
      <c r="F861" t="s">
        <v>1241</v>
      </c>
      <c r="G861" t="s">
        <v>3129</v>
      </c>
      <c r="H861" t="s">
        <v>1253</v>
      </c>
      <c r="J861" s="455">
        <v>46232</v>
      </c>
      <c r="U861" s="455">
        <v>46296</v>
      </c>
    </row>
    <row r="862" spans="1:21">
      <c r="A862" t="s">
        <v>1751</v>
      </c>
      <c r="B862" t="s">
        <v>4967</v>
      </c>
      <c r="C862" t="s">
        <v>1751</v>
      </c>
      <c r="D862">
        <v>20596348</v>
      </c>
      <c r="E862" t="s">
        <v>3128</v>
      </c>
      <c r="F862" t="s">
        <v>1241</v>
      </c>
      <c r="G862" t="s">
        <v>3129</v>
      </c>
      <c r="H862" t="s">
        <v>3377</v>
      </c>
      <c r="J862" s="455">
        <v>46233</v>
      </c>
      <c r="U862" s="455">
        <v>46233</v>
      </c>
    </row>
    <row r="863" spans="1:21">
      <c r="A863" t="s">
        <v>1751</v>
      </c>
      <c r="B863" t="s">
        <v>4968</v>
      </c>
      <c r="C863" t="s">
        <v>1751</v>
      </c>
      <c r="D863">
        <v>20572049</v>
      </c>
      <c r="E863" t="s">
        <v>3128</v>
      </c>
      <c r="F863" t="s">
        <v>1782</v>
      </c>
      <c r="G863" t="s">
        <v>3129</v>
      </c>
      <c r="H863" t="s">
        <v>3131</v>
      </c>
      <c r="J863" s="455">
        <v>46206</v>
      </c>
      <c r="U863" s="455">
        <v>46206</v>
      </c>
    </row>
    <row r="864" spans="1:21">
      <c r="A864" t="s">
        <v>1751</v>
      </c>
      <c r="B864" t="s">
        <v>4969</v>
      </c>
      <c r="C864" t="s">
        <v>1751</v>
      </c>
      <c r="D864">
        <v>20571122</v>
      </c>
      <c r="E864" t="s">
        <v>3128</v>
      </c>
      <c r="F864" t="s">
        <v>1241</v>
      </c>
      <c r="G864" t="s">
        <v>2009</v>
      </c>
      <c r="H864" t="s">
        <v>3131</v>
      </c>
      <c r="I864" t="s">
        <v>2537</v>
      </c>
      <c r="J864" s="455">
        <v>46205</v>
      </c>
      <c r="U864" s="455">
        <v>46205</v>
      </c>
    </row>
    <row r="865" spans="1:21">
      <c r="A865" t="s">
        <v>1751</v>
      </c>
      <c r="B865" t="s">
        <v>4970</v>
      </c>
      <c r="C865" t="s">
        <v>1751</v>
      </c>
      <c r="D865">
        <v>20591644</v>
      </c>
      <c r="E865" t="s">
        <v>3128</v>
      </c>
      <c r="F865" t="s">
        <v>1782</v>
      </c>
      <c r="G865" t="s">
        <v>3129</v>
      </c>
      <c r="H865" t="s">
        <v>3131</v>
      </c>
      <c r="J865" s="455">
        <v>46227</v>
      </c>
      <c r="U865" s="455">
        <v>46227</v>
      </c>
    </row>
    <row r="866" spans="1:21">
      <c r="A866" t="s">
        <v>1751</v>
      </c>
      <c r="B866" t="s">
        <v>4971</v>
      </c>
      <c r="C866" t="s">
        <v>1751</v>
      </c>
      <c r="D866">
        <v>20571631</v>
      </c>
      <c r="E866" t="s">
        <v>3128</v>
      </c>
      <c r="F866" t="s">
        <v>1782</v>
      </c>
      <c r="G866" t="s">
        <v>3129</v>
      </c>
      <c r="H866" t="s">
        <v>1253</v>
      </c>
      <c r="J866" s="455">
        <v>46205</v>
      </c>
      <c r="U866" s="455">
        <v>46205</v>
      </c>
    </row>
    <row r="867" spans="1:21">
      <c r="A867" t="s">
        <v>1751</v>
      </c>
      <c r="B867" t="s">
        <v>4972</v>
      </c>
      <c r="C867" t="s">
        <v>1751</v>
      </c>
      <c r="D867">
        <v>20597572</v>
      </c>
      <c r="E867" t="s">
        <v>3128</v>
      </c>
      <c r="F867" t="s">
        <v>1241</v>
      </c>
      <c r="G867" t="s">
        <v>3129</v>
      </c>
      <c r="H867" t="s">
        <v>3131</v>
      </c>
      <c r="J867" s="455">
        <v>46234</v>
      </c>
      <c r="U867" s="455">
        <v>46234</v>
      </c>
    </row>
    <row r="868" spans="1:21">
      <c r="A868" t="s">
        <v>1751</v>
      </c>
      <c r="B868" t="s">
        <v>4973</v>
      </c>
      <c r="C868" t="s">
        <v>1751</v>
      </c>
      <c r="D868">
        <v>20579778</v>
      </c>
      <c r="E868" t="s">
        <v>3128</v>
      </c>
      <c r="F868" t="s">
        <v>1782</v>
      </c>
      <c r="G868" t="s">
        <v>3129</v>
      </c>
      <c r="H868" t="s">
        <v>1252</v>
      </c>
      <c r="J868" s="455">
        <v>46216</v>
      </c>
      <c r="U868" s="455">
        <v>46235</v>
      </c>
    </row>
    <row r="869" spans="1:21">
      <c r="A869" t="s">
        <v>1751</v>
      </c>
      <c r="B869" t="s">
        <v>4179</v>
      </c>
      <c r="C869" t="s">
        <v>1751</v>
      </c>
      <c r="D869">
        <v>20592472</v>
      </c>
      <c r="E869" t="s">
        <v>3128</v>
      </c>
      <c r="F869" t="s">
        <v>1782</v>
      </c>
      <c r="G869" t="s">
        <v>3129</v>
      </c>
      <c r="H869" t="s">
        <v>3131</v>
      </c>
      <c r="J869" s="455">
        <v>46228</v>
      </c>
      <c r="U869" s="455">
        <v>46228</v>
      </c>
    </row>
    <row r="870" spans="1:21">
      <c r="A870" t="s">
        <v>1751</v>
      </c>
      <c r="B870" t="s">
        <v>4179</v>
      </c>
      <c r="C870" t="s">
        <v>1751</v>
      </c>
      <c r="D870">
        <v>20579810</v>
      </c>
      <c r="E870" t="s">
        <v>3128</v>
      </c>
      <c r="F870" t="s">
        <v>1241</v>
      </c>
      <c r="G870" t="s">
        <v>3129</v>
      </c>
      <c r="H870" t="s">
        <v>3131</v>
      </c>
      <c r="J870" s="455">
        <v>46216</v>
      </c>
      <c r="U870" s="455">
        <v>46216</v>
      </c>
    </row>
    <row r="871" spans="1:21">
      <c r="A871" t="s">
        <v>1751</v>
      </c>
      <c r="B871" t="s">
        <v>4179</v>
      </c>
      <c r="C871" t="s">
        <v>1751</v>
      </c>
      <c r="D871">
        <v>20587556</v>
      </c>
      <c r="E871" t="s">
        <v>3128</v>
      </c>
      <c r="F871" t="s">
        <v>1782</v>
      </c>
      <c r="G871" t="s">
        <v>3129</v>
      </c>
      <c r="H871" t="s">
        <v>1253</v>
      </c>
      <c r="J871" s="455">
        <v>46223</v>
      </c>
      <c r="U871" s="455">
        <v>46223</v>
      </c>
    </row>
    <row r="872" spans="1:21">
      <c r="A872" t="s">
        <v>1751</v>
      </c>
      <c r="B872" t="s">
        <v>4179</v>
      </c>
      <c r="C872" t="s">
        <v>1751</v>
      </c>
      <c r="D872">
        <v>20589891</v>
      </c>
      <c r="E872" t="s">
        <v>3128</v>
      </c>
      <c r="F872" t="s">
        <v>1241</v>
      </c>
      <c r="G872" t="s">
        <v>3129</v>
      </c>
      <c r="H872" t="s">
        <v>1252</v>
      </c>
      <c r="J872" s="455">
        <v>46225</v>
      </c>
      <c r="U872" s="455">
        <v>46225</v>
      </c>
    </row>
    <row r="873" spans="1:21">
      <c r="A873" t="s">
        <v>1751</v>
      </c>
      <c r="B873" t="s">
        <v>4179</v>
      </c>
      <c r="C873" t="s">
        <v>1751</v>
      </c>
      <c r="D873">
        <v>20594748</v>
      </c>
      <c r="E873" t="s">
        <v>3128</v>
      </c>
      <c r="F873" t="s">
        <v>1241</v>
      </c>
      <c r="G873" t="s">
        <v>3129</v>
      </c>
      <c r="H873" t="s">
        <v>1253</v>
      </c>
      <c r="J873" s="455">
        <v>46231</v>
      </c>
      <c r="U873" s="455">
        <v>46231</v>
      </c>
    </row>
    <row r="874" spans="1:21">
      <c r="A874" t="s">
        <v>1751</v>
      </c>
      <c r="B874" t="s">
        <v>4179</v>
      </c>
      <c r="C874" t="s">
        <v>1751</v>
      </c>
      <c r="D874">
        <v>20572055</v>
      </c>
      <c r="E874" t="s">
        <v>3128</v>
      </c>
      <c r="F874" t="s">
        <v>1782</v>
      </c>
      <c r="G874" t="s">
        <v>3129</v>
      </c>
      <c r="H874" t="s">
        <v>1252</v>
      </c>
      <c r="J874" s="455">
        <v>46206</v>
      </c>
      <c r="U874" s="455">
        <v>46235</v>
      </c>
    </row>
    <row r="875" spans="1:21">
      <c r="A875" t="s">
        <v>1751</v>
      </c>
      <c r="B875" t="s">
        <v>4179</v>
      </c>
      <c r="C875" t="s">
        <v>1751</v>
      </c>
      <c r="D875">
        <v>20572038</v>
      </c>
      <c r="E875" t="s">
        <v>3128</v>
      </c>
      <c r="F875" t="s">
        <v>1782</v>
      </c>
      <c r="G875" t="s">
        <v>3129</v>
      </c>
      <c r="H875" t="s">
        <v>3377</v>
      </c>
      <c r="J875" s="455">
        <v>46206</v>
      </c>
      <c r="U875" s="455">
        <v>46206</v>
      </c>
    </row>
    <row r="876" spans="1:21">
      <c r="A876" t="s">
        <v>1751</v>
      </c>
      <c r="B876" t="s">
        <v>4179</v>
      </c>
      <c r="C876" t="s">
        <v>1751</v>
      </c>
      <c r="D876">
        <v>20570622</v>
      </c>
      <c r="E876" t="s">
        <v>3128</v>
      </c>
      <c r="F876" t="s">
        <v>1241</v>
      </c>
      <c r="G876" t="s">
        <v>3129</v>
      </c>
      <c r="H876" t="s">
        <v>3131</v>
      </c>
      <c r="J876" s="455">
        <v>46204</v>
      </c>
      <c r="U876" s="455">
        <v>46204</v>
      </c>
    </row>
    <row r="877" spans="1:21">
      <c r="A877" t="s">
        <v>1751</v>
      </c>
      <c r="B877" t="s">
        <v>4179</v>
      </c>
      <c r="C877" t="s">
        <v>1751</v>
      </c>
      <c r="D877">
        <v>20590291</v>
      </c>
      <c r="E877" t="s">
        <v>3128</v>
      </c>
      <c r="F877" t="s">
        <v>1782</v>
      </c>
      <c r="G877" t="s">
        <v>3141</v>
      </c>
      <c r="H877" t="s">
        <v>1247</v>
      </c>
      <c r="J877" s="455">
        <v>46225</v>
      </c>
      <c r="U877" s="455">
        <v>46266</v>
      </c>
    </row>
    <row r="878" spans="1:21">
      <c r="A878" t="s">
        <v>1751</v>
      </c>
      <c r="B878" t="s">
        <v>4179</v>
      </c>
      <c r="C878" t="s">
        <v>1751</v>
      </c>
      <c r="D878">
        <v>20570425</v>
      </c>
      <c r="E878" t="s">
        <v>3128</v>
      </c>
      <c r="F878" t="s">
        <v>1782</v>
      </c>
      <c r="G878" t="s">
        <v>3129</v>
      </c>
      <c r="H878" t="s">
        <v>1252</v>
      </c>
      <c r="J878" s="455">
        <v>46204</v>
      </c>
      <c r="U878" s="455">
        <v>46204</v>
      </c>
    </row>
    <row r="879" spans="1:21">
      <c r="A879" t="s">
        <v>1751</v>
      </c>
      <c r="B879" t="s">
        <v>4179</v>
      </c>
      <c r="C879" t="s">
        <v>1751</v>
      </c>
      <c r="D879">
        <v>20582641</v>
      </c>
      <c r="E879" t="s">
        <v>3128</v>
      </c>
      <c r="F879" t="s">
        <v>1241</v>
      </c>
      <c r="G879" t="s">
        <v>3129</v>
      </c>
      <c r="H879" t="s">
        <v>1253</v>
      </c>
      <c r="J879" s="455">
        <v>46218</v>
      </c>
      <c r="U879" s="455">
        <v>46218</v>
      </c>
    </row>
    <row r="880" spans="1:21">
      <c r="A880" t="s">
        <v>1751</v>
      </c>
      <c r="B880" t="s">
        <v>4179</v>
      </c>
      <c r="C880" t="s">
        <v>1751</v>
      </c>
      <c r="D880">
        <v>20570294</v>
      </c>
      <c r="E880" t="s">
        <v>3128</v>
      </c>
      <c r="F880" t="s">
        <v>1782</v>
      </c>
      <c r="G880" t="s">
        <v>3129</v>
      </c>
      <c r="H880" t="s">
        <v>1252</v>
      </c>
      <c r="J880" s="455">
        <v>46204</v>
      </c>
      <c r="U880" s="455">
        <v>46204</v>
      </c>
    </row>
    <row r="881" spans="1:21">
      <c r="A881" t="s">
        <v>1751</v>
      </c>
      <c r="B881" t="s">
        <v>4179</v>
      </c>
      <c r="C881" t="s">
        <v>1751</v>
      </c>
      <c r="D881">
        <v>20576023</v>
      </c>
      <c r="E881" t="s">
        <v>3128</v>
      </c>
      <c r="F881" t="s">
        <v>1782</v>
      </c>
      <c r="G881" t="s">
        <v>3129</v>
      </c>
      <c r="H881" t="s">
        <v>1252</v>
      </c>
      <c r="J881" s="455">
        <v>46211</v>
      </c>
      <c r="U881" s="455">
        <v>46211</v>
      </c>
    </row>
    <row r="882" spans="1:21">
      <c r="A882" t="s">
        <v>1751</v>
      </c>
      <c r="B882" t="s">
        <v>4179</v>
      </c>
      <c r="C882" t="s">
        <v>1751</v>
      </c>
      <c r="D882">
        <v>20576004</v>
      </c>
      <c r="E882" t="s">
        <v>3128</v>
      </c>
      <c r="F882" t="s">
        <v>1782</v>
      </c>
      <c r="G882" t="s">
        <v>3129</v>
      </c>
      <c r="H882" t="s">
        <v>1252</v>
      </c>
      <c r="J882" s="455">
        <v>46211</v>
      </c>
      <c r="U882" s="455">
        <v>46211</v>
      </c>
    </row>
    <row r="883" spans="1:21">
      <c r="A883" t="s">
        <v>1751</v>
      </c>
      <c r="B883" t="s">
        <v>4179</v>
      </c>
      <c r="C883" t="s">
        <v>1751</v>
      </c>
      <c r="D883">
        <v>20592217</v>
      </c>
      <c r="E883" t="s">
        <v>3128</v>
      </c>
      <c r="F883" t="s">
        <v>1241</v>
      </c>
      <c r="G883" t="s">
        <v>3129</v>
      </c>
      <c r="H883" t="s">
        <v>3131</v>
      </c>
      <c r="J883" s="455">
        <v>46228</v>
      </c>
      <c r="U883" s="455">
        <v>46228</v>
      </c>
    </row>
    <row r="884" spans="1:21">
      <c r="A884" t="s">
        <v>1751</v>
      </c>
      <c r="B884" t="s">
        <v>4179</v>
      </c>
      <c r="C884" t="s">
        <v>1751</v>
      </c>
      <c r="D884">
        <v>20570218</v>
      </c>
      <c r="E884" t="s">
        <v>3128</v>
      </c>
      <c r="F884" t="s">
        <v>1241</v>
      </c>
      <c r="G884" t="s">
        <v>3129</v>
      </c>
      <c r="H884" t="s">
        <v>1253</v>
      </c>
      <c r="J884" s="455">
        <v>46204</v>
      </c>
      <c r="U884" s="455">
        <v>46204</v>
      </c>
    </row>
    <row r="885" spans="1:21">
      <c r="A885" t="s">
        <v>1751</v>
      </c>
      <c r="B885" t="s">
        <v>4179</v>
      </c>
      <c r="C885" t="s">
        <v>1751</v>
      </c>
      <c r="D885">
        <v>20571116</v>
      </c>
      <c r="E885" t="s">
        <v>3128</v>
      </c>
      <c r="F885" t="s">
        <v>1241</v>
      </c>
      <c r="G885" t="s">
        <v>3129</v>
      </c>
      <c r="H885" t="s">
        <v>1253</v>
      </c>
      <c r="J885" s="455">
        <v>46205</v>
      </c>
      <c r="U885" s="455">
        <v>46205</v>
      </c>
    </row>
    <row r="886" spans="1:21">
      <c r="A886" t="s">
        <v>1751</v>
      </c>
      <c r="B886" t="s">
        <v>4179</v>
      </c>
      <c r="C886" t="s">
        <v>1751</v>
      </c>
      <c r="D886">
        <v>20588771</v>
      </c>
      <c r="E886" t="s">
        <v>3128</v>
      </c>
      <c r="F886" t="s">
        <v>1241</v>
      </c>
      <c r="G886" t="s">
        <v>3129</v>
      </c>
      <c r="H886" t="s">
        <v>3131</v>
      </c>
      <c r="J886" s="455">
        <v>46224</v>
      </c>
      <c r="U886" s="455">
        <v>46224</v>
      </c>
    </row>
    <row r="887" spans="1:21">
      <c r="A887" t="s">
        <v>1751</v>
      </c>
      <c r="B887" t="s">
        <v>4179</v>
      </c>
      <c r="C887" t="s">
        <v>1751</v>
      </c>
      <c r="D887">
        <v>20591875</v>
      </c>
      <c r="E887" t="s">
        <v>3128</v>
      </c>
      <c r="F887" t="s">
        <v>1241</v>
      </c>
      <c r="G887" t="s">
        <v>3129</v>
      </c>
      <c r="H887" t="s">
        <v>1252</v>
      </c>
      <c r="J887" s="455">
        <v>46227</v>
      </c>
      <c r="U887" s="455">
        <v>46227</v>
      </c>
    </row>
    <row r="888" spans="1:21">
      <c r="A888" t="s">
        <v>1751</v>
      </c>
      <c r="B888" t="s">
        <v>4179</v>
      </c>
      <c r="C888" t="s">
        <v>1751</v>
      </c>
      <c r="D888">
        <v>20574817</v>
      </c>
      <c r="E888" t="s">
        <v>3128</v>
      </c>
      <c r="F888" t="s">
        <v>1241</v>
      </c>
      <c r="G888" t="s">
        <v>3129</v>
      </c>
      <c r="H888" t="s">
        <v>1252</v>
      </c>
      <c r="J888" s="455">
        <v>46210</v>
      </c>
      <c r="U888" s="455">
        <v>46210</v>
      </c>
    </row>
    <row r="889" spans="1:21">
      <c r="A889" t="s">
        <v>1751</v>
      </c>
      <c r="B889" t="s">
        <v>4179</v>
      </c>
      <c r="C889" t="s">
        <v>1751</v>
      </c>
      <c r="D889">
        <v>20571186</v>
      </c>
      <c r="E889" t="s">
        <v>3128</v>
      </c>
      <c r="F889" t="s">
        <v>1241</v>
      </c>
      <c r="G889" t="s">
        <v>3129</v>
      </c>
      <c r="H889" t="s">
        <v>3131</v>
      </c>
      <c r="J889" s="455">
        <v>46205</v>
      </c>
      <c r="U889" s="455">
        <v>46205</v>
      </c>
    </row>
    <row r="890" spans="1:21">
      <c r="A890" t="s">
        <v>1751</v>
      </c>
      <c r="B890" t="s">
        <v>4179</v>
      </c>
      <c r="C890" t="s">
        <v>1751</v>
      </c>
      <c r="D890">
        <v>20585428</v>
      </c>
      <c r="E890" t="s">
        <v>3128</v>
      </c>
      <c r="F890" t="s">
        <v>1782</v>
      </c>
      <c r="G890" t="s">
        <v>3129</v>
      </c>
      <c r="H890" t="s">
        <v>3377</v>
      </c>
      <c r="J890" s="455">
        <v>46220</v>
      </c>
      <c r="U890" s="455">
        <v>46220</v>
      </c>
    </row>
    <row r="891" spans="1:21">
      <c r="A891" t="s">
        <v>1751</v>
      </c>
      <c r="B891" t="s">
        <v>4179</v>
      </c>
      <c r="C891" t="s">
        <v>1751</v>
      </c>
      <c r="D891">
        <v>20570166</v>
      </c>
      <c r="E891" t="s">
        <v>3128</v>
      </c>
      <c r="F891" t="s">
        <v>1241</v>
      </c>
      <c r="G891" t="s">
        <v>3129</v>
      </c>
      <c r="H891" t="s">
        <v>3131</v>
      </c>
      <c r="J891" s="455">
        <v>46204</v>
      </c>
      <c r="U891" s="455">
        <v>46204</v>
      </c>
    </row>
    <row r="892" spans="1:21">
      <c r="A892" t="s">
        <v>1751</v>
      </c>
      <c r="B892" t="s">
        <v>4179</v>
      </c>
      <c r="C892" t="s">
        <v>1751</v>
      </c>
      <c r="D892">
        <v>20571118</v>
      </c>
      <c r="E892" t="s">
        <v>3128</v>
      </c>
      <c r="F892" t="s">
        <v>1241</v>
      </c>
      <c r="G892" t="s">
        <v>3129</v>
      </c>
      <c r="H892" t="s">
        <v>3377</v>
      </c>
      <c r="J892" s="455">
        <v>46205</v>
      </c>
      <c r="U892" s="455">
        <v>46205</v>
      </c>
    </row>
    <row r="893" spans="1:21">
      <c r="A893" t="s">
        <v>1751</v>
      </c>
      <c r="B893" t="s">
        <v>4179</v>
      </c>
      <c r="C893" t="s">
        <v>1751</v>
      </c>
      <c r="D893">
        <v>20571128</v>
      </c>
      <c r="E893" t="s">
        <v>3128</v>
      </c>
      <c r="F893" t="s">
        <v>1241</v>
      </c>
      <c r="G893" t="s">
        <v>3129</v>
      </c>
      <c r="H893" t="s">
        <v>3131</v>
      </c>
      <c r="J893" s="455">
        <v>46205</v>
      </c>
      <c r="U893" s="455">
        <v>46205</v>
      </c>
    </row>
    <row r="894" spans="1:21">
      <c r="A894" t="s">
        <v>1751</v>
      </c>
      <c r="B894" t="s">
        <v>4179</v>
      </c>
      <c r="C894" t="s">
        <v>1751</v>
      </c>
      <c r="D894">
        <v>20591207</v>
      </c>
      <c r="E894" t="s">
        <v>3128</v>
      </c>
      <c r="F894" t="s">
        <v>1241</v>
      </c>
      <c r="G894" t="s">
        <v>3129</v>
      </c>
      <c r="H894" t="s">
        <v>3377</v>
      </c>
      <c r="J894" s="455">
        <v>46226</v>
      </c>
      <c r="U894" s="455">
        <v>46226</v>
      </c>
    </row>
    <row r="895" spans="1:21">
      <c r="A895" t="s">
        <v>1751</v>
      </c>
      <c r="B895" t="s">
        <v>4974</v>
      </c>
      <c r="C895" t="s">
        <v>1751</v>
      </c>
      <c r="D895">
        <v>20582749</v>
      </c>
      <c r="E895" t="s">
        <v>3128</v>
      </c>
      <c r="F895" t="s">
        <v>1782</v>
      </c>
      <c r="G895" t="s">
        <v>3129</v>
      </c>
      <c r="H895" t="s">
        <v>4333</v>
      </c>
      <c r="J895" s="455">
        <v>46218</v>
      </c>
      <c r="U895" s="455">
        <v>46237</v>
      </c>
    </row>
    <row r="896" spans="1:21">
      <c r="A896" t="s">
        <v>1751</v>
      </c>
      <c r="B896" t="s">
        <v>4975</v>
      </c>
      <c r="C896" t="s">
        <v>1751</v>
      </c>
      <c r="D896">
        <v>20592918</v>
      </c>
      <c r="E896" t="s">
        <v>3128</v>
      </c>
      <c r="F896" t="s">
        <v>1241</v>
      </c>
      <c r="G896" t="s">
        <v>3129</v>
      </c>
      <c r="H896" t="s">
        <v>1252</v>
      </c>
      <c r="J896" s="455">
        <v>46229</v>
      </c>
      <c r="U896" s="455">
        <v>46229</v>
      </c>
    </row>
    <row r="897" spans="1:21">
      <c r="A897" t="s">
        <v>1751</v>
      </c>
      <c r="B897" t="s">
        <v>4976</v>
      </c>
      <c r="C897" t="s">
        <v>1751</v>
      </c>
      <c r="D897">
        <v>20585563</v>
      </c>
      <c r="E897" t="s">
        <v>3128</v>
      </c>
      <c r="F897" t="s">
        <v>1237</v>
      </c>
      <c r="G897" t="s">
        <v>3129</v>
      </c>
      <c r="H897" t="s">
        <v>3131</v>
      </c>
      <c r="J897" s="455">
        <v>46220</v>
      </c>
      <c r="U897" s="455">
        <v>46220</v>
      </c>
    </row>
    <row r="898" spans="1:21">
      <c r="A898" t="s">
        <v>1751</v>
      </c>
      <c r="B898" t="s">
        <v>4977</v>
      </c>
      <c r="C898" t="s">
        <v>1751</v>
      </c>
      <c r="D898">
        <v>20574290</v>
      </c>
      <c r="E898" t="s">
        <v>3128</v>
      </c>
      <c r="F898" t="s">
        <v>1782</v>
      </c>
      <c r="G898" t="s">
        <v>3134</v>
      </c>
      <c r="H898" t="s">
        <v>3165</v>
      </c>
      <c r="J898" s="455">
        <v>46209</v>
      </c>
      <c r="U898" s="455">
        <v>46265</v>
      </c>
    </row>
    <row r="899" spans="1:21">
      <c r="A899" t="s">
        <v>1751</v>
      </c>
      <c r="B899" t="s">
        <v>4978</v>
      </c>
      <c r="C899" t="s">
        <v>1751</v>
      </c>
      <c r="D899">
        <v>20570821</v>
      </c>
      <c r="E899" t="s">
        <v>3128</v>
      </c>
      <c r="F899" t="s">
        <v>1782</v>
      </c>
      <c r="G899" t="s">
        <v>3137</v>
      </c>
      <c r="H899" t="s">
        <v>1252</v>
      </c>
      <c r="J899" s="455">
        <v>46204</v>
      </c>
      <c r="U899" s="455">
        <v>46328</v>
      </c>
    </row>
    <row r="900" spans="1:21">
      <c r="A900" t="s">
        <v>1751</v>
      </c>
      <c r="B900" t="s">
        <v>4979</v>
      </c>
      <c r="C900" t="s">
        <v>1751</v>
      </c>
      <c r="D900">
        <v>20596547</v>
      </c>
      <c r="E900" t="s">
        <v>3128</v>
      </c>
      <c r="F900" t="s">
        <v>1241</v>
      </c>
      <c r="G900" t="s">
        <v>3134</v>
      </c>
      <c r="H900" t="s">
        <v>3165</v>
      </c>
      <c r="J900" s="455">
        <v>46233</v>
      </c>
      <c r="U900" s="455">
        <v>46252</v>
      </c>
    </row>
    <row r="901" spans="1:21">
      <c r="A901" t="s">
        <v>1751</v>
      </c>
      <c r="B901" t="s">
        <v>4184</v>
      </c>
      <c r="C901" t="s">
        <v>1751</v>
      </c>
      <c r="D901">
        <v>20565524</v>
      </c>
      <c r="E901" t="s">
        <v>3133</v>
      </c>
      <c r="F901" t="s">
        <v>1241</v>
      </c>
      <c r="G901" t="s">
        <v>3134</v>
      </c>
      <c r="H901" t="s">
        <v>1940</v>
      </c>
      <c r="I901" t="s">
        <v>3202</v>
      </c>
      <c r="J901" s="455">
        <v>46198</v>
      </c>
      <c r="K901" s="455">
        <v>46198</v>
      </c>
      <c r="R901" s="455">
        <v>46212</v>
      </c>
      <c r="U901" s="455">
        <v>46198</v>
      </c>
    </row>
    <row r="902" spans="1:21">
      <c r="A902" t="s">
        <v>1751</v>
      </c>
      <c r="B902" t="s">
        <v>4190</v>
      </c>
      <c r="C902" t="s">
        <v>1751</v>
      </c>
      <c r="D902">
        <v>20561485</v>
      </c>
      <c r="E902" t="s">
        <v>3133</v>
      </c>
      <c r="F902" t="s">
        <v>1241</v>
      </c>
      <c r="G902" t="s">
        <v>3134</v>
      </c>
      <c r="H902" t="s">
        <v>1247</v>
      </c>
      <c r="I902" t="s">
        <v>2688</v>
      </c>
      <c r="J902" s="455">
        <v>46193</v>
      </c>
      <c r="K902" s="455">
        <v>46193</v>
      </c>
      <c r="R902" s="455">
        <v>46211</v>
      </c>
      <c r="U902" s="455">
        <v>46234</v>
      </c>
    </row>
    <row r="903" spans="1:21">
      <c r="A903" t="s">
        <v>1751</v>
      </c>
      <c r="B903" t="s">
        <v>2997</v>
      </c>
      <c r="C903" t="s">
        <v>1751</v>
      </c>
      <c r="D903">
        <v>20593200</v>
      </c>
      <c r="E903" t="s">
        <v>3557</v>
      </c>
      <c r="F903" t="s">
        <v>1238</v>
      </c>
      <c r="G903" t="s">
        <v>3137</v>
      </c>
      <c r="H903" t="s">
        <v>1252</v>
      </c>
      <c r="I903" t="s">
        <v>2545</v>
      </c>
      <c r="J903" s="455">
        <v>46229</v>
      </c>
      <c r="K903" s="455">
        <v>46230</v>
      </c>
      <c r="L903" s="455">
        <v>46230</v>
      </c>
      <c r="M903" s="455">
        <v>46234</v>
      </c>
      <c r="N903" s="455">
        <v>46234</v>
      </c>
      <c r="P903" s="455">
        <v>46234</v>
      </c>
      <c r="U903" s="455">
        <v>46248</v>
      </c>
    </row>
    <row r="904" spans="1:21">
      <c r="A904" t="s">
        <v>1751</v>
      </c>
      <c r="B904" t="s">
        <v>2997</v>
      </c>
      <c r="C904" t="s">
        <v>1751</v>
      </c>
      <c r="D904">
        <v>20593199</v>
      </c>
      <c r="E904" t="s">
        <v>3128</v>
      </c>
      <c r="F904" t="s">
        <v>1238</v>
      </c>
      <c r="G904" t="s">
        <v>3134</v>
      </c>
      <c r="H904" t="s">
        <v>1252</v>
      </c>
      <c r="I904" t="s">
        <v>3170</v>
      </c>
      <c r="J904" s="455">
        <v>46229</v>
      </c>
      <c r="U904" s="455">
        <v>46235</v>
      </c>
    </row>
    <row r="905" spans="1:21">
      <c r="A905" t="s">
        <v>1751</v>
      </c>
      <c r="B905" t="s">
        <v>4980</v>
      </c>
      <c r="C905" t="s">
        <v>1751</v>
      </c>
      <c r="D905">
        <v>20578771</v>
      </c>
      <c r="E905" t="s">
        <v>3128</v>
      </c>
      <c r="F905" t="s">
        <v>1239</v>
      </c>
      <c r="G905" t="s">
        <v>3143</v>
      </c>
      <c r="H905" t="s">
        <v>1251</v>
      </c>
      <c r="I905" t="s">
        <v>1565</v>
      </c>
      <c r="J905" s="455">
        <v>46214</v>
      </c>
      <c r="U905" s="455">
        <v>46214</v>
      </c>
    </row>
    <row r="906" spans="1:21">
      <c r="A906" t="s">
        <v>1751</v>
      </c>
      <c r="B906" t="s">
        <v>3033</v>
      </c>
      <c r="C906" t="s">
        <v>1751</v>
      </c>
      <c r="D906">
        <v>20583993</v>
      </c>
      <c r="E906" t="s">
        <v>3142</v>
      </c>
      <c r="F906" t="s">
        <v>1242</v>
      </c>
      <c r="G906" t="s">
        <v>3143</v>
      </c>
      <c r="H906" t="s">
        <v>1249</v>
      </c>
      <c r="I906" t="s">
        <v>2698</v>
      </c>
      <c r="J906" s="455">
        <v>46218</v>
      </c>
      <c r="K906" s="455">
        <v>46227</v>
      </c>
      <c r="L906" s="455">
        <v>46227</v>
      </c>
      <c r="M906" s="455">
        <v>46233</v>
      </c>
      <c r="N906" s="455">
        <v>46233</v>
      </c>
      <c r="P906" s="455">
        <v>46234</v>
      </c>
      <c r="Q906" s="455">
        <v>46234</v>
      </c>
      <c r="T906" s="455">
        <v>46227</v>
      </c>
      <c r="U906" s="455">
        <v>46249</v>
      </c>
    </row>
    <row r="907" spans="1:21">
      <c r="A907" t="s">
        <v>1751</v>
      </c>
      <c r="B907" t="s">
        <v>3022</v>
      </c>
      <c r="C907" t="s">
        <v>1751</v>
      </c>
      <c r="D907">
        <v>20568441</v>
      </c>
      <c r="E907" t="s">
        <v>3142</v>
      </c>
      <c r="F907" t="s">
        <v>1237</v>
      </c>
      <c r="G907" t="s">
        <v>3129</v>
      </c>
      <c r="H907" t="s">
        <v>3131</v>
      </c>
      <c r="I907" t="s">
        <v>1529</v>
      </c>
      <c r="J907" s="455">
        <v>46202</v>
      </c>
      <c r="K907" s="455">
        <v>46202</v>
      </c>
      <c r="L907" s="455">
        <v>46202</v>
      </c>
      <c r="M907" s="455">
        <v>46203</v>
      </c>
      <c r="N907" s="455">
        <v>46204</v>
      </c>
      <c r="P907" s="455">
        <v>46204</v>
      </c>
      <c r="Q907" s="455">
        <v>46204</v>
      </c>
      <c r="U907" s="455">
        <v>46205</v>
      </c>
    </row>
    <row r="908" spans="1:21">
      <c r="A908" t="s">
        <v>1751</v>
      </c>
      <c r="B908" t="s">
        <v>4981</v>
      </c>
      <c r="C908" t="s">
        <v>1751</v>
      </c>
      <c r="D908">
        <v>20579174</v>
      </c>
      <c r="E908" t="s">
        <v>3128</v>
      </c>
      <c r="F908" t="s">
        <v>1237</v>
      </c>
      <c r="G908" t="s">
        <v>2009</v>
      </c>
      <c r="H908" t="s">
        <v>1940</v>
      </c>
      <c r="I908" t="s">
        <v>3200</v>
      </c>
      <c r="J908" s="455">
        <v>46215</v>
      </c>
      <c r="U908" s="455">
        <v>46215</v>
      </c>
    </row>
    <row r="909" spans="1:21">
      <c r="A909" t="s">
        <v>1751</v>
      </c>
      <c r="B909" t="s">
        <v>4982</v>
      </c>
      <c r="C909" t="s">
        <v>1751</v>
      </c>
      <c r="D909">
        <v>20590685</v>
      </c>
      <c r="E909" t="s">
        <v>3128</v>
      </c>
      <c r="F909" t="s">
        <v>1782</v>
      </c>
      <c r="G909" t="s">
        <v>3141</v>
      </c>
      <c r="H909" t="s">
        <v>1252</v>
      </c>
      <c r="J909" s="455">
        <v>46226</v>
      </c>
      <c r="U909" s="455">
        <v>46263</v>
      </c>
    </row>
    <row r="910" spans="1:21">
      <c r="A910" t="s">
        <v>1751</v>
      </c>
      <c r="B910" t="s">
        <v>4983</v>
      </c>
      <c r="C910" t="s">
        <v>1751</v>
      </c>
      <c r="D910">
        <v>20572934</v>
      </c>
      <c r="E910" t="s">
        <v>3128</v>
      </c>
      <c r="F910" t="s">
        <v>1241</v>
      </c>
      <c r="G910" t="s">
        <v>3137</v>
      </c>
      <c r="H910" t="s">
        <v>1252</v>
      </c>
      <c r="J910" s="455">
        <v>46208</v>
      </c>
      <c r="U910" s="455">
        <v>46221</v>
      </c>
    </row>
    <row r="911" spans="1:21">
      <c r="A911" t="s">
        <v>1751</v>
      </c>
      <c r="B911" t="s">
        <v>4984</v>
      </c>
      <c r="C911" t="s">
        <v>1751</v>
      </c>
      <c r="D911">
        <v>20570766</v>
      </c>
      <c r="E911" t="s">
        <v>3128</v>
      </c>
      <c r="F911" t="s">
        <v>1782</v>
      </c>
      <c r="G911" t="s">
        <v>3141</v>
      </c>
      <c r="H911" t="s">
        <v>1252</v>
      </c>
      <c r="J911" s="455">
        <v>46204</v>
      </c>
      <c r="U911" s="455">
        <v>46205</v>
      </c>
    </row>
    <row r="912" spans="1:21">
      <c r="A912" t="s">
        <v>1751</v>
      </c>
      <c r="B912" t="s">
        <v>4985</v>
      </c>
      <c r="C912" t="s">
        <v>1751</v>
      </c>
      <c r="D912">
        <v>20577623</v>
      </c>
      <c r="E912" t="s">
        <v>3128</v>
      </c>
      <c r="F912" t="s">
        <v>1782</v>
      </c>
      <c r="G912" t="s">
        <v>3134</v>
      </c>
      <c r="H912" t="s">
        <v>1252</v>
      </c>
      <c r="J912" s="455">
        <v>46213</v>
      </c>
      <c r="U912" s="455">
        <v>46281</v>
      </c>
    </row>
    <row r="913" spans="1:21">
      <c r="A913" t="s">
        <v>1751</v>
      </c>
      <c r="B913" t="s">
        <v>4986</v>
      </c>
      <c r="C913" t="s">
        <v>1751</v>
      </c>
      <c r="D913">
        <v>20590048</v>
      </c>
      <c r="E913" t="s">
        <v>3128</v>
      </c>
      <c r="F913" t="s">
        <v>1238</v>
      </c>
      <c r="G913" t="s">
        <v>3143</v>
      </c>
      <c r="H913" t="s">
        <v>1251</v>
      </c>
      <c r="I913" t="s">
        <v>3170</v>
      </c>
      <c r="J913" s="455">
        <v>46225</v>
      </c>
      <c r="U913" s="455">
        <v>46266</v>
      </c>
    </row>
    <row r="914" spans="1:21">
      <c r="A914" t="s">
        <v>1751</v>
      </c>
      <c r="B914" t="s">
        <v>4987</v>
      </c>
      <c r="C914" t="s">
        <v>1751</v>
      </c>
      <c r="D914">
        <v>20591870</v>
      </c>
      <c r="E914" t="s">
        <v>3128</v>
      </c>
      <c r="F914" t="s">
        <v>1782</v>
      </c>
      <c r="G914" t="s">
        <v>3141</v>
      </c>
      <c r="H914" t="s">
        <v>1252</v>
      </c>
      <c r="J914" s="455">
        <v>46227</v>
      </c>
      <c r="U914" s="455">
        <v>46240</v>
      </c>
    </row>
    <row r="915" spans="1:21">
      <c r="A915" t="s">
        <v>1751</v>
      </c>
      <c r="B915" t="s">
        <v>4206</v>
      </c>
      <c r="C915" t="s">
        <v>1751</v>
      </c>
      <c r="D915">
        <v>20565377</v>
      </c>
      <c r="E915" t="s">
        <v>3133</v>
      </c>
      <c r="F915" t="s">
        <v>1242</v>
      </c>
      <c r="G915" t="s">
        <v>3134</v>
      </c>
      <c r="H915" t="s">
        <v>1247</v>
      </c>
      <c r="I915" t="s">
        <v>1565</v>
      </c>
      <c r="J915" s="455">
        <v>46198</v>
      </c>
      <c r="K915" s="455">
        <v>46198</v>
      </c>
      <c r="L915" s="455">
        <v>46199</v>
      </c>
      <c r="M915" s="455">
        <v>46202</v>
      </c>
      <c r="N915" s="455">
        <v>46202</v>
      </c>
      <c r="R915" s="455">
        <v>46206</v>
      </c>
      <c r="U915" s="455">
        <v>46211</v>
      </c>
    </row>
    <row r="916" spans="1:21">
      <c r="A916" t="s">
        <v>1751</v>
      </c>
      <c r="B916" t="s">
        <v>4988</v>
      </c>
      <c r="C916" t="s">
        <v>1751</v>
      </c>
      <c r="D916">
        <v>20586923</v>
      </c>
      <c r="E916" t="s">
        <v>3128</v>
      </c>
      <c r="F916" t="s">
        <v>1782</v>
      </c>
      <c r="G916" t="s">
        <v>3141</v>
      </c>
      <c r="H916" t="s">
        <v>1252</v>
      </c>
      <c r="J916" s="455">
        <v>46222</v>
      </c>
      <c r="U916" s="455">
        <v>46222</v>
      </c>
    </row>
    <row r="917" spans="1:21">
      <c r="A917" t="s">
        <v>1751</v>
      </c>
      <c r="B917" t="s">
        <v>4989</v>
      </c>
      <c r="C917" t="s">
        <v>1751</v>
      </c>
      <c r="D917">
        <v>20578346</v>
      </c>
      <c r="E917" t="s">
        <v>3128</v>
      </c>
      <c r="F917" t="s">
        <v>1782</v>
      </c>
      <c r="G917" t="s">
        <v>3134</v>
      </c>
      <c r="H917" t="s">
        <v>3165</v>
      </c>
      <c r="J917" s="455">
        <v>46213</v>
      </c>
      <c r="U917" s="455">
        <v>46215</v>
      </c>
    </row>
    <row r="918" spans="1:21">
      <c r="A918" t="s">
        <v>1751</v>
      </c>
      <c r="B918" t="s">
        <v>4990</v>
      </c>
      <c r="C918" t="s">
        <v>1751</v>
      </c>
      <c r="D918">
        <v>20590072</v>
      </c>
      <c r="E918" t="s">
        <v>1897</v>
      </c>
      <c r="F918" t="s">
        <v>1241</v>
      </c>
      <c r="G918" t="s">
        <v>3134</v>
      </c>
      <c r="H918" t="s">
        <v>1247</v>
      </c>
      <c r="J918" s="455">
        <v>46225</v>
      </c>
      <c r="K918" s="455">
        <v>46225</v>
      </c>
      <c r="U918" s="455">
        <v>46225</v>
      </c>
    </row>
    <row r="919" spans="1:21">
      <c r="A919" t="s">
        <v>1751</v>
      </c>
      <c r="B919" t="s">
        <v>4991</v>
      </c>
      <c r="C919" t="s">
        <v>1751</v>
      </c>
      <c r="D919">
        <v>20571942</v>
      </c>
      <c r="E919" t="s">
        <v>3128</v>
      </c>
      <c r="F919" t="s">
        <v>1782</v>
      </c>
      <c r="G919" t="s">
        <v>3134</v>
      </c>
      <c r="H919" t="s">
        <v>1252</v>
      </c>
      <c r="J919" s="455">
        <v>46206</v>
      </c>
      <c r="U919" s="455">
        <v>46224</v>
      </c>
    </row>
    <row r="920" spans="1:21">
      <c r="A920" t="s">
        <v>1751</v>
      </c>
      <c r="B920" t="s">
        <v>10999</v>
      </c>
      <c r="C920" t="s">
        <v>1751</v>
      </c>
      <c r="D920">
        <v>20595427</v>
      </c>
      <c r="E920" t="s">
        <v>3128</v>
      </c>
      <c r="F920" t="s">
        <v>1782</v>
      </c>
      <c r="G920" t="s">
        <v>3141</v>
      </c>
      <c r="H920" t="s">
        <v>1940</v>
      </c>
      <c r="J920" s="455">
        <v>46232</v>
      </c>
      <c r="U920" s="455">
        <v>46232</v>
      </c>
    </row>
    <row r="921" spans="1:21">
      <c r="A921" t="s">
        <v>1751</v>
      </c>
      <c r="B921" t="s">
        <v>4992</v>
      </c>
      <c r="C921" t="s">
        <v>1751</v>
      </c>
      <c r="D921">
        <v>20589501</v>
      </c>
      <c r="E921" t="s">
        <v>3128</v>
      </c>
      <c r="F921" t="s">
        <v>1782</v>
      </c>
      <c r="G921" t="s">
        <v>3129</v>
      </c>
      <c r="H921" t="s">
        <v>1252</v>
      </c>
      <c r="J921" s="455">
        <v>46225</v>
      </c>
      <c r="U921" s="455">
        <v>46225</v>
      </c>
    </row>
    <row r="922" spans="1:21">
      <c r="A922" t="s">
        <v>1751</v>
      </c>
      <c r="B922" t="s">
        <v>4993</v>
      </c>
      <c r="C922" t="s">
        <v>1751</v>
      </c>
      <c r="D922">
        <v>20585134</v>
      </c>
      <c r="E922" t="s">
        <v>3128</v>
      </c>
      <c r="F922" t="s">
        <v>1241</v>
      </c>
      <c r="G922" t="s">
        <v>3141</v>
      </c>
      <c r="H922" t="s">
        <v>1252</v>
      </c>
      <c r="J922" s="455">
        <v>46219</v>
      </c>
      <c r="U922" s="455">
        <v>46223</v>
      </c>
    </row>
    <row r="923" spans="1:21">
      <c r="A923" t="s">
        <v>1751</v>
      </c>
      <c r="B923" t="s">
        <v>4994</v>
      </c>
      <c r="C923" t="s">
        <v>1751</v>
      </c>
      <c r="D923">
        <v>20576423</v>
      </c>
      <c r="E923" t="s">
        <v>3128</v>
      </c>
      <c r="F923" t="s">
        <v>1241</v>
      </c>
      <c r="G923" t="s">
        <v>3141</v>
      </c>
      <c r="H923" t="s">
        <v>1252</v>
      </c>
      <c r="J923" s="455">
        <v>46211</v>
      </c>
      <c r="U923" s="455">
        <v>46227</v>
      </c>
    </row>
    <row r="924" spans="1:21">
      <c r="A924" t="s">
        <v>1751</v>
      </c>
      <c r="B924" t="s">
        <v>4994</v>
      </c>
      <c r="C924" t="s">
        <v>1751</v>
      </c>
      <c r="D924">
        <v>20576424</v>
      </c>
      <c r="E924" t="s">
        <v>3190</v>
      </c>
      <c r="F924" t="s">
        <v>1241</v>
      </c>
      <c r="G924" t="s">
        <v>3134</v>
      </c>
      <c r="H924" t="s">
        <v>1252</v>
      </c>
      <c r="I924" t="s">
        <v>3752</v>
      </c>
      <c r="J924" s="455">
        <v>46211</v>
      </c>
      <c r="K924" s="455">
        <v>46211</v>
      </c>
      <c r="R924" s="455">
        <v>46230</v>
      </c>
      <c r="U924" s="455">
        <v>46227</v>
      </c>
    </row>
    <row r="925" spans="1:21">
      <c r="A925" t="s">
        <v>1751</v>
      </c>
      <c r="B925" t="s">
        <v>4995</v>
      </c>
      <c r="C925" t="s">
        <v>1751</v>
      </c>
      <c r="D925">
        <v>20591506</v>
      </c>
      <c r="E925" t="s">
        <v>3128</v>
      </c>
      <c r="F925" t="s">
        <v>1782</v>
      </c>
      <c r="G925" t="s">
        <v>3141</v>
      </c>
      <c r="H925" t="s">
        <v>1252</v>
      </c>
      <c r="J925" s="455">
        <v>46227</v>
      </c>
      <c r="U925" s="455">
        <v>46228</v>
      </c>
    </row>
    <row r="926" spans="1:21">
      <c r="A926" t="s">
        <v>1751</v>
      </c>
      <c r="B926" t="s">
        <v>4996</v>
      </c>
      <c r="C926" t="s">
        <v>1751</v>
      </c>
      <c r="D926">
        <v>20584389</v>
      </c>
      <c r="E926" t="s">
        <v>3142</v>
      </c>
      <c r="F926" t="s">
        <v>1237</v>
      </c>
      <c r="G926" t="s">
        <v>3134</v>
      </c>
      <c r="H926" t="s">
        <v>1251</v>
      </c>
      <c r="I926" t="s">
        <v>4012</v>
      </c>
      <c r="J926" s="455">
        <v>46219</v>
      </c>
      <c r="K926" s="455">
        <v>46219</v>
      </c>
      <c r="L926" s="455">
        <v>46219</v>
      </c>
      <c r="M926" s="455">
        <v>46223</v>
      </c>
      <c r="N926" s="455">
        <v>46223</v>
      </c>
      <c r="P926" s="455">
        <v>46223</v>
      </c>
      <c r="Q926" s="455">
        <v>46224</v>
      </c>
      <c r="U926" s="455">
        <v>46280</v>
      </c>
    </row>
    <row r="927" spans="1:21">
      <c r="A927" t="s">
        <v>1751</v>
      </c>
      <c r="B927" t="s">
        <v>4221</v>
      </c>
      <c r="C927" t="s">
        <v>1751</v>
      </c>
      <c r="D927">
        <v>20563489</v>
      </c>
      <c r="E927" t="s">
        <v>3133</v>
      </c>
      <c r="F927" t="s">
        <v>3285</v>
      </c>
      <c r="G927" t="s">
        <v>3141</v>
      </c>
      <c r="H927" t="s">
        <v>1252</v>
      </c>
      <c r="I927" t="s">
        <v>1539</v>
      </c>
      <c r="J927" s="455">
        <v>46196</v>
      </c>
      <c r="K927" s="455">
        <v>46213</v>
      </c>
      <c r="L927" s="455">
        <v>46213</v>
      </c>
      <c r="R927" s="455">
        <v>46218</v>
      </c>
      <c r="U927" s="455">
        <v>46244</v>
      </c>
    </row>
    <row r="928" spans="1:21">
      <c r="A928" t="s">
        <v>1751</v>
      </c>
      <c r="B928" t="s">
        <v>4997</v>
      </c>
      <c r="C928" t="s">
        <v>1751</v>
      </c>
      <c r="D928">
        <v>20573296</v>
      </c>
      <c r="E928" t="s">
        <v>3133</v>
      </c>
      <c r="F928" t="s">
        <v>1238</v>
      </c>
      <c r="G928" t="s">
        <v>3137</v>
      </c>
      <c r="H928" t="s">
        <v>1252</v>
      </c>
      <c r="J928" s="455">
        <v>46208</v>
      </c>
      <c r="K928" s="455">
        <v>46213</v>
      </c>
      <c r="L928" s="455">
        <v>46214</v>
      </c>
      <c r="M928" s="455">
        <v>46223</v>
      </c>
      <c r="N928" s="455">
        <v>46228</v>
      </c>
      <c r="R928" s="455">
        <v>46228</v>
      </c>
      <c r="U928" s="455">
        <v>46228</v>
      </c>
    </row>
    <row r="929" spans="1:21">
      <c r="A929" t="s">
        <v>1751</v>
      </c>
      <c r="B929" t="s">
        <v>4225</v>
      </c>
      <c r="C929" t="s">
        <v>1751</v>
      </c>
      <c r="D929">
        <v>20545735</v>
      </c>
      <c r="E929" t="s">
        <v>3133</v>
      </c>
      <c r="F929" t="s">
        <v>1243</v>
      </c>
      <c r="G929" t="s">
        <v>3141</v>
      </c>
      <c r="H929" t="s">
        <v>1252</v>
      </c>
      <c r="J929" s="455">
        <v>46178</v>
      </c>
      <c r="K929" s="455">
        <v>46179</v>
      </c>
      <c r="L929" s="455">
        <v>46183</v>
      </c>
      <c r="M929" s="455">
        <v>46190</v>
      </c>
      <c r="N929" s="455">
        <v>46191</v>
      </c>
      <c r="P929" s="455">
        <v>46192</v>
      </c>
      <c r="Q929" s="455">
        <v>46195</v>
      </c>
      <c r="R929" s="455">
        <v>46231</v>
      </c>
      <c r="U929" s="455">
        <v>46235</v>
      </c>
    </row>
    <row r="930" spans="1:21">
      <c r="A930" t="s">
        <v>1751</v>
      </c>
      <c r="B930" t="s">
        <v>4998</v>
      </c>
      <c r="C930" t="s">
        <v>1751</v>
      </c>
      <c r="D930">
        <v>20592729</v>
      </c>
      <c r="E930" t="s">
        <v>3128</v>
      </c>
      <c r="F930" t="s">
        <v>1782</v>
      </c>
      <c r="G930" t="s">
        <v>3141</v>
      </c>
      <c r="H930" t="s">
        <v>1252</v>
      </c>
      <c r="J930" s="455">
        <v>46228</v>
      </c>
      <c r="U930" s="455">
        <v>46294</v>
      </c>
    </row>
    <row r="931" spans="1:21">
      <c r="A931" t="s">
        <v>1751</v>
      </c>
      <c r="B931" t="s">
        <v>4999</v>
      </c>
      <c r="C931" t="s">
        <v>1751</v>
      </c>
      <c r="D931">
        <v>20595832</v>
      </c>
      <c r="E931" t="s">
        <v>3128</v>
      </c>
      <c r="F931" t="s">
        <v>1241</v>
      </c>
      <c r="G931" t="s">
        <v>3129</v>
      </c>
      <c r="H931" t="s">
        <v>3377</v>
      </c>
      <c r="J931" s="455">
        <v>46232</v>
      </c>
      <c r="U931" s="455">
        <v>46232</v>
      </c>
    </row>
    <row r="932" spans="1:21">
      <c r="A932" t="s">
        <v>1751</v>
      </c>
      <c r="B932" t="s">
        <v>5000</v>
      </c>
      <c r="C932" t="s">
        <v>1751</v>
      </c>
      <c r="D932">
        <v>20574839</v>
      </c>
      <c r="E932" t="s">
        <v>1897</v>
      </c>
      <c r="F932" t="s">
        <v>1241</v>
      </c>
      <c r="G932" t="s">
        <v>3134</v>
      </c>
      <c r="H932" t="s">
        <v>1247</v>
      </c>
      <c r="I932" t="s">
        <v>3363</v>
      </c>
      <c r="J932" s="455">
        <v>46210</v>
      </c>
      <c r="K932" s="455">
        <v>46210</v>
      </c>
      <c r="U932" s="455">
        <v>46227</v>
      </c>
    </row>
    <row r="933" spans="1:21">
      <c r="A933" t="s">
        <v>1751</v>
      </c>
      <c r="B933" t="s">
        <v>11000</v>
      </c>
      <c r="C933" t="s">
        <v>1751</v>
      </c>
      <c r="D933">
        <v>20586394</v>
      </c>
      <c r="E933" t="s">
        <v>1907</v>
      </c>
      <c r="F933" t="s">
        <v>1243</v>
      </c>
      <c r="G933" t="s">
        <v>3143</v>
      </c>
      <c r="H933" t="s">
        <v>1247</v>
      </c>
      <c r="I933" t="s">
        <v>2449</v>
      </c>
      <c r="J933" s="455">
        <v>46221</v>
      </c>
      <c r="K933" s="455">
        <v>46233</v>
      </c>
      <c r="L933" s="455">
        <v>46233</v>
      </c>
      <c r="O933" s="455">
        <v>46241</v>
      </c>
      <c r="U933" s="455">
        <v>46259</v>
      </c>
    </row>
    <row r="934" spans="1:21">
      <c r="A934" t="s">
        <v>1751</v>
      </c>
      <c r="B934" t="s">
        <v>5001</v>
      </c>
      <c r="C934" t="s">
        <v>1751</v>
      </c>
      <c r="D934">
        <v>20578215</v>
      </c>
      <c r="E934" t="s">
        <v>3128</v>
      </c>
      <c r="F934" t="s">
        <v>1237</v>
      </c>
      <c r="G934" t="s">
        <v>3143</v>
      </c>
      <c r="H934" t="s">
        <v>1252</v>
      </c>
      <c r="I934" t="s">
        <v>3170</v>
      </c>
      <c r="J934" s="455">
        <v>46213</v>
      </c>
      <c r="U934" s="455">
        <v>46241</v>
      </c>
    </row>
    <row r="935" spans="1:21">
      <c r="A935" t="s">
        <v>1751</v>
      </c>
      <c r="B935" t="s">
        <v>5002</v>
      </c>
      <c r="C935" t="s">
        <v>1751</v>
      </c>
      <c r="D935">
        <v>20572437</v>
      </c>
      <c r="E935" t="s">
        <v>3128</v>
      </c>
      <c r="F935" t="s">
        <v>1241</v>
      </c>
      <c r="G935" t="s">
        <v>2009</v>
      </c>
      <c r="H935" t="s">
        <v>1251</v>
      </c>
      <c r="J935" s="455">
        <v>46206</v>
      </c>
      <c r="U935" s="455">
        <v>46206</v>
      </c>
    </row>
    <row r="936" spans="1:21">
      <c r="A936" t="s">
        <v>1751</v>
      </c>
      <c r="B936" t="s">
        <v>5003</v>
      </c>
      <c r="C936" t="s">
        <v>1751</v>
      </c>
      <c r="D936">
        <v>20587263</v>
      </c>
      <c r="E936" t="s">
        <v>3128</v>
      </c>
      <c r="F936" t="s">
        <v>3285</v>
      </c>
      <c r="G936" t="s">
        <v>3137</v>
      </c>
      <c r="H936" t="s">
        <v>1252</v>
      </c>
      <c r="J936" s="455">
        <v>46222</v>
      </c>
      <c r="U936" s="455">
        <v>46266</v>
      </c>
    </row>
    <row r="937" spans="1:21">
      <c r="A937" t="s">
        <v>1751</v>
      </c>
      <c r="B937" t="s">
        <v>4231</v>
      </c>
      <c r="C937" t="s">
        <v>1751</v>
      </c>
      <c r="D937">
        <v>20560806</v>
      </c>
      <c r="E937" t="s">
        <v>3133</v>
      </c>
      <c r="F937" t="s">
        <v>1241</v>
      </c>
      <c r="G937" t="s">
        <v>3134</v>
      </c>
      <c r="H937" t="s">
        <v>1247</v>
      </c>
      <c r="I937" t="s">
        <v>3307</v>
      </c>
      <c r="J937" s="455">
        <v>46192</v>
      </c>
      <c r="K937" s="455">
        <v>46192</v>
      </c>
      <c r="R937" s="455">
        <v>46205</v>
      </c>
      <c r="U937" s="455">
        <v>46192</v>
      </c>
    </row>
    <row r="938" spans="1:21">
      <c r="A938" t="s">
        <v>1751</v>
      </c>
      <c r="B938" t="s">
        <v>5004</v>
      </c>
      <c r="C938" t="s">
        <v>1751</v>
      </c>
      <c r="D938">
        <v>20592793</v>
      </c>
      <c r="E938" t="s">
        <v>3128</v>
      </c>
      <c r="F938" t="s">
        <v>1241</v>
      </c>
      <c r="G938" t="s">
        <v>3134</v>
      </c>
      <c r="H938" t="s">
        <v>3165</v>
      </c>
      <c r="J938" s="455">
        <v>46229</v>
      </c>
      <c r="U938" s="455">
        <v>46327</v>
      </c>
    </row>
    <row r="939" spans="1:21">
      <c r="A939" t="s">
        <v>1751</v>
      </c>
      <c r="B939" t="s">
        <v>4237</v>
      </c>
      <c r="C939" t="s">
        <v>1751</v>
      </c>
      <c r="D939">
        <v>20596154</v>
      </c>
      <c r="E939" t="s">
        <v>3128</v>
      </c>
      <c r="F939" t="s">
        <v>1241</v>
      </c>
      <c r="G939" t="s">
        <v>3134</v>
      </c>
      <c r="H939" t="s">
        <v>3165</v>
      </c>
      <c r="J939" s="455">
        <v>46232</v>
      </c>
      <c r="U939" s="455">
        <v>46289</v>
      </c>
    </row>
    <row r="940" spans="1:21">
      <c r="A940" t="s">
        <v>1751</v>
      </c>
      <c r="B940" t="s">
        <v>5005</v>
      </c>
      <c r="C940" t="s">
        <v>1751</v>
      </c>
      <c r="D940">
        <v>20589490</v>
      </c>
      <c r="E940" t="s">
        <v>3128</v>
      </c>
      <c r="F940" t="s">
        <v>1782</v>
      </c>
      <c r="G940" t="s">
        <v>3134</v>
      </c>
      <c r="H940" t="s">
        <v>3165</v>
      </c>
      <c r="J940" s="455">
        <v>46225</v>
      </c>
      <c r="U940" s="455">
        <v>46235</v>
      </c>
    </row>
    <row r="941" spans="1:21">
      <c r="A941" t="s">
        <v>1751</v>
      </c>
      <c r="B941" t="s">
        <v>5006</v>
      </c>
      <c r="C941" t="s">
        <v>1751</v>
      </c>
      <c r="D941">
        <v>20590235</v>
      </c>
      <c r="E941" t="s">
        <v>3133</v>
      </c>
      <c r="F941" t="s">
        <v>1241</v>
      </c>
      <c r="G941" t="s">
        <v>3134</v>
      </c>
      <c r="H941" t="s">
        <v>1247</v>
      </c>
      <c r="I941" t="s">
        <v>5007</v>
      </c>
      <c r="J941" s="455">
        <v>46225</v>
      </c>
      <c r="K941" s="455">
        <v>46225</v>
      </c>
      <c r="L941" s="455">
        <v>46225</v>
      </c>
      <c r="S941" s="455">
        <v>46233</v>
      </c>
      <c r="U941" s="455">
        <v>46242</v>
      </c>
    </row>
    <row r="942" spans="1:21">
      <c r="A942" t="s">
        <v>1751</v>
      </c>
      <c r="B942" t="s">
        <v>5008</v>
      </c>
      <c r="C942" t="s">
        <v>1751</v>
      </c>
      <c r="D942">
        <v>20570870</v>
      </c>
      <c r="E942" t="s">
        <v>3128</v>
      </c>
      <c r="F942" t="s">
        <v>1782</v>
      </c>
      <c r="G942" t="s">
        <v>3137</v>
      </c>
      <c r="H942" t="s">
        <v>1252</v>
      </c>
      <c r="J942" s="455">
        <v>46204</v>
      </c>
      <c r="U942" s="455">
        <v>46267</v>
      </c>
    </row>
    <row r="943" spans="1:21">
      <c r="A943" t="s">
        <v>1751</v>
      </c>
      <c r="B943" t="s">
        <v>4240</v>
      </c>
      <c r="C943" t="s">
        <v>1751</v>
      </c>
      <c r="D943">
        <v>20561814</v>
      </c>
      <c r="E943" t="s">
        <v>3133</v>
      </c>
      <c r="F943" t="s">
        <v>1241</v>
      </c>
      <c r="G943" t="s">
        <v>3134</v>
      </c>
      <c r="H943" t="s">
        <v>1247</v>
      </c>
      <c r="J943" s="455">
        <v>46194</v>
      </c>
      <c r="K943" s="455">
        <v>46194</v>
      </c>
      <c r="R943" s="455">
        <v>46211</v>
      </c>
      <c r="U943" s="455">
        <v>46194</v>
      </c>
    </row>
    <row r="944" spans="1:21">
      <c r="A944" t="s">
        <v>1751</v>
      </c>
      <c r="B944" t="s">
        <v>5009</v>
      </c>
      <c r="C944" t="s">
        <v>1751</v>
      </c>
      <c r="D944">
        <v>20576336</v>
      </c>
      <c r="E944" t="s">
        <v>3128</v>
      </c>
      <c r="F944" t="s">
        <v>1241</v>
      </c>
      <c r="G944" t="s">
        <v>3134</v>
      </c>
      <c r="H944" t="s">
        <v>3165</v>
      </c>
      <c r="J944" s="455">
        <v>46211</v>
      </c>
      <c r="U944" s="455">
        <v>46227</v>
      </c>
    </row>
    <row r="945" spans="1:21">
      <c r="A945" t="s">
        <v>1751</v>
      </c>
      <c r="B945" t="s">
        <v>5010</v>
      </c>
      <c r="C945" t="s">
        <v>1751</v>
      </c>
      <c r="D945">
        <v>20584683</v>
      </c>
      <c r="E945" t="s">
        <v>1897</v>
      </c>
      <c r="F945" t="s">
        <v>1241</v>
      </c>
      <c r="G945" t="s">
        <v>3134</v>
      </c>
      <c r="H945" t="s">
        <v>1247</v>
      </c>
      <c r="J945" s="455">
        <v>46219</v>
      </c>
      <c r="K945" s="455">
        <v>46219</v>
      </c>
      <c r="U945" s="455">
        <v>46219</v>
      </c>
    </row>
    <row r="946" spans="1:21">
      <c r="A946" t="s">
        <v>1751</v>
      </c>
      <c r="B946" t="s">
        <v>5011</v>
      </c>
      <c r="C946" t="s">
        <v>1751</v>
      </c>
      <c r="D946">
        <v>20595919</v>
      </c>
      <c r="E946" t="s">
        <v>3128</v>
      </c>
      <c r="F946" t="s">
        <v>1243</v>
      </c>
      <c r="G946" t="s">
        <v>3143</v>
      </c>
      <c r="H946" t="s">
        <v>1248</v>
      </c>
      <c r="I946" t="s">
        <v>3170</v>
      </c>
      <c r="J946" s="455">
        <v>46232</v>
      </c>
      <c r="U946" s="455">
        <v>46232</v>
      </c>
    </row>
    <row r="947" spans="1:21">
      <c r="A947" t="s">
        <v>1751</v>
      </c>
      <c r="B947" t="s">
        <v>5012</v>
      </c>
      <c r="C947" t="s">
        <v>1751</v>
      </c>
      <c r="D947">
        <v>20577437</v>
      </c>
      <c r="E947" t="s">
        <v>3128</v>
      </c>
      <c r="F947" t="s">
        <v>1241</v>
      </c>
      <c r="G947" t="s">
        <v>3134</v>
      </c>
      <c r="H947" t="s">
        <v>3165</v>
      </c>
      <c r="J947" s="455">
        <v>46212</v>
      </c>
      <c r="U947" s="455">
        <v>46396</v>
      </c>
    </row>
    <row r="948" spans="1:21">
      <c r="A948" t="s">
        <v>1751</v>
      </c>
      <c r="B948" t="s">
        <v>5013</v>
      </c>
      <c r="C948" t="s">
        <v>1751</v>
      </c>
      <c r="D948">
        <v>20575079</v>
      </c>
      <c r="E948" t="s">
        <v>3128</v>
      </c>
      <c r="F948" t="s">
        <v>1782</v>
      </c>
      <c r="G948" t="s">
        <v>2009</v>
      </c>
      <c r="H948" t="s">
        <v>1251</v>
      </c>
      <c r="I948" t="s">
        <v>2617</v>
      </c>
      <c r="J948" s="455">
        <v>46210</v>
      </c>
      <c r="U948" s="455">
        <v>46210</v>
      </c>
    </row>
    <row r="949" spans="1:21">
      <c r="A949" t="s">
        <v>1751</v>
      </c>
      <c r="B949" t="s">
        <v>5014</v>
      </c>
      <c r="C949" t="s">
        <v>1751</v>
      </c>
      <c r="D949">
        <v>20590988</v>
      </c>
      <c r="E949" t="s">
        <v>3128</v>
      </c>
      <c r="F949" t="s">
        <v>1782</v>
      </c>
      <c r="G949" t="s">
        <v>3134</v>
      </c>
      <c r="H949" t="s">
        <v>3165</v>
      </c>
      <c r="J949" s="455">
        <v>46226</v>
      </c>
      <c r="U949" s="455">
        <v>46343</v>
      </c>
    </row>
    <row r="950" spans="1:21">
      <c r="A950" t="s">
        <v>1751</v>
      </c>
      <c r="B950" t="s">
        <v>5015</v>
      </c>
      <c r="C950" t="s">
        <v>1751</v>
      </c>
      <c r="D950">
        <v>20592713</v>
      </c>
      <c r="E950" t="s">
        <v>3128</v>
      </c>
      <c r="F950" t="s">
        <v>1241</v>
      </c>
      <c r="G950" t="s">
        <v>3137</v>
      </c>
      <c r="H950" t="s">
        <v>4278</v>
      </c>
      <c r="J950" s="455">
        <v>46228</v>
      </c>
      <c r="U950" s="455">
        <v>46234</v>
      </c>
    </row>
    <row r="951" spans="1:21">
      <c r="A951" t="s">
        <v>1751</v>
      </c>
      <c r="B951" t="s">
        <v>5016</v>
      </c>
      <c r="C951" t="s">
        <v>1751</v>
      </c>
      <c r="D951">
        <v>20577771</v>
      </c>
      <c r="E951" t="s">
        <v>3128</v>
      </c>
      <c r="F951" t="s">
        <v>1241</v>
      </c>
      <c r="G951" t="s">
        <v>3141</v>
      </c>
      <c r="H951" t="s">
        <v>1247</v>
      </c>
      <c r="J951" s="455">
        <v>46213</v>
      </c>
      <c r="U951" s="455">
        <v>46213</v>
      </c>
    </row>
    <row r="952" spans="1:21">
      <c r="A952" t="s">
        <v>1751</v>
      </c>
      <c r="B952" t="s">
        <v>5017</v>
      </c>
      <c r="C952" t="s">
        <v>1751</v>
      </c>
      <c r="D952">
        <v>20577663</v>
      </c>
      <c r="E952" t="s">
        <v>3128</v>
      </c>
      <c r="F952" t="s">
        <v>1782</v>
      </c>
      <c r="G952" t="s">
        <v>3141</v>
      </c>
      <c r="H952" t="s">
        <v>1252</v>
      </c>
      <c r="J952" s="455">
        <v>46213</v>
      </c>
      <c r="U952" s="455">
        <v>46234</v>
      </c>
    </row>
    <row r="953" spans="1:21">
      <c r="A953" t="s">
        <v>1751</v>
      </c>
      <c r="B953" t="s">
        <v>5018</v>
      </c>
      <c r="C953" t="s">
        <v>1751</v>
      </c>
      <c r="D953">
        <v>20597448</v>
      </c>
      <c r="E953" t="s">
        <v>3128</v>
      </c>
      <c r="F953" t="s">
        <v>1239</v>
      </c>
      <c r="G953" t="s">
        <v>2009</v>
      </c>
      <c r="H953" t="s">
        <v>1251</v>
      </c>
      <c r="J953" s="455">
        <v>46234</v>
      </c>
      <c r="U953" s="455">
        <v>46234</v>
      </c>
    </row>
    <row r="954" spans="1:21">
      <c r="A954" t="s">
        <v>1751</v>
      </c>
      <c r="B954" t="s">
        <v>5019</v>
      </c>
      <c r="C954" t="s">
        <v>1751</v>
      </c>
      <c r="D954">
        <v>20576561</v>
      </c>
      <c r="E954" t="s">
        <v>3128</v>
      </c>
      <c r="F954" t="s">
        <v>1782</v>
      </c>
      <c r="G954" t="s">
        <v>3141</v>
      </c>
      <c r="H954" t="s">
        <v>1252</v>
      </c>
      <c r="J954" s="455">
        <v>46211</v>
      </c>
      <c r="U954" s="455">
        <v>46272</v>
      </c>
    </row>
    <row r="955" spans="1:21">
      <c r="A955" t="s">
        <v>1751</v>
      </c>
      <c r="B955" t="s">
        <v>5020</v>
      </c>
      <c r="C955" t="s">
        <v>1751</v>
      </c>
      <c r="D955">
        <v>20589573</v>
      </c>
      <c r="E955" t="s">
        <v>3128</v>
      </c>
      <c r="F955" t="s">
        <v>1782</v>
      </c>
      <c r="G955" t="s">
        <v>3134</v>
      </c>
      <c r="H955" t="s">
        <v>1252</v>
      </c>
      <c r="J955" s="455">
        <v>46225</v>
      </c>
      <c r="U955" s="455">
        <v>46227</v>
      </c>
    </row>
    <row r="956" spans="1:21">
      <c r="A956" t="s">
        <v>1751</v>
      </c>
      <c r="B956" t="s">
        <v>3018</v>
      </c>
      <c r="C956" t="s">
        <v>1751</v>
      </c>
      <c r="D956">
        <v>20589189</v>
      </c>
      <c r="E956" t="s">
        <v>3142</v>
      </c>
      <c r="F956" t="s">
        <v>1243</v>
      </c>
      <c r="G956" t="s">
        <v>3137</v>
      </c>
      <c r="H956" t="s">
        <v>1247</v>
      </c>
      <c r="I956" t="s">
        <v>2623</v>
      </c>
      <c r="J956" s="455">
        <v>46224</v>
      </c>
      <c r="K956" s="455">
        <v>46225</v>
      </c>
      <c r="L956" s="455">
        <v>46225</v>
      </c>
      <c r="M956" s="455">
        <v>46226</v>
      </c>
      <c r="N956" s="455">
        <v>46226</v>
      </c>
      <c r="P956" s="455">
        <v>46226</v>
      </c>
      <c r="Q956" s="455">
        <v>46227</v>
      </c>
      <c r="U956" s="455">
        <v>46235</v>
      </c>
    </row>
    <row r="957" spans="1:21">
      <c r="A957" t="s">
        <v>1751</v>
      </c>
      <c r="B957" t="s">
        <v>5021</v>
      </c>
      <c r="C957" t="s">
        <v>1751</v>
      </c>
      <c r="D957">
        <v>20595596</v>
      </c>
      <c r="E957" t="s">
        <v>3128</v>
      </c>
      <c r="F957" t="s">
        <v>1241</v>
      </c>
      <c r="G957" t="s">
        <v>3134</v>
      </c>
      <c r="H957" t="s">
        <v>1252</v>
      </c>
      <c r="J957" s="455">
        <v>46232</v>
      </c>
      <c r="U957" s="455">
        <v>46337</v>
      </c>
    </row>
    <row r="958" spans="1:21">
      <c r="A958" t="s">
        <v>1751</v>
      </c>
      <c r="B958" t="s">
        <v>2939</v>
      </c>
      <c r="C958" t="s">
        <v>1751</v>
      </c>
      <c r="D958">
        <v>20590357</v>
      </c>
      <c r="E958" t="s">
        <v>3142</v>
      </c>
      <c r="F958" t="s">
        <v>1243</v>
      </c>
      <c r="G958" t="s">
        <v>3134</v>
      </c>
      <c r="H958" t="s">
        <v>1247</v>
      </c>
      <c r="I958" t="s">
        <v>2417</v>
      </c>
      <c r="J958" s="455">
        <v>46225</v>
      </c>
      <c r="K958" s="455">
        <v>46225</v>
      </c>
      <c r="L958" s="455">
        <v>46226</v>
      </c>
      <c r="M958" s="455">
        <v>46231</v>
      </c>
      <c r="N958" s="455">
        <v>46231</v>
      </c>
      <c r="P958" s="455">
        <v>46231</v>
      </c>
      <c r="Q958" s="455">
        <v>46231</v>
      </c>
      <c r="U958" s="455">
        <v>46262</v>
      </c>
    </row>
    <row r="959" spans="1:21">
      <c r="A959" t="s">
        <v>1751</v>
      </c>
      <c r="B959" t="s">
        <v>5022</v>
      </c>
      <c r="C959" t="s">
        <v>1751</v>
      </c>
      <c r="D959">
        <v>20588044</v>
      </c>
      <c r="E959" t="s">
        <v>3128</v>
      </c>
      <c r="F959" t="s">
        <v>3285</v>
      </c>
      <c r="G959" t="s">
        <v>3129</v>
      </c>
      <c r="H959" t="s">
        <v>3131</v>
      </c>
      <c r="J959" s="455">
        <v>46223</v>
      </c>
      <c r="U959" s="455">
        <v>46223</v>
      </c>
    </row>
    <row r="960" spans="1:21">
      <c r="A960" t="s">
        <v>1751</v>
      </c>
      <c r="B960" t="s">
        <v>5023</v>
      </c>
      <c r="C960" t="s">
        <v>1751</v>
      </c>
      <c r="D960">
        <v>20584833</v>
      </c>
      <c r="E960" t="s">
        <v>3128</v>
      </c>
      <c r="F960" t="s">
        <v>3285</v>
      </c>
      <c r="G960" t="s">
        <v>3141</v>
      </c>
      <c r="H960" t="s">
        <v>1252</v>
      </c>
      <c r="J960" s="455">
        <v>46219</v>
      </c>
      <c r="U960" s="455">
        <v>46223</v>
      </c>
    </row>
    <row r="961" spans="1:21">
      <c r="A961" t="s">
        <v>1751</v>
      </c>
      <c r="B961" t="s">
        <v>5024</v>
      </c>
      <c r="C961" t="s">
        <v>1751</v>
      </c>
      <c r="D961">
        <v>20587099</v>
      </c>
      <c r="E961" t="s">
        <v>3128</v>
      </c>
      <c r="F961" t="s">
        <v>1782</v>
      </c>
      <c r="G961" t="s">
        <v>3141</v>
      </c>
      <c r="H961" t="s">
        <v>3165</v>
      </c>
      <c r="J961" s="455">
        <v>46222</v>
      </c>
      <c r="U961" s="455">
        <v>46222</v>
      </c>
    </row>
    <row r="962" spans="1:21">
      <c r="A962" t="s">
        <v>1751</v>
      </c>
      <c r="B962" t="s">
        <v>5025</v>
      </c>
      <c r="C962" t="s">
        <v>1751</v>
      </c>
      <c r="D962">
        <v>20584590</v>
      </c>
      <c r="E962" t="s">
        <v>1897</v>
      </c>
      <c r="F962" t="s">
        <v>1241</v>
      </c>
      <c r="G962" t="s">
        <v>3134</v>
      </c>
      <c r="H962" t="s">
        <v>1247</v>
      </c>
      <c r="J962" s="455">
        <v>46219</v>
      </c>
      <c r="K962" s="455">
        <v>46219</v>
      </c>
      <c r="U962" s="455">
        <v>46219</v>
      </c>
    </row>
    <row r="963" spans="1:21">
      <c r="A963" t="s">
        <v>1751</v>
      </c>
      <c r="B963" t="s">
        <v>5025</v>
      </c>
      <c r="C963" t="s">
        <v>1751</v>
      </c>
      <c r="D963">
        <v>20579790</v>
      </c>
      <c r="E963" t="s">
        <v>3133</v>
      </c>
      <c r="F963" t="s">
        <v>1241</v>
      </c>
      <c r="G963" t="s">
        <v>3134</v>
      </c>
      <c r="H963" t="s">
        <v>1247</v>
      </c>
      <c r="I963" t="s">
        <v>4796</v>
      </c>
      <c r="J963" s="455">
        <v>46216</v>
      </c>
      <c r="K963" s="455">
        <v>46216</v>
      </c>
      <c r="L963" s="455">
        <v>46217</v>
      </c>
      <c r="S963" s="455">
        <v>46219</v>
      </c>
      <c r="U963" s="455">
        <v>46217</v>
      </c>
    </row>
    <row r="964" spans="1:21">
      <c r="A964" t="s">
        <v>1751</v>
      </c>
      <c r="B964" t="s">
        <v>5026</v>
      </c>
      <c r="C964" t="s">
        <v>1751</v>
      </c>
      <c r="D964">
        <v>20584776</v>
      </c>
      <c r="E964" t="s">
        <v>1897</v>
      </c>
      <c r="F964" t="s">
        <v>1241</v>
      </c>
      <c r="G964" t="s">
        <v>3134</v>
      </c>
      <c r="H964" t="s">
        <v>1247</v>
      </c>
      <c r="J964" s="455">
        <v>46219</v>
      </c>
      <c r="K964" s="455">
        <v>46219</v>
      </c>
      <c r="U964" s="455">
        <v>46219</v>
      </c>
    </row>
    <row r="965" spans="1:21">
      <c r="A965" t="s">
        <v>1751</v>
      </c>
      <c r="B965" t="s">
        <v>4263</v>
      </c>
      <c r="C965" t="s">
        <v>1751</v>
      </c>
      <c r="D965">
        <v>20595704</v>
      </c>
      <c r="E965" t="s">
        <v>3128</v>
      </c>
      <c r="F965" t="s">
        <v>1241</v>
      </c>
      <c r="G965" t="s">
        <v>3129</v>
      </c>
      <c r="H965" t="s">
        <v>3131</v>
      </c>
      <c r="J965" s="455">
        <v>46232</v>
      </c>
      <c r="U965" s="455">
        <v>46232</v>
      </c>
    </row>
    <row r="966" spans="1:21">
      <c r="A966" t="s">
        <v>1751</v>
      </c>
      <c r="B966" t="s">
        <v>5027</v>
      </c>
      <c r="C966" t="s">
        <v>1751</v>
      </c>
      <c r="D966">
        <v>20591714</v>
      </c>
      <c r="E966" t="s">
        <v>3128</v>
      </c>
      <c r="F966" t="s">
        <v>1782</v>
      </c>
      <c r="G966" t="s">
        <v>3137</v>
      </c>
      <c r="H966" t="s">
        <v>1252</v>
      </c>
      <c r="J966" s="455">
        <v>46227</v>
      </c>
      <c r="U966" s="455">
        <v>46265</v>
      </c>
    </row>
    <row r="967" spans="1:21">
      <c r="A967" t="s">
        <v>1751</v>
      </c>
      <c r="B967" t="s">
        <v>1822</v>
      </c>
      <c r="C967" t="s">
        <v>1751</v>
      </c>
      <c r="D967">
        <v>20578117</v>
      </c>
      <c r="E967" t="s">
        <v>3128</v>
      </c>
      <c r="F967" t="s">
        <v>1241</v>
      </c>
      <c r="G967" t="s">
        <v>2009</v>
      </c>
      <c r="H967" t="s">
        <v>1251</v>
      </c>
      <c r="J967" s="455">
        <v>46213</v>
      </c>
      <c r="U967" s="455">
        <v>46113</v>
      </c>
    </row>
    <row r="968" spans="1:21">
      <c r="A968" t="s">
        <v>1751</v>
      </c>
      <c r="B968" t="s">
        <v>5028</v>
      </c>
      <c r="C968" t="s">
        <v>1751</v>
      </c>
      <c r="D968">
        <v>20571852</v>
      </c>
      <c r="E968" t="s">
        <v>3142</v>
      </c>
      <c r="F968" t="s">
        <v>1242</v>
      </c>
      <c r="G968" t="s">
        <v>3137</v>
      </c>
      <c r="H968" t="s">
        <v>1252</v>
      </c>
      <c r="I968" t="s">
        <v>1917</v>
      </c>
      <c r="J968" s="455">
        <v>46206</v>
      </c>
      <c r="K968" s="455">
        <v>46212</v>
      </c>
      <c r="L968" s="455">
        <v>46212</v>
      </c>
      <c r="M968" s="455">
        <v>46216</v>
      </c>
      <c r="N968" s="455">
        <v>46216</v>
      </c>
      <c r="P968" s="455">
        <v>46216</v>
      </c>
      <c r="Q968" s="455">
        <v>46216</v>
      </c>
      <c r="U968" s="455">
        <v>46234</v>
      </c>
    </row>
    <row r="969" spans="1:21">
      <c r="A969" t="s">
        <v>1751</v>
      </c>
      <c r="B969" t="s">
        <v>5029</v>
      </c>
      <c r="C969" t="s">
        <v>1751</v>
      </c>
      <c r="D969">
        <v>20576874</v>
      </c>
      <c r="E969" t="s">
        <v>3128</v>
      </c>
      <c r="F969" t="s">
        <v>1241</v>
      </c>
      <c r="G969" t="s">
        <v>3137</v>
      </c>
      <c r="H969" t="s">
        <v>1252</v>
      </c>
      <c r="J969" s="455">
        <v>46212</v>
      </c>
      <c r="U969" s="455">
        <v>46296</v>
      </c>
    </row>
    <row r="970" spans="1:21">
      <c r="A970" t="s">
        <v>1751</v>
      </c>
      <c r="B970" t="s">
        <v>3057</v>
      </c>
      <c r="C970" t="s">
        <v>1751</v>
      </c>
      <c r="D970">
        <v>20578579</v>
      </c>
      <c r="E970" t="s">
        <v>3128</v>
      </c>
      <c r="F970" t="s">
        <v>1238</v>
      </c>
      <c r="G970" t="s">
        <v>3143</v>
      </c>
      <c r="H970" t="s">
        <v>1248</v>
      </c>
      <c r="I970" t="s">
        <v>3055</v>
      </c>
      <c r="J970" s="455">
        <v>46214</v>
      </c>
      <c r="U970" s="455">
        <v>46217</v>
      </c>
    </row>
    <row r="971" spans="1:21">
      <c r="A971" t="s">
        <v>1751</v>
      </c>
      <c r="B971" t="s">
        <v>3057</v>
      </c>
      <c r="C971" t="s">
        <v>1751</v>
      </c>
      <c r="D971">
        <v>20578634</v>
      </c>
      <c r="E971" t="s">
        <v>3142</v>
      </c>
      <c r="F971" t="s">
        <v>1238</v>
      </c>
      <c r="G971" t="s">
        <v>3134</v>
      </c>
      <c r="H971" t="s">
        <v>1251</v>
      </c>
      <c r="I971" t="s">
        <v>3055</v>
      </c>
      <c r="J971" s="455">
        <v>46214</v>
      </c>
      <c r="K971" s="455">
        <v>46214</v>
      </c>
      <c r="L971" s="455">
        <v>46214</v>
      </c>
      <c r="M971" s="455">
        <v>46216</v>
      </c>
      <c r="N971" s="455">
        <v>46216</v>
      </c>
      <c r="P971" s="455">
        <v>46217</v>
      </c>
      <c r="Q971" s="455">
        <v>46217</v>
      </c>
      <c r="U971" s="455">
        <v>46218</v>
      </c>
    </row>
    <row r="972" spans="1:21">
      <c r="A972" t="s">
        <v>1751</v>
      </c>
      <c r="B972" t="s">
        <v>5030</v>
      </c>
      <c r="C972" t="s">
        <v>1751</v>
      </c>
      <c r="D972">
        <v>20595254</v>
      </c>
      <c r="E972" t="s">
        <v>3128</v>
      </c>
      <c r="F972" t="s">
        <v>1782</v>
      </c>
      <c r="G972" t="s">
        <v>3141</v>
      </c>
      <c r="H972" t="s">
        <v>4278</v>
      </c>
      <c r="J972" s="455">
        <v>46231</v>
      </c>
      <c r="U972" s="455">
        <v>46245</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CC06B0-A3CE-425F-975A-7339657FF0FB}">
  <sheetPr>
    <tabColor theme="6" tint="-0.499984740745262"/>
  </sheetPr>
  <dimension ref="A1:U359"/>
  <sheetViews>
    <sheetView workbookViewId="0">
      <selection sqref="A1:XFD1048576"/>
    </sheetView>
  </sheetViews>
  <sheetFormatPr defaultRowHeight="14.4"/>
  <sheetData>
    <row r="1" spans="1:21">
      <c r="A1" t="s">
        <v>3117</v>
      </c>
      <c r="B1" t="s">
        <v>1761</v>
      </c>
      <c r="C1" t="s">
        <v>2301</v>
      </c>
      <c r="D1" t="s">
        <v>3118</v>
      </c>
      <c r="E1" t="s">
        <v>929</v>
      </c>
      <c r="F1" t="s">
        <v>1233</v>
      </c>
      <c r="G1" t="s">
        <v>3119</v>
      </c>
      <c r="H1" t="s">
        <v>1216</v>
      </c>
      <c r="I1" t="s">
        <v>1760</v>
      </c>
      <c r="J1" t="s">
        <v>3120</v>
      </c>
      <c r="K1" t="s">
        <v>3121</v>
      </c>
      <c r="L1" t="s">
        <v>2292</v>
      </c>
      <c r="M1" t="s">
        <v>2296</v>
      </c>
      <c r="N1" t="s">
        <v>3122</v>
      </c>
      <c r="O1" t="s">
        <v>3123</v>
      </c>
      <c r="P1" t="s">
        <v>2298</v>
      </c>
      <c r="Q1" t="s">
        <v>2300</v>
      </c>
      <c r="R1" t="s">
        <v>3124</v>
      </c>
      <c r="S1" t="s">
        <v>3125</v>
      </c>
      <c r="T1" t="s">
        <v>3126</v>
      </c>
      <c r="U1" t="s">
        <v>2383</v>
      </c>
    </row>
    <row r="2" spans="1:21">
      <c r="A2" t="s">
        <v>1751</v>
      </c>
      <c r="B2" t="s">
        <v>11001</v>
      </c>
      <c r="C2" t="s">
        <v>1751</v>
      </c>
      <c r="D2">
        <v>20606737</v>
      </c>
      <c r="E2" t="s">
        <v>3128</v>
      </c>
      <c r="F2" t="s">
        <v>1782</v>
      </c>
      <c r="G2" t="s">
        <v>3141</v>
      </c>
      <c r="H2" t="s">
        <v>1252</v>
      </c>
      <c r="J2" s="455">
        <v>46245</v>
      </c>
      <c r="U2" s="455">
        <v>46266</v>
      </c>
    </row>
    <row r="3" spans="1:21">
      <c r="A3" t="s">
        <v>1751</v>
      </c>
      <c r="B3" t="s">
        <v>11002</v>
      </c>
      <c r="C3" t="s">
        <v>1751</v>
      </c>
      <c r="D3">
        <v>20607990</v>
      </c>
      <c r="E3" t="s">
        <v>3128</v>
      </c>
      <c r="F3" t="s">
        <v>1241</v>
      </c>
      <c r="G3" t="s">
        <v>3129</v>
      </c>
      <c r="H3" t="s">
        <v>1252</v>
      </c>
      <c r="J3" s="455">
        <v>46246</v>
      </c>
      <c r="U3" s="455">
        <v>46293</v>
      </c>
    </row>
    <row r="4" spans="1:21">
      <c r="A4" t="s">
        <v>1751</v>
      </c>
      <c r="B4" t="s">
        <v>11002</v>
      </c>
      <c r="C4" t="s">
        <v>1751</v>
      </c>
      <c r="D4">
        <v>20608009</v>
      </c>
      <c r="E4" t="s">
        <v>1897</v>
      </c>
      <c r="F4" t="s">
        <v>1241</v>
      </c>
      <c r="G4" t="s">
        <v>3134</v>
      </c>
      <c r="H4" t="s">
        <v>1247</v>
      </c>
      <c r="I4" t="s">
        <v>4208</v>
      </c>
      <c r="J4" s="455">
        <v>46246</v>
      </c>
      <c r="K4" s="455">
        <v>46246</v>
      </c>
      <c r="U4" s="455">
        <v>46246</v>
      </c>
    </row>
    <row r="5" spans="1:21">
      <c r="A5" t="s">
        <v>1751</v>
      </c>
      <c r="B5" t="s">
        <v>4277</v>
      </c>
      <c r="C5" t="s">
        <v>1751</v>
      </c>
      <c r="D5">
        <v>20595451</v>
      </c>
      <c r="E5" t="s">
        <v>3190</v>
      </c>
      <c r="F5" t="s">
        <v>3285</v>
      </c>
      <c r="G5" t="s">
        <v>3141</v>
      </c>
      <c r="H5" t="s">
        <v>4278</v>
      </c>
      <c r="J5" s="455">
        <v>46232</v>
      </c>
      <c r="R5" s="455">
        <v>46242</v>
      </c>
      <c r="U5" s="455">
        <v>46262</v>
      </c>
    </row>
    <row r="6" spans="1:21">
      <c r="A6" t="s">
        <v>1751</v>
      </c>
      <c r="B6" t="s">
        <v>5031</v>
      </c>
      <c r="C6" t="s">
        <v>1751</v>
      </c>
      <c r="D6">
        <v>20599618</v>
      </c>
      <c r="E6" t="s">
        <v>3128</v>
      </c>
      <c r="F6" t="s">
        <v>1241</v>
      </c>
      <c r="G6" t="s">
        <v>3129</v>
      </c>
      <c r="H6" t="s">
        <v>1252</v>
      </c>
      <c r="J6" s="455">
        <v>46237</v>
      </c>
      <c r="U6" s="455">
        <v>46237</v>
      </c>
    </row>
    <row r="7" spans="1:21">
      <c r="A7" t="s">
        <v>1751</v>
      </c>
      <c r="B7" t="s">
        <v>11003</v>
      </c>
      <c r="C7" t="s">
        <v>1751</v>
      </c>
      <c r="D7">
        <v>20600481</v>
      </c>
      <c r="E7" t="s">
        <v>3128</v>
      </c>
      <c r="F7" t="s">
        <v>1239</v>
      </c>
      <c r="G7" t="s">
        <v>3143</v>
      </c>
      <c r="H7" t="s">
        <v>1249</v>
      </c>
      <c r="I7" t="s">
        <v>3170</v>
      </c>
      <c r="J7" s="455">
        <v>46238</v>
      </c>
      <c r="U7" s="455">
        <v>46238</v>
      </c>
    </row>
    <row r="8" spans="1:21">
      <c r="A8" t="s">
        <v>1751</v>
      </c>
      <c r="B8" t="s">
        <v>11004</v>
      </c>
      <c r="C8" t="s">
        <v>1751</v>
      </c>
      <c r="D8">
        <v>20605380</v>
      </c>
      <c r="E8" t="s">
        <v>3128</v>
      </c>
      <c r="F8" t="s">
        <v>1241</v>
      </c>
      <c r="G8" t="s">
        <v>3134</v>
      </c>
      <c r="H8" t="s">
        <v>1252</v>
      </c>
      <c r="J8" s="455">
        <v>46244</v>
      </c>
      <c r="U8" s="455">
        <v>46266</v>
      </c>
    </row>
    <row r="9" spans="1:21">
      <c r="A9" t="s">
        <v>1751</v>
      </c>
      <c r="B9" t="s">
        <v>11004</v>
      </c>
      <c r="C9" t="s">
        <v>1751</v>
      </c>
      <c r="D9">
        <v>20600775</v>
      </c>
      <c r="E9" t="s">
        <v>3128</v>
      </c>
      <c r="F9" t="s">
        <v>1242</v>
      </c>
      <c r="G9" t="s">
        <v>3143</v>
      </c>
      <c r="H9" t="s">
        <v>1248</v>
      </c>
      <c r="I9" t="s">
        <v>3168</v>
      </c>
      <c r="J9" s="455">
        <v>46238</v>
      </c>
      <c r="U9" s="455">
        <v>46266</v>
      </c>
    </row>
    <row r="10" spans="1:21">
      <c r="A10" t="s">
        <v>1751</v>
      </c>
      <c r="B10" t="s">
        <v>4288</v>
      </c>
      <c r="C10" t="s">
        <v>1751</v>
      </c>
      <c r="D10">
        <v>20596619</v>
      </c>
      <c r="E10" t="s">
        <v>3133</v>
      </c>
      <c r="F10" t="s">
        <v>1242</v>
      </c>
      <c r="G10" t="s">
        <v>3137</v>
      </c>
      <c r="H10" t="s">
        <v>1940</v>
      </c>
      <c r="I10" t="s">
        <v>2560</v>
      </c>
      <c r="J10" s="455">
        <v>46233</v>
      </c>
      <c r="K10" s="455">
        <v>46242</v>
      </c>
      <c r="L10" s="455">
        <v>46242</v>
      </c>
      <c r="S10" s="455">
        <v>46244</v>
      </c>
      <c r="U10" s="455">
        <v>46291</v>
      </c>
    </row>
    <row r="11" spans="1:21">
      <c r="A11" t="s">
        <v>1751</v>
      </c>
      <c r="B11" t="s">
        <v>11005</v>
      </c>
      <c r="C11" t="s">
        <v>1751</v>
      </c>
      <c r="D11">
        <v>20606995</v>
      </c>
      <c r="E11" t="s">
        <v>1897</v>
      </c>
      <c r="F11" t="s">
        <v>1241</v>
      </c>
      <c r="G11" t="s">
        <v>3134</v>
      </c>
      <c r="H11" t="s">
        <v>1247</v>
      </c>
      <c r="I11" t="s">
        <v>4191</v>
      </c>
      <c r="J11" s="455">
        <v>46246</v>
      </c>
      <c r="K11" s="455">
        <v>46246</v>
      </c>
      <c r="U11" s="455">
        <v>46246</v>
      </c>
    </row>
    <row r="12" spans="1:21">
      <c r="A12" t="s">
        <v>1751</v>
      </c>
      <c r="B12" t="s">
        <v>4295</v>
      </c>
      <c r="C12" t="s">
        <v>1751</v>
      </c>
      <c r="D12">
        <v>20585053</v>
      </c>
      <c r="E12" t="s">
        <v>3133</v>
      </c>
      <c r="F12" t="s">
        <v>1242</v>
      </c>
      <c r="G12" t="s">
        <v>2009</v>
      </c>
      <c r="H12" t="s">
        <v>1251</v>
      </c>
      <c r="I12" t="s">
        <v>4070</v>
      </c>
      <c r="J12" s="455">
        <v>46219</v>
      </c>
      <c r="K12" s="455">
        <v>46227</v>
      </c>
      <c r="L12" s="455">
        <v>46227</v>
      </c>
      <c r="S12" s="455">
        <v>46239</v>
      </c>
      <c r="U12" s="455">
        <v>46270</v>
      </c>
    </row>
    <row r="13" spans="1:21">
      <c r="A13" t="s">
        <v>1751</v>
      </c>
      <c r="B13" t="s">
        <v>5032</v>
      </c>
      <c r="C13" t="s">
        <v>1751</v>
      </c>
      <c r="D13">
        <v>20598241</v>
      </c>
      <c r="E13" t="s">
        <v>3128</v>
      </c>
      <c r="F13" t="s">
        <v>1782</v>
      </c>
      <c r="G13" t="s">
        <v>3141</v>
      </c>
      <c r="H13" t="s">
        <v>1251</v>
      </c>
      <c r="J13" s="455">
        <v>46235</v>
      </c>
      <c r="U13" s="455">
        <v>46235</v>
      </c>
    </row>
    <row r="14" spans="1:21">
      <c r="A14" t="s">
        <v>1751</v>
      </c>
      <c r="B14" t="s">
        <v>5033</v>
      </c>
      <c r="C14" t="s">
        <v>1751</v>
      </c>
      <c r="D14">
        <v>20599552</v>
      </c>
      <c r="E14" t="s">
        <v>3128</v>
      </c>
      <c r="F14" t="s">
        <v>1242</v>
      </c>
      <c r="G14" t="s">
        <v>3143</v>
      </c>
      <c r="H14" t="s">
        <v>1249</v>
      </c>
      <c r="I14" t="s">
        <v>3533</v>
      </c>
      <c r="J14" s="455">
        <v>46237</v>
      </c>
      <c r="U14" s="455">
        <v>46242</v>
      </c>
    </row>
    <row r="15" spans="1:21">
      <c r="A15" t="s">
        <v>1751</v>
      </c>
      <c r="B15" t="s">
        <v>11006</v>
      </c>
      <c r="C15" t="s">
        <v>1751</v>
      </c>
      <c r="D15">
        <v>20603165</v>
      </c>
      <c r="E15" t="s">
        <v>3128</v>
      </c>
      <c r="F15" t="s">
        <v>1782</v>
      </c>
      <c r="G15" t="s">
        <v>3141</v>
      </c>
      <c r="H15" t="s">
        <v>1252</v>
      </c>
      <c r="J15" s="455">
        <v>46241</v>
      </c>
      <c r="U15" s="455">
        <v>46283</v>
      </c>
    </row>
    <row r="16" spans="1:21">
      <c r="A16" t="s">
        <v>1751</v>
      </c>
      <c r="B16" t="s">
        <v>4301</v>
      </c>
      <c r="C16" t="s">
        <v>1751</v>
      </c>
      <c r="D16">
        <v>20596081</v>
      </c>
      <c r="E16" t="s">
        <v>3142</v>
      </c>
      <c r="F16" t="s">
        <v>1243</v>
      </c>
      <c r="G16" t="s">
        <v>3134</v>
      </c>
      <c r="H16" t="s">
        <v>1247</v>
      </c>
      <c r="I16" t="s">
        <v>3363</v>
      </c>
      <c r="J16" s="455">
        <v>46232</v>
      </c>
      <c r="K16" s="455">
        <v>46232</v>
      </c>
      <c r="L16" s="455">
        <v>46232</v>
      </c>
      <c r="M16" s="455">
        <v>46245</v>
      </c>
      <c r="N16" s="455">
        <v>46245</v>
      </c>
      <c r="O16" s="455">
        <v>46245</v>
      </c>
      <c r="P16" s="455">
        <v>46245</v>
      </c>
      <c r="Q16" s="455">
        <v>46245</v>
      </c>
      <c r="U16" s="455">
        <v>46256</v>
      </c>
    </row>
    <row r="17" spans="1:21">
      <c r="A17" t="s">
        <v>1751</v>
      </c>
      <c r="B17" t="s">
        <v>5034</v>
      </c>
      <c r="C17" t="s">
        <v>1751</v>
      </c>
      <c r="D17">
        <v>20599256</v>
      </c>
      <c r="E17" t="s">
        <v>3128</v>
      </c>
      <c r="F17" t="s">
        <v>3285</v>
      </c>
      <c r="G17" t="s">
        <v>3134</v>
      </c>
      <c r="H17" t="s">
        <v>3165</v>
      </c>
      <c r="J17" s="455">
        <v>46237</v>
      </c>
      <c r="U17" s="455">
        <v>46317</v>
      </c>
    </row>
    <row r="18" spans="1:21">
      <c r="A18" t="s">
        <v>1751</v>
      </c>
      <c r="B18" t="s">
        <v>4305</v>
      </c>
      <c r="C18" t="s">
        <v>1751</v>
      </c>
      <c r="D18">
        <v>20589711</v>
      </c>
      <c r="E18" t="s">
        <v>3142</v>
      </c>
      <c r="F18" t="s">
        <v>1243</v>
      </c>
      <c r="G18" t="s">
        <v>3134</v>
      </c>
      <c r="H18" t="s">
        <v>1252</v>
      </c>
      <c r="I18" t="s">
        <v>4306</v>
      </c>
      <c r="J18" s="455">
        <v>46225</v>
      </c>
      <c r="K18" s="455">
        <v>46225</v>
      </c>
      <c r="L18" s="455">
        <v>46225</v>
      </c>
      <c r="M18" s="455">
        <v>46232</v>
      </c>
      <c r="N18" s="455">
        <v>46233</v>
      </c>
      <c r="P18" s="455">
        <v>46245</v>
      </c>
      <c r="Q18" s="455">
        <v>46246</v>
      </c>
      <c r="U18" s="455">
        <v>46258</v>
      </c>
    </row>
    <row r="19" spans="1:21">
      <c r="A19" t="s">
        <v>1751</v>
      </c>
      <c r="B19" t="s">
        <v>5035</v>
      </c>
      <c r="C19" t="s">
        <v>1751</v>
      </c>
      <c r="D19">
        <v>20600352</v>
      </c>
      <c r="E19" t="s">
        <v>3128</v>
      </c>
      <c r="F19" t="s">
        <v>1241</v>
      </c>
      <c r="G19" t="s">
        <v>3141</v>
      </c>
      <c r="H19" t="s">
        <v>3165</v>
      </c>
      <c r="J19" s="455">
        <v>46238</v>
      </c>
      <c r="U19" s="455">
        <v>46238</v>
      </c>
    </row>
    <row r="20" spans="1:21">
      <c r="A20" t="s">
        <v>1751</v>
      </c>
      <c r="B20" t="s">
        <v>5036</v>
      </c>
      <c r="C20" t="s">
        <v>1751</v>
      </c>
      <c r="D20">
        <v>20601012</v>
      </c>
      <c r="E20" t="s">
        <v>3128</v>
      </c>
      <c r="F20" t="s">
        <v>1241</v>
      </c>
      <c r="G20" t="s">
        <v>3134</v>
      </c>
      <c r="H20" t="s">
        <v>1252</v>
      </c>
      <c r="J20" s="455">
        <v>46238</v>
      </c>
      <c r="U20" s="455">
        <v>46266</v>
      </c>
    </row>
    <row r="21" spans="1:21">
      <c r="A21" t="s">
        <v>1751</v>
      </c>
      <c r="B21" t="s">
        <v>5037</v>
      </c>
      <c r="C21" t="s">
        <v>1751</v>
      </c>
      <c r="D21">
        <v>20599911</v>
      </c>
      <c r="E21" t="s">
        <v>3128</v>
      </c>
      <c r="F21" t="s">
        <v>1241</v>
      </c>
      <c r="G21" t="s">
        <v>3134</v>
      </c>
      <c r="H21" t="s">
        <v>3165</v>
      </c>
      <c r="J21" s="455">
        <v>46237</v>
      </c>
      <c r="U21" s="455">
        <v>46300</v>
      </c>
    </row>
    <row r="22" spans="1:21">
      <c r="A22" t="s">
        <v>1751</v>
      </c>
      <c r="B22" t="s">
        <v>5038</v>
      </c>
      <c r="C22" t="s">
        <v>1751</v>
      </c>
      <c r="D22">
        <v>20600577</v>
      </c>
      <c r="E22" t="s">
        <v>3128</v>
      </c>
      <c r="F22" t="s">
        <v>1241</v>
      </c>
      <c r="G22" t="s">
        <v>3141</v>
      </c>
      <c r="H22" t="s">
        <v>1252</v>
      </c>
      <c r="J22" s="455">
        <v>46238</v>
      </c>
      <c r="U22" s="455">
        <v>46239</v>
      </c>
    </row>
    <row r="23" spans="1:21">
      <c r="A23" t="s">
        <v>1751</v>
      </c>
      <c r="B23" t="s">
        <v>11007</v>
      </c>
      <c r="C23" t="s">
        <v>1751</v>
      </c>
      <c r="D23">
        <v>20601505</v>
      </c>
      <c r="E23" t="s">
        <v>3128</v>
      </c>
      <c r="F23" t="s">
        <v>3285</v>
      </c>
      <c r="G23" t="s">
        <v>3141</v>
      </c>
      <c r="H23" t="s">
        <v>1248</v>
      </c>
      <c r="J23" s="455">
        <v>46239</v>
      </c>
      <c r="U23" s="455">
        <v>46266</v>
      </c>
    </row>
    <row r="24" spans="1:21">
      <c r="A24" t="s">
        <v>1751</v>
      </c>
      <c r="B24" t="s">
        <v>4318</v>
      </c>
      <c r="C24" t="s">
        <v>1751</v>
      </c>
      <c r="D24">
        <v>20597245</v>
      </c>
      <c r="E24" t="s">
        <v>1897</v>
      </c>
      <c r="F24" t="s">
        <v>1782</v>
      </c>
      <c r="G24" t="s">
        <v>3141</v>
      </c>
      <c r="H24" t="s">
        <v>1252</v>
      </c>
      <c r="I24" t="s">
        <v>2589</v>
      </c>
      <c r="J24" s="455">
        <v>46234</v>
      </c>
      <c r="K24" s="455">
        <v>46235</v>
      </c>
      <c r="U24" s="455">
        <v>46242</v>
      </c>
    </row>
    <row r="25" spans="1:21">
      <c r="A25" t="s">
        <v>1751</v>
      </c>
      <c r="B25" t="s">
        <v>3071</v>
      </c>
      <c r="C25" t="s">
        <v>1751</v>
      </c>
      <c r="D25">
        <v>20597040</v>
      </c>
      <c r="E25" t="s">
        <v>1907</v>
      </c>
      <c r="F25" t="s">
        <v>1237</v>
      </c>
      <c r="G25" t="s">
        <v>3134</v>
      </c>
      <c r="H25" t="s">
        <v>1247</v>
      </c>
      <c r="I25" t="s">
        <v>2640</v>
      </c>
      <c r="J25" s="455">
        <v>46234</v>
      </c>
      <c r="K25" s="455">
        <v>46234</v>
      </c>
      <c r="L25" s="455">
        <v>46240</v>
      </c>
      <c r="U25" s="455">
        <v>46256</v>
      </c>
    </row>
    <row r="26" spans="1:21">
      <c r="A26" t="s">
        <v>1751</v>
      </c>
      <c r="B26" t="s">
        <v>11008</v>
      </c>
      <c r="C26" t="s">
        <v>1751</v>
      </c>
      <c r="D26">
        <v>20603563</v>
      </c>
      <c r="E26" t="s">
        <v>3128</v>
      </c>
      <c r="F26" t="s">
        <v>1782</v>
      </c>
      <c r="G26" t="s">
        <v>3134</v>
      </c>
      <c r="H26" t="s">
        <v>3165</v>
      </c>
      <c r="J26" s="455">
        <v>46241</v>
      </c>
      <c r="U26" s="455">
        <v>46243</v>
      </c>
    </row>
    <row r="27" spans="1:21">
      <c r="A27" t="s">
        <v>1751</v>
      </c>
      <c r="B27" t="s">
        <v>11009</v>
      </c>
      <c r="C27" t="s">
        <v>1751</v>
      </c>
      <c r="D27">
        <v>20604436</v>
      </c>
      <c r="E27" t="s">
        <v>3128</v>
      </c>
      <c r="F27" t="s">
        <v>1241</v>
      </c>
      <c r="G27" t="s">
        <v>3141</v>
      </c>
      <c r="H27" t="s">
        <v>1252</v>
      </c>
      <c r="J27" s="455">
        <v>46243</v>
      </c>
      <c r="U27" s="455">
        <v>46303</v>
      </c>
    </row>
    <row r="28" spans="1:21">
      <c r="A28" t="s">
        <v>1751</v>
      </c>
      <c r="B28" t="s">
        <v>5039</v>
      </c>
      <c r="C28" t="s">
        <v>1751</v>
      </c>
      <c r="D28">
        <v>20601031</v>
      </c>
      <c r="E28" t="s">
        <v>3133</v>
      </c>
      <c r="F28" t="s">
        <v>1237</v>
      </c>
      <c r="G28" t="s">
        <v>3134</v>
      </c>
      <c r="H28" t="s">
        <v>1247</v>
      </c>
      <c r="I28" t="s">
        <v>2646</v>
      </c>
      <c r="J28" s="455">
        <v>46239</v>
      </c>
      <c r="K28" s="455">
        <v>46239</v>
      </c>
      <c r="L28" s="455">
        <v>46239</v>
      </c>
      <c r="S28" s="455">
        <v>46240</v>
      </c>
      <c r="U28" s="455">
        <v>46269</v>
      </c>
    </row>
    <row r="29" spans="1:21">
      <c r="A29" t="s">
        <v>1751</v>
      </c>
      <c r="B29" t="s">
        <v>5039</v>
      </c>
      <c r="C29" t="s">
        <v>1751</v>
      </c>
      <c r="D29">
        <v>20601902</v>
      </c>
      <c r="E29" t="s">
        <v>1897</v>
      </c>
      <c r="F29" t="s">
        <v>1241</v>
      </c>
      <c r="G29" t="s">
        <v>3134</v>
      </c>
      <c r="H29" t="s">
        <v>1247</v>
      </c>
      <c r="I29" t="s">
        <v>2646</v>
      </c>
      <c r="J29" s="455">
        <v>46239</v>
      </c>
      <c r="K29" s="455">
        <v>46239</v>
      </c>
      <c r="U29" s="455">
        <v>46239</v>
      </c>
    </row>
    <row r="30" spans="1:21">
      <c r="A30" t="s">
        <v>1751</v>
      </c>
      <c r="B30" t="s">
        <v>5040</v>
      </c>
      <c r="C30" t="s">
        <v>1751</v>
      </c>
      <c r="D30">
        <v>20598477</v>
      </c>
      <c r="E30" t="s">
        <v>1897</v>
      </c>
      <c r="F30" t="s">
        <v>1241</v>
      </c>
      <c r="G30" t="s">
        <v>3134</v>
      </c>
      <c r="H30" t="s">
        <v>1247</v>
      </c>
      <c r="J30" s="455">
        <v>46235</v>
      </c>
      <c r="K30" s="455">
        <v>46235</v>
      </c>
      <c r="U30" s="455">
        <v>46235</v>
      </c>
    </row>
    <row r="31" spans="1:21">
      <c r="A31" t="s">
        <v>1751</v>
      </c>
      <c r="B31" t="s">
        <v>11010</v>
      </c>
      <c r="C31" t="s">
        <v>1751</v>
      </c>
      <c r="D31">
        <v>20604844</v>
      </c>
      <c r="E31" t="s">
        <v>3128</v>
      </c>
      <c r="F31" t="s">
        <v>1241</v>
      </c>
      <c r="G31" t="s">
        <v>3141</v>
      </c>
      <c r="H31" t="s">
        <v>1252</v>
      </c>
      <c r="J31" s="455">
        <v>46244</v>
      </c>
      <c r="U31" s="455">
        <v>46245</v>
      </c>
    </row>
    <row r="32" spans="1:21">
      <c r="A32" t="s">
        <v>1751</v>
      </c>
      <c r="B32" t="s">
        <v>11011</v>
      </c>
      <c r="C32" t="s">
        <v>1751</v>
      </c>
      <c r="D32">
        <v>20605739</v>
      </c>
      <c r="E32" t="s">
        <v>3128</v>
      </c>
      <c r="F32" t="s">
        <v>1241</v>
      </c>
      <c r="G32" t="s">
        <v>3141</v>
      </c>
      <c r="H32" t="s">
        <v>1252</v>
      </c>
      <c r="J32" s="455">
        <v>46244</v>
      </c>
      <c r="U32" s="455">
        <v>46258</v>
      </c>
    </row>
    <row r="33" spans="1:21">
      <c r="A33" t="s">
        <v>1751</v>
      </c>
      <c r="B33" t="s">
        <v>5041</v>
      </c>
      <c r="C33" t="s">
        <v>1751</v>
      </c>
      <c r="D33">
        <v>20599272</v>
      </c>
      <c r="E33" t="s">
        <v>3128</v>
      </c>
      <c r="F33" t="s">
        <v>1242</v>
      </c>
      <c r="G33" t="s">
        <v>3143</v>
      </c>
      <c r="H33" t="s">
        <v>1248</v>
      </c>
      <c r="I33" t="s">
        <v>1834</v>
      </c>
      <c r="J33" s="455">
        <v>46237</v>
      </c>
      <c r="U33" s="455">
        <v>46263</v>
      </c>
    </row>
    <row r="34" spans="1:21">
      <c r="A34" t="s">
        <v>1751</v>
      </c>
      <c r="B34" t="s">
        <v>11012</v>
      </c>
      <c r="C34" t="s">
        <v>1751</v>
      </c>
      <c r="D34">
        <v>20604708</v>
      </c>
      <c r="E34" t="s">
        <v>3128</v>
      </c>
      <c r="F34" t="s">
        <v>1241</v>
      </c>
      <c r="G34" t="s">
        <v>3141</v>
      </c>
      <c r="H34" t="s">
        <v>1252</v>
      </c>
      <c r="J34" s="455">
        <v>46243</v>
      </c>
      <c r="U34" s="455">
        <v>46269</v>
      </c>
    </row>
    <row r="35" spans="1:21">
      <c r="A35" t="s">
        <v>1751</v>
      </c>
      <c r="B35" t="s">
        <v>5042</v>
      </c>
      <c r="C35" t="s">
        <v>1751</v>
      </c>
      <c r="D35">
        <v>20600012</v>
      </c>
      <c r="E35" t="s">
        <v>3128</v>
      </c>
      <c r="F35" t="s">
        <v>1782</v>
      </c>
      <c r="G35" t="s">
        <v>3137</v>
      </c>
      <c r="H35" t="s">
        <v>4278</v>
      </c>
      <c r="J35" s="455">
        <v>46238</v>
      </c>
      <c r="U35" s="455">
        <v>46268</v>
      </c>
    </row>
    <row r="36" spans="1:21">
      <c r="A36" t="s">
        <v>1751</v>
      </c>
      <c r="B36" t="s">
        <v>11013</v>
      </c>
      <c r="C36" t="s">
        <v>1751</v>
      </c>
      <c r="D36">
        <v>20608224</v>
      </c>
      <c r="E36" t="s">
        <v>3128</v>
      </c>
      <c r="F36" t="s">
        <v>1241</v>
      </c>
      <c r="G36" t="s">
        <v>2009</v>
      </c>
      <c r="H36" t="s">
        <v>1252</v>
      </c>
      <c r="J36" s="455">
        <v>46246</v>
      </c>
      <c r="U36" s="455">
        <v>46246</v>
      </c>
    </row>
    <row r="37" spans="1:21">
      <c r="A37" t="s">
        <v>1751</v>
      </c>
      <c r="B37" t="s">
        <v>11014</v>
      </c>
      <c r="C37" t="s">
        <v>1751</v>
      </c>
      <c r="D37">
        <v>20603289</v>
      </c>
      <c r="E37" t="s">
        <v>3128</v>
      </c>
      <c r="F37" t="s">
        <v>1782</v>
      </c>
      <c r="G37" t="s">
        <v>3134</v>
      </c>
      <c r="H37" t="s">
        <v>1252</v>
      </c>
      <c r="J37" s="455">
        <v>46241</v>
      </c>
      <c r="U37" s="455">
        <v>46248</v>
      </c>
    </row>
    <row r="38" spans="1:21">
      <c r="A38" t="s">
        <v>1751</v>
      </c>
      <c r="B38" t="s">
        <v>11015</v>
      </c>
      <c r="C38" t="s">
        <v>1751</v>
      </c>
      <c r="D38">
        <v>20605917</v>
      </c>
      <c r="E38" t="s">
        <v>3128</v>
      </c>
      <c r="F38" t="s">
        <v>1782</v>
      </c>
      <c r="G38" t="s">
        <v>3134</v>
      </c>
      <c r="H38" t="s">
        <v>1252</v>
      </c>
      <c r="J38" s="455">
        <v>46245</v>
      </c>
      <c r="U38" s="455">
        <v>46251</v>
      </c>
    </row>
    <row r="39" spans="1:21">
      <c r="A39" t="s">
        <v>1751</v>
      </c>
      <c r="B39" t="s">
        <v>11016</v>
      </c>
      <c r="C39" t="s">
        <v>1751</v>
      </c>
      <c r="D39">
        <v>20606769</v>
      </c>
      <c r="E39" t="s">
        <v>3128</v>
      </c>
      <c r="F39" t="s">
        <v>1782</v>
      </c>
      <c r="G39" t="s">
        <v>3141</v>
      </c>
      <c r="H39" t="s">
        <v>1252</v>
      </c>
      <c r="J39" s="455">
        <v>46245</v>
      </c>
      <c r="U39" s="455">
        <v>46388</v>
      </c>
    </row>
    <row r="40" spans="1:21">
      <c r="A40" t="s">
        <v>1751</v>
      </c>
      <c r="B40" t="s">
        <v>11017</v>
      </c>
      <c r="C40" t="s">
        <v>1751</v>
      </c>
      <c r="D40">
        <v>20605710</v>
      </c>
      <c r="E40" t="s">
        <v>1897</v>
      </c>
      <c r="F40" t="s">
        <v>1241</v>
      </c>
      <c r="G40" t="s">
        <v>3137</v>
      </c>
      <c r="H40" t="s">
        <v>1252</v>
      </c>
      <c r="I40" t="s">
        <v>2419</v>
      </c>
      <c r="J40" s="455">
        <v>46244</v>
      </c>
      <c r="K40" s="455">
        <v>46244</v>
      </c>
      <c r="U40" s="455">
        <v>46357</v>
      </c>
    </row>
    <row r="41" spans="1:21">
      <c r="A41" t="s">
        <v>1751</v>
      </c>
      <c r="B41" t="s">
        <v>11018</v>
      </c>
      <c r="C41" t="s">
        <v>1751</v>
      </c>
      <c r="D41">
        <v>20602081</v>
      </c>
      <c r="E41" t="s">
        <v>3128</v>
      </c>
      <c r="F41" t="s">
        <v>1241</v>
      </c>
      <c r="G41" t="s">
        <v>3134</v>
      </c>
      <c r="H41" t="s">
        <v>3165</v>
      </c>
      <c r="J41" s="455">
        <v>46240</v>
      </c>
      <c r="U41" s="455">
        <v>46264</v>
      </c>
    </row>
    <row r="42" spans="1:21">
      <c r="A42" t="s">
        <v>1751</v>
      </c>
      <c r="B42" t="s">
        <v>5043</v>
      </c>
      <c r="C42" t="s">
        <v>1751</v>
      </c>
      <c r="D42">
        <v>20600416</v>
      </c>
      <c r="E42" t="s">
        <v>3128</v>
      </c>
      <c r="F42" t="s">
        <v>1237</v>
      </c>
      <c r="G42" t="s">
        <v>3143</v>
      </c>
      <c r="H42" t="s">
        <v>1248</v>
      </c>
      <c r="I42" t="s">
        <v>3168</v>
      </c>
      <c r="J42" s="455">
        <v>46238</v>
      </c>
      <c r="U42" s="455">
        <v>46238</v>
      </c>
    </row>
    <row r="43" spans="1:21">
      <c r="A43" t="s">
        <v>1751</v>
      </c>
      <c r="B43" t="s">
        <v>11019</v>
      </c>
      <c r="C43" t="s">
        <v>1751</v>
      </c>
      <c r="D43">
        <v>20606983</v>
      </c>
      <c r="E43" t="s">
        <v>3128</v>
      </c>
      <c r="F43" t="s">
        <v>1782</v>
      </c>
      <c r="G43" t="s">
        <v>3137</v>
      </c>
      <c r="H43" t="s">
        <v>1252</v>
      </c>
      <c r="J43" s="455">
        <v>46246</v>
      </c>
      <c r="U43" s="455">
        <v>46266</v>
      </c>
    </row>
    <row r="44" spans="1:21">
      <c r="A44" t="s">
        <v>1751</v>
      </c>
      <c r="B44" t="s">
        <v>5044</v>
      </c>
      <c r="C44" t="s">
        <v>1751</v>
      </c>
      <c r="D44">
        <v>20598232</v>
      </c>
      <c r="E44" t="s">
        <v>2008</v>
      </c>
      <c r="F44" t="s">
        <v>1243</v>
      </c>
      <c r="G44" t="s">
        <v>3143</v>
      </c>
      <c r="H44" t="s">
        <v>1248</v>
      </c>
      <c r="I44" t="s">
        <v>4598</v>
      </c>
      <c r="J44" s="455">
        <v>46235</v>
      </c>
      <c r="K44" s="455">
        <v>46235</v>
      </c>
      <c r="L44" s="455">
        <v>46235</v>
      </c>
      <c r="M44" s="455">
        <v>46239</v>
      </c>
      <c r="N44" s="455">
        <v>46239</v>
      </c>
      <c r="U44" s="455">
        <v>46269</v>
      </c>
    </row>
    <row r="45" spans="1:21">
      <c r="A45" t="s">
        <v>1751</v>
      </c>
      <c r="B45" t="s">
        <v>11020</v>
      </c>
      <c r="C45" t="s">
        <v>1751</v>
      </c>
      <c r="D45">
        <v>20603554</v>
      </c>
      <c r="E45" t="s">
        <v>3128</v>
      </c>
      <c r="F45" t="s">
        <v>1782</v>
      </c>
      <c r="G45" t="s">
        <v>3134</v>
      </c>
      <c r="H45" t="s">
        <v>3165</v>
      </c>
      <c r="J45" s="455">
        <v>46241</v>
      </c>
      <c r="U45" s="455">
        <v>46242</v>
      </c>
    </row>
    <row r="46" spans="1:21">
      <c r="A46" t="s">
        <v>1751</v>
      </c>
      <c r="B46" t="s">
        <v>11021</v>
      </c>
      <c r="C46" t="s">
        <v>1751</v>
      </c>
      <c r="D46">
        <v>20606190</v>
      </c>
      <c r="E46" t="s">
        <v>3128</v>
      </c>
      <c r="F46" t="s">
        <v>1782</v>
      </c>
      <c r="G46" t="s">
        <v>3134</v>
      </c>
      <c r="H46" t="s">
        <v>3165</v>
      </c>
      <c r="J46" s="455">
        <v>46245</v>
      </c>
      <c r="U46" s="455">
        <v>46327</v>
      </c>
    </row>
    <row r="47" spans="1:21">
      <c r="A47" t="s">
        <v>1751</v>
      </c>
      <c r="B47" t="s">
        <v>11022</v>
      </c>
      <c r="C47" t="s">
        <v>1751</v>
      </c>
      <c r="D47">
        <v>20604349</v>
      </c>
      <c r="E47" t="s">
        <v>3128</v>
      </c>
      <c r="F47" t="s">
        <v>1241</v>
      </c>
      <c r="G47" t="s">
        <v>3137</v>
      </c>
      <c r="H47" t="s">
        <v>1252</v>
      </c>
      <c r="J47" s="455">
        <v>46242</v>
      </c>
      <c r="U47" s="455">
        <v>46283</v>
      </c>
    </row>
    <row r="48" spans="1:21">
      <c r="A48" t="s">
        <v>1751</v>
      </c>
      <c r="B48" t="s">
        <v>11023</v>
      </c>
      <c r="C48" t="s">
        <v>1751</v>
      </c>
      <c r="D48">
        <v>20601454</v>
      </c>
      <c r="E48" t="s">
        <v>3128</v>
      </c>
      <c r="F48" t="s">
        <v>1241</v>
      </c>
      <c r="G48" t="s">
        <v>3137</v>
      </c>
      <c r="H48" t="s">
        <v>1252</v>
      </c>
      <c r="J48" s="455">
        <v>46239</v>
      </c>
      <c r="U48" s="455">
        <v>46243</v>
      </c>
    </row>
    <row r="49" spans="1:21">
      <c r="A49" t="s">
        <v>1751</v>
      </c>
      <c r="B49" t="s">
        <v>5045</v>
      </c>
      <c r="C49" t="s">
        <v>1751</v>
      </c>
      <c r="D49">
        <v>20601125</v>
      </c>
      <c r="E49" t="s">
        <v>1897</v>
      </c>
      <c r="F49" t="s">
        <v>1241</v>
      </c>
      <c r="G49" t="s">
        <v>3134</v>
      </c>
      <c r="H49" t="s">
        <v>1252</v>
      </c>
      <c r="I49" t="s">
        <v>2171</v>
      </c>
      <c r="J49" s="455">
        <v>46239</v>
      </c>
      <c r="K49" s="455">
        <v>46239</v>
      </c>
      <c r="U49" s="455">
        <v>46265</v>
      </c>
    </row>
    <row r="50" spans="1:21">
      <c r="A50" t="s">
        <v>1751</v>
      </c>
      <c r="B50" t="s">
        <v>5046</v>
      </c>
      <c r="C50" t="s">
        <v>1751</v>
      </c>
      <c r="D50">
        <v>20598187</v>
      </c>
      <c r="E50" t="s">
        <v>3128</v>
      </c>
      <c r="F50" t="s">
        <v>1782</v>
      </c>
      <c r="G50" t="s">
        <v>3141</v>
      </c>
      <c r="H50" t="s">
        <v>1247</v>
      </c>
      <c r="J50" s="455">
        <v>46235</v>
      </c>
      <c r="U50" s="455">
        <v>46405</v>
      </c>
    </row>
    <row r="51" spans="1:21">
      <c r="A51" t="s">
        <v>1751</v>
      </c>
      <c r="B51" t="s">
        <v>5047</v>
      </c>
      <c r="C51" t="s">
        <v>1751</v>
      </c>
      <c r="D51">
        <v>20600781</v>
      </c>
      <c r="E51" t="s">
        <v>3128</v>
      </c>
      <c r="F51" t="s">
        <v>1782</v>
      </c>
      <c r="G51" t="s">
        <v>3141</v>
      </c>
      <c r="H51" t="s">
        <v>1252</v>
      </c>
      <c r="J51" s="455">
        <v>46238</v>
      </c>
      <c r="U51" s="455">
        <v>46270</v>
      </c>
    </row>
    <row r="52" spans="1:21">
      <c r="A52" t="s">
        <v>1751</v>
      </c>
      <c r="B52" t="s">
        <v>5048</v>
      </c>
      <c r="C52" t="s">
        <v>1751</v>
      </c>
      <c r="D52">
        <v>20597830</v>
      </c>
      <c r="E52" t="s">
        <v>3128</v>
      </c>
      <c r="F52" t="s">
        <v>1782</v>
      </c>
      <c r="G52" t="s">
        <v>3141</v>
      </c>
      <c r="H52" t="s">
        <v>4278</v>
      </c>
      <c r="J52" s="455">
        <v>46235</v>
      </c>
      <c r="U52" s="455">
        <v>46249</v>
      </c>
    </row>
    <row r="53" spans="1:21">
      <c r="A53" t="s">
        <v>1751</v>
      </c>
      <c r="B53" t="s">
        <v>4367</v>
      </c>
      <c r="C53" t="s">
        <v>1751</v>
      </c>
      <c r="D53">
        <v>20595775</v>
      </c>
      <c r="E53" t="s">
        <v>3142</v>
      </c>
      <c r="F53" t="s">
        <v>1243</v>
      </c>
      <c r="G53" t="s">
        <v>3137</v>
      </c>
      <c r="H53" t="s">
        <v>1247</v>
      </c>
      <c r="I53" t="s">
        <v>4368</v>
      </c>
      <c r="J53" s="455">
        <v>46232</v>
      </c>
      <c r="K53" s="455">
        <v>46232</v>
      </c>
      <c r="L53" s="455">
        <v>46232</v>
      </c>
      <c r="M53" s="455">
        <v>46237</v>
      </c>
      <c r="N53" s="455">
        <v>46237</v>
      </c>
      <c r="P53" s="455">
        <v>46237</v>
      </c>
      <c r="Q53" s="455">
        <v>46237</v>
      </c>
      <c r="U53" s="455">
        <v>46241</v>
      </c>
    </row>
    <row r="54" spans="1:21">
      <c r="A54" t="s">
        <v>1751</v>
      </c>
      <c r="B54" t="s">
        <v>11024</v>
      </c>
      <c r="C54" t="s">
        <v>1751</v>
      </c>
      <c r="D54">
        <v>20605287</v>
      </c>
      <c r="E54" t="s">
        <v>3128</v>
      </c>
      <c r="F54" t="s">
        <v>3285</v>
      </c>
      <c r="G54" t="s">
        <v>3134</v>
      </c>
      <c r="H54" t="s">
        <v>1252</v>
      </c>
      <c r="J54" s="455">
        <v>46244</v>
      </c>
      <c r="U54" s="455">
        <v>46304</v>
      </c>
    </row>
    <row r="55" spans="1:21">
      <c r="A55" t="s">
        <v>1751</v>
      </c>
      <c r="B55" t="s">
        <v>4369</v>
      </c>
      <c r="C55" t="s">
        <v>1751</v>
      </c>
      <c r="D55">
        <v>20534151</v>
      </c>
      <c r="E55" t="s">
        <v>3133</v>
      </c>
      <c r="F55" t="s">
        <v>1241</v>
      </c>
      <c r="G55" t="s">
        <v>3143</v>
      </c>
      <c r="H55" t="s">
        <v>1248</v>
      </c>
      <c r="I55" t="s">
        <v>1550</v>
      </c>
      <c r="J55" s="455">
        <v>46165</v>
      </c>
      <c r="K55" s="455">
        <v>46231</v>
      </c>
      <c r="L55" s="455">
        <v>46231</v>
      </c>
      <c r="S55" s="455">
        <v>46241</v>
      </c>
      <c r="U55" s="455">
        <v>46248</v>
      </c>
    </row>
    <row r="56" spans="1:21">
      <c r="A56" t="s">
        <v>1751</v>
      </c>
      <c r="B56" t="s">
        <v>11025</v>
      </c>
      <c r="C56" t="s">
        <v>1751</v>
      </c>
      <c r="D56">
        <v>20606813</v>
      </c>
      <c r="E56" t="s">
        <v>3128</v>
      </c>
      <c r="F56" t="s">
        <v>1782</v>
      </c>
      <c r="G56" t="s">
        <v>3141</v>
      </c>
      <c r="H56" t="s">
        <v>4278</v>
      </c>
      <c r="J56" s="455">
        <v>46245</v>
      </c>
      <c r="U56" s="455">
        <v>46259</v>
      </c>
    </row>
    <row r="57" spans="1:21">
      <c r="A57" t="s">
        <v>1751</v>
      </c>
      <c r="B57" t="s">
        <v>5049</v>
      </c>
      <c r="C57" t="s">
        <v>1751</v>
      </c>
      <c r="D57">
        <v>20599437</v>
      </c>
      <c r="E57" t="s">
        <v>3128</v>
      </c>
      <c r="F57" t="s">
        <v>1241</v>
      </c>
      <c r="G57" t="s">
        <v>3143</v>
      </c>
      <c r="H57" t="s">
        <v>1252</v>
      </c>
      <c r="I57" t="s">
        <v>3168</v>
      </c>
      <c r="J57" s="455">
        <v>46237</v>
      </c>
      <c r="U57" s="455">
        <v>46263</v>
      </c>
    </row>
    <row r="58" spans="1:21">
      <c r="A58" t="s">
        <v>1751</v>
      </c>
      <c r="B58" t="s">
        <v>5050</v>
      </c>
      <c r="C58" t="s">
        <v>1751</v>
      </c>
      <c r="D58">
        <v>20598264</v>
      </c>
      <c r="E58" t="s">
        <v>3128</v>
      </c>
      <c r="F58" t="s">
        <v>1782</v>
      </c>
      <c r="G58" t="s">
        <v>3137</v>
      </c>
      <c r="H58" t="s">
        <v>1252</v>
      </c>
      <c r="J58" s="455">
        <v>46235</v>
      </c>
      <c r="U58" s="455">
        <v>46239</v>
      </c>
    </row>
    <row r="59" spans="1:21">
      <c r="A59" t="s">
        <v>1751</v>
      </c>
      <c r="B59" t="s">
        <v>11026</v>
      </c>
      <c r="C59" t="s">
        <v>1751</v>
      </c>
      <c r="D59">
        <v>20604810</v>
      </c>
      <c r="E59" t="s">
        <v>3128</v>
      </c>
      <c r="F59" t="s">
        <v>1241</v>
      </c>
      <c r="G59" t="s">
        <v>3134</v>
      </c>
      <c r="H59" t="s">
        <v>3165</v>
      </c>
      <c r="J59" s="455">
        <v>46243</v>
      </c>
      <c r="U59" s="455">
        <v>46366</v>
      </c>
    </row>
    <row r="60" spans="1:21">
      <c r="A60" t="s">
        <v>1751</v>
      </c>
      <c r="B60" t="s">
        <v>11027</v>
      </c>
      <c r="C60" t="s">
        <v>1751</v>
      </c>
      <c r="D60">
        <v>20602478</v>
      </c>
      <c r="E60" t="s">
        <v>3128</v>
      </c>
      <c r="F60" t="s">
        <v>1782</v>
      </c>
      <c r="G60" t="s">
        <v>3129</v>
      </c>
      <c r="H60" t="s">
        <v>3131</v>
      </c>
      <c r="J60" s="455">
        <v>46240</v>
      </c>
      <c r="U60" s="455">
        <v>46240</v>
      </c>
    </row>
    <row r="61" spans="1:21">
      <c r="A61" t="s">
        <v>1751</v>
      </c>
      <c r="B61" t="s">
        <v>4394</v>
      </c>
      <c r="C61" t="s">
        <v>1751</v>
      </c>
      <c r="D61">
        <v>20529690</v>
      </c>
      <c r="E61" t="s">
        <v>3190</v>
      </c>
      <c r="F61" t="s">
        <v>1242</v>
      </c>
      <c r="G61" t="s">
        <v>2009</v>
      </c>
      <c r="H61" t="s">
        <v>1251</v>
      </c>
      <c r="I61" t="s">
        <v>2589</v>
      </c>
      <c r="J61" s="455">
        <v>46160</v>
      </c>
      <c r="K61" s="455">
        <v>46233</v>
      </c>
      <c r="R61" s="455">
        <v>46238</v>
      </c>
      <c r="U61" s="455">
        <v>46233</v>
      </c>
    </row>
    <row r="62" spans="1:21">
      <c r="A62" t="s">
        <v>1751</v>
      </c>
      <c r="B62" t="s">
        <v>4394</v>
      </c>
      <c r="C62" t="s">
        <v>1751</v>
      </c>
      <c r="D62">
        <v>20600372</v>
      </c>
      <c r="E62" t="s">
        <v>3128</v>
      </c>
      <c r="F62" t="s">
        <v>1241</v>
      </c>
      <c r="G62" t="s">
        <v>3137</v>
      </c>
      <c r="H62" t="s">
        <v>1251</v>
      </c>
      <c r="J62" s="455">
        <v>46238</v>
      </c>
      <c r="U62" s="455">
        <v>46238</v>
      </c>
    </row>
    <row r="63" spans="1:21">
      <c r="A63" t="s">
        <v>1751</v>
      </c>
      <c r="B63" t="s">
        <v>11028</v>
      </c>
      <c r="C63" t="s">
        <v>1751</v>
      </c>
      <c r="D63">
        <v>20602057</v>
      </c>
      <c r="E63" t="s">
        <v>3128</v>
      </c>
      <c r="F63" t="s">
        <v>1241</v>
      </c>
      <c r="G63" t="s">
        <v>3134</v>
      </c>
      <c r="H63" t="s">
        <v>1252</v>
      </c>
      <c r="J63" s="455">
        <v>46240</v>
      </c>
      <c r="U63" s="455">
        <v>46254</v>
      </c>
    </row>
    <row r="64" spans="1:21">
      <c r="A64" t="s">
        <v>1751</v>
      </c>
      <c r="B64" t="s">
        <v>5051</v>
      </c>
      <c r="C64" t="s">
        <v>1751</v>
      </c>
      <c r="D64">
        <v>20600249</v>
      </c>
      <c r="E64" t="s">
        <v>3128</v>
      </c>
      <c r="F64" t="s">
        <v>1241</v>
      </c>
      <c r="G64" t="s">
        <v>3141</v>
      </c>
      <c r="H64" t="s">
        <v>1252</v>
      </c>
      <c r="J64" s="455">
        <v>46238</v>
      </c>
      <c r="U64" s="455">
        <v>46238</v>
      </c>
    </row>
    <row r="65" spans="1:21">
      <c r="A65" t="s">
        <v>1751</v>
      </c>
      <c r="B65" t="s">
        <v>2980</v>
      </c>
      <c r="C65" t="s">
        <v>1751</v>
      </c>
      <c r="D65">
        <v>20599432</v>
      </c>
      <c r="E65" t="s">
        <v>3128</v>
      </c>
      <c r="F65" t="s">
        <v>1237</v>
      </c>
      <c r="G65" t="s">
        <v>3137</v>
      </c>
      <c r="H65" t="s">
        <v>1252</v>
      </c>
      <c r="I65" t="s">
        <v>3170</v>
      </c>
      <c r="J65" s="455">
        <v>46237</v>
      </c>
      <c r="U65" s="455">
        <v>46242</v>
      </c>
    </row>
    <row r="66" spans="1:21">
      <c r="A66" t="s">
        <v>1751</v>
      </c>
      <c r="B66" t="s">
        <v>2980</v>
      </c>
      <c r="C66" t="s">
        <v>1751</v>
      </c>
      <c r="D66">
        <v>20599531</v>
      </c>
      <c r="E66" t="s">
        <v>3142</v>
      </c>
      <c r="F66" t="s">
        <v>1237</v>
      </c>
      <c r="G66" t="s">
        <v>3134</v>
      </c>
      <c r="H66" t="s">
        <v>1247</v>
      </c>
      <c r="I66" t="s">
        <v>1580</v>
      </c>
      <c r="J66" s="455">
        <v>46237</v>
      </c>
      <c r="K66" s="455">
        <v>46237</v>
      </c>
      <c r="L66" s="455">
        <v>46237</v>
      </c>
      <c r="M66" s="455">
        <v>46245</v>
      </c>
      <c r="N66" s="455">
        <v>46246</v>
      </c>
      <c r="O66" s="455">
        <v>46246</v>
      </c>
      <c r="P66" s="455">
        <v>46246</v>
      </c>
      <c r="Q66" s="455">
        <v>46246</v>
      </c>
      <c r="U66" s="455">
        <v>46246</v>
      </c>
    </row>
    <row r="67" spans="1:21">
      <c r="A67" t="s">
        <v>1751</v>
      </c>
      <c r="B67" t="s">
        <v>11029</v>
      </c>
      <c r="C67" t="s">
        <v>1751</v>
      </c>
      <c r="D67">
        <v>20602700</v>
      </c>
      <c r="E67" t="s">
        <v>3128</v>
      </c>
      <c r="F67" t="s">
        <v>1241</v>
      </c>
      <c r="G67" t="s">
        <v>3141</v>
      </c>
      <c r="H67" t="s">
        <v>1252</v>
      </c>
      <c r="J67" s="455">
        <v>46240</v>
      </c>
      <c r="U67" s="455">
        <v>46314</v>
      </c>
    </row>
    <row r="68" spans="1:21">
      <c r="A68" t="s">
        <v>1751</v>
      </c>
      <c r="B68" t="s">
        <v>5052</v>
      </c>
      <c r="C68" t="s">
        <v>1751</v>
      </c>
      <c r="D68">
        <v>20598863</v>
      </c>
      <c r="E68" t="s">
        <v>3128</v>
      </c>
      <c r="F68" t="s">
        <v>1241</v>
      </c>
      <c r="G68" t="s">
        <v>3137</v>
      </c>
      <c r="H68" t="s">
        <v>1252</v>
      </c>
      <c r="J68" s="455">
        <v>46236</v>
      </c>
      <c r="U68" s="455">
        <v>46243</v>
      </c>
    </row>
    <row r="69" spans="1:21">
      <c r="A69" t="s">
        <v>1751</v>
      </c>
      <c r="B69" t="s">
        <v>5053</v>
      </c>
      <c r="C69" t="s">
        <v>1751</v>
      </c>
      <c r="D69">
        <v>20599238</v>
      </c>
      <c r="E69" t="s">
        <v>3128</v>
      </c>
      <c r="F69" t="s">
        <v>1241</v>
      </c>
      <c r="G69" t="s">
        <v>3141</v>
      </c>
      <c r="H69" t="s">
        <v>1252</v>
      </c>
      <c r="J69" s="455">
        <v>46237</v>
      </c>
      <c r="U69" s="455">
        <v>46297</v>
      </c>
    </row>
    <row r="70" spans="1:21">
      <c r="A70" t="s">
        <v>1751</v>
      </c>
      <c r="B70" t="s">
        <v>5054</v>
      </c>
      <c r="C70" t="s">
        <v>1751</v>
      </c>
      <c r="D70">
        <v>20600430</v>
      </c>
      <c r="E70" t="s">
        <v>3128</v>
      </c>
      <c r="F70" t="s">
        <v>1241</v>
      </c>
      <c r="G70" t="s">
        <v>3134</v>
      </c>
      <c r="H70" t="s">
        <v>1252</v>
      </c>
      <c r="J70" s="455">
        <v>46238</v>
      </c>
      <c r="U70" s="455">
        <v>46239</v>
      </c>
    </row>
    <row r="71" spans="1:21">
      <c r="A71" t="s">
        <v>1751</v>
      </c>
      <c r="B71" t="s">
        <v>4412</v>
      </c>
      <c r="C71" t="s">
        <v>1751</v>
      </c>
      <c r="D71">
        <v>20597283</v>
      </c>
      <c r="E71" t="s">
        <v>1907</v>
      </c>
      <c r="F71" t="s">
        <v>1239</v>
      </c>
      <c r="G71" t="s">
        <v>3134</v>
      </c>
      <c r="H71" t="s">
        <v>1247</v>
      </c>
      <c r="I71" t="s">
        <v>2664</v>
      </c>
      <c r="J71" s="455">
        <v>46234</v>
      </c>
      <c r="K71" s="455">
        <v>46234</v>
      </c>
      <c r="L71" s="455">
        <v>46245</v>
      </c>
      <c r="U71" s="455">
        <v>46276</v>
      </c>
    </row>
    <row r="72" spans="1:21">
      <c r="A72" t="s">
        <v>1751</v>
      </c>
      <c r="B72" t="s">
        <v>11030</v>
      </c>
      <c r="C72" t="s">
        <v>1751</v>
      </c>
      <c r="D72">
        <v>20607417</v>
      </c>
      <c r="E72" t="s">
        <v>3128</v>
      </c>
      <c r="F72" t="s">
        <v>1241</v>
      </c>
      <c r="G72" t="s">
        <v>3134</v>
      </c>
      <c r="H72" t="s">
        <v>3165</v>
      </c>
      <c r="J72" s="455">
        <v>46246</v>
      </c>
      <c r="U72" s="455">
        <v>46295</v>
      </c>
    </row>
    <row r="73" spans="1:21">
      <c r="A73" t="s">
        <v>1751</v>
      </c>
      <c r="B73" t="s">
        <v>11031</v>
      </c>
      <c r="C73" t="s">
        <v>1751</v>
      </c>
      <c r="D73">
        <v>20603184</v>
      </c>
      <c r="E73" t="s">
        <v>1897</v>
      </c>
      <c r="F73" t="s">
        <v>1241</v>
      </c>
      <c r="G73" t="s">
        <v>3134</v>
      </c>
      <c r="H73" t="s">
        <v>1247</v>
      </c>
      <c r="I73" t="s">
        <v>2686</v>
      </c>
      <c r="J73" s="455">
        <v>46241</v>
      </c>
      <c r="K73" s="455">
        <v>46241</v>
      </c>
      <c r="U73" s="455">
        <v>46241</v>
      </c>
    </row>
    <row r="74" spans="1:21">
      <c r="A74" t="s">
        <v>1751</v>
      </c>
      <c r="B74" t="s">
        <v>4415</v>
      </c>
      <c r="C74" t="s">
        <v>1751</v>
      </c>
      <c r="D74">
        <v>20538806</v>
      </c>
      <c r="E74" t="s">
        <v>3190</v>
      </c>
      <c r="F74" t="s">
        <v>1241</v>
      </c>
      <c r="G74" t="s">
        <v>3129</v>
      </c>
      <c r="H74" t="s">
        <v>1252</v>
      </c>
      <c r="I74" t="s">
        <v>4416</v>
      </c>
      <c r="J74" s="455">
        <v>46171</v>
      </c>
      <c r="K74" s="455">
        <v>46220</v>
      </c>
      <c r="R74" s="455">
        <v>46238</v>
      </c>
      <c r="U74" s="455">
        <v>46273</v>
      </c>
    </row>
    <row r="75" spans="1:21">
      <c r="A75" t="s">
        <v>1751</v>
      </c>
      <c r="B75" t="s">
        <v>5055</v>
      </c>
      <c r="C75" t="s">
        <v>1751</v>
      </c>
      <c r="D75">
        <v>20599345</v>
      </c>
      <c r="E75" t="s">
        <v>1897</v>
      </c>
      <c r="F75" t="s">
        <v>1241</v>
      </c>
      <c r="G75" t="s">
        <v>3141</v>
      </c>
      <c r="H75" t="s">
        <v>1247</v>
      </c>
      <c r="J75" s="455">
        <v>46237</v>
      </c>
      <c r="K75" s="455">
        <v>46242</v>
      </c>
      <c r="U75" s="455">
        <v>46319</v>
      </c>
    </row>
    <row r="76" spans="1:21">
      <c r="A76" t="s">
        <v>1751</v>
      </c>
      <c r="B76" t="s">
        <v>11032</v>
      </c>
      <c r="C76" t="s">
        <v>1751</v>
      </c>
      <c r="D76">
        <v>20605418</v>
      </c>
      <c r="E76" t="s">
        <v>3128</v>
      </c>
      <c r="F76" t="s">
        <v>1782</v>
      </c>
      <c r="G76" t="s">
        <v>3134</v>
      </c>
      <c r="H76" t="s">
        <v>1252</v>
      </c>
      <c r="J76" s="455">
        <v>46244</v>
      </c>
      <c r="U76" s="455">
        <v>46269</v>
      </c>
    </row>
    <row r="77" spans="1:21">
      <c r="A77" t="s">
        <v>1751</v>
      </c>
      <c r="B77" t="s">
        <v>11033</v>
      </c>
      <c r="C77" t="s">
        <v>1751</v>
      </c>
      <c r="D77">
        <v>20604591</v>
      </c>
      <c r="E77" t="s">
        <v>3128</v>
      </c>
      <c r="F77" t="s">
        <v>1241</v>
      </c>
      <c r="G77" t="s">
        <v>3134</v>
      </c>
      <c r="H77" t="s">
        <v>3165</v>
      </c>
      <c r="J77" s="455">
        <v>46243</v>
      </c>
      <c r="U77" s="455">
        <v>46244</v>
      </c>
    </row>
    <row r="78" spans="1:21">
      <c r="A78" t="s">
        <v>1751</v>
      </c>
      <c r="B78" t="s">
        <v>11034</v>
      </c>
      <c r="C78" t="s">
        <v>1751</v>
      </c>
      <c r="D78">
        <v>20602742</v>
      </c>
      <c r="E78" t="s">
        <v>3128</v>
      </c>
      <c r="F78" t="s">
        <v>1241</v>
      </c>
      <c r="G78" t="s">
        <v>3129</v>
      </c>
      <c r="H78" t="s">
        <v>3131</v>
      </c>
      <c r="J78" s="455">
        <v>46240</v>
      </c>
      <c r="U78" s="455">
        <v>46240</v>
      </c>
    </row>
    <row r="79" spans="1:21">
      <c r="A79" t="s">
        <v>1751</v>
      </c>
      <c r="B79" t="s">
        <v>5056</v>
      </c>
      <c r="C79" t="s">
        <v>1751</v>
      </c>
      <c r="D79">
        <v>20599476</v>
      </c>
      <c r="E79" t="s">
        <v>3128</v>
      </c>
      <c r="F79" t="s">
        <v>1242</v>
      </c>
      <c r="G79" t="s">
        <v>3129</v>
      </c>
      <c r="H79" t="s">
        <v>3131</v>
      </c>
      <c r="J79" s="455">
        <v>46237</v>
      </c>
      <c r="U79" s="455">
        <v>46237</v>
      </c>
    </row>
    <row r="80" spans="1:21">
      <c r="A80" t="s">
        <v>1751</v>
      </c>
      <c r="B80" t="s">
        <v>11035</v>
      </c>
      <c r="C80" t="s">
        <v>1751</v>
      </c>
      <c r="D80">
        <v>20604369</v>
      </c>
      <c r="E80" t="s">
        <v>3128</v>
      </c>
      <c r="F80" t="s">
        <v>1241</v>
      </c>
      <c r="G80" t="s">
        <v>3141</v>
      </c>
      <c r="H80" t="s">
        <v>1252</v>
      </c>
      <c r="J80" s="455">
        <v>46243</v>
      </c>
      <c r="U80" s="455">
        <v>46243</v>
      </c>
    </row>
    <row r="81" spans="1:21">
      <c r="A81" t="s">
        <v>1751</v>
      </c>
      <c r="B81" t="s">
        <v>11036</v>
      </c>
      <c r="C81" t="s">
        <v>1751</v>
      </c>
      <c r="D81">
        <v>20606823</v>
      </c>
      <c r="E81" t="s">
        <v>1897</v>
      </c>
      <c r="F81" t="s">
        <v>1241</v>
      </c>
      <c r="G81" t="s">
        <v>3134</v>
      </c>
      <c r="H81" t="s">
        <v>1247</v>
      </c>
      <c r="I81" t="s">
        <v>2686</v>
      </c>
      <c r="J81" s="455">
        <v>46245</v>
      </c>
      <c r="K81" s="455">
        <v>46245</v>
      </c>
      <c r="U81" s="455">
        <v>46247</v>
      </c>
    </row>
    <row r="82" spans="1:21">
      <c r="A82" t="s">
        <v>1751</v>
      </c>
      <c r="B82" t="s">
        <v>11037</v>
      </c>
      <c r="C82" t="s">
        <v>1751</v>
      </c>
      <c r="D82">
        <v>20601861</v>
      </c>
      <c r="E82" t="s">
        <v>1897</v>
      </c>
      <c r="F82" t="s">
        <v>1238</v>
      </c>
      <c r="G82" t="s">
        <v>3134</v>
      </c>
      <c r="H82" t="s">
        <v>3685</v>
      </c>
      <c r="I82" t="s">
        <v>6804</v>
      </c>
      <c r="J82" s="455">
        <v>46239</v>
      </c>
      <c r="K82" s="455">
        <v>46239</v>
      </c>
      <c r="U82" s="455">
        <v>46316</v>
      </c>
    </row>
    <row r="83" spans="1:21">
      <c r="A83" t="s">
        <v>1751</v>
      </c>
      <c r="B83" t="s">
        <v>11038</v>
      </c>
      <c r="C83" t="s">
        <v>1751</v>
      </c>
      <c r="D83">
        <v>20607307</v>
      </c>
      <c r="E83" t="s">
        <v>3128</v>
      </c>
      <c r="F83" t="s">
        <v>1241</v>
      </c>
      <c r="G83" t="s">
        <v>2009</v>
      </c>
      <c r="H83" t="s">
        <v>1252</v>
      </c>
      <c r="J83" s="455">
        <v>46246</v>
      </c>
      <c r="U83" s="455">
        <v>46273</v>
      </c>
    </row>
    <row r="84" spans="1:21">
      <c r="A84" t="s">
        <v>1751</v>
      </c>
      <c r="B84" t="s">
        <v>11039</v>
      </c>
      <c r="C84" t="s">
        <v>1751</v>
      </c>
      <c r="D84">
        <v>20607034</v>
      </c>
      <c r="E84" t="s">
        <v>3128</v>
      </c>
      <c r="F84" t="s">
        <v>1241</v>
      </c>
      <c r="G84" t="s">
        <v>2009</v>
      </c>
      <c r="H84" t="s">
        <v>1247</v>
      </c>
      <c r="J84" s="455">
        <v>46246</v>
      </c>
      <c r="U84" s="455">
        <v>46260</v>
      </c>
    </row>
    <row r="85" spans="1:21">
      <c r="A85" t="s">
        <v>1751</v>
      </c>
      <c r="B85" t="s">
        <v>10511</v>
      </c>
      <c r="C85" t="s">
        <v>1751</v>
      </c>
      <c r="D85">
        <v>20604525</v>
      </c>
      <c r="E85" t="s">
        <v>1897</v>
      </c>
      <c r="F85" t="s">
        <v>1912</v>
      </c>
      <c r="G85" t="s">
        <v>3134</v>
      </c>
      <c r="H85" t="s">
        <v>1247</v>
      </c>
      <c r="I85" t="s">
        <v>6601</v>
      </c>
      <c r="J85" s="455">
        <v>46243</v>
      </c>
      <c r="K85" s="455">
        <v>46243</v>
      </c>
      <c r="U85" s="455">
        <v>46340</v>
      </c>
    </row>
    <row r="86" spans="1:21">
      <c r="A86" t="s">
        <v>1751</v>
      </c>
      <c r="B86" t="s">
        <v>5057</v>
      </c>
      <c r="C86" t="s">
        <v>1751</v>
      </c>
      <c r="D86">
        <v>20599630</v>
      </c>
      <c r="E86" t="s">
        <v>3128</v>
      </c>
      <c r="F86" t="s">
        <v>1242</v>
      </c>
      <c r="G86" t="s">
        <v>3143</v>
      </c>
      <c r="H86" t="s">
        <v>1251</v>
      </c>
      <c r="I86" t="s">
        <v>3170</v>
      </c>
      <c r="J86" s="455">
        <v>46237</v>
      </c>
      <c r="U86" s="455">
        <v>46325</v>
      </c>
    </row>
    <row r="87" spans="1:21">
      <c r="A87" t="s">
        <v>1751</v>
      </c>
      <c r="B87" t="s">
        <v>5058</v>
      </c>
      <c r="C87" t="s">
        <v>1751</v>
      </c>
      <c r="D87">
        <v>20598295</v>
      </c>
      <c r="E87" t="s">
        <v>3128</v>
      </c>
      <c r="F87" t="s">
        <v>1782</v>
      </c>
      <c r="G87" t="s">
        <v>3141</v>
      </c>
      <c r="H87" t="s">
        <v>1252</v>
      </c>
      <c r="J87" s="455">
        <v>46235</v>
      </c>
      <c r="U87" s="455">
        <v>46295</v>
      </c>
    </row>
    <row r="88" spans="1:21">
      <c r="A88" t="s">
        <v>1751</v>
      </c>
      <c r="B88" t="s">
        <v>5059</v>
      </c>
      <c r="C88" t="s">
        <v>1751</v>
      </c>
      <c r="D88">
        <v>20599060</v>
      </c>
      <c r="E88" t="s">
        <v>1897</v>
      </c>
      <c r="F88" t="s">
        <v>1241</v>
      </c>
      <c r="G88" t="s">
        <v>3134</v>
      </c>
      <c r="H88" t="s">
        <v>1247</v>
      </c>
      <c r="J88" s="455">
        <v>46237</v>
      </c>
      <c r="K88" s="455">
        <v>46237</v>
      </c>
      <c r="U88" s="455">
        <v>46237</v>
      </c>
    </row>
    <row r="89" spans="1:21">
      <c r="A89" t="s">
        <v>1751</v>
      </c>
      <c r="B89" t="s">
        <v>11040</v>
      </c>
      <c r="C89" t="s">
        <v>1751</v>
      </c>
      <c r="D89">
        <v>20601787</v>
      </c>
      <c r="E89" t="s">
        <v>3128</v>
      </c>
      <c r="F89" t="s">
        <v>1241</v>
      </c>
      <c r="G89" t="s">
        <v>3129</v>
      </c>
      <c r="H89" t="s">
        <v>1252</v>
      </c>
      <c r="J89" s="455">
        <v>46239</v>
      </c>
      <c r="U89" s="455">
        <v>46239</v>
      </c>
    </row>
    <row r="90" spans="1:21">
      <c r="A90" t="s">
        <v>1751</v>
      </c>
      <c r="B90" t="s">
        <v>3435</v>
      </c>
      <c r="C90" t="s">
        <v>1751</v>
      </c>
      <c r="D90">
        <v>20578909</v>
      </c>
      <c r="E90" t="s">
        <v>1907</v>
      </c>
      <c r="F90" t="s">
        <v>1239</v>
      </c>
      <c r="G90" t="s">
        <v>3134</v>
      </c>
      <c r="H90" t="s">
        <v>1247</v>
      </c>
      <c r="I90" t="s">
        <v>2507</v>
      </c>
      <c r="J90" s="455">
        <v>46214</v>
      </c>
      <c r="K90" s="455">
        <v>46214</v>
      </c>
      <c r="L90" s="455">
        <v>46214</v>
      </c>
      <c r="T90" s="455">
        <v>46246</v>
      </c>
      <c r="U90" s="455">
        <v>46268</v>
      </c>
    </row>
    <row r="91" spans="1:21">
      <c r="A91" t="s">
        <v>1751</v>
      </c>
      <c r="B91" t="s">
        <v>4461</v>
      </c>
      <c r="C91" t="s">
        <v>1751</v>
      </c>
      <c r="D91">
        <v>20572195</v>
      </c>
      <c r="E91" t="s">
        <v>3133</v>
      </c>
      <c r="F91" t="s">
        <v>1912</v>
      </c>
      <c r="G91" t="s">
        <v>3134</v>
      </c>
      <c r="H91" t="s">
        <v>1247</v>
      </c>
      <c r="I91" t="s">
        <v>1545</v>
      </c>
      <c r="J91" s="455">
        <v>46206</v>
      </c>
      <c r="K91" s="455">
        <v>46206</v>
      </c>
      <c r="R91" s="455">
        <v>46239</v>
      </c>
      <c r="U91" s="455">
        <v>46235</v>
      </c>
    </row>
    <row r="92" spans="1:21">
      <c r="A92" t="s">
        <v>1751</v>
      </c>
      <c r="B92" t="s">
        <v>11041</v>
      </c>
      <c r="C92" t="s">
        <v>1751</v>
      </c>
      <c r="D92">
        <v>20604025</v>
      </c>
      <c r="E92" t="s">
        <v>3128</v>
      </c>
      <c r="F92" t="s">
        <v>1782</v>
      </c>
      <c r="G92" t="s">
        <v>3141</v>
      </c>
      <c r="H92" t="s">
        <v>1252</v>
      </c>
      <c r="J92" s="455">
        <v>46242</v>
      </c>
      <c r="U92" s="455">
        <v>46312</v>
      </c>
    </row>
    <row r="93" spans="1:21">
      <c r="A93" t="s">
        <v>1751</v>
      </c>
      <c r="B93" t="s">
        <v>11042</v>
      </c>
      <c r="C93" t="s">
        <v>1751</v>
      </c>
      <c r="D93">
        <v>20606843</v>
      </c>
      <c r="E93" t="s">
        <v>3128</v>
      </c>
      <c r="F93" t="s">
        <v>1782</v>
      </c>
      <c r="G93" t="s">
        <v>3141</v>
      </c>
      <c r="H93" t="s">
        <v>4278</v>
      </c>
      <c r="J93" s="455">
        <v>46245</v>
      </c>
      <c r="U93" s="455">
        <v>46259</v>
      </c>
    </row>
    <row r="94" spans="1:21">
      <c r="A94" t="s">
        <v>1751</v>
      </c>
      <c r="B94" t="s">
        <v>11043</v>
      </c>
      <c r="C94" t="s">
        <v>1751</v>
      </c>
      <c r="D94">
        <v>20602617</v>
      </c>
      <c r="E94" t="s">
        <v>3128</v>
      </c>
      <c r="F94" t="s">
        <v>1241</v>
      </c>
      <c r="G94" t="s">
        <v>3134</v>
      </c>
      <c r="H94" t="s">
        <v>3165</v>
      </c>
      <c r="J94" s="455">
        <v>46240</v>
      </c>
      <c r="U94" s="455">
        <v>46254</v>
      </c>
    </row>
    <row r="95" spans="1:21">
      <c r="A95" t="s">
        <v>1751</v>
      </c>
      <c r="B95" t="s">
        <v>5060</v>
      </c>
      <c r="C95" t="s">
        <v>1751</v>
      </c>
      <c r="D95">
        <v>20599376</v>
      </c>
      <c r="E95" t="s">
        <v>3128</v>
      </c>
      <c r="F95" t="s">
        <v>1238</v>
      </c>
      <c r="G95" t="s">
        <v>3129</v>
      </c>
      <c r="H95" t="s">
        <v>1251</v>
      </c>
      <c r="J95" s="455">
        <v>46237</v>
      </c>
      <c r="U95" s="455">
        <v>46259</v>
      </c>
    </row>
    <row r="96" spans="1:21">
      <c r="A96" t="s">
        <v>1751</v>
      </c>
      <c r="B96" t="s">
        <v>11044</v>
      </c>
      <c r="C96" t="s">
        <v>1751</v>
      </c>
      <c r="D96">
        <v>20603196</v>
      </c>
      <c r="E96" t="s">
        <v>3128</v>
      </c>
      <c r="F96" t="s">
        <v>1782</v>
      </c>
      <c r="G96" t="s">
        <v>3129</v>
      </c>
      <c r="H96" t="s">
        <v>1252</v>
      </c>
      <c r="J96" s="455">
        <v>46241</v>
      </c>
      <c r="U96" s="455">
        <v>46241</v>
      </c>
    </row>
    <row r="97" spans="1:21">
      <c r="A97" t="s">
        <v>1751</v>
      </c>
      <c r="B97" t="s">
        <v>11045</v>
      </c>
      <c r="C97" t="s">
        <v>1751</v>
      </c>
      <c r="D97">
        <v>20602905</v>
      </c>
      <c r="E97" t="s">
        <v>3128</v>
      </c>
      <c r="F97" t="s">
        <v>1782</v>
      </c>
      <c r="G97" t="s">
        <v>3137</v>
      </c>
      <c r="H97" t="s">
        <v>4278</v>
      </c>
      <c r="J97" s="455">
        <v>46241</v>
      </c>
      <c r="U97" s="455">
        <v>46255</v>
      </c>
    </row>
    <row r="98" spans="1:21">
      <c r="A98" t="s">
        <v>1751</v>
      </c>
      <c r="B98" t="s">
        <v>11046</v>
      </c>
      <c r="C98" t="s">
        <v>1751</v>
      </c>
      <c r="D98">
        <v>20602408</v>
      </c>
      <c r="E98" t="s">
        <v>3128</v>
      </c>
      <c r="F98" t="s">
        <v>1241</v>
      </c>
      <c r="G98" t="s">
        <v>3141</v>
      </c>
      <c r="H98" t="s">
        <v>1252</v>
      </c>
      <c r="J98" s="455">
        <v>46240</v>
      </c>
      <c r="U98" s="455">
        <v>46244</v>
      </c>
    </row>
    <row r="99" spans="1:21">
      <c r="A99" t="s">
        <v>1751</v>
      </c>
      <c r="B99" t="s">
        <v>11047</v>
      </c>
      <c r="C99" t="s">
        <v>1751</v>
      </c>
      <c r="D99">
        <v>20606485</v>
      </c>
      <c r="E99" t="s">
        <v>1907</v>
      </c>
      <c r="F99" t="s">
        <v>1241</v>
      </c>
      <c r="G99" t="s">
        <v>2009</v>
      </c>
      <c r="H99" t="s">
        <v>1252</v>
      </c>
      <c r="I99" t="s">
        <v>6442</v>
      </c>
      <c r="J99" s="455">
        <v>46245</v>
      </c>
      <c r="K99" s="455">
        <v>46245</v>
      </c>
      <c r="L99" s="455">
        <v>46245</v>
      </c>
      <c r="U99" s="455">
        <v>46269</v>
      </c>
    </row>
    <row r="100" spans="1:21">
      <c r="A100" t="s">
        <v>1751</v>
      </c>
      <c r="B100" t="s">
        <v>4495</v>
      </c>
      <c r="C100" t="s">
        <v>1751</v>
      </c>
      <c r="D100">
        <v>20584556</v>
      </c>
      <c r="E100" t="s">
        <v>3142</v>
      </c>
      <c r="F100" t="s">
        <v>1241</v>
      </c>
      <c r="G100" t="s">
        <v>3134</v>
      </c>
      <c r="H100" t="s">
        <v>1247</v>
      </c>
      <c r="I100" t="s">
        <v>1528</v>
      </c>
      <c r="J100" s="455">
        <v>46219</v>
      </c>
      <c r="K100" s="455">
        <v>46219</v>
      </c>
      <c r="L100" s="455">
        <v>46219</v>
      </c>
      <c r="M100" s="455">
        <v>46245</v>
      </c>
      <c r="N100" s="455">
        <v>46245</v>
      </c>
      <c r="P100" s="455">
        <v>46245</v>
      </c>
      <c r="Q100" s="455">
        <v>46245</v>
      </c>
      <c r="U100" s="455">
        <v>46294</v>
      </c>
    </row>
    <row r="101" spans="1:21">
      <c r="A101" t="s">
        <v>1751</v>
      </c>
      <c r="B101" t="s">
        <v>8762</v>
      </c>
      <c r="C101" t="s">
        <v>1751</v>
      </c>
      <c r="D101">
        <v>20604658</v>
      </c>
      <c r="E101" t="s">
        <v>3128</v>
      </c>
      <c r="F101" t="s">
        <v>1912</v>
      </c>
      <c r="G101" t="s">
        <v>2009</v>
      </c>
      <c r="H101" t="s">
        <v>1247</v>
      </c>
      <c r="J101" s="455">
        <v>46243</v>
      </c>
      <c r="U101" s="455">
        <v>46243</v>
      </c>
    </row>
    <row r="102" spans="1:21">
      <c r="A102" t="s">
        <v>1751</v>
      </c>
      <c r="B102" t="s">
        <v>5061</v>
      </c>
      <c r="C102" t="s">
        <v>1751</v>
      </c>
      <c r="D102">
        <v>20599978</v>
      </c>
      <c r="E102" t="s">
        <v>1897</v>
      </c>
      <c r="F102" t="s">
        <v>1237</v>
      </c>
      <c r="G102" t="s">
        <v>3134</v>
      </c>
      <c r="H102" t="s">
        <v>1247</v>
      </c>
      <c r="J102" s="455">
        <v>46237</v>
      </c>
      <c r="K102" s="455">
        <v>46237</v>
      </c>
      <c r="U102" s="455">
        <v>46237</v>
      </c>
    </row>
    <row r="103" spans="1:21">
      <c r="A103" t="s">
        <v>1751</v>
      </c>
      <c r="B103" t="s">
        <v>11048</v>
      </c>
      <c r="C103" t="s">
        <v>1751</v>
      </c>
      <c r="D103">
        <v>20603726</v>
      </c>
      <c r="E103" t="s">
        <v>3128</v>
      </c>
      <c r="F103" t="s">
        <v>1782</v>
      </c>
      <c r="G103" t="s">
        <v>3141</v>
      </c>
      <c r="H103" t="s">
        <v>4278</v>
      </c>
      <c r="J103" s="455">
        <v>46242</v>
      </c>
      <c r="U103" s="455">
        <v>46272</v>
      </c>
    </row>
    <row r="104" spans="1:21">
      <c r="A104" t="s">
        <v>1751</v>
      </c>
      <c r="B104" t="s">
        <v>11049</v>
      </c>
      <c r="C104" t="s">
        <v>1751</v>
      </c>
      <c r="D104">
        <v>20602940</v>
      </c>
      <c r="E104" t="s">
        <v>3128</v>
      </c>
      <c r="F104" t="s">
        <v>1782</v>
      </c>
      <c r="G104" t="s">
        <v>3134</v>
      </c>
      <c r="H104" t="s">
        <v>3165</v>
      </c>
      <c r="J104" s="455">
        <v>46241</v>
      </c>
      <c r="U104" s="455">
        <v>46265</v>
      </c>
    </row>
    <row r="105" spans="1:21">
      <c r="A105" t="s">
        <v>1751</v>
      </c>
      <c r="B105" t="s">
        <v>11050</v>
      </c>
      <c r="C105" t="s">
        <v>1751</v>
      </c>
      <c r="D105">
        <v>20603505</v>
      </c>
      <c r="E105" t="s">
        <v>3128</v>
      </c>
      <c r="F105" t="s">
        <v>1237</v>
      </c>
      <c r="G105" t="s">
        <v>3141</v>
      </c>
      <c r="H105" t="s">
        <v>1248</v>
      </c>
      <c r="J105" s="455">
        <v>46241</v>
      </c>
      <c r="U105" s="455">
        <v>46254</v>
      </c>
    </row>
    <row r="106" spans="1:21">
      <c r="A106" t="s">
        <v>1751</v>
      </c>
      <c r="B106" t="s">
        <v>5062</v>
      </c>
      <c r="C106" t="s">
        <v>1751</v>
      </c>
      <c r="D106">
        <v>20600897</v>
      </c>
      <c r="E106" t="s">
        <v>3128</v>
      </c>
      <c r="F106" t="s">
        <v>1241</v>
      </c>
      <c r="G106" t="s">
        <v>3134</v>
      </c>
      <c r="H106" t="s">
        <v>3165</v>
      </c>
      <c r="J106" s="455">
        <v>46238</v>
      </c>
      <c r="U106" s="455">
        <v>46395</v>
      </c>
    </row>
    <row r="107" spans="1:21">
      <c r="A107" t="s">
        <v>1751</v>
      </c>
      <c r="B107" t="s">
        <v>11051</v>
      </c>
      <c r="C107" t="s">
        <v>1751</v>
      </c>
      <c r="D107">
        <v>20608166</v>
      </c>
      <c r="E107" t="s">
        <v>3128</v>
      </c>
      <c r="F107" t="s">
        <v>1241</v>
      </c>
      <c r="G107" t="s">
        <v>3134</v>
      </c>
      <c r="H107" t="s">
        <v>3165</v>
      </c>
      <c r="J107" s="455">
        <v>46246</v>
      </c>
      <c r="U107" s="455">
        <v>46266</v>
      </c>
    </row>
    <row r="108" spans="1:21">
      <c r="A108" t="s">
        <v>1751</v>
      </c>
      <c r="B108" t="s">
        <v>11052</v>
      </c>
      <c r="C108" t="s">
        <v>1751</v>
      </c>
      <c r="D108">
        <v>20603471</v>
      </c>
      <c r="E108" t="s">
        <v>3128</v>
      </c>
      <c r="F108" t="s">
        <v>1782</v>
      </c>
      <c r="G108" t="s">
        <v>3141</v>
      </c>
      <c r="H108" t="s">
        <v>1252</v>
      </c>
      <c r="J108" s="455">
        <v>46241</v>
      </c>
      <c r="U108" s="455">
        <v>46248</v>
      </c>
    </row>
    <row r="109" spans="1:21">
      <c r="A109" t="s">
        <v>1751</v>
      </c>
      <c r="B109" t="s">
        <v>11053</v>
      </c>
      <c r="C109" t="s">
        <v>1751</v>
      </c>
      <c r="D109">
        <v>20605385</v>
      </c>
      <c r="E109" t="s">
        <v>3128</v>
      </c>
      <c r="F109" t="s">
        <v>1237</v>
      </c>
      <c r="G109" t="s">
        <v>3143</v>
      </c>
      <c r="H109" t="s">
        <v>1251</v>
      </c>
      <c r="I109" t="s">
        <v>3170</v>
      </c>
      <c r="J109" s="455">
        <v>46244</v>
      </c>
      <c r="U109" s="455">
        <v>46244</v>
      </c>
    </row>
    <row r="110" spans="1:21">
      <c r="A110" t="s">
        <v>1751</v>
      </c>
      <c r="B110" t="s">
        <v>11054</v>
      </c>
      <c r="C110" t="s">
        <v>1751</v>
      </c>
      <c r="D110">
        <v>20607013</v>
      </c>
      <c r="E110" t="s">
        <v>3128</v>
      </c>
      <c r="F110" t="s">
        <v>1241</v>
      </c>
      <c r="G110" t="s">
        <v>3137</v>
      </c>
      <c r="H110" t="s">
        <v>1252</v>
      </c>
      <c r="J110" s="455">
        <v>46246</v>
      </c>
      <c r="U110" s="455">
        <v>46248</v>
      </c>
    </row>
    <row r="111" spans="1:21">
      <c r="A111" t="s">
        <v>1751</v>
      </c>
      <c r="B111" t="s">
        <v>4527</v>
      </c>
      <c r="C111" t="s">
        <v>1751</v>
      </c>
      <c r="D111">
        <v>20595117</v>
      </c>
      <c r="E111" t="s">
        <v>3133</v>
      </c>
      <c r="F111" t="s">
        <v>3285</v>
      </c>
      <c r="G111" t="s">
        <v>3134</v>
      </c>
      <c r="H111" t="s">
        <v>1252</v>
      </c>
      <c r="I111" t="s">
        <v>2498</v>
      </c>
      <c r="J111" s="455">
        <v>46231</v>
      </c>
      <c r="K111" s="455">
        <v>46232</v>
      </c>
      <c r="L111" s="455">
        <v>46233</v>
      </c>
      <c r="S111" s="455">
        <v>46238</v>
      </c>
      <c r="U111" s="455">
        <v>46262</v>
      </c>
    </row>
    <row r="112" spans="1:21">
      <c r="A112" t="s">
        <v>1751</v>
      </c>
      <c r="B112" t="s">
        <v>4528</v>
      </c>
      <c r="C112" t="s">
        <v>1751</v>
      </c>
      <c r="D112">
        <v>20591927</v>
      </c>
      <c r="E112" t="s">
        <v>3133</v>
      </c>
      <c r="F112" t="s">
        <v>1237</v>
      </c>
      <c r="G112" t="s">
        <v>3137</v>
      </c>
      <c r="H112" t="s">
        <v>1252</v>
      </c>
      <c r="I112" t="s">
        <v>4208</v>
      </c>
      <c r="J112" s="455">
        <v>46227</v>
      </c>
      <c r="K112" s="455">
        <v>46232</v>
      </c>
      <c r="L112" s="455">
        <v>46232</v>
      </c>
      <c r="S112" s="455">
        <v>46240</v>
      </c>
      <c r="U112" s="455">
        <v>46248</v>
      </c>
    </row>
    <row r="113" spans="1:21">
      <c r="A113" t="s">
        <v>1751</v>
      </c>
      <c r="B113" t="s">
        <v>4528</v>
      </c>
      <c r="C113" t="s">
        <v>1751</v>
      </c>
      <c r="D113">
        <v>20602795</v>
      </c>
      <c r="E113" t="s">
        <v>1897</v>
      </c>
      <c r="F113" t="s">
        <v>1241</v>
      </c>
      <c r="G113" t="s">
        <v>3134</v>
      </c>
      <c r="H113" t="s">
        <v>1252</v>
      </c>
      <c r="J113" s="455">
        <v>46240</v>
      </c>
      <c r="K113" s="455">
        <v>46240</v>
      </c>
      <c r="U113" s="455">
        <v>46240</v>
      </c>
    </row>
    <row r="114" spans="1:21">
      <c r="A114" t="s">
        <v>1751</v>
      </c>
      <c r="B114" t="s">
        <v>4533</v>
      </c>
      <c r="C114" t="s">
        <v>1751</v>
      </c>
      <c r="D114">
        <v>20589360</v>
      </c>
      <c r="E114" t="s">
        <v>3142</v>
      </c>
      <c r="F114" t="s">
        <v>1243</v>
      </c>
      <c r="G114" t="s">
        <v>3141</v>
      </c>
      <c r="H114" t="s">
        <v>1252</v>
      </c>
      <c r="I114" t="s">
        <v>2437</v>
      </c>
      <c r="J114" s="455">
        <v>46224</v>
      </c>
      <c r="K114" s="455">
        <v>46226</v>
      </c>
      <c r="L114" s="455">
        <v>46226</v>
      </c>
      <c r="M114" s="455">
        <v>46237</v>
      </c>
      <c r="N114" s="455">
        <v>46237</v>
      </c>
      <c r="P114" s="455">
        <v>46237</v>
      </c>
      <c r="Q114" s="455">
        <v>46237</v>
      </c>
      <c r="U114" s="455">
        <v>46244</v>
      </c>
    </row>
    <row r="115" spans="1:21">
      <c r="A115" t="s">
        <v>1751</v>
      </c>
      <c r="B115" t="s">
        <v>5063</v>
      </c>
      <c r="C115" t="s">
        <v>1751</v>
      </c>
      <c r="D115">
        <v>20600685</v>
      </c>
      <c r="E115" t="s">
        <v>3128</v>
      </c>
      <c r="F115" t="s">
        <v>1237</v>
      </c>
      <c r="G115" t="s">
        <v>3129</v>
      </c>
      <c r="H115" t="s">
        <v>3131</v>
      </c>
      <c r="J115" s="455">
        <v>46238</v>
      </c>
      <c r="U115" s="455">
        <v>46238</v>
      </c>
    </row>
    <row r="116" spans="1:21">
      <c r="A116" t="s">
        <v>1751</v>
      </c>
      <c r="B116" t="s">
        <v>11055</v>
      </c>
      <c r="C116" t="s">
        <v>1751</v>
      </c>
      <c r="D116">
        <v>20603365</v>
      </c>
      <c r="E116" t="s">
        <v>3128</v>
      </c>
      <c r="F116" t="s">
        <v>1238</v>
      </c>
      <c r="G116" t="s">
        <v>3141</v>
      </c>
      <c r="H116" t="s">
        <v>1251</v>
      </c>
      <c r="J116" s="455">
        <v>46241</v>
      </c>
      <c r="U116" s="455">
        <v>46266</v>
      </c>
    </row>
    <row r="117" spans="1:21">
      <c r="A117" t="s">
        <v>1751</v>
      </c>
      <c r="B117" t="s">
        <v>11056</v>
      </c>
      <c r="C117" t="s">
        <v>1751</v>
      </c>
      <c r="D117">
        <v>20604505</v>
      </c>
      <c r="E117" t="s">
        <v>3128</v>
      </c>
      <c r="F117" t="s">
        <v>1241</v>
      </c>
      <c r="G117" t="s">
        <v>3129</v>
      </c>
      <c r="H117" t="s">
        <v>3131</v>
      </c>
      <c r="J117" s="455">
        <v>46243</v>
      </c>
      <c r="U117" s="455">
        <v>46243</v>
      </c>
    </row>
    <row r="118" spans="1:21">
      <c r="A118" t="s">
        <v>1751</v>
      </c>
      <c r="B118" t="s">
        <v>5064</v>
      </c>
      <c r="C118" t="s">
        <v>1751</v>
      </c>
      <c r="D118">
        <v>20600175</v>
      </c>
      <c r="E118" t="s">
        <v>3128</v>
      </c>
      <c r="F118" t="s">
        <v>1241</v>
      </c>
      <c r="G118" t="s">
        <v>3134</v>
      </c>
      <c r="H118" t="s">
        <v>1252</v>
      </c>
      <c r="J118" s="455">
        <v>46238</v>
      </c>
      <c r="U118" s="455">
        <v>46238</v>
      </c>
    </row>
    <row r="119" spans="1:21">
      <c r="A119" t="s">
        <v>1751</v>
      </c>
      <c r="B119" t="s">
        <v>5065</v>
      </c>
      <c r="C119" t="s">
        <v>1751</v>
      </c>
      <c r="D119">
        <v>20598380</v>
      </c>
      <c r="E119" t="s">
        <v>3128</v>
      </c>
      <c r="F119" t="s">
        <v>1782</v>
      </c>
      <c r="G119" t="s">
        <v>3134</v>
      </c>
      <c r="H119" t="s">
        <v>1252</v>
      </c>
      <c r="J119" s="455">
        <v>46235</v>
      </c>
      <c r="U119" s="455">
        <v>46236</v>
      </c>
    </row>
    <row r="120" spans="1:21">
      <c r="A120" t="s">
        <v>1751</v>
      </c>
      <c r="B120" t="s">
        <v>11057</v>
      </c>
      <c r="C120" t="s">
        <v>1751</v>
      </c>
      <c r="D120">
        <v>20604779</v>
      </c>
      <c r="E120" t="s">
        <v>3128</v>
      </c>
      <c r="F120" t="s">
        <v>3285</v>
      </c>
      <c r="G120" t="s">
        <v>3141</v>
      </c>
      <c r="H120" t="s">
        <v>1252</v>
      </c>
      <c r="J120" s="455">
        <v>46243</v>
      </c>
      <c r="U120" s="455">
        <v>46266</v>
      </c>
    </row>
    <row r="121" spans="1:21">
      <c r="A121" t="s">
        <v>1751</v>
      </c>
      <c r="B121" t="s">
        <v>11058</v>
      </c>
      <c r="C121" t="s">
        <v>1751</v>
      </c>
      <c r="D121">
        <v>20602849</v>
      </c>
      <c r="E121" t="s">
        <v>3128</v>
      </c>
      <c r="F121" t="s">
        <v>1241</v>
      </c>
      <c r="G121" t="s">
        <v>3134</v>
      </c>
      <c r="H121" t="s">
        <v>3165</v>
      </c>
      <c r="J121" s="455">
        <v>46240</v>
      </c>
      <c r="U121" s="455">
        <v>46424</v>
      </c>
    </row>
    <row r="122" spans="1:21">
      <c r="A122" t="s">
        <v>1751</v>
      </c>
      <c r="B122" t="s">
        <v>7125</v>
      </c>
      <c r="C122" t="s">
        <v>1751</v>
      </c>
      <c r="D122">
        <v>20603311</v>
      </c>
      <c r="E122" t="s">
        <v>1907</v>
      </c>
      <c r="F122" t="s">
        <v>11059</v>
      </c>
      <c r="G122" t="s">
        <v>3134</v>
      </c>
      <c r="H122" t="s">
        <v>3685</v>
      </c>
      <c r="I122" t="s">
        <v>1520</v>
      </c>
      <c r="J122" s="455">
        <v>46241</v>
      </c>
      <c r="K122" s="455">
        <v>46241</v>
      </c>
      <c r="L122" s="455">
        <v>46244</v>
      </c>
      <c r="U122" s="455">
        <v>46265</v>
      </c>
    </row>
    <row r="123" spans="1:21">
      <c r="A123" t="s">
        <v>1751</v>
      </c>
      <c r="B123" t="s">
        <v>5066</v>
      </c>
      <c r="C123" t="s">
        <v>1751</v>
      </c>
      <c r="D123">
        <v>20601326</v>
      </c>
      <c r="E123" t="s">
        <v>3190</v>
      </c>
      <c r="F123" t="s">
        <v>1241</v>
      </c>
      <c r="G123" t="s">
        <v>3129</v>
      </c>
      <c r="H123" t="s">
        <v>3377</v>
      </c>
      <c r="J123" s="455">
        <v>46239</v>
      </c>
      <c r="R123" s="455">
        <v>46239</v>
      </c>
      <c r="U123" s="455">
        <v>46239</v>
      </c>
    </row>
    <row r="124" spans="1:21">
      <c r="A124" t="s">
        <v>1751</v>
      </c>
      <c r="B124" t="s">
        <v>5067</v>
      </c>
      <c r="C124" t="s">
        <v>1751</v>
      </c>
      <c r="D124">
        <v>20598156</v>
      </c>
      <c r="E124" t="s">
        <v>3128</v>
      </c>
      <c r="F124" t="s">
        <v>1782</v>
      </c>
      <c r="G124" t="s">
        <v>3141</v>
      </c>
      <c r="H124" t="s">
        <v>4278</v>
      </c>
      <c r="J124" s="455">
        <v>46235</v>
      </c>
      <c r="U124" s="455">
        <v>46295</v>
      </c>
    </row>
    <row r="125" spans="1:21">
      <c r="A125" t="s">
        <v>1751</v>
      </c>
      <c r="B125" t="s">
        <v>11060</v>
      </c>
      <c r="C125" t="s">
        <v>1751</v>
      </c>
      <c r="D125">
        <v>20605129</v>
      </c>
      <c r="E125" t="s">
        <v>3133</v>
      </c>
      <c r="F125" t="s">
        <v>1241</v>
      </c>
      <c r="G125" t="s">
        <v>3134</v>
      </c>
      <c r="H125" t="s">
        <v>1247</v>
      </c>
      <c r="I125" t="s">
        <v>3752</v>
      </c>
      <c r="J125" s="455">
        <v>46244</v>
      </c>
      <c r="K125" s="455">
        <v>46244</v>
      </c>
      <c r="L125" s="455">
        <v>46244</v>
      </c>
      <c r="S125" s="455">
        <v>46246</v>
      </c>
      <c r="U125" s="455">
        <v>46266</v>
      </c>
    </row>
    <row r="126" spans="1:21">
      <c r="A126" t="s">
        <v>1751</v>
      </c>
      <c r="B126" t="s">
        <v>11060</v>
      </c>
      <c r="C126" t="s">
        <v>1751</v>
      </c>
      <c r="D126">
        <v>20607123</v>
      </c>
      <c r="E126" t="s">
        <v>1897</v>
      </c>
      <c r="F126" t="s">
        <v>1241</v>
      </c>
      <c r="G126" t="s">
        <v>3134</v>
      </c>
      <c r="H126" t="s">
        <v>1247</v>
      </c>
      <c r="J126" s="455">
        <v>46246</v>
      </c>
      <c r="K126" s="455">
        <v>46246</v>
      </c>
      <c r="U126" s="455">
        <v>46266</v>
      </c>
    </row>
    <row r="127" spans="1:21">
      <c r="A127" t="s">
        <v>1751</v>
      </c>
      <c r="B127" t="s">
        <v>3075</v>
      </c>
      <c r="C127" t="s">
        <v>1751</v>
      </c>
      <c r="D127">
        <v>20527508</v>
      </c>
      <c r="E127" t="s">
        <v>3142</v>
      </c>
      <c r="F127" t="s">
        <v>1237</v>
      </c>
      <c r="G127" t="s">
        <v>3143</v>
      </c>
      <c r="H127" t="s">
        <v>3358</v>
      </c>
      <c r="I127" t="s">
        <v>2527</v>
      </c>
      <c r="J127" s="455">
        <v>46157</v>
      </c>
      <c r="K127" s="455">
        <v>46158</v>
      </c>
      <c r="L127" s="455">
        <v>46158</v>
      </c>
      <c r="M127" s="455">
        <v>46176</v>
      </c>
      <c r="N127" s="455">
        <v>46177</v>
      </c>
      <c r="P127" s="455">
        <v>46177</v>
      </c>
      <c r="Q127" s="455">
        <v>46177</v>
      </c>
      <c r="U127" s="455">
        <v>46248</v>
      </c>
    </row>
    <row r="128" spans="1:21">
      <c r="A128" t="s">
        <v>1751</v>
      </c>
      <c r="B128" t="s">
        <v>3075</v>
      </c>
      <c r="C128" t="s">
        <v>1751</v>
      </c>
      <c r="D128">
        <v>20577993</v>
      </c>
      <c r="E128" t="s">
        <v>1897</v>
      </c>
      <c r="F128" t="s">
        <v>1912</v>
      </c>
      <c r="G128" t="s">
        <v>2009</v>
      </c>
      <c r="H128" t="s">
        <v>3358</v>
      </c>
      <c r="J128" s="455">
        <v>46213</v>
      </c>
      <c r="K128" s="455">
        <v>46238</v>
      </c>
      <c r="U128" s="455">
        <v>46213</v>
      </c>
    </row>
    <row r="129" spans="1:21">
      <c r="A129" t="s">
        <v>1751</v>
      </c>
      <c r="B129" t="s">
        <v>11061</v>
      </c>
      <c r="C129" t="s">
        <v>1751</v>
      </c>
      <c r="D129">
        <v>20603736</v>
      </c>
      <c r="E129" t="s">
        <v>1897</v>
      </c>
      <c r="F129" t="s">
        <v>1241</v>
      </c>
      <c r="G129" t="s">
        <v>3134</v>
      </c>
      <c r="H129" t="s">
        <v>1247</v>
      </c>
      <c r="I129" t="s">
        <v>4191</v>
      </c>
      <c r="J129" s="455">
        <v>46242</v>
      </c>
      <c r="K129" s="455">
        <v>46242</v>
      </c>
      <c r="U129" s="455">
        <v>46242</v>
      </c>
    </row>
    <row r="130" spans="1:21">
      <c r="A130" t="s">
        <v>1751</v>
      </c>
      <c r="B130" t="s">
        <v>5068</v>
      </c>
      <c r="C130" t="s">
        <v>1751</v>
      </c>
      <c r="D130">
        <v>20599086</v>
      </c>
      <c r="E130" t="s">
        <v>3128</v>
      </c>
      <c r="F130" t="s">
        <v>1241</v>
      </c>
      <c r="G130" t="s">
        <v>3129</v>
      </c>
      <c r="H130" t="s">
        <v>3131</v>
      </c>
      <c r="J130" s="455">
        <v>46237</v>
      </c>
      <c r="U130" s="455">
        <v>46237</v>
      </c>
    </row>
    <row r="131" spans="1:21">
      <c r="A131" t="s">
        <v>1751</v>
      </c>
      <c r="B131" t="s">
        <v>5069</v>
      </c>
      <c r="C131" t="s">
        <v>1751</v>
      </c>
      <c r="D131">
        <v>20599788</v>
      </c>
      <c r="E131" t="s">
        <v>3128</v>
      </c>
      <c r="F131" t="s">
        <v>1241</v>
      </c>
      <c r="G131" t="s">
        <v>3141</v>
      </c>
      <c r="H131" t="s">
        <v>4278</v>
      </c>
      <c r="J131" s="455">
        <v>46237</v>
      </c>
      <c r="U131" s="455">
        <v>46251</v>
      </c>
    </row>
    <row r="132" spans="1:21">
      <c r="A132" t="s">
        <v>1751</v>
      </c>
      <c r="B132" t="s">
        <v>4567</v>
      </c>
      <c r="C132" t="s">
        <v>1751</v>
      </c>
      <c r="D132">
        <v>20597735</v>
      </c>
      <c r="E132" t="s">
        <v>3133</v>
      </c>
      <c r="F132" t="s">
        <v>3285</v>
      </c>
      <c r="G132" t="s">
        <v>3134</v>
      </c>
      <c r="H132" t="s">
        <v>1247</v>
      </c>
      <c r="I132" t="s">
        <v>1567</v>
      </c>
      <c r="J132" s="455">
        <v>46234</v>
      </c>
      <c r="K132" s="455">
        <v>46234</v>
      </c>
      <c r="L132" s="455">
        <v>46234</v>
      </c>
      <c r="S132" s="455">
        <v>46240</v>
      </c>
      <c r="U132" s="455">
        <v>46241</v>
      </c>
    </row>
    <row r="133" spans="1:21">
      <c r="A133" t="s">
        <v>1751</v>
      </c>
      <c r="B133" t="s">
        <v>11062</v>
      </c>
      <c r="C133" t="s">
        <v>1751</v>
      </c>
      <c r="D133">
        <v>20602667</v>
      </c>
      <c r="E133" t="s">
        <v>3128</v>
      </c>
      <c r="F133" t="s">
        <v>1239</v>
      </c>
      <c r="G133" t="s">
        <v>3143</v>
      </c>
      <c r="H133" t="s">
        <v>1252</v>
      </c>
      <c r="I133" t="s">
        <v>6670</v>
      </c>
      <c r="J133" s="455">
        <v>46240</v>
      </c>
      <c r="U133" s="455">
        <v>46240</v>
      </c>
    </row>
    <row r="134" spans="1:21">
      <c r="A134" t="s">
        <v>1751</v>
      </c>
      <c r="B134" t="s">
        <v>4580</v>
      </c>
      <c r="C134" t="s">
        <v>1751</v>
      </c>
      <c r="D134">
        <v>20594995</v>
      </c>
      <c r="E134" t="s">
        <v>1907</v>
      </c>
      <c r="F134" t="s">
        <v>1239</v>
      </c>
      <c r="G134" t="s">
        <v>3134</v>
      </c>
      <c r="H134" t="s">
        <v>1247</v>
      </c>
      <c r="I134" t="s">
        <v>7083</v>
      </c>
      <c r="J134" s="455">
        <v>46231</v>
      </c>
      <c r="K134" s="455">
        <v>46231</v>
      </c>
      <c r="L134" s="455">
        <v>46241</v>
      </c>
      <c r="U134" s="455">
        <v>46302</v>
      </c>
    </row>
    <row r="135" spans="1:21">
      <c r="A135" t="s">
        <v>1751</v>
      </c>
      <c r="B135" t="s">
        <v>11063</v>
      </c>
      <c r="C135" t="s">
        <v>1751</v>
      </c>
      <c r="D135">
        <v>20606684</v>
      </c>
      <c r="E135" t="s">
        <v>1907</v>
      </c>
      <c r="F135" t="s">
        <v>1242</v>
      </c>
      <c r="G135" t="s">
        <v>3134</v>
      </c>
      <c r="H135" t="s">
        <v>1248</v>
      </c>
      <c r="I135" t="s">
        <v>2515</v>
      </c>
      <c r="J135" s="455">
        <v>46245</v>
      </c>
      <c r="K135" s="455">
        <v>46245</v>
      </c>
      <c r="L135" s="455">
        <v>46246</v>
      </c>
      <c r="U135" s="455">
        <v>46270</v>
      </c>
    </row>
    <row r="136" spans="1:21">
      <c r="A136" t="s">
        <v>1751</v>
      </c>
      <c r="B136" t="s">
        <v>5070</v>
      </c>
      <c r="C136" t="s">
        <v>1751</v>
      </c>
      <c r="D136">
        <v>20598993</v>
      </c>
      <c r="E136" t="s">
        <v>3128</v>
      </c>
      <c r="F136" t="s">
        <v>1241</v>
      </c>
      <c r="G136" t="s">
        <v>3134</v>
      </c>
      <c r="H136" t="s">
        <v>3165</v>
      </c>
      <c r="J136" s="455">
        <v>46237</v>
      </c>
      <c r="U136" s="455">
        <v>46242</v>
      </c>
    </row>
    <row r="137" spans="1:21">
      <c r="A137" t="s">
        <v>1751</v>
      </c>
      <c r="B137" t="s">
        <v>5071</v>
      </c>
      <c r="C137" t="s">
        <v>1751</v>
      </c>
      <c r="D137">
        <v>20598021</v>
      </c>
      <c r="E137" t="s">
        <v>3128</v>
      </c>
      <c r="F137" t="s">
        <v>1782</v>
      </c>
      <c r="G137" t="s">
        <v>3141</v>
      </c>
      <c r="H137" t="s">
        <v>1252</v>
      </c>
      <c r="J137" s="455">
        <v>46235</v>
      </c>
      <c r="U137" s="455">
        <v>46236</v>
      </c>
    </row>
    <row r="138" spans="1:21">
      <c r="A138" t="s">
        <v>1751</v>
      </c>
      <c r="B138" t="s">
        <v>11064</v>
      </c>
      <c r="C138" t="s">
        <v>1751</v>
      </c>
      <c r="D138">
        <v>20601727</v>
      </c>
      <c r="E138" t="s">
        <v>3128</v>
      </c>
      <c r="F138" t="s">
        <v>1241</v>
      </c>
      <c r="G138" t="s">
        <v>3141</v>
      </c>
      <c r="H138" t="s">
        <v>1252</v>
      </c>
      <c r="J138" s="455">
        <v>46239</v>
      </c>
      <c r="U138" s="455">
        <v>46266</v>
      </c>
    </row>
    <row r="139" spans="1:21">
      <c r="A139" t="s">
        <v>1751</v>
      </c>
      <c r="B139" t="s">
        <v>5072</v>
      </c>
      <c r="C139" t="s">
        <v>1751</v>
      </c>
      <c r="D139">
        <v>20598754</v>
      </c>
      <c r="E139" t="s">
        <v>3133</v>
      </c>
      <c r="F139" t="s">
        <v>1241</v>
      </c>
      <c r="G139" t="s">
        <v>3134</v>
      </c>
      <c r="H139" t="s">
        <v>1247</v>
      </c>
      <c r="I139" t="s">
        <v>1554</v>
      </c>
      <c r="J139" s="455">
        <v>46236</v>
      </c>
      <c r="K139" s="455">
        <v>46236</v>
      </c>
      <c r="R139" s="455">
        <v>46239</v>
      </c>
      <c r="U139" s="455">
        <v>46237</v>
      </c>
    </row>
    <row r="140" spans="1:21">
      <c r="A140" t="s">
        <v>1751</v>
      </c>
      <c r="B140" t="s">
        <v>5072</v>
      </c>
      <c r="C140" t="s">
        <v>1751</v>
      </c>
      <c r="D140">
        <v>20597994</v>
      </c>
      <c r="E140" t="s">
        <v>3128</v>
      </c>
      <c r="F140" t="s">
        <v>1782</v>
      </c>
      <c r="G140" t="s">
        <v>3141</v>
      </c>
      <c r="H140" t="s">
        <v>1252</v>
      </c>
      <c r="J140" s="455">
        <v>46235</v>
      </c>
      <c r="U140" s="455">
        <v>46236</v>
      </c>
    </row>
    <row r="141" spans="1:21">
      <c r="A141" t="s">
        <v>1751</v>
      </c>
      <c r="B141" t="s">
        <v>5072</v>
      </c>
      <c r="C141" t="s">
        <v>1751</v>
      </c>
      <c r="D141">
        <v>20600439</v>
      </c>
      <c r="E141" t="s">
        <v>1897</v>
      </c>
      <c r="F141" t="s">
        <v>1241</v>
      </c>
      <c r="G141" t="s">
        <v>3134</v>
      </c>
      <c r="H141" t="s">
        <v>1247</v>
      </c>
      <c r="I141" t="s">
        <v>1554</v>
      </c>
      <c r="J141" s="455">
        <v>46238</v>
      </c>
      <c r="K141" s="455">
        <v>46238</v>
      </c>
      <c r="U141" s="455">
        <v>46238</v>
      </c>
    </row>
    <row r="142" spans="1:21">
      <c r="A142" t="s">
        <v>1751</v>
      </c>
      <c r="B142" t="s">
        <v>5072</v>
      </c>
      <c r="C142" t="s">
        <v>1751</v>
      </c>
      <c r="D142">
        <v>20598030</v>
      </c>
      <c r="E142" t="s">
        <v>3133</v>
      </c>
      <c r="F142" t="s">
        <v>1238</v>
      </c>
      <c r="G142" t="s">
        <v>3134</v>
      </c>
      <c r="H142" t="s">
        <v>1247</v>
      </c>
      <c r="I142" t="s">
        <v>1554</v>
      </c>
      <c r="J142" s="455">
        <v>46235</v>
      </c>
      <c r="K142" s="455">
        <v>46235</v>
      </c>
      <c r="L142" s="455">
        <v>46237</v>
      </c>
      <c r="S142" s="455">
        <v>46238</v>
      </c>
      <c r="U142" s="455">
        <v>46237</v>
      </c>
    </row>
    <row r="143" spans="1:21">
      <c r="A143" t="s">
        <v>1751</v>
      </c>
      <c r="B143" t="s">
        <v>5073</v>
      </c>
      <c r="C143" t="s">
        <v>1751</v>
      </c>
      <c r="D143">
        <v>20599280</v>
      </c>
      <c r="E143" t="s">
        <v>3128</v>
      </c>
      <c r="F143" t="s">
        <v>1237</v>
      </c>
      <c r="G143" t="s">
        <v>3143</v>
      </c>
      <c r="H143" t="s">
        <v>1251</v>
      </c>
      <c r="I143" t="s">
        <v>3170</v>
      </c>
      <c r="J143" s="455">
        <v>46237</v>
      </c>
      <c r="U143" s="455">
        <v>46237</v>
      </c>
    </row>
    <row r="144" spans="1:21">
      <c r="A144" t="s">
        <v>1751</v>
      </c>
      <c r="B144" t="s">
        <v>2998</v>
      </c>
      <c r="C144" t="s">
        <v>1751</v>
      </c>
      <c r="D144">
        <v>20603521</v>
      </c>
      <c r="E144" t="s">
        <v>1897</v>
      </c>
      <c r="F144" t="s">
        <v>1241</v>
      </c>
      <c r="G144" t="s">
        <v>3134</v>
      </c>
      <c r="H144" t="s">
        <v>1251</v>
      </c>
      <c r="I144" t="s">
        <v>2550</v>
      </c>
      <c r="J144" s="455">
        <v>46241</v>
      </c>
      <c r="K144" s="455">
        <v>46241</v>
      </c>
      <c r="U144" s="455">
        <v>46241</v>
      </c>
    </row>
    <row r="145" spans="1:21">
      <c r="A145" t="s">
        <v>1751</v>
      </c>
      <c r="B145" t="s">
        <v>2998</v>
      </c>
      <c r="C145" t="s">
        <v>1751</v>
      </c>
      <c r="D145">
        <v>20598150</v>
      </c>
      <c r="E145" t="s">
        <v>2011</v>
      </c>
      <c r="F145" t="s">
        <v>1238</v>
      </c>
      <c r="G145" t="s">
        <v>2009</v>
      </c>
      <c r="H145" t="s">
        <v>1251</v>
      </c>
      <c r="I145" t="s">
        <v>2550</v>
      </c>
      <c r="J145" s="455">
        <v>46235</v>
      </c>
      <c r="K145" s="455">
        <v>46238</v>
      </c>
      <c r="L145" s="455">
        <v>46238</v>
      </c>
      <c r="M145" s="455">
        <v>46246</v>
      </c>
      <c r="N145" s="455">
        <v>46246</v>
      </c>
      <c r="U145" s="455">
        <v>46258</v>
      </c>
    </row>
    <row r="146" spans="1:21">
      <c r="A146" t="s">
        <v>1751</v>
      </c>
      <c r="B146" t="s">
        <v>11065</v>
      </c>
      <c r="C146" t="s">
        <v>1751</v>
      </c>
      <c r="D146">
        <v>20605293</v>
      </c>
      <c r="E146" t="s">
        <v>3128</v>
      </c>
      <c r="F146" t="s">
        <v>1241</v>
      </c>
      <c r="G146" t="s">
        <v>3134</v>
      </c>
      <c r="H146" t="s">
        <v>1252</v>
      </c>
      <c r="J146" s="455">
        <v>46244</v>
      </c>
      <c r="U146" s="455">
        <v>46283</v>
      </c>
    </row>
    <row r="147" spans="1:21">
      <c r="A147" t="s">
        <v>1751</v>
      </c>
      <c r="B147" t="s">
        <v>4595</v>
      </c>
      <c r="C147" t="s">
        <v>1751</v>
      </c>
      <c r="D147">
        <v>20591252</v>
      </c>
      <c r="E147" t="s">
        <v>2011</v>
      </c>
      <c r="F147" t="s">
        <v>1242</v>
      </c>
      <c r="G147" t="s">
        <v>3134</v>
      </c>
      <c r="H147" t="s">
        <v>1247</v>
      </c>
      <c r="I147" t="s">
        <v>3385</v>
      </c>
      <c r="J147" s="455">
        <v>46226</v>
      </c>
      <c r="K147" s="455">
        <v>46226</v>
      </c>
      <c r="L147" s="455">
        <v>46230</v>
      </c>
      <c r="M147" s="455">
        <v>46233</v>
      </c>
      <c r="N147" s="455">
        <v>46233</v>
      </c>
      <c r="P147" s="455">
        <v>46233</v>
      </c>
      <c r="Q147" s="455">
        <v>46233</v>
      </c>
      <c r="U147" s="455">
        <v>46249</v>
      </c>
    </row>
    <row r="148" spans="1:21">
      <c r="A148" t="s">
        <v>1751</v>
      </c>
      <c r="B148" t="s">
        <v>5074</v>
      </c>
      <c r="C148" t="s">
        <v>1751</v>
      </c>
      <c r="D148">
        <v>20598391</v>
      </c>
      <c r="E148" t="s">
        <v>3128</v>
      </c>
      <c r="F148" t="s">
        <v>1782</v>
      </c>
      <c r="G148" t="s">
        <v>3134</v>
      </c>
      <c r="H148" t="s">
        <v>1252</v>
      </c>
      <c r="J148" s="455">
        <v>46235</v>
      </c>
      <c r="U148" s="455">
        <v>46296</v>
      </c>
    </row>
    <row r="149" spans="1:21">
      <c r="A149" t="s">
        <v>1751</v>
      </c>
      <c r="B149" t="s">
        <v>5075</v>
      </c>
      <c r="C149" t="s">
        <v>1751</v>
      </c>
      <c r="D149">
        <v>20600130</v>
      </c>
      <c r="E149" t="s">
        <v>3128</v>
      </c>
      <c r="F149" t="s">
        <v>1241</v>
      </c>
      <c r="G149" t="s">
        <v>3141</v>
      </c>
      <c r="H149" t="s">
        <v>1251</v>
      </c>
      <c r="J149" s="455">
        <v>46238</v>
      </c>
      <c r="U149" s="455">
        <v>46305</v>
      </c>
    </row>
    <row r="150" spans="1:21">
      <c r="A150" t="s">
        <v>1751</v>
      </c>
      <c r="B150" t="s">
        <v>11066</v>
      </c>
      <c r="C150" t="s">
        <v>1751</v>
      </c>
      <c r="D150">
        <v>20602093</v>
      </c>
      <c r="E150" t="s">
        <v>3128</v>
      </c>
      <c r="F150" t="s">
        <v>1241</v>
      </c>
      <c r="G150" t="s">
        <v>3134</v>
      </c>
      <c r="H150" t="s">
        <v>3165</v>
      </c>
      <c r="J150" s="455">
        <v>46240</v>
      </c>
      <c r="U150" s="455">
        <v>46265</v>
      </c>
    </row>
    <row r="151" spans="1:21">
      <c r="A151" t="s">
        <v>1751</v>
      </c>
      <c r="B151" t="s">
        <v>11067</v>
      </c>
      <c r="C151" t="s">
        <v>1751</v>
      </c>
      <c r="D151">
        <v>20605924</v>
      </c>
      <c r="E151" t="s">
        <v>3128</v>
      </c>
      <c r="F151" t="s">
        <v>1782</v>
      </c>
      <c r="G151" t="s">
        <v>3137</v>
      </c>
      <c r="H151" t="s">
        <v>1247</v>
      </c>
      <c r="J151" s="455">
        <v>46245</v>
      </c>
      <c r="U151" s="455">
        <v>46245</v>
      </c>
    </row>
    <row r="152" spans="1:21">
      <c r="A152" t="s">
        <v>1751</v>
      </c>
      <c r="B152" t="s">
        <v>3067</v>
      </c>
      <c r="C152" t="s">
        <v>1751</v>
      </c>
      <c r="D152">
        <v>20574714</v>
      </c>
      <c r="E152" t="s">
        <v>3142</v>
      </c>
      <c r="F152" t="s">
        <v>1242</v>
      </c>
      <c r="G152" t="s">
        <v>3134</v>
      </c>
      <c r="H152" t="s">
        <v>1247</v>
      </c>
      <c r="I152" t="s">
        <v>2629</v>
      </c>
      <c r="J152" s="455">
        <v>46210</v>
      </c>
      <c r="K152" s="455">
        <v>46210</v>
      </c>
      <c r="L152" s="455">
        <v>46213</v>
      </c>
      <c r="M152" s="455">
        <v>46234</v>
      </c>
      <c r="N152" s="455">
        <v>46234</v>
      </c>
      <c r="O152" s="455">
        <v>46234</v>
      </c>
      <c r="P152" s="455">
        <v>46235</v>
      </c>
      <c r="Q152" s="455">
        <v>46237</v>
      </c>
      <c r="U152" s="455">
        <v>46242</v>
      </c>
    </row>
    <row r="153" spans="1:21">
      <c r="A153" t="s">
        <v>1751</v>
      </c>
      <c r="B153" t="s">
        <v>5076</v>
      </c>
      <c r="C153" t="s">
        <v>1751</v>
      </c>
      <c r="D153">
        <v>20600713</v>
      </c>
      <c r="E153" t="s">
        <v>3128</v>
      </c>
      <c r="F153" t="s">
        <v>1241</v>
      </c>
      <c r="G153" t="s">
        <v>3137</v>
      </c>
      <c r="H153" t="s">
        <v>1248</v>
      </c>
      <c r="J153" s="455">
        <v>46238</v>
      </c>
      <c r="U153" s="455">
        <v>46238</v>
      </c>
    </row>
    <row r="154" spans="1:21">
      <c r="A154" t="s">
        <v>1751</v>
      </c>
      <c r="B154" t="s">
        <v>11068</v>
      </c>
      <c r="C154" t="s">
        <v>1751</v>
      </c>
      <c r="D154">
        <v>20601854</v>
      </c>
      <c r="E154" t="s">
        <v>3190</v>
      </c>
      <c r="F154" t="s">
        <v>1241</v>
      </c>
      <c r="G154" t="s">
        <v>3134</v>
      </c>
      <c r="H154" t="s">
        <v>1247</v>
      </c>
      <c r="I154" t="s">
        <v>2587</v>
      </c>
      <c r="J154" s="455">
        <v>46239</v>
      </c>
      <c r="K154" s="455">
        <v>46239</v>
      </c>
      <c r="R154" s="455">
        <v>46241</v>
      </c>
      <c r="U154" s="455">
        <v>46263</v>
      </c>
    </row>
    <row r="155" spans="1:21">
      <c r="A155" t="s">
        <v>1751</v>
      </c>
      <c r="B155" t="s">
        <v>4603</v>
      </c>
      <c r="C155" t="s">
        <v>1751</v>
      </c>
      <c r="D155">
        <v>20593762</v>
      </c>
      <c r="E155" t="s">
        <v>2011</v>
      </c>
      <c r="F155" t="s">
        <v>1241</v>
      </c>
      <c r="G155" t="s">
        <v>3134</v>
      </c>
      <c r="H155" t="s">
        <v>1247</v>
      </c>
      <c r="I155" t="s">
        <v>4604</v>
      </c>
      <c r="J155" s="455">
        <v>46230</v>
      </c>
      <c r="K155" s="455">
        <v>46230</v>
      </c>
      <c r="L155" s="455">
        <v>46230</v>
      </c>
      <c r="M155" s="455">
        <v>46244</v>
      </c>
      <c r="N155" s="455">
        <v>46245</v>
      </c>
      <c r="U155" s="455">
        <v>46284</v>
      </c>
    </row>
    <row r="156" spans="1:21">
      <c r="A156" t="s">
        <v>1751</v>
      </c>
      <c r="B156" t="s">
        <v>5077</v>
      </c>
      <c r="C156" t="s">
        <v>1751</v>
      </c>
      <c r="D156">
        <v>20598386</v>
      </c>
      <c r="E156" t="s">
        <v>3128</v>
      </c>
      <c r="F156" t="s">
        <v>1782</v>
      </c>
      <c r="G156" t="s">
        <v>3134</v>
      </c>
      <c r="H156" t="s">
        <v>3165</v>
      </c>
      <c r="J156" s="455">
        <v>46235</v>
      </c>
      <c r="U156" s="455">
        <v>46240</v>
      </c>
    </row>
    <row r="157" spans="1:21">
      <c r="A157" t="s">
        <v>1751</v>
      </c>
      <c r="B157" t="s">
        <v>11069</v>
      </c>
      <c r="C157" t="s">
        <v>1751</v>
      </c>
      <c r="D157">
        <v>20601689</v>
      </c>
      <c r="E157" t="s">
        <v>3128</v>
      </c>
      <c r="F157" t="s">
        <v>1782</v>
      </c>
      <c r="G157" t="s">
        <v>3141</v>
      </c>
      <c r="H157" t="s">
        <v>1252</v>
      </c>
      <c r="J157" s="455">
        <v>46239</v>
      </c>
      <c r="U157" s="455">
        <v>46381</v>
      </c>
    </row>
    <row r="158" spans="1:21">
      <c r="A158" t="s">
        <v>1751</v>
      </c>
      <c r="B158" t="s">
        <v>5078</v>
      </c>
      <c r="C158" t="s">
        <v>1751</v>
      </c>
      <c r="D158">
        <v>20598856</v>
      </c>
      <c r="E158" t="s">
        <v>3128</v>
      </c>
      <c r="F158" t="s">
        <v>1237</v>
      </c>
      <c r="G158" t="s">
        <v>3143</v>
      </c>
      <c r="H158" t="s">
        <v>1251</v>
      </c>
      <c r="J158" s="455">
        <v>46236</v>
      </c>
      <c r="U158" s="455">
        <v>46236</v>
      </c>
    </row>
    <row r="159" spans="1:21">
      <c r="A159" t="s">
        <v>1751</v>
      </c>
      <c r="B159" t="s">
        <v>11070</v>
      </c>
      <c r="C159" t="s">
        <v>1751</v>
      </c>
      <c r="D159">
        <v>20603972</v>
      </c>
      <c r="E159" t="s">
        <v>3128</v>
      </c>
      <c r="F159" t="s">
        <v>1241</v>
      </c>
      <c r="G159" t="s">
        <v>3134</v>
      </c>
      <c r="H159" t="s">
        <v>1252</v>
      </c>
      <c r="J159" s="455">
        <v>46242</v>
      </c>
      <c r="U159" s="455">
        <v>46249</v>
      </c>
    </row>
    <row r="160" spans="1:21">
      <c r="A160" t="s">
        <v>1751</v>
      </c>
      <c r="B160" t="s">
        <v>11071</v>
      </c>
      <c r="C160" t="s">
        <v>1751</v>
      </c>
      <c r="D160">
        <v>20603774</v>
      </c>
      <c r="E160" t="s">
        <v>1897</v>
      </c>
      <c r="F160" t="s">
        <v>1241</v>
      </c>
      <c r="G160" t="s">
        <v>3134</v>
      </c>
      <c r="H160" t="s">
        <v>1247</v>
      </c>
      <c r="I160" t="s">
        <v>1539</v>
      </c>
      <c r="J160" s="455">
        <v>46242</v>
      </c>
      <c r="K160" s="455">
        <v>46242</v>
      </c>
      <c r="U160" s="455">
        <v>46242</v>
      </c>
    </row>
    <row r="161" spans="1:21">
      <c r="A161" t="s">
        <v>1751</v>
      </c>
      <c r="B161" t="s">
        <v>11072</v>
      </c>
      <c r="C161" t="s">
        <v>1751</v>
      </c>
      <c r="D161">
        <v>20603859</v>
      </c>
      <c r="E161" t="s">
        <v>1907</v>
      </c>
      <c r="F161" t="s">
        <v>1238</v>
      </c>
      <c r="G161" t="s">
        <v>3129</v>
      </c>
      <c r="H161" t="s">
        <v>3131</v>
      </c>
      <c r="I161" t="s">
        <v>2498</v>
      </c>
      <c r="J161" s="455">
        <v>46242</v>
      </c>
      <c r="K161" s="455">
        <v>46242</v>
      </c>
      <c r="L161" s="455">
        <v>46242</v>
      </c>
      <c r="U161" s="455">
        <v>46291</v>
      </c>
    </row>
    <row r="162" spans="1:21">
      <c r="A162" t="s">
        <v>1751</v>
      </c>
      <c r="B162" t="s">
        <v>11073</v>
      </c>
      <c r="C162" t="s">
        <v>1751</v>
      </c>
      <c r="D162">
        <v>20601723</v>
      </c>
      <c r="E162" t="s">
        <v>3128</v>
      </c>
      <c r="F162" t="s">
        <v>1782</v>
      </c>
      <c r="G162" t="s">
        <v>3134</v>
      </c>
      <c r="H162" t="s">
        <v>1252</v>
      </c>
      <c r="J162" s="455">
        <v>46239</v>
      </c>
      <c r="U162" s="455">
        <v>46299</v>
      </c>
    </row>
    <row r="163" spans="1:21">
      <c r="A163" t="s">
        <v>1751</v>
      </c>
      <c r="B163" t="s">
        <v>11074</v>
      </c>
      <c r="C163" t="s">
        <v>1751</v>
      </c>
      <c r="D163">
        <v>20603171</v>
      </c>
      <c r="E163" t="s">
        <v>3128</v>
      </c>
      <c r="F163" t="s">
        <v>1242</v>
      </c>
      <c r="G163" t="s">
        <v>3143</v>
      </c>
      <c r="H163" t="s">
        <v>1251</v>
      </c>
      <c r="I163" t="s">
        <v>3170</v>
      </c>
      <c r="J163" s="455">
        <v>46241</v>
      </c>
      <c r="U163" s="455">
        <v>46311</v>
      </c>
    </row>
    <row r="164" spans="1:21">
      <c r="A164" t="s">
        <v>1751</v>
      </c>
      <c r="B164" t="s">
        <v>11075</v>
      </c>
      <c r="C164" t="s">
        <v>1751</v>
      </c>
      <c r="D164">
        <v>20603075</v>
      </c>
      <c r="E164" t="s">
        <v>3128</v>
      </c>
      <c r="F164" t="s">
        <v>1239</v>
      </c>
      <c r="G164" t="s">
        <v>3143</v>
      </c>
      <c r="H164" t="s">
        <v>1252</v>
      </c>
      <c r="I164" t="s">
        <v>3170</v>
      </c>
      <c r="J164" s="455">
        <v>46241</v>
      </c>
      <c r="U164" s="455">
        <v>46241</v>
      </c>
    </row>
    <row r="165" spans="1:21">
      <c r="A165" t="s">
        <v>1751</v>
      </c>
      <c r="B165" t="s">
        <v>11076</v>
      </c>
      <c r="C165" t="s">
        <v>1751</v>
      </c>
      <c r="D165">
        <v>20604472</v>
      </c>
      <c r="E165" t="s">
        <v>3128</v>
      </c>
      <c r="F165" t="s">
        <v>1241</v>
      </c>
      <c r="G165" t="s">
        <v>3137</v>
      </c>
      <c r="H165" t="s">
        <v>1252</v>
      </c>
      <c r="J165" s="455">
        <v>46243</v>
      </c>
      <c r="U165" s="455">
        <v>46295</v>
      </c>
    </row>
    <row r="166" spans="1:21">
      <c r="A166" t="s">
        <v>1751</v>
      </c>
      <c r="B166" t="s">
        <v>11077</v>
      </c>
      <c r="C166" t="s">
        <v>1751</v>
      </c>
      <c r="D166">
        <v>20603702</v>
      </c>
      <c r="E166" t="s">
        <v>3128</v>
      </c>
      <c r="F166" t="s">
        <v>1782</v>
      </c>
      <c r="G166" t="s">
        <v>3141</v>
      </c>
      <c r="H166" t="s">
        <v>1252</v>
      </c>
      <c r="J166" s="455">
        <v>46242</v>
      </c>
      <c r="U166" s="455">
        <v>46265</v>
      </c>
    </row>
    <row r="167" spans="1:21">
      <c r="A167" t="s">
        <v>1751</v>
      </c>
      <c r="B167" t="s">
        <v>11078</v>
      </c>
      <c r="C167" t="s">
        <v>1751</v>
      </c>
      <c r="D167">
        <v>20601502</v>
      </c>
      <c r="E167" t="s">
        <v>1897</v>
      </c>
      <c r="F167" t="s">
        <v>1241</v>
      </c>
      <c r="G167" t="s">
        <v>3134</v>
      </c>
      <c r="H167" t="s">
        <v>1247</v>
      </c>
      <c r="J167" s="455">
        <v>46239</v>
      </c>
      <c r="K167" s="455">
        <v>46239</v>
      </c>
      <c r="U167" s="455">
        <v>46239</v>
      </c>
    </row>
    <row r="168" spans="1:21">
      <c r="A168" t="s">
        <v>1751</v>
      </c>
      <c r="B168" t="s">
        <v>5079</v>
      </c>
      <c r="C168" t="s">
        <v>1751</v>
      </c>
      <c r="D168">
        <v>20598400</v>
      </c>
      <c r="E168" t="s">
        <v>3128</v>
      </c>
      <c r="F168" t="s">
        <v>1782</v>
      </c>
      <c r="G168" t="s">
        <v>3134</v>
      </c>
      <c r="H168" t="s">
        <v>1252</v>
      </c>
      <c r="J168" s="455">
        <v>46235</v>
      </c>
      <c r="U168" s="455">
        <v>46307</v>
      </c>
    </row>
    <row r="169" spans="1:21">
      <c r="A169" t="s">
        <v>1751</v>
      </c>
      <c r="B169" t="s">
        <v>11079</v>
      </c>
      <c r="C169" t="s">
        <v>1751</v>
      </c>
      <c r="D169">
        <v>20601897</v>
      </c>
      <c r="E169" t="s">
        <v>3128</v>
      </c>
      <c r="F169" t="s">
        <v>1241</v>
      </c>
      <c r="G169" t="s">
        <v>3137</v>
      </c>
      <c r="H169" t="s">
        <v>1247</v>
      </c>
      <c r="J169" s="455">
        <v>46239</v>
      </c>
      <c r="U169" s="455">
        <v>46258</v>
      </c>
    </row>
    <row r="170" spans="1:21">
      <c r="A170" t="s">
        <v>1751</v>
      </c>
      <c r="B170" t="s">
        <v>11080</v>
      </c>
      <c r="C170" t="s">
        <v>1751</v>
      </c>
      <c r="D170">
        <v>20605798</v>
      </c>
      <c r="E170" t="s">
        <v>3128</v>
      </c>
      <c r="F170" t="s">
        <v>1782</v>
      </c>
      <c r="G170" t="s">
        <v>3141</v>
      </c>
      <c r="H170" t="s">
        <v>1252</v>
      </c>
      <c r="J170" s="455">
        <v>46244</v>
      </c>
      <c r="U170" s="455">
        <v>46318</v>
      </c>
    </row>
    <row r="171" spans="1:21">
      <c r="A171" t="s">
        <v>1751</v>
      </c>
      <c r="B171" t="s">
        <v>5080</v>
      </c>
      <c r="C171" t="s">
        <v>1751</v>
      </c>
      <c r="D171">
        <v>20600452</v>
      </c>
      <c r="E171" t="s">
        <v>3128</v>
      </c>
      <c r="F171" t="s">
        <v>1241</v>
      </c>
      <c r="G171" t="s">
        <v>3141</v>
      </c>
      <c r="H171" t="s">
        <v>1252</v>
      </c>
      <c r="J171" s="455">
        <v>46238</v>
      </c>
      <c r="U171" s="455">
        <v>46265</v>
      </c>
    </row>
    <row r="172" spans="1:21">
      <c r="A172" t="s">
        <v>1751</v>
      </c>
      <c r="B172" t="s">
        <v>11081</v>
      </c>
      <c r="C172" t="s">
        <v>1751</v>
      </c>
      <c r="D172">
        <v>20604449</v>
      </c>
      <c r="E172" t="s">
        <v>3128</v>
      </c>
      <c r="F172" t="s">
        <v>3285</v>
      </c>
      <c r="G172" t="s">
        <v>3137</v>
      </c>
      <c r="H172" t="s">
        <v>1252</v>
      </c>
      <c r="J172" s="455">
        <v>46243</v>
      </c>
      <c r="U172" s="455">
        <v>46303</v>
      </c>
    </row>
    <row r="173" spans="1:21">
      <c r="A173" t="s">
        <v>1751</v>
      </c>
      <c r="B173" t="s">
        <v>5081</v>
      </c>
      <c r="C173" t="s">
        <v>1751</v>
      </c>
      <c r="D173">
        <v>20599018</v>
      </c>
      <c r="E173" t="s">
        <v>1897</v>
      </c>
      <c r="F173" t="s">
        <v>1241</v>
      </c>
      <c r="G173" t="s">
        <v>3141</v>
      </c>
      <c r="H173" t="s">
        <v>1252</v>
      </c>
      <c r="I173" t="s">
        <v>3752</v>
      </c>
      <c r="J173" s="455">
        <v>46237</v>
      </c>
      <c r="K173" s="455">
        <v>46238</v>
      </c>
      <c r="U173" s="455">
        <v>46251</v>
      </c>
    </row>
    <row r="174" spans="1:21">
      <c r="A174" t="s">
        <v>1751</v>
      </c>
      <c r="B174" t="s">
        <v>11082</v>
      </c>
      <c r="C174" t="s">
        <v>1751</v>
      </c>
      <c r="D174">
        <v>20605553</v>
      </c>
      <c r="E174" t="s">
        <v>3128</v>
      </c>
      <c r="F174" t="s">
        <v>1782</v>
      </c>
      <c r="G174" t="s">
        <v>3129</v>
      </c>
      <c r="H174" t="s">
        <v>3377</v>
      </c>
      <c r="J174" s="455">
        <v>46244</v>
      </c>
      <c r="U174" s="455">
        <v>46244</v>
      </c>
    </row>
    <row r="175" spans="1:21">
      <c r="A175" t="s">
        <v>1751</v>
      </c>
      <c r="B175" t="s">
        <v>4644</v>
      </c>
      <c r="C175" t="s">
        <v>1751</v>
      </c>
      <c r="D175">
        <v>20592607</v>
      </c>
      <c r="E175" t="s">
        <v>3133</v>
      </c>
      <c r="F175" t="s">
        <v>1243</v>
      </c>
      <c r="G175" t="s">
        <v>3143</v>
      </c>
      <c r="H175" t="s">
        <v>1247</v>
      </c>
      <c r="I175" t="s">
        <v>1585</v>
      </c>
      <c r="J175" s="455">
        <v>46228</v>
      </c>
      <c r="K175" s="455">
        <v>46228</v>
      </c>
      <c r="L175" s="455">
        <v>46230</v>
      </c>
      <c r="S175" s="455">
        <v>46241</v>
      </c>
      <c r="U175" s="455">
        <v>46259</v>
      </c>
    </row>
    <row r="176" spans="1:21">
      <c r="A176" t="s">
        <v>1751</v>
      </c>
      <c r="B176" t="s">
        <v>5082</v>
      </c>
      <c r="C176" t="s">
        <v>1751</v>
      </c>
      <c r="D176">
        <v>20597970</v>
      </c>
      <c r="E176" t="s">
        <v>3128</v>
      </c>
      <c r="F176" t="s">
        <v>1782</v>
      </c>
      <c r="G176" t="s">
        <v>3141</v>
      </c>
      <c r="H176" t="s">
        <v>1248</v>
      </c>
      <c r="J176" s="455">
        <v>46235</v>
      </c>
      <c r="U176" s="455">
        <v>46235</v>
      </c>
    </row>
    <row r="177" spans="1:21">
      <c r="A177" t="s">
        <v>1751</v>
      </c>
      <c r="B177" t="s">
        <v>11083</v>
      </c>
      <c r="C177" t="s">
        <v>1751</v>
      </c>
      <c r="D177">
        <v>20605936</v>
      </c>
      <c r="E177" t="s">
        <v>3128</v>
      </c>
      <c r="F177" t="s">
        <v>1782</v>
      </c>
      <c r="G177" t="s">
        <v>3141</v>
      </c>
      <c r="H177" t="s">
        <v>1252</v>
      </c>
      <c r="J177" s="455">
        <v>46245</v>
      </c>
      <c r="U177" s="455">
        <v>46246</v>
      </c>
    </row>
    <row r="178" spans="1:21">
      <c r="A178" t="s">
        <v>1751</v>
      </c>
      <c r="B178" t="s">
        <v>11084</v>
      </c>
      <c r="C178" t="s">
        <v>1751</v>
      </c>
      <c r="D178">
        <v>20604281</v>
      </c>
      <c r="E178" t="s">
        <v>3128</v>
      </c>
      <c r="F178" t="s">
        <v>1782</v>
      </c>
      <c r="G178" t="s">
        <v>3141</v>
      </c>
      <c r="H178" t="s">
        <v>1252</v>
      </c>
      <c r="J178" s="455">
        <v>46242</v>
      </c>
      <c r="U178" s="455">
        <v>46303</v>
      </c>
    </row>
    <row r="179" spans="1:21">
      <c r="A179" t="s">
        <v>1751</v>
      </c>
      <c r="B179" t="s">
        <v>11085</v>
      </c>
      <c r="C179" t="s">
        <v>1751</v>
      </c>
      <c r="D179">
        <v>20602389</v>
      </c>
      <c r="E179" t="s">
        <v>3128</v>
      </c>
      <c r="F179" t="s">
        <v>1241</v>
      </c>
      <c r="G179" t="s">
        <v>3134</v>
      </c>
      <c r="H179" t="s">
        <v>1252</v>
      </c>
      <c r="J179" s="455">
        <v>46240</v>
      </c>
      <c r="U179" s="455">
        <v>46242</v>
      </c>
    </row>
    <row r="180" spans="1:21">
      <c r="A180" t="s">
        <v>1751</v>
      </c>
      <c r="B180" t="s">
        <v>5083</v>
      </c>
      <c r="C180" t="s">
        <v>1751</v>
      </c>
      <c r="D180">
        <v>20598343</v>
      </c>
      <c r="E180" t="s">
        <v>3128</v>
      </c>
      <c r="F180" t="s">
        <v>1782</v>
      </c>
      <c r="G180" t="s">
        <v>3134</v>
      </c>
      <c r="H180" t="s">
        <v>3165</v>
      </c>
      <c r="J180" s="455">
        <v>46235</v>
      </c>
      <c r="U180" s="455">
        <v>46266</v>
      </c>
    </row>
    <row r="181" spans="1:21">
      <c r="A181" t="s">
        <v>1751</v>
      </c>
      <c r="B181" t="s">
        <v>5084</v>
      </c>
      <c r="C181" t="s">
        <v>1751</v>
      </c>
      <c r="D181">
        <v>20601143</v>
      </c>
      <c r="E181" t="s">
        <v>3128</v>
      </c>
      <c r="F181" t="s">
        <v>1241</v>
      </c>
      <c r="G181" t="s">
        <v>3137</v>
      </c>
      <c r="H181" t="s">
        <v>1252</v>
      </c>
      <c r="J181" s="455">
        <v>46239</v>
      </c>
      <c r="U181" s="455">
        <v>46239</v>
      </c>
    </row>
    <row r="182" spans="1:21">
      <c r="A182" t="s">
        <v>1751</v>
      </c>
      <c r="B182" t="s">
        <v>5085</v>
      </c>
      <c r="C182" t="s">
        <v>1751</v>
      </c>
      <c r="D182">
        <v>20598517</v>
      </c>
      <c r="E182" t="s">
        <v>3128</v>
      </c>
      <c r="F182" t="s">
        <v>3285</v>
      </c>
      <c r="G182" t="s">
        <v>3134</v>
      </c>
      <c r="H182" t="s">
        <v>1252</v>
      </c>
      <c r="J182" s="455">
        <v>46236</v>
      </c>
      <c r="U182" s="455">
        <v>46273</v>
      </c>
    </row>
    <row r="183" spans="1:21">
      <c r="A183" t="s">
        <v>1751</v>
      </c>
      <c r="B183" t="s">
        <v>11086</v>
      </c>
      <c r="C183" t="s">
        <v>1751</v>
      </c>
      <c r="D183">
        <v>20607324</v>
      </c>
      <c r="E183" t="s">
        <v>3128</v>
      </c>
      <c r="F183" t="s">
        <v>1241</v>
      </c>
      <c r="G183" t="s">
        <v>3129</v>
      </c>
      <c r="H183" t="s">
        <v>1252</v>
      </c>
      <c r="J183" s="455">
        <v>46246</v>
      </c>
      <c r="U183" s="455">
        <v>46246</v>
      </c>
    </row>
    <row r="184" spans="1:21">
      <c r="A184" t="s">
        <v>1751</v>
      </c>
      <c r="B184" t="s">
        <v>11087</v>
      </c>
      <c r="C184" t="s">
        <v>1751</v>
      </c>
      <c r="D184">
        <v>20602764</v>
      </c>
      <c r="E184" t="s">
        <v>3128</v>
      </c>
      <c r="F184" t="s">
        <v>1241</v>
      </c>
      <c r="G184" t="s">
        <v>3141</v>
      </c>
      <c r="H184" t="s">
        <v>1247</v>
      </c>
      <c r="J184" s="455">
        <v>46240</v>
      </c>
      <c r="U184" s="455">
        <v>46240</v>
      </c>
    </row>
    <row r="185" spans="1:21">
      <c r="A185" t="s">
        <v>1751</v>
      </c>
      <c r="B185" t="s">
        <v>11088</v>
      </c>
      <c r="C185" t="s">
        <v>1751</v>
      </c>
      <c r="D185">
        <v>20606742</v>
      </c>
      <c r="E185" t="s">
        <v>3128</v>
      </c>
      <c r="F185" t="s">
        <v>1782</v>
      </c>
      <c r="G185" t="s">
        <v>3141</v>
      </c>
      <c r="H185" t="s">
        <v>1251</v>
      </c>
      <c r="J185" s="455">
        <v>46245</v>
      </c>
      <c r="U185" s="455">
        <v>46245</v>
      </c>
    </row>
    <row r="186" spans="1:21">
      <c r="A186" t="s">
        <v>1751</v>
      </c>
      <c r="B186" t="s">
        <v>10990</v>
      </c>
      <c r="C186" t="s">
        <v>1751</v>
      </c>
      <c r="D186">
        <v>20604937</v>
      </c>
      <c r="E186" t="s">
        <v>3128</v>
      </c>
      <c r="F186" t="s">
        <v>3285</v>
      </c>
      <c r="G186" t="s">
        <v>3134</v>
      </c>
      <c r="H186" t="s">
        <v>1252</v>
      </c>
      <c r="J186" s="455">
        <v>46244</v>
      </c>
      <c r="U186" s="455">
        <v>46245</v>
      </c>
    </row>
    <row r="187" spans="1:21">
      <c r="A187" t="s">
        <v>1751</v>
      </c>
      <c r="B187" t="s">
        <v>11089</v>
      </c>
      <c r="C187" t="s">
        <v>1751</v>
      </c>
      <c r="D187">
        <v>20604869</v>
      </c>
      <c r="E187" t="s">
        <v>3128</v>
      </c>
      <c r="F187" t="s">
        <v>1241</v>
      </c>
      <c r="G187" t="s">
        <v>3141</v>
      </c>
      <c r="H187" t="s">
        <v>1252</v>
      </c>
      <c r="J187" s="455">
        <v>46244</v>
      </c>
      <c r="U187" s="455">
        <v>46251</v>
      </c>
    </row>
    <row r="188" spans="1:21">
      <c r="A188" t="s">
        <v>1751</v>
      </c>
      <c r="B188" t="s">
        <v>5086</v>
      </c>
      <c r="C188" t="s">
        <v>1751</v>
      </c>
      <c r="D188">
        <v>20598427</v>
      </c>
      <c r="E188" t="s">
        <v>3128</v>
      </c>
      <c r="F188" t="s">
        <v>1239</v>
      </c>
      <c r="G188" t="s">
        <v>3137</v>
      </c>
      <c r="H188" t="s">
        <v>1251</v>
      </c>
      <c r="I188" t="s">
        <v>3170</v>
      </c>
      <c r="J188" s="455">
        <v>46235</v>
      </c>
      <c r="U188" s="455">
        <v>46235</v>
      </c>
    </row>
    <row r="189" spans="1:21">
      <c r="A189" t="s">
        <v>1751</v>
      </c>
      <c r="B189" t="s">
        <v>11090</v>
      </c>
      <c r="C189" t="s">
        <v>1751</v>
      </c>
      <c r="D189">
        <v>20605455</v>
      </c>
      <c r="E189" t="s">
        <v>1907</v>
      </c>
      <c r="F189" t="s">
        <v>1242</v>
      </c>
      <c r="G189" t="s">
        <v>3134</v>
      </c>
      <c r="H189" t="s">
        <v>1251</v>
      </c>
      <c r="I189" t="s">
        <v>1533</v>
      </c>
      <c r="J189" s="455">
        <v>46244</v>
      </c>
      <c r="K189" s="455">
        <v>46244</v>
      </c>
      <c r="L189" s="455">
        <v>46244</v>
      </c>
      <c r="U189" s="455">
        <v>46256</v>
      </c>
    </row>
    <row r="190" spans="1:21">
      <c r="A190" t="s">
        <v>1751</v>
      </c>
      <c r="B190" t="s">
        <v>11090</v>
      </c>
      <c r="C190" t="s">
        <v>1751</v>
      </c>
      <c r="D190">
        <v>20603687</v>
      </c>
      <c r="E190" t="s">
        <v>3128</v>
      </c>
      <c r="F190" t="s">
        <v>1241</v>
      </c>
      <c r="G190" t="s">
        <v>3137</v>
      </c>
      <c r="H190" t="s">
        <v>1252</v>
      </c>
      <c r="J190" s="455">
        <v>46241</v>
      </c>
      <c r="U190" s="455">
        <v>46242</v>
      </c>
    </row>
    <row r="191" spans="1:21">
      <c r="A191" t="s">
        <v>1751</v>
      </c>
      <c r="B191" t="s">
        <v>9288</v>
      </c>
      <c r="C191" t="s">
        <v>1751</v>
      </c>
      <c r="D191">
        <v>20605010</v>
      </c>
      <c r="E191" t="s">
        <v>3128</v>
      </c>
      <c r="F191" t="s">
        <v>3285</v>
      </c>
      <c r="G191" t="s">
        <v>3141</v>
      </c>
      <c r="H191" t="s">
        <v>1252</v>
      </c>
      <c r="J191" s="455">
        <v>46244</v>
      </c>
      <c r="U191" s="455">
        <v>46266</v>
      </c>
    </row>
    <row r="192" spans="1:21">
      <c r="A192" t="s">
        <v>1751</v>
      </c>
      <c r="B192" t="s">
        <v>5087</v>
      </c>
      <c r="C192" t="s">
        <v>1751</v>
      </c>
      <c r="D192">
        <v>20598735</v>
      </c>
      <c r="E192" t="s">
        <v>3128</v>
      </c>
      <c r="F192" t="s">
        <v>1241</v>
      </c>
      <c r="G192" t="s">
        <v>3141</v>
      </c>
      <c r="H192" t="s">
        <v>1252</v>
      </c>
      <c r="J192" s="455">
        <v>46236</v>
      </c>
      <c r="U192" s="455">
        <v>46296</v>
      </c>
    </row>
    <row r="193" spans="1:21">
      <c r="A193" t="s">
        <v>1751</v>
      </c>
      <c r="B193" t="s">
        <v>5088</v>
      </c>
      <c r="C193" t="s">
        <v>1751</v>
      </c>
      <c r="D193">
        <v>20597933</v>
      </c>
      <c r="E193" t="s">
        <v>3128</v>
      </c>
      <c r="F193" t="s">
        <v>1782</v>
      </c>
      <c r="G193" t="s">
        <v>3141</v>
      </c>
      <c r="H193" t="s">
        <v>4278</v>
      </c>
      <c r="J193" s="455">
        <v>46235</v>
      </c>
      <c r="U193" s="455">
        <v>46249</v>
      </c>
    </row>
    <row r="194" spans="1:21">
      <c r="A194" t="s">
        <v>1751</v>
      </c>
      <c r="B194" t="s">
        <v>11091</v>
      </c>
      <c r="C194" t="s">
        <v>1751</v>
      </c>
      <c r="D194">
        <v>20603588</v>
      </c>
      <c r="E194" t="s">
        <v>3128</v>
      </c>
      <c r="F194" t="s">
        <v>1782</v>
      </c>
      <c r="G194" t="s">
        <v>3141</v>
      </c>
      <c r="H194" t="s">
        <v>4278</v>
      </c>
      <c r="J194" s="455">
        <v>46241</v>
      </c>
      <c r="U194" s="455">
        <v>46255</v>
      </c>
    </row>
    <row r="195" spans="1:21">
      <c r="A195" t="s">
        <v>1751</v>
      </c>
      <c r="B195" t="s">
        <v>5089</v>
      </c>
      <c r="C195" t="s">
        <v>1751</v>
      </c>
      <c r="D195">
        <v>20598567</v>
      </c>
      <c r="E195" t="s">
        <v>3128</v>
      </c>
      <c r="F195" t="s">
        <v>3285</v>
      </c>
      <c r="G195" t="s">
        <v>3134</v>
      </c>
      <c r="H195" t="s">
        <v>1252</v>
      </c>
      <c r="J195" s="455">
        <v>46236</v>
      </c>
      <c r="U195" s="455">
        <v>46265</v>
      </c>
    </row>
    <row r="196" spans="1:21">
      <c r="A196" t="s">
        <v>1751</v>
      </c>
      <c r="B196" t="s">
        <v>4689</v>
      </c>
      <c r="C196" t="s">
        <v>1751</v>
      </c>
      <c r="D196">
        <v>20592700</v>
      </c>
      <c r="E196" t="s">
        <v>3133</v>
      </c>
      <c r="F196" t="s">
        <v>1243</v>
      </c>
      <c r="G196" t="s">
        <v>3134</v>
      </c>
      <c r="H196" t="s">
        <v>1247</v>
      </c>
      <c r="I196" t="s">
        <v>1834</v>
      </c>
      <c r="J196" s="455">
        <v>46228</v>
      </c>
      <c r="K196" s="455">
        <v>46228</v>
      </c>
      <c r="L196" s="455">
        <v>46234</v>
      </c>
      <c r="S196" s="455">
        <v>46237</v>
      </c>
      <c r="U196" s="455">
        <v>46261</v>
      </c>
    </row>
    <row r="197" spans="1:21">
      <c r="A197" t="s">
        <v>1751</v>
      </c>
      <c r="B197" t="s">
        <v>11092</v>
      </c>
      <c r="C197" t="s">
        <v>1751</v>
      </c>
      <c r="D197">
        <v>20603348</v>
      </c>
      <c r="E197" t="s">
        <v>1897</v>
      </c>
      <c r="F197" t="s">
        <v>1241</v>
      </c>
      <c r="G197" t="s">
        <v>3134</v>
      </c>
      <c r="H197" t="s">
        <v>3358</v>
      </c>
      <c r="J197" s="455">
        <v>46241</v>
      </c>
      <c r="K197" s="455">
        <v>46241</v>
      </c>
      <c r="U197" s="455">
        <v>46241</v>
      </c>
    </row>
    <row r="198" spans="1:21">
      <c r="A198" t="s">
        <v>1751</v>
      </c>
      <c r="B198" t="s">
        <v>11092</v>
      </c>
      <c r="C198" t="s">
        <v>1751</v>
      </c>
      <c r="D198">
        <v>20603350</v>
      </c>
      <c r="E198" t="s">
        <v>1897</v>
      </c>
      <c r="F198" t="s">
        <v>1238</v>
      </c>
      <c r="G198" t="s">
        <v>3134</v>
      </c>
      <c r="H198" t="s">
        <v>3358</v>
      </c>
      <c r="I198" t="s">
        <v>5007</v>
      </c>
      <c r="J198" s="455">
        <v>46241</v>
      </c>
      <c r="K198" s="455">
        <v>46241</v>
      </c>
      <c r="U198" s="455">
        <v>46246</v>
      </c>
    </row>
    <row r="199" spans="1:21">
      <c r="A199" t="s">
        <v>1751</v>
      </c>
      <c r="B199" t="s">
        <v>11092</v>
      </c>
      <c r="C199" t="s">
        <v>1751</v>
      </c>
      <c r="D199">
        <v>20603349</v>
      </c>
      <c r="E199" t="s">
        <v>1897</v>
      </c>
      <c r="F199" t="s">
        <v>1241</v>
      </c>
      <c r="G199" t="s">
        <v>3134</v>
      </c>
      <c r="H199" t="s">
        <v>3358</v>
      </c>
      <c r="J199" s="455">
        <v>46241</v>
      </c>
      <c r="K199" s="455">
        <v>46241</v>
      </c>
      <c r="U199" s="455">
        <v>46241</v>
      </c>
    </row>
    <row r="200" spans="1:21">
      <c r="A200" t="s">
        <v>1751</v>
      </c>
      <c r="B200" t="s">
        <v>11093</v>
      </c>
      <c r="C200" t="s">
        <v>1751</v>
      </c>
      <c r="D200">
        <v>20603454</v>
      </c>
      <c r="E200" t="s">
        <v>3128</v>
      </c>
      <c r="F200" t="s">
        <v>1782</v>
      </c>
      <c r="G200" t="s">
        <v>3141</v>
      </c>
      <c r="H200" t="s">
        <v>1252</v>
      </c>
      <c r="J200" s="455">
        <v>46241</v>
      </c>
      <c r="U200" s="455">
        <v>46301</v>
      </c>
    </row>
    <row r="201" spans="1:21">
      <c r="A201" t="s">
        <v>1751</v>
      </c>
      <c r="B201" t="s">
        <v>11094</v>
      </c>
      <c r="C201" t="s">
        <v>1751</v>
      </c>
      <c r="D201">
        <v>20607868</v>
      </c>
      <c r="E201" t="s">
        <v>3128</v>
      </c>
      <c r="F201" t="s">
        <v>1241</v>
      </c>
      <c r="G201" t="s">
        <v>2009</v>
      </c>
      <c r="H201" t="s">
        <v>4278</v>
      </c>
      <c r="J201" s="455">
        <v>46246</v>
      </c>
      <c r="U201" s="455">
        <v>46276</v>
      </c>
    </row>
    <row r="202" spans="1:21">
      <c r="A202" t="s">
        <v>1751</v>
      </c>
      <c r="B202" t="s">
        <v>11095</v>
      </c>
      <c r="C202" t="s">
        <v>1751</v>
      </c>
      <c r="D202">
        <v>20604457</v>
      </c>
      <c r="E202" t="s">
        <v>3128</v>
      </c>
      <c r="F202" t="s">
        <v>1241</v>
      </c>
      <c r="G202" t="s">
        <v>3137</v>
      </c>
      <c r="H202" t="s">
        <v>3220</v>
      </c>
      <c r="J202" s="455">
        <v>46243</v>
      </c>
      <c r="U202" s="455">
        <v>46243</v>
      </c>
    </row>
    <row r="203" spans="1:21">
      <c r="A203" t="s">
        <v>1751</v>
      </c>
      <c r="B203" t="s">
        <v>2989</v>
      </c>
      <c r="C203" t="s">
        <v>1751</v>
      </c>
      <c r="D203">
        <v>20572696</v>
      </c>
      <c r="E203" t="s">
        <v>2008</v>
      </c>
      <c r="F203" t="s">
        <v>1242</v>
      </c>
      <c r="G203" t="s">
        <v>3141</v>
      </c>
      <c r="H203" t="s">
        <v>1252</v>
      </c>
      <c r="I203" t="s">
        <v>4691</v>
      </c>
      <c r="J203" s="455">
        <v>46207</v>
      </c>
      <c r="K203" s="455">
        <v>46227</v>
      </c>
      <c r="L203" s="455">
        <v>46233</v>
      </c>
      <c r="M203" s="455">
        <v>46246</v>
      </c>
      <c r="N203" s="455">
        <v>46246</v>
      </c>
      <c r="U203" s="455">
        <v>46249</v>
      </c>
    </row>
    <row r="204" spans="1:21">
      <c r="A204" t="s">
        <v>1751</v>
      </c>
      <c r="B204" t="s">
        <v>5090</v>
      </c>
      <c r="C204" t="s">
        <v>1751</v>
      </c>
      <c r="D204">
        <v>20600845</v>
      </c>
      <c r="E204" t="s">
        <v>3128</v>
      </c>
      <c r="F204" t="s">
        <v>1241</v>
      </c>
      <c r="G204" t="s">
        <v>3141</v>
      </c>
      <c r="H204" t="s">
        <v>4278</v>
      </c>
      <c r="J204" s="455">
        <v>46238</v>
      </c>
      <c r="U204" s="455">
        <v>46252</v>
      </c>
    </row>
    <row r="205" spans="1:21">
      <c r="A205" t="s">
        <v>1751</v>
      </c>
      <c r="B205" t="s">
        <v>5091</v>
      </c>
      <c r="C205" t="s">
        <v>1751</v>
      </c>
      <c r="D205">
        <v>20599814</v>
      </c>
      <c r="E205" t="s">
        <v>3128</v>
      </c>
      <c r="F205" t="s">
        <v>1241</v>
      </c>
      <c r="G205" t="s">
        <v>3134</v>
      </c>
      <c r="H205" t="s">
        <v>1252</v>
      </c>
      <c r="J205" s="455">
        <v>46237</v>
      </c>
      <c r="U205" s="455">
        <v>46239</v>
      </c>
    </row>
    <row r="206" spans="1:21">
      <c r="A206" t="s">
        <v>1751</v>
      </c>
      <c r="B206" t="s">
        <v>11096</v>
      </c>
      <c r="C206" t="s">
        <v>1751</v>
      </c>
      <c r="D206">
        <v>20603707</v>
      </c>
      <c r="E206" t="s">
        <v>3128</v>
      </c>
      <c r="F206" t="s">
        <v>1782</v>
      </c>
      <c r="G206" t="s">
        <v>3141</v>
      </c>
      <c r="H206" t="s">
        <v>1252</v>
      </c>
      <c r="J206" s="455">
        <v>46242</v>
      </c>
      <c r="U206" s="455">
        <v>46249</v>
      </c>
    </row>
    <row r="207" spans="1:21">
      <c r="A207" t="s">
        <v>1751</v>
      </c>
      <c r="B207" t="s">
        <v>11097</v>
      </c>
      <c r="C207" t="s">
        <v>1751</v>
      </c>
      <c r="D207">
        <v>20606182</v>
      </c>
      <c r="E207" t="s">
        <v>3128</v>
      </c>
      <c r="F207" t="s">
        <v>1238</v>
      </c>
      <c r="G207" t="s">
        <v>3137</v>
      </c>
      <c r="H207" t="s">
        <v>1247</v>
      </c>
      <c r="J207" s="455">
        <v>46245</v>
      </c>
      <c r="U207" s="455">
        <v>46245</v>
      </c>
    </row>
    <row r="208" spans="1:21">
      <c r="A208" t="s">
        <v>1751</v>
      </c>
      <c r="B208" t="s">
        <v>11098</v>
      </c>
      <c r="C208" t="s">
        <v>1751</v>
      </c>
      <c r="D208">
        <v>20603278</v>
      </c>
      <c r="E208" t="s">
        <v>3128</v>
      </c>
      <c r="F208" t="s">
        <v>1238</v>
      </c>
      <c r="G208" t="s">
        <v>3143</v>
      </c>
      <c r="H208" t="s">
        <v>1248</v>
      </c>
      <c r="I208" t="s">
        <v>3168</v>
      </c>
      <c r="J208" s="455">
        <v>46241</v>
      </c>
      <c r="U208" s="455">
        <v>46255</v>
      </c>
    </row>
    <row r="209" spans="1:21">
      <c r="A209" t="s">
        <v>1751</v>
      </c>
      <c r="B209" t="s">
        <v>11099</v>
      </c>
      <c r="C209" t="s">
        <v>1751</v>
      </c>
      <c r="D209">
        <v>20603021</v>
      </c>
      <c r="E209" t="s">
        <v>3128</v>
      </c>
      <c r="F209" t="s">
        <v>1782</v>
      </c>
      <c r="G209" t="s">
        <v>3137</v>
      </c>
      <c r="H209" t="s">
        <v>1252</v>
      </c>
      <c r="J209" s="455">
        <v>46241</v>
      </c>
      <c r="U209" s="455">
        <v>46293</v>
      </c>
    </row>
    <row r="210" spans="1:21">
      <c r="A210" t="s">
        <v>1751</v>
      </c>
      <c r="B210" t="s">
        <v>11100</v>
      </c>
      <c r="C210" t="s">
        <v>1751</v>
      </c>
      <c r="D210">
        <v>20603929</v>
      </c>
      <c r="E210" t="s">
        <v>3128</v>
      </c>
      <c r="F210" t="s">
        <v>1242</v>
      </c>
      <c r="G210" t="s">
        <v>3143</v>
      </c>
      <c r="H210" t="s">
        <v>1252</v>
      </c>
      <c r="I210" t="s">
        <v>1549</v>
      </c>
      <c r="J210" s="455">
        <v>46242</v>
      </c>
      <c r="U210" s="455">
        <v>46291</v>
      </c>
    </row>
    <row r="211" spans="1:21">
      <c r="A211" t="s">
        <v>1751</v>
      </c>
      <c r="B211" t="s">
        <v>11101</v>
      </c>
      <c r="C211" t="s">
        <v>1751</v>
      </c>
      <c r="D211">
        <v>20605762</v>
      </c>
      <c r="E211" t="s">
        <v>1897</v>
      </c>
      <c r="F211" t="s">
        <v>1241</v>
      </c>
      <c r="G211" t="s">
        <v>3134</v>
      </c>
      <c r="H211" t="s">
        <v>1247</v>
      </c>
      <c r="I211" t="s">
        <v>3616</v>
      </c>
      <c r="J211" s="455">
        <v>46244</v>
      </c>
      <c r="K211" s="455">
        <v>46244</v>
      </c>
      <c r="U211" s="455">
        <v>46254</v>
      </c>
    </row>
    <row r="212" spans="1:21">
      <c r="A212" t="s">
        <v>1751</v>
      </c>
      <c r="B212" t="s">
        <v>11102</v>
      </c>
      <c r="C212" t="s">
        <v>1751</v>
      </c>
      <c r="D212">
        <v>20601483</v>
      </c>
      <c r="E212" t="s">
        <v>3133</v>
      </c>
      <c r="F212" t="s">
        <v>1237</v>
      </c>
      <c r="G212" t="s">
        <v>3143</v>
      </c>
      <c r="H212" t="s">
        <v>1252</v>
      </c>
      <c r="I212" t="s">
        <v>2124</v>
      </c>
      <c r="J212" s="455">
        <v>46239</v>
      </c>
      <c r="K212" s="455">
        <v>46240</v>
      </c>
      <c r="L212" s="455">
        <v>46240</v>
      </c>
      <c r="S212" s="455">
        <v>46240</v>
      </c>
      <c r="U212" s="455">
        <v>46251</v>
      </c>
    </row>
    <row r="213" spans="1:21">
      <c r="A213" t="s">
        <v>1751</v>
      </c>
      <c r="B213" t="s">
        <v>9964</v>
      </c>
      <c r="C213" t="s">
        <v>1751</v>
      </c>
      <c r="D213">
        <v>20605337</v>
      </c>
      <c r="E213" t="s">
        <v>1907</v>
      </c>
      <c r="F213" t="s">
        <v>1237</v>
      </c>
      <c r="G213" t="s">
        <v>3143</v>
      </c>
      <c r="H213" t="s">
        <v>1249</v>
      </c>
      <c r="I213" t="s">
        <v>3997</v>
      </c>
      <c r="J213" s="455">
        <v>46244</v>
      </c>
      <c r="K213" s="455">
        <v>46245</v>
      </c>
      <c r="L213" s="455">
        <v>46246</v>
      </c>
      <c r="U213" s="455">
        <v>46270</v>
      </c>
    </row>
    <row r="214" spans="1:21">
      <c r="A214" t="s">
        <v>1751</v>
      </c>
      <c r="B214" t="s">
        <v>5092</v>
      </c>
      <c r="C214" t="s">
        <v>1751</v>
      </c>
      <c r="D214">
        <v>20598574</v>
      </c>
      <c r="E214" t="s">
        <v>3128</v>
      </c>
      <c r="F214" t="s">
        <v>1241</v>
      </c>
      <c r="G214" t="s">
        <v>3129</v>
      </c>
      <c r="H214" t="s">
        <v>1253</v>
      </c>
      <c r="J214" s="455">
        <v>46236</v>
      </c>
      <c r="U214" s="455">
        <v>46236</v>
      </c>
    </row>
    <row r="215" spans="1:21">
      <c r="A215" t="s">
        <v>1751</v>
      </c>
      <c r="B215" t="s">
        <v>5093</v>
      </c>
      <c r="C215" t="s">
        <v>1751</v>
      </c>
      <c r="D215">
        <v>20597891</v>
      </c>
      <c r="E215" t="s">
        <v>3128</v>
      </c>
      <c r="F215" t="s">
        <v>1782</v>
      </c>
      <c r="G215" t="s">
        <v>3141</v>
      </c>
      <c r="H215" t="s">
        <v>4278</v>
      </c>
      <c r="J215" s="455">
        <v>46235</v>
      </c>
      <c r="U215" s="455">
        <v>46249</v>
      </c>
    </row>
    <row r="216" spans="1:21">
      <c r="A216" t="s">
        <v>1751</v>
      </c>
      <c r="B216" t="s">
        <v>5094</v>
      </c>
      <c r="C216" t="s">
        <v>1751</v>
      </c>
      <c r="D216">
        <v>20597911</v>
      </c>
      <c r="E216" t="s">
        <v>1907</v>
      </c>
      <c r="F216" t="s">
        <v>1244</v>
      </c>
      <c r="G216" t="s">
        <v>3134</v>
      </c>
      <c r="H216" t="s">
        <v>1247</v>
      </c>
      <c r="I216" t="s">
        <v>4557</v>
      </c>
      <c r="J216" s="455">
        <v>46235</v>
      </c>
      <c r="K216" s="455">
        <v>46235</v>
      </c>
      <c r="L216" s="455">
        <v>46238</v>
      </c>
      <c r="U216" s="455">
        <v>46302</v>
      </c>
    </row>
    <row r="217" spans="1:21">
      <c r="A217" t="s">
        <v>1751</v>
      </c>
      <c r="B217" t="s">
        <v>11103</v>
      </c>
      <c r="C217" t="s">
        <v>1751</v>
      </c>
      <c r="D217">
        <v>20606733</v>
      </c>
      <c r="E217" t="s">
        <v>3128</v>
      </c>
      <c r="F217" t="s">
        <v>1242</v>
      </c>
      <c r="G217" t="s">
        <v>3143</v>
      </c>
      <c r="H217" t="s">
        <v>1251</v>
      </c>
      <c r="I217" t="s">
        <v>3849</v>
      </c>
      <c r="J217" s="455">
        <v>46245</v>
      </c>
      <c r="U217" s="455">
        <v>46291</v>
      </c>
    </row>
    <row r="218" spans="1:21">
      <c r="A218" t="s">
        <v>1751</v>
      </c>
      <c r="B218" t="s">
        <v>5095</v>
      </c>
      <c r="C218" t="s">
        <v>1751</v>
      </c>
      <c r="D218">
        <v>20600910</v>
      </c>
      <c r="E218" t="s">
        <v>3128</v>
      </c>
      <c r="F218" t="s">
        <v>1241</v>
      </c>
      <c r="G218" t="s">
        <v>3141</v>
      </c>
      <c r="H218" t="s">
        <v>1252</v>
      </c>
      <c r="J218" s="455">
        <v>46238</v>
      </c>
      <c r="U218" s="455">
        <v>46447</v>
      </c>
    </row>
    <row r="219" spans="1:21">
      <c r="A219" t="s">
        <v>1751</v>
      </c>
      <c r="B219" t="s">
        <v>3842</v>
      </c>
      <c r="C219" t="s">
        <v>1751</v>
      </c>
      <c r="D219">
        <v>20559805</v>
      </c>
      <c r="E219" t="s">
        <v>3133</v>
      </c>
      <c r="F219" t="s">
        <v>1241</v>
      </c>
      <c r="G219" t="s">
        <v>3143</v>
      </c>
      <c r="H219" t="s">
        <v>1249</v>
      </c>
      <c r="I219" t="s">
        <v>4722</v>
      </c>
      <c r="J219" s="455">
        <v>46191</v>
      </c>
      <c r="K219" s="455">
        <v>46217</v>
      </c>
      <c r="L219" s="455">
        <v>46217</v>
      </c>
      <c r="S219" s="455">
        <v>46238</v>
      </c>
      <c r="U219" s="455">
        <v>46279</v>
      </c>
    </row>
    <row r="220" spans="1:21">
      <c r="A220" t="s">
        <v>1751</v>
      </c>
      <c r="B220" t="s">
        <v>11104</v>
      </c>
      <c r="C220" t="s">
        <v>1751</v>
      </c>
      <c r="D220">
        <v>20606932</v>
      </c>
      <c r="E220" t="s">
        <v>3128</v>
      </c>
      <c r="F220" t="s">
        <v>1241</v>
      </c>
      <c r="G220" t="s">
        <v>2009</v>
      </c>
      <c r="H220" t="s">
        <v>1247</v>
      </c>
      <c r="J220" s="455">
        <v>46245</v>
      </c>
      <c r="U220" s="455">
        <v>46312</v>
      </c>
    </row>
    <row r="221" spans="1:21">
      <c r="A221" t="s">
        <v>1751</v>
      </c>
      <c r="B221" t="s">
        <v>11105</v>
      </c>
      <c r="C221" t="s">
        <v>1751</v>
      </c>
      <c r="D221">
        <v>20603548</v>
      </c>
      <c r="E221" t="s">
        <v>3128</v>
      </c>
      <c r="F221" t="s">
        <v>1782</v>
      </c>
      <c r="G221" t="s">
        <v>3129</v>
      </c>
      <c r="H221" t="s">
        <v>1252</v>
      </c>
      <c r="J221" s="455">
        <v>46241</v>
      </c>
      <c r="U221" s="455">
        <v>46301</v>
      </c>
    </row>
    <row r="222" spans="1:21">
      <c r="A222" t="s">
        <v>1751</v>
      </c>
      <c r="B222" t="s">
        <v>11106</v>
      </c>
      <c r="C222" t="s">
        <v>1751</v>
      </c>
      <c r="D222">
        <v>20604211</v>
      </c>
      <c r="E222" t="s">
        <v>3128</v>
      </c>
      <c r="F222" t="s">
        <v>1782</v>
      </c>
      <c r="G222" t="s">
        <v>3134</v>
      </c>
      <c r="H222" t="s">
        <v>3165</v>
      </c>
      <c r="J222" s="455">
        <v>46242</v>
      </c>
      <c r="U222" s="455">
        <v>46265</v>
      </c>
    </row>
    <row r="223" spans="1:21">
      <c r="A223" t="s">
        <v>1751</v>
      </c>
      <c r="B223" t="s">
        <v>10991</v>
      </c>
      <c r="C223" t="s">
        <v>1751</v>
      </c>
      <c r="D223">
        <v>20531120</v>
      </c>
      <c r="E223" t="s">
        <v>1897</v>
      </c>
      <c r="F223" t="s">
        <v>1782</v>
      </c>
      <c r="G223" t="s">
        <v>3141</v>
      </c>
      <c r="H223" t="s">
        <v>1252</v>
      </c>
      <c r="I223" t="s">
        <v>2664</v>
      </c>
      <c r="J223" s="455">
        <v>46161</v>
      </c>
      <c r="K223" s="455">
        <v>46163</v>
      </c>
      <c r="T223" s="455">
        <v>46244</v>
      </c>
      <c r="U223" s="455">
        <v>46279</v>
      </c>
    </row>
    <row r="224" spans="1:21">
      <c r="A224" t="s">
        <v>1751</v>
      </c>
      <c r="B224" t="s">
        <v>10991</v>
      </c>
      <c r="C224" t="s">
        <v>1751</v>
      </c>
      <c r="D224">
        <v>20601473</v>
      </c>
      <c r="E224" t="s">
        <v>3128</v>
      </c>
      <c r="F224" t="s">
        <v>1241</v>
      </c>
      <c r="G224" t="s">
        <v>3141</v>
      </c>
      <c r="H224" t="s">
        <v>1251</v>
      </c>
      <c r="J224" s="455">
        <v>46239</v>
      </c>
      <c r="U224" s="455">
        <v>46239</v>
      </c>
    </row>
    <row r="225" spans="1:21">
      <c r="A225" t="s">
        <v>1751</v>
      </c>
      <c r="B225" t="s">
        <v>10991</v>
      </c>
      <c r="C225" t="s">
        <v>1751</v>
      </c>
      <c r="D225">
        <v>20564827</v>
      </c>
      <c r="E225" t="s">
        <v>1897</v>
      </c>
      <c r="F225" t="s">
        <v>1241</v>
      </c>
      <c r="G225" t="s">
        <v>3134</v>
      </c>
      <c r="H225" t="s">
        <v>1252</v>
      </c>
      <c r="J225" s="455">
        <v>46197</v>
      </c>
      <c r="K225" s="455">
        <v>46245</v>
      </c>
      <c r="U225" s="455">
        <v>46198</v>
      </c>
    </row>
    <row r="226" spans="1:21">
      <c r="A226" t="s">
        <v>1751</v>
      </c>
      <c r="B226" t="s">
        <v>11107</v>
      </c>
      <c r="C226" t="s">
        <v>1751</v>
      </c>
      <c r="D226">
        <v>20605795</v>
      </c>
      <c r="E226" t="s">
        <v>3128</v>
      </c>
      <c r="F226" t="s">
        <v>1241</v>
      </c>
      <c r="G226" t="s">
        <v>3134</v>
      </c>
      <c r="H226" t="s">
        <v>3165</v>
      </c>
      <c r="J226" s="455">
        <v>46244</v>
      </c>
      <c r="U226" s="455">
        <v>46268</v>
      </c>
    </row>
    <row r="227" spans="1:21">
      <c r="A227" t="s">
        <v>1751</v>
      </c>
      <c r="B227" t="s">
        <v>5096</v>
      </c>
      <c r="C227" t="s">
        <v>1751</v>
      </c>
      <c r="D227">
        <v>20599900</v>
      </c>
      <c r="E227" t="s">
        <v>3128</v>
      </c>
      <c r="F227" t="s">
        <v>1782</v>
      </c>
      <c r="G227" t="s">
        <v>3141</v>
      </c>
      <c r="H227" t="s">
        <v>1252</v>
      </c>
      <c r="J227" s="455">
        <v>46237</v>
      </c>
      <c r="U227" s="455">
        <v>46298</v>
      </c>
    </row>
    <row r="228" spans="1:21">
      <c r="A228" t="s">
        <v>1751</v>
      </c>
      <c r="B228" t="s">
        <v>11108</v>
      </c>
      <c r="C228" t="s">
        <v>1751</v>
      </c>
      <c r="D228">
        <v>20605189</v>
      </c>
      <c r="E228" t="s">
        <v>3128</v>
      </c>
      <c r="F228" t="s">
        <v>1241</v>
      </c>
      <c r="G228" t="s">
        <v>3129</v>
      </c>
      <c r="H228" t="s">
        <v>3131</v>
      </c>
      <c r="J228" s="455">
        <v>46244</v>
      </c>
      <c r="U228" s="455">
        <v>46244</v>
      </c>
    </row>
    <row r="229" spans="1:21">
      <c r="A229" t="s">
        <v>1751</v>
      </c>
      <c r="B229" t="s">
        <v>11109</v>
      </c>
      <c r="C229" t="s">
        <v>1751</v>
      </c>
      <c r="D229">
        <v>20604335</v>
      </c>
      <c r="E229" t="s">
        <v>3128</v>
      </c>
      <c r="F229" t="s">
        <v>1782</v>
      </c>
      <c r="G229" t="s">
        <v>3141</v>
      </c>
      <c r="H229" t="s">
        <v>1252</v>
      </c>
      <c r="J229" s="455">
        <v>46242</v>
      </c>
      <c r="U229" s="455">
        <v>46265</v>
      </c>
    </row>
    <row r="230" spans="1:21">
      <c r="A230" t="s">
        <v>1751</v>
      </c>
      <c r="B230" t="s">
        <v>11110</v>
      </c>
      <c r="C230" t="s">
        <v>1751</v>
      </c>
      <c r="D230">
        <v>20608104</v>
      </c>
      <c r="E230" t="s">
        <v>3128</v>
      </c>
      <c r="F230" t="s">
        <v>1241</v>
      </c>
      <c r="G230" t="s">
        <v>2009</v>
      </c>
      <c r="H230" t="s">
        <v>1252</v>
      </c>
      <c r="J230" s="455">
        <v>46246</v>
      </c>
      <c r="U230" s="455">
        <v>46630</v>
      </c>
    </row>
    <row r="231" spans="1:21">
      <c r="A231" t="s">
        <v>1751</v>
      </c>
      <c r="B231" t="s">
        <v>5097</v>
      </c>
      <c r="C231" t="s">
        <v>1751</v>
      </c>
      <c r="D231">
        <v>20597915</v>
      </c>
      <c r="E231" t="s">
        <v>1907</v>
      </c>
      <c r="F231" t="s">
        <v>1238</v>
      </c>
      <c r="G231" t="s">
        <v>2009</v>
      </c>
      <c r="H231" t="s">
        <v>3165</v>
      </c>
      <c r="I231" t="s">
        <v>4722</v>
      </c>
      <c r="J231" s="455">
        <v>46235</v>
      </c>
      <c r="K231" s="455">
        <v>46241</v>
      </c>
      <c r="L231" s="455">
        <v>46242</v>
      </c>
      <c r="U231" s="455">
        <v>46305</v>
      </c>
    </row>
    <row r="232" spans="1:21">
      <c r="A232" t="s">
        <v>1751</v>
      </c>
      <c r="B232" t="s">
        <v>5098</v>
      </c>
      <c r="C232" t="s">
        <v>1751</v>
      </c>
      <c r="D232">
        <v>20600973</v>
      </c>
      <c r="E232" t="s">
        <v>3128</v>
      </c>
      <c r="F232" t="s">
        <v>1241</v>
      </c>
      <c r="G232" t="s">
        <v>3137</v>
      </c>
      <c r="H232" t="s">
        <v>1247</v>
      </c>
      <c r="J232" s="455">
        <v>46238</v>
      </c>
      <c r="U232" s="455">
        <v>46238</v>
      </c>
    </row>
    <row r="233" spans="1:21">
      <c r="A233" t="s">
        <v>1751</v>
      </c>
      <c r="B233" t="s">
        <v>3063</v>
      </c>
      <c r="C233" t="s">
        <v>1751</v>
      </c>
      <c r="D233">
        <v>20578615</v>
      </c>
      <c r="E233" t="s">
        <v>3142</v>
      </c>
      <c r="F233" t="s">
        <v>1239</v>
      </c>
      <c r="G233" t="s">
        <v>3143</v>
      </c>
      <c r="H233" t="s">
        <v>1249</v>
      </c>
      <c r="I233" t="s">
        <v>2678</v>
      </c>
      <c r="J233" s="455">
        <v>46214</v>
      </c>
      <c r="K233" s="455">
        <v>46214</v>
      </c>
      <c r="L233" s="455">
        <v>46214</v>
      </c>
      <c r="M233" s="455">
        <v>46220</v>
      </c>
      <c r="N233" s="455">
        <v>46224</v>
      </c>
      <c r="O233" s="455">
        <v>46224</v>
      </c>
      <c r="P233" s="455">
        <v>46231</v>
      </c>
      <c r="Q233" s="455">
        <v>46231</v>
      </c>
      <c r="U233" s="455">
        <v>46235</v>
      </c>
    </row>
    <row r="234" spans="1:21">
      <c r="A234" t="s">
        <v>1751</v>
      </c>
      <c r="B234" t="s">
        <v>11111</v>
      </c>
      <c r="C234" t="s">
        <v>1751</v>
      </c>
      <c r="D234">
        <v>20601537</v>
      </c>
      <c r="E234" t="s">
        <v>1907</v>
      </c>
      <c r="F234" t="s">
        <v>1238</v>
      </c>
      <c r="G234" t="s">
        <v>3129</v>
      </c>
      <c r="H234" t="s">
        <v>1251</v>
      </c>
      <c r="I234" t="s">
        <v>4195</v>
      </c>
      <c r="J234" s="455">
        <v>46239</v>
      </c>
      <c r="K234" s="455">
        <v>46239</v>
      </c>
      <c r="L234" s="455">
        <v>46240</v>
      </c>
      <c r="U234" s="455">
        <v>46254</v>
      </c>
    </row>
    <row r="235" spans="1:21">
      <c r="A235" t="s">
        <v>1751</v>
      </c>
      <c r="B235" t="s">
        <v>11112</v>
      </c>
      <c r="C235" t="s">
        <v>1751</v>
      </c>
      <c r="D235">
        <v>20603889</v>
      </c>
      <c r="E235" t="s">
        <v>3128</v>
      </c>
      <c r="F235" t="s">
        <v>1782</v>
      </c>
      <c r="G235" t="s">
        <v>3141</v>
      </c>
      <c r="H235" t="s">
        <v>4278</v>
      </c>
      <c r="J235" s="455">
        <v>46242</v>
      </c>
      <c r="U235" s="455">
        <v>46256</v>
      </c>
    </row>
    <row r="236" spans="1:21">
      <c r="A236" t="s">
        <v>1751</v>
      </c>
      <c r="B236" t="s">
        <v>11113</v>
      </c>
      <c r="C236" t="s">
        <v>1751</v>
      </c>
      <c r="D236">
        <v>20606324</v>
      </c>
      <c r="E236" t="s">
        <v>3128</v>
      </c>
      <c r="F236" t="s">
        <v>1241</v>
      </c>
      <c r="G236" t="s">
        <v>3141</v>
      </c>
      <c r="H236" t="s">
        <v>1248</v>
      </c>
      <c r="J236" s="455">
        <v>46245</v>
      </c>
      <c r="U236" s="455">
        <v>46245</v>
      </c>
    </row>
    <row r="237" spans="1:21">
      <c r="A237" t="s">
        <v>1751</v>
      </c>
      <c r="B237" t="s">
        <v>11113</v>
      </c>
      <c r="C237" t="s">
        <v>1751</v>
      </c>
      <c r="D237">
        <v>20606803</v>
      </c>
      <c r="E237" t="s">
        <v>1907</v>
      </c>
      <c r="F237" t="s">
        <v>3285</v>
      </c>
      <c r="G237" t="s">
        <v>3134</v>
      </c>
      <c r="H237" t="s">
        <v>1247</v>
      </c>
      <c r="I237" t="s">
        <v>6292</v>
      </c>
      <c r="J237" s="455">
        <v>46245</v>
      </c>
      <c r="K237" s="455">
        <v>46245</v>
      </c>
      <c r="L237" s="455">
        <v>46245</v>
      </c>
      <c r="U237" s="455">
        <v>46262</v>
      </c>
    </row>
    <row r="238" spans="1:21">
      <c r="A238" t="s">
        <v>1751</v>
      </c>
      <c r="B238" t="s">
        <v>11114</v>
      </c>
      <c r="C238" t="s">
        <v>1751</v>
      </c>
      <c r="D238">
        <v>20605163</v>
      </c>
      <c r="E238" t="s">
        <v>3128</v>
      </c>
      <c r="F238" t="s">
        <v>1782</v>
      </c>
      <c r="G238" t="s">
        <v>3134</v>
      </c>
      <c r="H238" t="s">
        <v>1252</v>
      </c>
      <c r="J238" s="455">
        <v>46244</v>
      </c>
      <c r="U238" s="455">
        <v>46304</v>
      </c>
    </row>
    <row r="239" spans="1:21">
      <c r="A239" t="s">
        <v>1751</v>
      </c>
      <c r="B239" t="s">
        <v>5099</v>
      </c>
      <c r="C239" t="s">
        <v>1751</v>
      </c>
      <c r="D239">
        <v>20598652</v>
      </c>
      <c r="E239" t="s">
        <v>3128</v>
      </c>
      <c r="F239" t="s">
        <v>1242</v>
      </c>
      <c r="G239" t="s">
        <v>3141</v>
      </c>
      <c r="H239" t="s">
        <v>1252</v>
      </c>
      <c r="J239" s="455">
        <v>46236</v>
      </c>
      <c r="U239" s="455">
        <v>46296</v>
      </c>
    </row>
    <row r="240" spans="1:21">
      <c r="A240" t="s">
        <v>1751</v>
      </c>
      <c r="B240" t="s">
        <v>11115</v>
      </c>
      <c r="C240" t="s">
        <v>1751</v>
      </c>
      <c r="D240">
        <v>20603923</v>
      </c>
      <c r="E240" t="s">
        <v>3128</v>
      </c>
      <c r="F240" t="s">
        <v>1782</v>
      </c>
      <c r="G240" t="s">
        <v>3129</v>
      </c>
      <c r="H240" t="s">
        <v>1252</v>
      </c>
      <c r="J240" s="455">
        <v>46242</v>
      </c>
      <c r="U240" s="455">
        <v>46242</v>
      </c>
    </row>
    <row r="241" spans="1:21">
      <c r="A241" t="s">
        <v>1751</v>
      </c>
      <c r="B241" t="s">
        <v>11116</v>
      </c>
      <c r="C241" t="s">
        <v>1751</v>
      </c>
      <c r="D241">
        <v>20606869</v>
      </c>
      <c r="E241" t="s">
        <v>3128</v>
      </c>
      <c r="F241" t="s">
        <v>1782</v>
      </c>
      <c r="G241" t="s">
        <v>3141</v>
      </c>
      <c r="H241" t="s">
        <v>1252</v>
      </c>
      <c r="J241" s="455">
        <v>46245</v>
      </c>
      <c r="U241" s="455">
        <v>46285</v>
      </c>
    </row>
    <row r="242" spans="1:21">
      <c r="A242" t="s">
        <v>1751</v>
      </c>
      <c r="B242" t="s">
        <v>11117</v>
      </c>
      <c r="C242" t="s">
        <v>1751</v>
      </c>
      <c r="D242">
        <v>20603394</v>
      </c>
      <c r="E242" t="s">
        <v>1897</v>
      </c>
      <c r="F242" t="s">
        <v>1241</v>
      </c>
      <c r="G242" t="s">
        <v>3134</v>
      </c>
      <c r="H242" t="s">
        <v>1247</v>
      </c>
      <c r="I242" t="s">
        <v>3752</v>
      </c>
      <c r="J242" s="455">
        <v>46241</v>
      </c>
      <c r="K242" s="455">
        <v>46241</v>
      </c>
      <c r="U242" s="455">
        <v>46251</v>
      </c>
    </row>
    <row r="243" spans="1:21">
      <c r="A243" t="s">
        <v>1751</v>
      </c>
      <c r="B243" t="s">
        <v>11118</v>
      </c>
      <c r="C243" t="s">
        <v>1751</v>
      </c>
      <c r="D243">
        <v>20603281</v>
      </c>
      <c r="E243" t="s">
        <v>3128</v>
      </c>
      <c r="F243" t="s">
        <v>1782</v>
      </c>
      <c r="G243" t="s">
        <v>3134</v>
      </c>
      <c r="H243" t="s">
        <v>1252</v>
      </c>
      <c r="J243" s="455">
        <v>46241</v>
      </c>
      <c r="U243" s="455">
        <v>46251</v>
      </c>
    </row>
    <row r="244" spans="1:21">
      <c r="A244" t="s">
        <v>1751</v>
      </c>
      <c r="B244" t="s">
        <v>11119</v>
      </c>
      <c r="C244" t="s">
        <v>1751</v>
      </c>
      <c r="D244">
        <v>20603297</v>
      </c>
      <c r="E244" t="s">
        <v>3128</v>
      </c>
      <c r="F244" t="s">
        <v>1241</v>
      </c>
      <c r="G244" t="s">
        <v>2009</v>
      </c>
      <c r="H244" t="s">
        <v>1252</v>
      </c>
      <c r="J244" s="455">
        <v>46241</v>
      </c>
      <c r="U244" s="455">
        <v>46241</v>
      </c>
    </row>
    <row r="245" spans="1:21">
      <c r="A245" t="s">
        <v>1751</v>
      </c>
      <c r="B245" t="s">
        <v>11120</v>
      </c>
      <c r="C245" t="s">
        <v>1751</v>
      </c>
      <c r="D245">
        <v>20607684</v>
      </c>
      <c r="E245" t="s">
        <v>1897</v>
      </c>
      <c r="F245" t="s">
        <v>1241</v>
      </c>
      <c r="G245" t="s">
        <v>3134</v>
      </c>
      <c r="H245" t="s">
        <v>1247</v>
      </c>
      <c r="I245" t="s">
        <v>7119</v>
      </c>
      <c r="J245" s="455">
        <v>46246</v>
      </c>
      <c r="K245" s="455">
        <v>46246</v>
      </c>
      <c r="U245" s="455">
        <v>46316</v>
      </c>
    </row>
    <row r="246" spans="1:21">
      <c r="A246" t="s">
        <v>1751</v>
      </c>
      <c r="B246" t="s">
        <v>5100</v>
      </c>
      <c r="C246" t="s">
        <v>1751</v>
      </c>
      <c r="D246">
        <v>20601224</v>
      </c>
      <c r="E246" t="s">
        <v>3128</v>
      </c>
      <c r="F246" t="s">
        <v>1782</v>
      </c>
      <c r="G246" t="s">
        <v>3129</v>
      </c>
      <c r="H246" t="s">
        <v>1252</v>
      </c>
      <c r="J246" s="455">
        <v>46239</v>
      </c>
      <c r="U246" s="455">
        <v>46239</v>
      </c>
    </row>
    <row r="247" spans="1:21">
      <c r="A247" t="s">
        <v>1751</v>
      </c>
      <c r="B247" t="s">
        <v>5101</v>
      </c>
      <c r="C247" t="s">
        <v>1751</v>
      </c>
      <c r="D247">
        <v>20600893</v>
      </c>
      <c r="E247" t="s">
        <v>3128</v>
      </c>
      <c r="F247" t="s">
        <v>1241</v>
      </c>
      <c r="G247" t="s">
        <v>3141</v>
      </c>
      <c r="H247" t="s">
        <v>4278</v>
      </c>
      <c r="J247" s="455">
        <v>46238</v>
      </c>
      <c r="U247" s="455">
        <v>46268</v>
      </c>
    </row>
    <row r="248" spans="1:21">
      <c r="A248" t="s">
        <v>1751</v>
      </c>
      <c r="B248" t="s">
        <v>3108</v>
      </c>
      <c r="C248" t="s">
        <v>1751</v>
      </c>
      <c r="D248">
        <v>20599305</v>
      </c>
      <c r="E248" t="s">
        <v>3128</v>
      </c>
      <c r="F248" t="s">
        <v>1239</v>
      </c>
      <c r="G248" t="s">
        <v>3134</v>
      </c>
      <c r="H248" t="s">
        <v>3165</v>
      </c>
      <c r="I248" t="s">
        <v>3363</v>
      </c>
      <c r="J248" s="455">
        <v>46237</v>
      </c>
      <c r="U248" s="455">
        <v>46263</v>
      </c>
    </row>
    <row r="249" spans="1:21">
      <c r="A249" t="s">
        <v>1751</v>
      </c>
      <c r="B249" t="s">
        <v>10061</v>
      </c>
      <c r="C249" t="s">
        <v>1751</v>
      </c>
      <c r="D249">
        <v>20607020</v>
      </c>
      <c r="E249" t="s">
        <v>3128</v>
      </c>
      <c r="F249" t="s">
        <v>1241</v>
      </c>
      <c r="G249" t="s">
        <v>3134</v>
      </c>
      <c r="H249" t="s">
        <v>1252</v>
      </c>
      <c r="J249" s="455">
        <v>46246</v>
      </c>
      <c r="U249" s="455">
        <v>46246</v>
      </c>
    </row>
    <row r="250" spans="1:21">
      <c r="A250" t="s">
        <v>1751</v>
      </c>
      <c r="B250" t="s">
        <v>5102</v>
      </c>
      <c r="C250" t="s">
        <v>1751</v>
      </c>
      <c r="D250">
        <v>20598081</v>
      </c>
      <c r="E250" t="s">
        <v>3128</v>
      </c>
      <c r="F250" t="s">
        <v>1782</v>
      </c>
      <c r="G250" t="s">
        <v>3141</v>
      </c>
      <c r="H250" t="s">
        <v>1252</v>
      </c>
      <c r="J250" s="455">
        <v>46235</v>
      </c>
      <c r="U250" s="455">
        <v>46235</v>
      </c>
    </row>
    <row r="251" spans="1:21">
      <c r="A251" t="s">
        <v>1751</v>
      </c>
      <c r="B251" t="s">
        <v>11121</v>
      </c>
      <c r="C251" t="s">
        <v>1751</v>
      </c>
      <c r="D251">
        <v>20604183</v>
      </c>
      <c r="E251" t="s">
        <v>3128</v>
      </c>
      <c r="F251" t="s">
        <v>1782</v>
      </c>
      <c r="G251" t="s">
        <v>3141</v>
      </c>
      <c r="H251" t="s">
        <v>1248</v>
      </c>
      <c r="J251" s="455">
        <v>46242</v>
      </c>
      <c r="U251" s="455">
        <v>46256</v>
      </c>
    </row>
    <row r="252" spans="1:21">
      <c r="A252" t="s">
        <v>1751</v>
      </c>
      <c r="B252" t="s">
        <v>4813</v>
      </c>
      <c r="C252" t="s">
        <v>1751</v>
      </c>
      <c r="D252">
        <v>20588780</v>
      </c>
      <c r="E252" t="s">
        <v>2008</v>
      </c>
      <c r="F252" t="s">
        <v>1238</v>
      </c>
      <c r="G252" t="s">
        <v>3129</v>
      </c>
      <c r="H252" t="s">
        <v>1252</v>
      </c>
      <c r="I252" t="s">
        <v>2576</v>
      </c>
      <c r="J252" s="455">
        <v>46224</v>
      </c>
      <c r="K252" s="455">
        <v>46224</v>
      </c>
      <c r="L252" s="455">
        <v>46225</v>
      </c>
      <c r="M252" s="455">
        <v>46237</v>
      </c>
      <c r="N252" s="455">
        <v>46237</v>
      </c>
      <c r="U252" s="455">
        <v>46287</v>
      </c>
    </row>
    <row r="253" spans="1:21">
      <c r="A253" t="s">
        <v>1751</v>
      </c>
      <c r="B253" t="s">
        <v>11122</v>
      </c>
      <c r="C253" t="s">
        <v>1751</v>
      </c>
      <c r="D253">
        <v>20602577</v>
      </c>
      <c r="E253" t="s">
        <v>3128</v>
      </c>
      <c r="F253" t="s">
        <v>1241</v>
      </c>
      <c r="G253" t="s">
        <v>3134</v>
      </c>
      <c r="H253" t="s">
        <v>1252</v>
      </c>
      <c r="J253" s="455">
        <v>46240</v>
      </c>
      <c r="U253" s="455">
        <v>46258</v>
      </c>
    </row>
    <row r="254" spans="1:21">
      <c r="A254" t="s">
        <v>1751</v>
      </c>
      <c r="B254" t="s">
        <v>5103</v>
      </c>
      <c r="C254" t="s">
        <v>1751</v>
      </c>
      <c r="D254">
        <v>20598457</v>
      </c>
      <c r="E254" t="s">
        <v>3128</v>
      </c>
      <c r="F254" t="s">
        <v>1241</v>
      </c>
      <c r="G254" t="s">
        <v>3141</v>
      </c>
      <c r="H254" t="s">
        <v>1252</v>
      </c>
      <c r="J254" s="455">
        <v>46235</v>
      </c>
      <c r="U254" s="455">
        <v>46239</v>
      </c>
    </row>
    <row r="255" spans="1:21">
      <c r="A255" t="s">
        <v>1751</v>
      </c>
      <c r="B255" t="s">
        <v>5103</v>
      </c>
      <c r="C255" t="s">
        <v>1751</v>
      </c>
      <c r="D255">
        <v>20598458</v>
      </c>
      <c r="E255" t="s">
        <v>3128</v>
      </c>
      <c r="F255" t="s">
        <v>1241</v>
      </c>
      <c r="G255" t="s">
        <v>3134</v>
      </c>
      <c r="H255" t="s">
        <v>1252</v>
      </c>
      <c r="J255" s="455">
        <v>46235</v>
      </c>
      <c r="U255" s="455">
        <v>46239</v>
      </c>
    </row>
    <row r="256" spans="1:21">
      <c r="A256" t="s">
        <v>1751</v>
      </c>
      <c r="B256" t="s">
        <v>4830</v>
      </c>
      <c r="C256" t="s">
        <v>1751</v>
      </c>
      <c r="D256">
        <v>20576825</v>
      </c>
      <c r="E256" t="s">
        <v>3142</v>
      </c>
      <c r="F256" t="s">
        <v>1242</v>
      </c>
      <c r="G256" t="s">
        <v>3137</v>
      </c>
      <c r="H256" t="s">
        <v>1251</v>
      </c>
      <c r="I256" t="s">
        <v>4831</v>
      </c>
      <c r="J256" s="455">
        <v>46212</v>
      </c>
      <c r="K256" s="455">
        <v>46212</v>
      </c>
      <c r="L256" s="455">
        <v>46223</v>
      </c>
      <c r="M256" s="455">
        <v>46231</v>
      </c>
      <c r="N256" s="455">
        <v>46231</v>
      </c>
      <c r="P256" s="455">
        <v>46235</v>
      </c>
      <c r="Q256" s="455">
        <v>46236</v>
      </c>
      <c r="U256" s="455">
        <v>46235</v>
      </c>
    </row>
    <row r="257" spans="1:21">
      <c r="A257" t="s">
        <v>1751</v>
      </c>
      <c r="B257" t="s">
        <v>3095</v>
      </c>
      <c r="C257" t="s">
        <v>1751</v>
      </c>
      <c r="D257">
        <v>20600468</v>
      </c>
      <c r="E257" t="s">
        <v>1907</v>
      </c>
      <c r="F257" t="s">
        <v>1238</v>
      </c>
      <c r="G257" t="s">
        <v>3129</v>
      </c>
      <c r="H257" t="s">
        <v>1247</v>
      </c>
      <c r="I257" t="s">
        <v>2537</v>
      </c>
      <c r="J257" s="455">
        <v>46238</v>
      </c>
      <c r="K257" s="455">
        <v>46238</v>
      </c>
      <c r="L257" s="455">
        <v>46238</v>
      </c>
      <c r="U257" s="455">
        <v>46256</v>
      </c>
    </row>
    <row r="258" spans="1:21">
      <c r="A258" t="s">
        <v>1751</v>
      </c>
      <c r="B258" t="s">
        <v>11123</v>
      </c>
      <c r="C258" t="s">
        <v>1751</v>
      </c>
      <c r="D258">
        <v>20604537</v>
      </c>
      <c r="E258" t="s">
        <v>3128</v>
      </c>
      <c r="F258" t="s">
        <v>1241</v>
      </c>
      <c r="G258" t="s">
        <v>3141</v>
      </c>
      <c r="H258" t="s">
        <v>4278</v>
      </c>
      <c r="J258" s="455">
        <v>46243</v>
      </c>
      <c r="U258" s="455">
        <v>46257</v>
      </c>
    </row>
    <row r="259" spans="1:21">
      <c r="A259" t="s">
        <v>1751</v>
      </c>
      <c r="B259" t="s">
        <v>11124</v>
      </c>
      <c r="C259" t="s">
        <v>1751</v>
      </c>
      <c r="D259">
        <v>20605234</v>
      </c>
      <c r="E259" t="s">
        <v>1907</v>
      </c>
      <c r="F259" t="s">
        <v>1243</v>
      </c>
      <c r="G259" t="s">
        <v>3134</v>
      </c>
      <c r="H259" t="s">
        <v>1247</v>
      </c>
      <c r="I259" t="s">
        <v>1554</v>
      </c>
      <c r="J259" s="455">
        <v>46244</v>
      </c>
      <c r="K259" s="455">
        <v>46244</v>
      </c>
      <c r="L259" s="455">
        <v>46244</v>
      </c>
      <c r="U259" s="455">
        <v>46256</v>
      </c>
    </row>
    <row r="260" spans="1:21">
      <c r="A260" t="s">
        <v>1751</v>
      </c>
      <c r="B260" t="s">
        <v>5104</v>
      </c>
      <c r="C260" t="s">
        <v>1751</v>
      </c>
      <c r="D260">
        <v>20598978</v>
      </c>
      <c r="E260" t="s">
        <v>1897</v>
      </c>
      <c r="F260" t="s">
        <v>1241</v>
      </c>
      <c r="G260" t="s">
        <v>3134</v>
      </c>
      <c r="H260" t="s">
        <v>1247</v>
      </c>
      <c r="I260" t="s">
        <v>5105</v>
      </c>
      <c r="J260" s="455">
        <v>46237</v>
      </c>
      <c r="K260" s="455">
        <v>46237</v>
      </c>
      <c r="U260" s="455">
        <v>46241</v>
      </c>
    </row>
    <row r="261" spans="1:21">
      <c r="A261" t="s">
        <v>1751</v>
      </c>
      <c r="B261" t="s">
        <v>5106</v>
      </c>
      <c r="C261" t="s">
        <v>1751</v>
      </c>
      <c r="D261">
        <v>20600000</v>
      </c>
      <c r="E261" t="s">
        <v>1897</v>
      </c>
      <c r="F261" t="s">
        <v>1241</v>
      </c>
      <c r="G261" t="s">
        <v>3134</v>
      </c>
      <c r="H261" t="s">
        <v>1247</v>
      </c>
      <c r="I261" t="s">
        <v>1539</v>
      </c>
      <c r="J261" s="455">
        <v>46238</v>
      </c>
      <c r="K261" s="455">
        <v>46238</v>
      </c>
      <c r="U261" s="455">
        <v>46266</v>
      </c>
    </row>
    <row r="262" spans="1:21">
      <c r="A262" t="s">
        <v>1751</v>
      </c>
      <c r="B262" t="s">
        <v>11125</v>
      </c>
      <c r="C262" t="s">
        <v>1751</v>
      </c>
      <c r="D262">
        <v>20602369</v>
      </c>
      <c r="E262" t="s">
        <v>3128</v>
      </c>
      <c r="F262" t="s">
        <v>1241</v>
      </c>
      <c r="G262" t="s">
        <v>3129</v>
      </c>
      <c r="H262" t="s">
        <v>1252</v>
      </c>
      <c r="J262" s="455">
        <v>46240</v>
      </c>
      <c r="U262" s="455">
        <v>46248</v>
      </c>
    </row>
    <row r="263" spans="1:21">
      <c r="A263" t="s">
        <v>1751</v>
      </c>
      <c r="B263" t="s">
        <v>11126</v>
      </c>
      <c r="C263" t="s">
        <v>1751</v>
      </c>
      <c r="D263">
        <v>20607148</v>
      </c>
      <c r="E263" t="s">
        <v>3128</v>
      </c>
      <c r="F263" t="s">
        <v>1241</v>
      </c>
      <c r="G263" t="s">
        <v>2009</v>
      </c>
      <c r="H263" t="s">
        <v>4278</v>
      </c>
      <c r="J263" s="455">
        <v>46246</v>
      </c>
      <c r="U263" s="455">
        <v>46260</v>
      </c>
    </row>
    <row r="264" spans="1:21">
      <c r="A264" t="s">
        <v>1751</v>
      </c>
      <c r="B264" t="s">
        <v>5107</v>
      </c>
      <c r="C264" t="s">
        <v>1751</v>
      </c>
      <c r="D264">
        <v>20601250</v>
      </c>
      <c r="E264" t="s">
        <v>3128</v>
      </c>
      <c r="F264" t="s">
        <v>1241</v>
      </c>
      <c r="G264" t="s">
        <v>3141</v>
      </c>
      <c r="H264" t="s">
        <v>1252</v>
      </c>
      <c r="J264" s="455">
        <v>46239</v>
      </c>
      <c r="U264" s="455">
        <v>46258</v>
      </c>
    </row>
    <row r="265" spans="1:21">
      <c r="A265" t="s">
        <v>1751</v>
      </c>
      <c r="B265" t="s">
        <v>11127</v>
      </c>
      <c r="C265" t="s">
        <v>1751</v>
      </c>
      <c r="D265">
        <v>20604832</v>
      </c>
      <c r="E265" t="s">
        <v>3128</v>
      </c>
      <c r="F265" t="s">
        <v>1241</v>
      </c>
      <c r="G265" t="s">
        <v>3134</v>
      </c>
      <c r="H265" t="s">
        <v>3165</v>
      </c>
      <c r="J265" s="455">
        <v>46244</v>
      </c>
      <c r="U265" s="455">
        <v>46245</v>
      </c>
    </row>
    <row r="266" spans="1:21">
      <c r="A266" t="s">
        <v>1751</v>
      </c>
      <c r="B266" t="s">
        <v>11128</v>
      </c>
      <c r="C266" t="s">
        <v>1751</v>
      </c>
      <c r="D266">
        <v>20606939</v>
      </c>
      <c r="E266" t="s">
        <v>3128</v>
      </c>
      <c r="F266" t="s">
        <v>1782</v>
      </c>
      <c r="G266" t="s">
        <v>3141</v>
      </c>
      <c r="H266" t="s">
        <v>1252</v>
      </c>
      <c r="J266" s="455">
        <v>46245</v>
      </c>
      <c r="U266" s="455">
        <v>46266</v>
      </c>
    </row>
    <row r="267" spans="1:21">
      <c r="A267" t="s">
        <v>1751</v>
      </c>
      <c r="B267" t="s">
        <v>11129</v>
      </c>
      <c r="C267" t="s">
        <v>1751</v>
      </c>
      <c r="D267">
        <v>20604196</v>
      </c>
      <c r="E267" t="s">
        <v>3128</v>
      </c>
      <c r="F267" t="s">
        <v>1782</v>
      </c>
      <c r="G267" t="s">
        <v>3141</v>
      </c>
      <c r="H267" t="s">
        <v>4278</v>
      </c>
      <c r="J267" s="455">
        <v>46242</v>
      </c>
      <c r="U267" s="455">
        <v>46296</v>
      </c>
    </row>
    <row r="268" spans="1:21">
      <c r="A268" t="s">
        <v>1751</v>
      </c>
      <c r="B268" t="s">
        <v>5108</v>
      </c>
      <c r="C268" t="s">
        <v>1751</v>
      </c>
      <c r="D268">
        <v>20600709</v>
      </c>
      <c r="E268" t="s">
        <v>3128</v>
      </c>
      <c r="F268" t="s">
        <v>1241</v>
      </c>
      <c r="G268" t="s">
        <v>3141</v>
      </c>
      <c r="H268" t="s">
        <v>1248</v>
      </c>
      <c r="J268" s="455">
        <v>46238</v>
      </c>
      <c r="U268" s="455">
        <v>46238</v>
      </c>
    </row>
    <row r="269" spans="1:21">
      <c r="A269" t="s">
        <v>1751</v>
      </c>
      <c r="B269" t="s">
        <v>4875</v>
      </c>
      <c r="C269" t="s">
        <v>1751</v>
      </c>
      <c r="D269">
        <v>20520324</v>
      </c>
      <c r="E269" t="s">
        <v>3190</v>
      </c>
      <c r="F269" t="s">
        <v>1237</v>
      </c>
      <c r="G269" t="s">
        <v>3134</v>
      </c>
      <c r="H269" t="s">
        <v>1252</v>
      </c>
      <c r="I269" t="s">
        <v>1561</v>
      </c>
      <c r="J269" s="455">
        <v>46150</v>
      </c>
      <c r="K269" s="455">
        <v>46228</v>
      </c>
      <c r="R269" s="455">
        <v>46235</v>
      </c>
      <c r="U269" s="455">
        <v>46240</v>
      </c>
    </row>
    <row r="270" spans="1:21">
      <c r="A270" t="s">
        <v>1751</v>
      </c>
      <c r="B270" t="s">
        <v>11130</v>
      </c>
      <c r="C270" t="s">
        <v>1751</v>
      </c>
      <c r="D270">
        <v>20602029</v>
      </c>
      <c r="E270" t="s">
        <v>1897</v>
      </c>
      <c r="F270" t="s">
        <v>1241</v>
      </c>
      <c r="G270" t="s">
        <v>3134</v>
      </c>
      <c r="H270" t="s">
        <v>1247</v>
      </c>
      <c r="I270" t="s">
        <v>2179</v>
      </c>
      <c r="J270" s="455">
        <v>46240</v>
      </c>
      <c r="K270" s="455">
        <v>46240</v>
      </c>
      <c r="U270" s="455">
        <v>46242</v>
      </c>
    </row>
    <row r="271" spans="1:21">
      <c r="A271" t="s">
        <v>1751</v>
      </c>
      <c r="B271" t="s">
        <v>11131</v>
      </c>
      <c r="C271" t="s">
        <v>1751</v>
      </c>
      <c r="D271">
        <v>20605064</v>
      </c>
      <c r="E271" t="s">
        <v>1907</v>
      </c>
      <c r="F271" t="s">
        <v>1242</v>
      </c>
      <c r="G271" t="s">
        <v>3143</v>
      </c>
      <c r="H271" t="s">
        <v>1250</v>
      </c>
      <c r="I271" t="s">
        <v>1908</v>
      </c>
      <c r="J271" s="455">
        <v>46244</v>
      </c>
      <c r="K271" s="455">
        <v>46244</v>
      </c>
      <c r="L271" s="455">
        <v>46244</v>
      </c>
      <c r="U271" s="455">
        <v>46256</v>
      </c>
    </row>
    <row r="272" spans="1:21">
      <c r="A272" t="s">
        <v>1751</v>
      </c>
      <c r="B272" t="s">
        <v>11132</v>
      </c>
      <c r="C272" t="s">
        <v>1751</v>
      </c>
      <c r="D272">
        <v>20603792</v>
      </c>
      <c r="E272" t="s">
        <v>3128</v>
      </c>
      <c r="F272" t="s">
        <v>1782</v>
      </c>
      <c r="G272" t="s">
        <v>3129</v>
      </c>
      <c r="H272" t="s">
        <v>1253</v>
      </c>
      <c r="J272" s="455">
        <v>46242</v>
      </c>
      <c r="U272" s="455">
        <v>46242</v>
      </c>
    </row>
    <row r="273" spans="1:21">
      <c r="A273" t="s">
        <v>1751</v>
      </c>
      <c r="B273" t="s">
        <v>11133</v>
      </c>
      <c r="C273" t="s">
        <v>1751</v>
      </c>
      <c r="D273">
        <v>20603612</v>
      </c>
      <c r="E273" t="s">
        <v>3128</v>
      </c>
      <c r="F273" t="s">
        <v>1782</v>
      </c>
      <c r="G273" t="s">
        <v>3141</v>
      </c>
      <c r="H273" t="s">
        <v>1252</v>
      </c>
      <c r="J273" s="455">
        <v>46241</v>
      </c>
      <c r="U273" s="455">
        <v>46327</v>
      </c>
    </row>
    <row r="274" spans="1:21">
      <c r="A274" t="s">
        <v>1751</v>
      </c>
      <c r="B274" t="s">
        <v>11134</v>
      </c>
      <c r="C274" t="s">
        <v>1751</v>
      </c>
      <c r="D274">
        <v>20602908</v>
      </c>
      <c r="E274" t="s">
        <v>3128</v>
      </c>
      <c r="F274" t="s">
        <v>1238</v>
      </c>
      <c r="G274" t="s">
        <v>3137</v>
      </c>
      <c r="H274" t="s">
        <v>1251</v>
      </c>
      <c r="I274" t="s">
        <v>3170</v>
      </c>
      <c r="J274" s="455">
        <v>46241</v>
      </c>
      <c r="U274" s="455">
        <v>46317</v>
      </c>
    </row>
    <row r="275" spans="1:21">
      <c r="A275" t="s">
        <v>1751</v>
      </c>
      <c r="B275" t="s">
        <v>11135</v>
      </c>
      <c r="C275" t="s">
        <v>1751</v>
      </c>
      <c r="D275">
        <v>20601891</v>
      </c>
      <c r="E275" t="s">
        <v>3128</v>
      </c>
      <c r="F275" t="s">
        <v>3285</v>
      </c>
      <c r="G275" t="s">
        <v>3141</v>
      </c>
      <c r="H275" t="s">
        <v>1252</v>
      </c>
      <c r="J275" s="455">
        <v>46239</v>
      </c>
      <c r="U275" s="455">
        <v>46296</v>
      </c>
    </row>
    <row r="276" spans="1:21">
      <c r="A276" t="s">
        <v>1751</v>
      </c>
      <c r="B276" t="s">
        <v>11136</v>
      </c>
      <c r="C276" t="s">
        <v>1751</v>
      </c>
      <c r="D276">
        <v>20607717</v>
      </c>
      <c r="E276" t="s">
        <v>3128</v>
      </c>
      <c r="F276" t="s">
        <v>1239</v>
      </c>
      <c r="G276" t="s">
        <v>3143</v>
      </c>
      <c r="H276" t="s">
        <v>1248</v>
      </c>
      <c r="I276" t="s">
        <v>3849</v>
      </c>
      <c r="J276" s="455">
        <v>46246</v>
      </c>
      <c r="U276" s="455">
        <v>46246</v>
      </c>
    </row>
    <row r="277" spans="1:21">
      <c r="A277" t="s">
        <v>1751</v>
      </c>
      <c r="B277" t="s">
        <v>11136</v>
      </c>
      <c r="C277" t="s">
        <v>1751</v>
      </c>
      <c r="D277">
        <v>20607273</v>
      </c>
      <c r="E277" t="s">
        <v>1907</v>
      </c>
      <c r="F277" t="s">
        <v>1239</v>
      </c>
      <c r="G277" t="s">
        <v>2009</v>
      </c>
      <c r="H277" t="s">
        <v>1248</v>
      </c>
      <c r="I277" t="s">
        <v>3588</v>
      </c>
      <c r="J277" s="455">
        <v>46246</v>
      </c>
      <c r="K277" s="455">
        <v>46246</v>
      </c>
      <c r="L277" s="455">
        <v>46246</v>
      </c>
      <c r="U277" s="455">
        <v>46262</v>
      </c>
    </row>
    <row r="278" spans="1:21">
      <c r="A278" t="s">
        <v>1751</v>
      </c>
      <c r="B278" t="s">
        <v>11137</v>
      </c>
      <c r="C278" t="s">
        <v>1751</v>
      </c>
      <c r="D278">
        <v>20601500</v>
      </c>
      <c r="E278" t="s">
        <v>3128</v>
      </c>
      <c r="F278" t="s">
        <v>1237</v>
      </c>
      <c r="G278" t="s">
        <v>3143</v>
      </c>
      <c r="H278" t="s">
        <v>1252</v>
      </c>
      <c r="I278" t="s">
        <v>3168</v>
      </c>
      <c r="J278" s="455">
        <v>46239</v>
      </c>
      <c r="U278" s="455">
        <v>46270</v>
      </c>
    </row>
    <row r="279" spans="1:21">
      <c r="A279" t="s">
        <v>1751</v>
      </c>
      <c r="B279" t="s">
        <v>11138</v>
      </c>
      <c r="C279" t="s">
        <v>1751</v>
      </c>
      <c r="D279">
        <v>20602053</v>
      </c>
      <c r="E279" t="s">
        <v>3128</v>
      </c>
      <c r="F279" t="s">
        <v>1241</v>
      </c>
      <c r="G279" t="s">
        <v>3141</v>
      </c>
      <c r="H279" t="s">
        <v>1252</v>
      </c>
      <c r="J279" s="455">
        <v>46240</v>
      </c>
      <c r="U279" s="455">
        <v>46265</v>
      </c>
    </row>
    <row r="280" spans="1:21">
      <c r="A280" t="s">
        <v>1751</v>
      </c>
      <c r="B280" t="s">
        <v>3068</v>
      </c>
      <c r="C280" t="s">
        <v>1751</v>
      </c>
      <c r="D280">
        <v>20606969</v>
      </c>
      <c r="E280" t="s">
        <v>1897</v>
      </c>
      <c r="F280" t="s">
        <v>1241</v>
      </c>
      <c r="G280" t="s">
        <v>3134</v>
      </c>
      <c r="H280" t="s">
        <v>1247</v>
      </c>
      <c r="J280" s="455">
        <v>46245</v>
      </c>
      <c r="K280" s="455">
        <v>46245</v>
      </c>
      <c r="U280" s="455">
        <v>46245</v>
      </c>
    </row>
    <row r="281" spans="1:21">
      <c r="A281" t="s">
        <v>1751</v>
      </c>
      <c r="B281" t="s">
        <v>3068</v>
      </c>
      <c r="C281" t="s">
        <v>1751</v>
      </c>
      <c r="D281">
        <v>20603503</v>
      </c>
      <c r="E281" t="s">
        <v>3133</v>
      </c>
      <c r="F281" t="s">
        <v>1243</v>
      </c>
      <c r="G281" t="s">
        <v>3134</v>
      </c>
      <c r="H281" t="s">
        <v>1247</v>
      </c>
      <c r="I281" t="s">
        <v>1527</v>
      </c>
      <c r="J281" s="455">
        <v>46241</v>
      </c>
      <c r="K281" s="455">
        <v>46241</v>
      </c>
      <c r="L281" s="455">
        <v>46241</v>
      </c>
      <c r="S281" s="455">
        <v>46244</v>
      </c>
      <c r="U281" s="455">
        <v>46256</v>
      </c>
    </row>
    <row r="282" spans="1:21">
      <c r="A282" t="s">
        <v>1751</v>
      </c>
      <c r="B282" t="s">
        <v>3068</v>
      </c>
      <c r="C282" t="s">
        <v>1751</v>
      </c>
      <c r="D282">
        <v>20603585</v>
      </c>
      <c r="E282" t="s">
        <v>3128</v>
      </c>
      <c r="F282" t="s">
        <v>1243</v>
      </c>
      <c r="G282" t="s">
        <v>3141</v>
      </c>
      <c r="H282" t="s">
        <v>1251</v>
      </c>
      <c r="J282" s="455">
        <v>46241</v>
      </c>
      <c r="U282" s="455">
        <v>46241</v>
      </c>
    </row>
    <row r="283" spans="1:21">
      <c r="A283" t="s">
        <v>1751</v>
      </c>
      <c r="B283" t="s">
        <v>8982</v>
      </c>
      <c r="C283" t="s">
        <v>1751</v>
      </c>
      <c r="D283">
        <v>20605703</v>
      </c>
      <c r="E283" t="s">
        <v>3128</v>
      </c>
      <c r="F283" t="s">
        <v>1782</v>
      </c>
      <c r="G283" t="s">
        <v>3129</v>
      </c>
      <c r="H283" t="s">
        <v>1252</v>
      </c>
      <c r="J283" s="455">
        <v>46244</v>
      </c>
      <c r="U283" s="455">
        <v>46244</v>
      </c>
    </row>
    <row r="284" spans="1:21">
      <c r="A284" t="s">
        <v>1751</v>
      </c>
      <c r="B284" t="s">
        <v>4080</v>
      </c>
      <c r="C284" t="s">
        <v>1751</v>
      </c>
      <c r="D284">
        <v>20605732</v>
      </c>
      <c r="E284" t="s">
        <v>3128</v>
      </c>
      <c r="F284" t="s">
        <v>1782</v>
      </c>
      <c r="G284" t="s">
        <v>3129</v>
      </c>
      <c r="H284" t="s">
        <v>1252</v>
      </c>
      <c r="J284" s="455">
        <v>46244</v>
      </c>
      <c r="U284" s="455">
        <v>46244</v>
      </c>
    </row>
    <row r="285" spans="1:21">
      <c r="A285" t="s">
        <v>1751</v>
      </c>
      <c r="B285" t="s">
        <v>8988</v>
      </c>
      <c r="C285" t="s">
        <v>1751</v>
      </c>
      <c r="D285">
        <v>20605386</v>
      </c>
      <c r="E285" t="s">
        <v>3128</v>
      </c>
      <c r="F285" t="s">
        <v>1782</v>
      </c>
      <c r="G285" t="s">
        <v>3129</v>
      </c>
      <c r="H285" t="s">
        <v>3131</v>
      </c>
      <c r="J285" s="455">
        <v>46244</v>
      </c>
      <c r="U285" s="455">
        <v>46244</v>
      </c>
    </row>
    <row r="286" spans="1:21">
      <c r="A286" t="s">
        <v>1751</v>
      </c>
      <c r="B286" t="s">
        <v>5109</v>
      </c>
      <c r="C286" t="s">
        <v>1751</v>
      </c>
      <c r="D286">
        <v>20600077</v>
      </c>
      <c r="E286" t="s">
        <v>3128</v>
      </c>
      <c r="F286" t="s">
        <v>1241</v>
      </c>
      <c r="G286" t="s">
        <v>3129</v>
      </c>
      <c r="H286" t="s">
        <v>3131</v>
      </c>
      <c r="J286" s="455">
        <v>46238</v>
      </c>
      <c r="U286" s="455">
        <v>46238</v>
      </c>
    </row>
    <row r="287" spans="1:21">
      <c r="A287" t="s">
        <v>1751</v>
      </c>
      <c r="B287" t="s">
        <v>11139</v>
      </c>
      <c r="C287" t="s">
        <v>1751</v>
      </c>
      <c r="D287">
        <v>20607411</v>
      </c>
      <c r="E287" t="s">
        <v>3128</v>
      </c>
      <c r="F287" t="s">
        <v>1241</v>
      </c>
      <c r="G287" t="s">
        <v>3129</v>
      </c>
      <c r="H287" t="s">
        <v>3131</v>
      </c>
      <c r="J287" s="455">
        <v>46246</v>
      </c>
      <c r="U287" s="455">
        <v>46246</v>
      </c>
    </row>
    <row r="288" spans="1:21">
      <c r="A288" t="s">
        <v>1751</v>
      </c>
      <c r="B288" t="s">
        <v>11140</v>
      </c>
      <c r="C288" t="s">
        <v>1751</v>
      </c>
      <c r="D288">
        <v>20604900</v>
      </c>
      <c r="E288" t="s">
        <v>3128</v>
      </c>
      <c r="F288" t="s">
        <v>1241</v>
      </c>
      <c r="G288" t="s">
        <v>3129</v>
      </c>
      <c r="H288" t="s">
        <v>3487</v>
      </c>
      <c r="J288" s="455">
        <v>46244</v>
      </c>
      <c r="U288" s="455">
        <v>46244</v>
      </c>
    </row>
    <row r="289" spans="1:21">
      <c r="A289" t="s">
        <v>1751</v>
      </c>
      <c r="B289" t="s">
        <v>11141</v>
      </c>
      <c r="C289" t="s">
        <v>1751</v>
      </c>
      <c r="D289">
        <v>20603182</v>
      </c>
      <c r="E289" t="s">
        <v>3128</v>
      </c>
      <c r="F289" t="s">
        <v>1782</v>
      </c>
      <c r="G289" t="s">
        <v>3129</v>
      </c>
      <c r="H289" t="s">
        <v>3377</v>
      </c>
      <c r="J289" s="455">
        <v>46241</v>
      </c>
      <c r="U289" s="455">
        <v>46241</v>
      </c>
    </row>
    <row r="290" spans="1:21">
      <c r="A290" t="s">
        <v>1751</v>
      </c>
      <c r="B290" t="s">
        <v>5110</v>
      </c>
      <c r="C290" t="s">
        <v>1751</v>
      </c>
      <c r="D290">
        <v>20600308</v>
      </c>
      <c r="E290" t="s">
        <v>3128</v>
      </c>
      <c r="F290" t="s">
        <v>1241</v>
      </c>
      <c r="G290" t="s">
        <v>3129</v>
      </c>
      <c r="H290" t="s">
        <v>1252</v>
      </c>
      <c r="J290" s="455">
        <v>46238</v>
      </c>
      <c r="U290" s="455">
        <v>46238</v>
      </c>
    </row>
    <row r="291" spans="1:21">
      <c r="A291" t="s">
        <v>1751</v>
      </c>
      <c r="B291" t="s">
        <v>11142</v>
      </c>
      <c r="C291" t="s">
        <v>1751</v>
      </c>
      <c r="D291">
        <v>20607154</v>
      </c>
      <c r="E291" t="s">
        <v>3128</v>
      </c>
      <c r="F291" t="s">
        <v>1241</v>
      </c>
      <c r="G291" t="s">
        <v>3129</v>
      </c>
      <c r="H291" t="s">
        <v>1253</v>
      </c>
      <c r="J291" s="455">
        <v>46246</v>
      </c>
      <c r="U291" s="455">
        <v>46246</v>
      </c>
    </row>
    <row r="292" spans="1:21">
      <c r="A292" t="s">
        <v>1751</v>
      </c>
      <c r="B292" t="s">
        <v>11143</v>
      </c>
      <c r="C292" t="s">
        <v>1751</v>
      </c>
      <c r="D292">
        <v>20602480</v>
      </c>
      <c r="E292" t="s">
        <v>3128</v>
      </c>
      <c r="F292" t="s">
        <v>1782</v>
      </c>
      <c r="G292" t="s">
        <v>3129</v>
      </c>
      <c r="H292" t="s">
        <v>1252</v>
      </c>
      <c r="J292" s="455">
        <v>46240</v>
      </c>
      <c r="U292" s="455">
        <v>46240</v>
      </c>
    </row>
    <row r="293" spans="1:21">
      <c r="A293" t="s">
        <v>1751</v>
      </c>
      <c r="B293" t="s">
        <v>11144</v>
      </c>
      <c r="C293" t="s">
        <v>1751</v>
      </c>
      <c r="D293">
        <v>20606718</v>
      </c>
      <c r="E293" t="s">
        <v>3128</v>
      </c>
      <c r="F293" t="s">
        <v>1782</v>
      </c>
      <c r="G293" t="s">
        <v>3129</v>
      </c>
      <c r="H293" t="s">
        <v>3131</v>
      </c>
      <c r="J293" s="455">
        <v>46245</v>
      </c>
      <c r="U293" s="455">
        <v>46245</v>
      </c>
    </row>
    <row r="294" spans="1:21">
      <c r="A294" t="s">
        <v>1751</v>
      </c>
      <c r="B294" t="s">
        <v>11145</v>
      </c>
      <c r="C294" t="s">
        <v>1751</v>
      </c>
      <c r="D294">
        <v>20601389</v>
      </c>
      <c r="E294" t="s">
        <v>3128</v>
      </c>
      <c r="F294" t="s">
        <v>1241</v>
      </c>
      <c r="G294" t="s">
        <v>3129</v>
      </c>
      <c r="H294" t="s">
        <v>1252</v>
      </c>
      <c r="J294" s="455">
        <v>46239</v>
      </c>
      <c r="U294" s="455">
        <v>46239</v>
      </c>
    </row>
    <row r="295" spans="1:21">
      <c r="A295" t="s">
        <v>1751</v>
      </c>
      <c r="B295" t="s">
        <v>11146</v>
      </c>
      <c r="C295" t="s">
        <v>1751</v>
      </c>
      <c r="D295">
        <v>20606701</v>
      </c>
      <c r="E295" t="s">
        <v>3128</v>
      </c>
      <c r="F295" t="s">
        <v>1782</v>
      </c>
      <c r="G295" t="s">
        <v>3129</v>
      </c>
      <c r="H295" t="s">
        <v>1253</v>
      </c>
      <c r="J295" s="455">
        <v>46245</v>
      </c>
      <c r="U295" s="455">
        <v>46245</v>
      </c>
    </row>
    <row r="296" spans="1:21">
      <c r="A296" t="s">
        <v>1751</v>
      </c>
      <c r="B296" t="s">
        <v>10891</v>
      </c>
      <c r="C296" t="s">
        <v>1751</v>
      </c>
      <c r="D296">
        <v>20606204</v>
      </c>
      <c r="E296" t="s">
        <v>3128</v>
      </c>
      <c r="F296" t="s">
        <v>1241</v>
      </c>
      <c r="G296" t="s">
        <v>3129</v>
      </c>
      <c r="H296" t="s">
        <v>3131</v>
      </c>
      <c r="J296" s="455">
        <v>46245</v>
      </c>
      <c r="U296" s="455">
        <v>46245</v>
      </c>
    </row>
    <row r="297" spans="1:21">
      <c r="A297" t="s">
        <v>1751</v>
      </c>
      <c r="B297" t="s">
        <v>5111</v>
      </c>
      <c r="C297" t="s">
        <v>1751</v>
      </c>
      <c r="D297">
        <v>20598216</v>
      </c>
      <c r="E297" t="s">
        <v>3128</v>
      </c>
      <c r="F297" t="s">
        <v>1782</v>
      </c>
      <c r="G297" t="s">
        <v>3129</v>
      </c>
      <c r="H297" t="s">
        <v>1253</v>
      </c>
      <c r="J297" s="455">
        <v>46235</v>
      </c>
      <c r="U297" s="455">
        <v>46235</v>
      </c>
    </row>
    <row r="298" spans="1:21">
      <c r="A298" t="s">
        <v>1751</v>
      </c>
      <c r="B298" t="s">
        <v>5112</v>
      </c>
      <c r="C298" t="s">
        <v>1751</v>
      </c>
      <c r="D298">
        <v>20599251</v>
      </c>
      <c r="E298" t="s">
        <v>3128</v>
      </c>
      <c r="F298" t="s">
        <v>1241</v>
      </c>
      <c r="G298" t="s">
        <v>3129</v>
      </c>
      <c r="H298" t="s">
        <v>3131</v>
      </c>
      <c r="J298" s="455">
        <v>46237</v>
      </c>
      <c r="U298" s="455">
        <v>46237</v>
      </c>
    </row>
    <row r="299" spans="1:21">
      <c r="A299" t="s">
        <v>1751</v>
      </c>
      <c r="B299" t="s">
        <v>5113</v>
      </c>
      <c r="C299" t="s">
        <v>1751</v>
      </c>
      <c r="D299">
        <v>20599444</v>
      </c>
      <c r="E299" t="s">
        <v>3128</v>
      </c>
      <c r="F299" t="s">
        <v>1241</v>
      </c>
      <c r="G299" t="s">
        <v>3129</v>
      </c>
      <c r="H299" t="s">
        <v>1253</v>
      </c>
      <c r="J299" s="455">
        <v>46237</v>
      </c>
      <c r="U299" s="455">
        <v>46237</v>
      </c>
    </row>
    <row r="300" spans="1:21">
      <c r="A300" t="s">
        <v>1751</v>
      </c>
      <c r="B300" t="s">
        <v>5114</v>
      </c>
      <c r="C300" t="s">
        <v>1751</v>
      </c>
      <c r="D300">
        <v>20599055</v>
      </c>
      <c r="E300" t="s">
        <v>3128</v>
      </c>
      <c r="F300" t="s">
        <v>1241</v>
      </c>
      <c r="G300" t="s">
        <v>3129</v>
      </c>
      <c r="H300" t="s">
        <v>1253</v>
      </c>
      <c r="J300" s="455">
        <v>46237</v>
      </c>
      <c r="U300" s="455">
        <v>46237</v>
      </c>
    </row>
    <row r="301" spans="1:21">
      <c r="A301" t="s">
        <v>1751</v>
      </c>
      <c r="B301" t="s">
        <v>5115</v>
      </c>
      <c r="C301" t="s">
        <v>1751</v>
      </c>
      <c r="D301">
        <v>20598638</v>
      </c>
      <c r="E301" t="s">
        <v>3128</v>
      </c>
      <c r="F301" t="s">
        <v>3285</v>
      </c>
      <c r="G301" t="s">
        <v>3129</v>
      </c>
      <c r="H301" t="s">
        <v>1252</v>
      </c>
      <c r="J301" s="455">
        <v>46236</v>
      </c>
      <c r="U301" s="455">
        <v>46236</v>
      </c>
    </row>
    <row r="302" spans="1:21">
      <c r="A302" t="s">
        <v>1751</v>
      </c>
      <c r="B302" t="s">
        <v>5116</v>
      </c>
      <c r="C302" t="s">
        <v>1751</v>
      </c>
      <c r="D302">
        <v>20599068</v>
      </c>
      <c r="E302" t="s">
        <v>3128</v>
      </c>
      <c r="F302" t="s">
        <v>1241</v>
      </c>
      <c r="G302" t="s">
        <v>3129</v>
      </c>
      <c r="H302" t="s">
        <v>1252</v>
      </c>
      <c r="J302" s="455">
        <v>46237</v>
      </c>
      <c r="U302" s="455">
        <v>46237</v>
      </c>
    </row>
    <row r="303" spans="1:21">
      <c r="A303" t="s">
        <v>1751</v>
      </c>
      <c r="B303" t="s">
        <v>5117</v>
      </c>
      <c r="C303" t="s">
        <v>1751</v>
      </c>
      <c r="D303">
        <v>20599558</v>
      </c>
      <c r="E303" t="s">
        <v>3128</v>
      </c>
      <c r="F303" t="s">
        <v>1241</v>
      </c>
      <c r="G303" t="s">
        <v>3129</v>
      </c>
      <c r="H303" t="s">
        <v>3131</v>
      </c>
      <c r="J303" s="455">
        <v>46237</v>
      </c>
      <c r="U303" s="455">
        <v>46237</v>
      </c>
    </row>
    <row r="304" spans="1:21">
      <c r="A304" t="s">
        <v>1751</v>
      </c>
      <c r="B304" t="s">
        <v>5118</v>
      </c>
      <c r="C304" t="s">
        <v>1751</v>
      </c>
      <c r="D304">
        <v>20598071</v>
      </c>
      <c r="E304" t="s">
        <v>3128</v>
      </c>
      <c r="F304" t="s">
        <v>1782</v>
      </c>
      <c r="G304" t="s">
        <v>3129</v>
      </c>
      <c r="H304" t="s">
        <v>1252</v>
      </c>
      <c r="J304" s="455">
        <v>46235</v>
      </c>
      <c r="U304" s="455">
        <v>46236</v>
      </c>
    </row>
    <row r="305" spans="1:21">
      <c r="A305" t="s">
        <v>1751</v>
      </c>
      <c r="B305" t="s">
        <v>5119</v>
      </c>
      <c r="C305" t="s">
        <v>1751</v>
      </c>
      <c r="D305">
        <v>20599731</v>
      </c>
      <c r="E305" t="s">
        <v>3128</v>
      </c>
      <c r="F305" t="s">
        <v>1241</v>
      </c>
      <c r="G305" t="s">
        <v>3129</v>
      </c>
      <c r="H305" t="s">
        <v>3131</v>
      </c>
      <c r="J305" s="455">
        <v>46237</v>
      </c>
      <c r="U305" s="455">
        <v>46237</v>
      </c>
    </row>
    <row r="306" spans="1:21">
      <c r="A306" t="s">
        <v>1751</v>
      </c>
      <c r="B306" t="s">
        <v>10240</v>
      </c>
      <c r="C306" t="s">
        <v>1751</v>
      </c>
      <c r="D306">
        <v>20603615</v>
      </c>
      <c r="E306" t="s">
        <v>3128</v>
      </c>
      <c r="F306" t="s">
        <v>1782</v>
      </c>
      <c r="G306" t="s">
        <v>3129</v>
      </c>
      <c r="H306" t="s">
        <v>3131</v>
      </c>
      <c r="J306" s="455">
        <v>46241</v>
      </c>
      <c r="U306" s="455">
        <v>46241</v>
      </c>
    </row>
    <row r="307" spans="1:21">
      <c r="A307" t="s">
        <v>1751</v>
      </c>
      <c r="B307" t="s">
        <v>11147</v>
      </c>
      <c r="C307" t="s">
        <v>1751</v>
      </c>
      <c r="D307">
        <v>20603522</v>
      </c>
      <c r="E307" t="s">
        <v>3128</v>
      </c>
      <c r="F307" t="s">
        <v>1241</v>
      </c>
      <c r="G307" t="s">
        <v>3129</v>
      </c>
      <c r="H307" t="s">
        <v>1253</v>
      </c>
      <c r="J307" s="455">
        <v>46241</v>
      </c>
      <c r="U307" s="455">
        <v>46241</v>
      </c>
    </row>
    <row r="308" spans="1:21">
      <c r="A308" t="s">
        <v>1751</v>
      </c>
      <c r="B308" t="s">
        <v>4152</v>
      </c>
      <c r="C308" t="s">
        <v>1751</v>
      </c>
      <c r="D308">
        <v>20605349</v>
      </c>
      <c r="E308" t="s">
        <v>3128</v>
      </c>
      <c r="F308" t="s">
        <v>1241</v>
      </c>
      <c r="G308" t="s">
        <v>3129</v>
      </c>
      <c r="H308" t="s">
        <v>3131</v>
      </c>
      <c r="J308" s="455">
        <v>46244</v>
      </c>
      <c r="U308" s="455">
        <v>46244</v>
      </c>
    </row>
    <row r="309" spans="1:21">
      <c r="A309" t="s">
        <v>1751</v>
      </c>
      <c r="B309" t="s">
        <v>11148</v>
      </c>
      <c r="C309" t="s">
        <v>1751</v>
      </c>
      <c r="D309">
        <v>20607702</v>
      </c>
      <c r="E309" t="s">
        <v>3128</v>
      </c>
      <c r="F309" t="s">
        <v>1241</v>
      </c>
      <c r="G309" t="s">
        <v>3129</v>
      </c>
      <c r="H309" t="s">
        <v>3131</v>
      </c>
      <c r="J309" s="455">
        <v>46246</v>
      </c>
      <c r="U309" s="455">
        <v>46246</v>
      </c>
    </row>
    <row r="310" spans="1:21">
      <c r="A310" t="s">
        <v>1751</v>
      </c>
      <c r="B310" t="s">
        <v>11149</v>
      </c>
      <c r="C310" t="s">
        <v>1751</v>
      </c>
      <c r="D310">
        <v>20606158</v>
      </c>
      <c r="E310" t="s">
        <v>3128</v>
      </c>
      <c r="F310" t="s">
        <v>1782</v>
      </c>
      <c r="G310" t="s">
        <v>3129</v>
      </c>
      <c r="H310" t="s">
        <v>1252</v>
      </c>
      <c r="J310" s="455">
        <v>46245</v>
      </c>
      <c r="U310" s="455">
        <v>46245</v>
      </c>
    </row>
    <row r="311" spans="1:21">
      <c r="A311" t="s">
        <v>1751</v>
      </c>
      <c r="B311" t="s">
        <v>10918</v>
      </c>
      <c r="C311" t="s">
        <v>1751</v>
      </c>
      <c r="D311">
        <v>20605564</v>
      </c>
      <c r="E311" t="s">
        <v>3128</v>
      </c>
      <c r="F311" t="s">
        <v>1782</v>
      </c>
      <c r="G311" t="s">
        <v>3129</v>
      </c>
      <c r="H311" t="s">
        <v>3377</v>
      </c>
      <c r="J311" s="455">
        <v>46244</v>
      </c>
      <c r="U311" s="455">
        <v>46244</v>
      </c>
    </row>
    <row r="312" spans="1:21">
      <c r="A312" t="s">
        <v>1751</v>
      </c>
      <c r="B312" t="s">
        <v>11150</v>
      </c>
      <c r="C312" t="s">
        <v>1751</v>
      </c>
      <c r="D312">
        <v>20605378</v>
      </c>
      <c r="E312" t="s">
        <v>3128</v>
      </c>
      <c r="F312" t="s">
        <v>1782</v>
      </c>
      <c r="G312" t="s">
        <v>3129</v>
      </c>
      <c r="H312" t="s">
        <v>1252</v>
      </c>
      <c r="J312" s="455">
        <v>46244</v>
      </c>
      <c r="U312" s="455">
        <v>46244</v>
      </c>
    </row>
    <row r="313" spans="1:21">
      <c r="A313" t="s">
        <v>1751</v>
      </c>
      <c r="B313" t="s">
        <v>11151</v>
      </c>
      <c r="C313" t="s">
        <v>1751</v>
      </c>
      <c r="D313">
        <v>20602348</v>
      </c>
      <c r="E313" t="s">
        <v>3128</v>
      </c>
      <c r="F313" t="s">
        <v>1782</v>
      </c>
      <c r="G313" t="s">
        <v>3129</v>
      </c>
      <c r="H313" t="s">
        <v>1253</v>
      </c>
      <c r="J313" s="455">
        <v>46240</v>
      </c>
      <c r="U313" s="455">
        <v>46240</v>
      </c>
    </row>
    <row r="314" spans="1:21">
      <c r="A314" t="s">
        <v>1751</v>
      </c>
      <c r="B314" t="s">
        <v>11152</v>
      </c>
      <c r="C314" t="s">
        <v>1751</v>
      </c>
      <c r="D314">
        <v>20602545</v>
      </c>
      <c r="E314" t="s">
        <v>3128</v>
      </c>
      <c r="F314" t="s">
        <v>1782</v>
      </c>
      <c r="G314" t="s">
        <v>3129</v>
      </c>
      <c r="H314" t="s">
        <v>1252</v>
      </c>
      <c r="J314" s="455">
        <v>46240</v>
      </c>
      <c r="U314" s="455">
        <v>46240</v>
      </c>
    </row>
    <row r="315" spans="1:21">
      <c r="A315" t="s">
        <v>1751</v>
      </c>
      <c r="B315" t="s">
        <v>11153</v>
      </c>
      <c r="C315" t="s">
        <v>1751</v>
      </c>
      <c r="D315">
        <v>20606776</v>
      </c>
      <c r="E315" t="s">
        <v>3128</v>
      </c>
      <c r="F315" t="s">
        <v>1782</v>
      </c>
      <c r="G315" t="s">
        <v>3129</v>
      </c>
      <c r="H315" t="s">
        <v>1253</v>
      </c>
      <c r="J315" s="455">
        <v>46245</v>
      </c>
      <c r="U315" s="455">
        <v>46306</v>
      </c>
    </row>
    <row r="316" spans="1:21">
      <c r="A316" t="s">
        <v>1751</v>
      </c>
      <c r="B316" t="s">
        <v>4179</v>
      </c>
      <c r="C316" t="s">
        <v>1751</v>
      </c>
      <c r="D316">
        <v>20603926</v>
      </c>
      <c r="E316" t="s">
        <v>3128</v>
      </c>
      <c r="F316" t="s">
        <v>1782</v>
      </c>
      <c r="G316" t="s">
        <v>3129</v>
      </c>
      <c r="H316" t="s">
        <v>3377</v>
      </c>
      <c r="J316" s="455">
        <v>46242</v>
      </c>
      <c r="U316" s="455">
        <v>46242</v>
      </c>
    </row>
    <row r="317" spans="1:21">
      <c r="A317" t="s">
        <v>1751</v>
      </c>
      <c r="B317" t="s">
        <v>4179</v>
      </c>
      <c r="C317" t="s">
        <v>1751</v>
      </c>
      <c r="D317">
        <v>20598662</v>
      </c>
      <c r="E317" t="s">
        <v>3128</v>
      </c>
      <c r="F317" t="s">
        <v>1241</v>
      </c>
      <c r="G317" t="s">
        <v>3129</v>
      </c>
      <c r="H317" t="s">
        <v>1252</v>
      </c>
      <c r="J317" s="455">
        <v>46236</v>
      </c>
      <c r="U317" s="455">
        <v>46236</v>
      </c>
    </row>
    <row r="318" spans="1:21">
      <c r="A318" t="s">
        <v>1751</v>
      </c>
      <c r="B318" t="s">
        <v>4179</v>
      </c>
      <c r="C318" t="s">
        <v>1751</v>
      </c>
      <c r="D318">
        <v>20605354</v>
      </c>
      <c r="E318" t="s">
        <v>3128</v>
      </c>
      <c r="F318" t="s">
        <v>1782</v>
      </c>
      <c r="G318" t="s">
        <v>3129</v>
      </c>
      <c r="H318" t="s">
        <v>3131</v>
      </c>
      <c r="J318" s="455">
        <v>46244</v>
      </c>
      <c r="U318" s="455">
        <v>46244</v>
      </c>
    </row>
    <row r="319" spans="1:21">
      <c r="A319" t="s">
        <v>1751</v>
      </c>
      <c r="B319" t="s">
        <v>4179</v>
      </c>
      <c r="C319" t="s">
        <v>1751</v>
      </c>
      <c r="D319">
        <v>20605986</v>
      </c>
      <c r="E319" t="s">
        <v>3128</v>
      </c>
      <c r="F319" t="s">
        <v>1782</v>
      </c>
      <c r="G319" t="s">
        <v>3129</v>
      </c>
      <c r="H319" t="s">
        <v>1253</v>
      </c>
      <c r="J319" s="455">
        <v>46245</v>
      </c>
      <c r="U319" s="455">
        <v>46245</v>
      </c>
    </row>
    <row r="320" spans="1:21">
      <c r="A320" t="s">
        <v>1751</v>
      </c>
      <c r="B320" t="s">
        <v>4179</v>
      </c>
      <c r="C320" t="s">
        <v>1751</v>
      </c>
      <c r="D320">
        <v>20606277</v>
      </c>
      <c r="E320" t="s">
        <v>3128</v>
      </c>
      <c r="F320" t="s">
        <v>1782</v>
      </c>
      <c r="G320" t="s">
        <v>3129</v>
      </c>
      <c r="H320" t="s">
        <v>3131</v>
      </c>
      <c r="J320" s="455">
        <v>46245</v>
      </c>
      <c r="U320" s="455">
        <v>46245</v>
      </c>
    </row>
    <row r="321" spans="1:21">
      <c r="A321" t="s">
        <v>1751</v>
      </c>
      <c r="B321" t="s">
        <v>4179</v>
      </c>
      <c r="C321" t="s">
        <v>1751</v>
      </c>
      <c r="D321">
        <v>20598355</v>
      </c>
      <c r="E321" t="s">
        <v>3128</v>
      </c>
      <c r="F321" t="s">
        <v>1241</v>
      </c>
      <c r="G321" t="s">
        <v>3129</v>
      </c>
      <c r="H321" t="s">
        <v>3131</v>
      </c>
      <c r="J321" s="455">
        <v>46235</v>
      </c>
      <c r="U321" s="455">
        <v>46235</v>
      </c>
    </row>
    <row r="322" spans="1:21">
      <c r="A322" t="s">
        <v>1751</v>
      </c>
      <c r="B322" t="s">
        <v>4179</v>
      </c>
      <c r="C322" t="s">
        <v>1751</v>
      </c>
      <c r="D322">
        <v>20601311</v>
      </c>
      <c r="E322" t="s">
        <v>3128</v>
      </c>
      <c r="F322" t="s">
        <v>1241</v>
      </c>
      <c r="G322" t="s">
        <v>3129</v>
      </c>
      <c r="H322" t="s">
        <v>1252</v>
      </c>
      <c r="J322" s="455">
        <v>46239</v>
      </c>
      <c r="U322" s="455">
        <v>46239</v>
      </c>
    </row>
    <row r="323" spans="1:21">
      <c r="A323" t="s">
        <v>1751</v>
      </c>
      <c r="B323" t="s">
        <v>4179</v>
      </c>
      <c r="C323" t="s">
        <v>1751</v>
      </c>
      <c r="D323">
        <v>20601321</v>
      </c>
      <c r="E323" t="s">
        <v>3128</v>
      </c>
      <c r="F323" t="s">
        <v>1782</v>
      </c>
      <c r="G323" t="s">
        <v>3129</v>
      </c>
      <c r="H323" t="s">
        <v>1253</v>
      </c>
      <c r="J323" s="455">
        <v>46239</v>
      </c>
      <c r="U323" s="455">
        <v>46239</v>
      </c>
    </row>
    <row r="324" spans="1:21">
      <c r="A324" t="s">
        <v>1751</v>
      </c>
      <c r="B324" t="s">
        <v>4179</v>
      </c>
      <c r="C324" t="s">
        <v>1751</v>
      </c>
      <c r="D324">
        <v>20605207</v>
      </c>
      <c r="E324" t="s">
        <v>3128</v>
      </c>
      <c r="F324" t="s">
        <v>1782</v>
      </c>
      <c r="G324" t="s">
        <v>3129</v>
      </c>
      <c r="H324" t="s">
        <v>1252</v>
      </c>
      <c r="J324" s="455">
        <v>46244</v>
      </c>
      <c r="U324" s="455">
        <v>46244</v>
      </c>
    </row>
    <row r="325" spans="1:21">
      <c r="A325" t="s">
        <v>1751</v>
      </c>
      <c r="B325" t="s">
        <v>4179</v>
      </c>
      <c r="C325" t="s">
        <v>1751</v>
      </c>
      <c r="D325">
        <v>20603224</v>
      </c>
      <c r="E325" t="s">
        <v>3128</v>
      </c>
      <c r="F325" t="s">
        <v>1782</v>
      </c>
      <c r="G325" t="s">
        <v>3129</v>
      </c>
      <c r="H325" t="s">
        <v>1253</v>
      </c>
      <c r="J325" s="455">
        <v>46241</v>
      </c>
      <c r="U325" s="455">
        <v>46241</v>
      </c>
    </row>
    <row r="326" spans="1:21">
      <c r="A326" t="s">
        <v>1751</v>
      </c>
      <c r="B326" t="s">
        <v>4179</v>
      </c>
      <c r="C326" t="s">
        <v>1751</v>
      </c>
      <c r="D326">
        <v>20601851</v>
      </c>
      <c r="E326" t="s">
        <v>3128</v>
      </c>
      <c r="F326" t="s">
        <v>1241</v>
      </c>
      <c r="G326" t="s">
        <v>3129</v>
      </c>
      <c r="H326" t="s">
        <v>3131</v>
      </c>
      <c r="J326" s="455">
        <v>46239</v>
      </c>
      <c r="U326" s="455">
        <v>46239</v>
      </c>
    </row>
    <row r="327" spans="1:21">
      <c r="A327" t="s">
        <v>1751</v>
      </c>
      <c r="B327" t="s">
        <v>4179</v>
      </c>
      <c r="C327" t="s">
        <v>1751</v>
      </c>
      <c r="D327">
        <v>20599373</v>
      </c>
      <c r="E327" t="s">
        <v>3128</v>
      </c>
      <c r="F327" t="s">
        <v>1782</v>
      </c>
      <c r="G327" t="s">
        <v>3129</v>
      </c>
      <c r="H327" t="s">
        <v>3131</v>
      </c>
      <c r="J327" s="455">
        <v>46237</v>
      </c>
      <c r="U327" s="455">
        <v>46237</v>
      </c>
    </row>
    <row r="328" spans="1:21">
      <c r="A328" t="s">
        <v>1751</v>
      </c>
      <c r="B328" t="s">
        <v>11154</v>
      </c>
      <c r="C328" t="s">
        <v>1751</v>
      </c>
      <c r="D328">
        <v>20605537</v>
      </c>
      <c r="E328" t="s">
        <v>3128</v>
      </c>
      <c r="F328" t="s">
        <v>1239</v>
      </c>
      <c r="G328" t="s">
        <v>3134</v>
      </c>
      <c r="H328" t="s">
        <v>1252</v>
      </c>
      <c r="I328" t="s">
        <v>3170</v>
      </c>
      <c r="J328" s="455">
        <v>46244</v>
      </c>
      <c r="U328" s="455">
        <v>46276</v>
      </c>
    </row>
    <row r="329" spans="1:21">
      <c r="A329" t="s">
        <v>1751</v>
      </c>
      <c r="B329" t="s">
        <v>11155</v>
      </c>
      <c r="C329" t="s">
        <v>1751</v>
      </c>
      <c r="D329">
        <v>20606497</v>
      </c>
      <c r="E329" t="s">
        <v>3128</v>
      </c>
      <c r="F329" t="s">
        <v>1241</v>
      </c>
      <c r="G329" t="s">
        <v>2009</v>
      </c>
      <c r="H329" t="s">
        <v>1252</v>
      </c>
      <c r="J329" s="455">
        <v>46245</v>
      </c>
      <c r="U329" s="455">
        <v>46245</v>
      </c>
    </row>
    <row r="330" spans="1:21">
      <c r="A330" t="s">
        <v>1751</v>
      </c>
      <c r="B330" t="s">
        <v>11156</v>
      </c>
      <c r="C330" t="s">
        <v>1751</v>
      </c>
      <c r="D330">
        <v>20603397</v>
      </c>
      <c r="E330" t="s">
        <v>3128</v>
      </c>
      <c r="F330" t="s">
        <v>1239</v>
      </c>
      <c r="G330" t="s">
        <v>3143</v>
      </c>
      <c r="H330" t="s">
        <v>1251</v>
      </c>
      <c r="I330" t="s">
        <v>3385</v>
      </c>
      <c r="J330" s="455">
        <v>46241</v>
      </c>
      <c r="U330" s="455">
        <v>46241</v>
      </c>
    </row>
    <row r="331" spans="1:21">
      <c r="A331" t="s">
        <v>1751</v>
      </c>
      <c r="B331" t="s">
        <v>2997</v>
      </c>
      <c r="C331" t="s">
        <v>1751</v>
      </c>
      <c r="D331">
        <v>20593200</v>
      </c>
      <c r="E331" t="s">
        <v>3142</v>
      </c>
      <c r="F331" t="s">
        <v>1238</v>
      </c>
      <c r="G331" t="s">
        <v>3137</v>
      </c>
      <c r="H331" t="s">
        <v>1252</v>
      </c>
      <c r="I331" t="s">
        <v>2545</v>
      </c>
      <c r="J331" s="455">
        <v>46229</v>
      </c>
      <c r="K331" s="455">
        <v>46230</v>
      </c>
      <c r="L331" s="455">
        <v>46230</v>
      </c>
      <c r="M331" s="455">
        <v>46234</v>
      </c>
      <c r="N331" s="455">
        <v>46234</v>
      </c>
      <c r="P331" s="455">
        <v>46234</v>
      </c>
      <c r="Q331" s="455">
        <v>46237</v>
      </c>
      <c r="U331" s="455">
        <v>46248</v>
      </c>
    </row>
    <row r="332" spans="1:21">
      <c r="A332" t="s">
        <v>1751</v>
      </c>
      <c r="B332" t="s">
        <v>5120</v>
      </c>
      <c r="C332" t="s">
        <v>1751</v>
      </c>
      <c r="D332">
        <v>20599486</v>
      </c>
      <c r="E332" t="s">
        <v>3128</v>
      </c>
      <c r="F332" t="s">
        <v>1782</v>
      </c>
      <c r="G332" t="s">
        <v>3141</v>
      </c>
      <c r="H332" t="s">
        <v>1251</v>
      </c>
      <c r="J332" s="455">
        <v>46237</v>
      </c>
      <c r="U332" s="455">
        <v>46237</v>
      </c>
    </row>
    <row r="333" spans="1:21">
      <c r="A333" t="s">
        <v>1751</v>
      </c>
      <c r="B333" t="s">
        <v>5121</v>
      </c>
      <c r="C333" t="s">
        <v>1751</v>
      </c>
      <c r="D333">
        <v>20598338</v>
      </c>
      <c r="E333" t="s">
        <v>3128</v>
      </c>
      <c r="F333" t="s">
        <v>1242</v>
      </c>
      <c r="G333" t="s">
        <v>3143</v>
      </c>
      <c r="H333" t="s">
        <v>1249</v>
      </c>
      <c r="I333" t="s">
        <v>3168</v>
      </c>
      <c r="J333" s="455">
        <v>46235</v>
      </c>
      <c r="U333" s="455">
        <v>46249</v>
      </c>
    </row>
    <row r="334" spans="1:21">
      <c r="A334" t="s">
        <v>1751</v>
      </c>
      <c r="B334" t="s">
        <v>5122</v>
      </c>
      <c r="C334" t="s">
        <v>1751</v>
      </c>
      <c r="D334">
        <v>20599250</v>
      </c>
      <c r="E334" t="s">
        <v>3128</v>
      </c>
      <c r="F334" t="s">
        <v>1782</v>
      </c>
      <c r="G334" t="s">
        <v>3134</v>
      </c>
      <c r="H334" t="s">
        <v>1252</v>
      </c>
      <c r="J334" s="455">
        <v>46237</v>
      </c>
      <c r="U334" s="455">
        <v>46249</v>
      </c>
    </row>
    <row r="335" spans="1:21">
      <c r="A335" t="s">
        <v>1751</v>
      </c>
      <c r="B335" t="s">
        <v>5123</v>
      </c>
      <c r="C335" t="s">
        <v>1751</v>
      </c>
      <c r="D335">
        <v>20600423</v>
      </c>
      <c r="E335" t="s">
        <v>3128</v>
      </c>
      <c r="F335" t="s">
        <v>1238</v>
      </c>
      <c r="G335" t="s">
        <v>3143</v>
      </c>
      <c r="H335" t="s">
        <v>1252</v>
      </c>
      <c r="I335" t="s">
        <v>3170</v>
      </c>
      <c r="J335" s="455">
        <v>46238</v>
      </c>
      <c r="U335" s="455">
        <v>46262</v>
      </c>
    </row>
    <row r="336" spans="1:21">
      <c r="A336" t="s">
        <v>1751</v>
      </c>
      <c r="B336" t="s">
        <v>11157</v>
      </c>
      <c r="C336" t="s">
        <v>1751</v>
      </c>
      <c r="D336">
        <v>20605391</v>
      </c>
      <c r="E336" t="s">
        <v>3128</v>
      </c>
      <c r="F336" t="s">
        <v>1241</v>
      </c>
      <c r="G336" t="s">
        <v>3129</v>
      </c>
      <c r="H336" t="s">
        <v>1252</v>
      </c>
      <c r="J336" s="455">
        <v>46244</v>
      </c>
      <c r="U336" s="455">
        <v>46244</v>
      </c>
    </row>
    <row r="337" spans="1:21">
      <c r="A337" t="s">
        <v>1751</v>
      </c>
      <c r="B337" t="s">
        <v>11158</v>
      </c>
      <c r="C337" t="s">
        <v>1751</v>
      </c>
      <c r="D337">
        <v>20605557</v>
      </c>
      <c r="E337" t="s">
        <v>3128</v>
      </c>
      <c r="F337" t="s">
        <v>1782</v>
      </c>
      <c r="G337" t="s">
        <v>3134</v>
      </c>
      <c r="H337" t="s">
        <v>1252</v>
      </c>
      <c r="J337" s="455">
        <v>46244</v>
      </c>
      <c r="U337" s="455">
        <v>46264</v>
      </c>
    </row>
    <row r="338" spans="1:21">
      <c r="A338" t="s">
        <v>1751</v>
      </c>
      <c r="B338" t="s">
        <v>11159</v>
      </c>
      <c r="C338" t="s">
        <v>1751</v>
      </c>
      <c r="D338">
        <v>20602828</v>
      </c>
      <c r="E338" t="s">
        <v>3128</v>
      </c>
      <c r="F338" t="s">
        <v>1782</v>
      </c>
      <c r="G338" t="s">
        <v>3141</v>
      </c>
      <c r="H338" t="s">
        <v>1252</v>
      </c>
      <c r="J338" s="455">
        <v>46240</v>
      </c>
      <c r="U338" s="455">
        <v>46265</v>
      </c>
    </row>
    <row r="339" spans="1:21">
      <c r="A339" t="s">
        <v>1751</v>
      </c>
      <c r="B339" t="s">
        <v>11160</v>
      </c>
      <c r="C339" t="s">
        <v>1751</v>
      </c>
      <c r="D339">
        <v>20604634</v>
      </c>
      <c r="E339" t="s">
        <v>3128</v>
      </c>
      <c r="F339" t="s">
        <v>1241</v>
      </c>
      <c r="G339" t="s">
        <v>3141</v>
      </c>
      <c r="H339" t="s">
        <v>1252</v>
      </c>
      <c r="J339" s="455">
        <v>46243</v>
      </c>
      <c r="U339" s="455">
        <v>46251</v>
      </c>
    </row>
    <row r="340" spans="1:21">
      <c r="A340" t="s">
        <v>1751</v>
      </c>
      <c r="B340" t="s">
        <v>11161</v>
      </c>
      <c r="C340" t="s">
        <v>1751</v>
      </c>
      <c r="D340">
        <v>20606250</v>
      </c>
      <c r="E340" t="s">
        <v>3133</v>
      </c>
      <c r="F340" t="s">
        <v>1241</v>
      </c>
      <c r="G340" t="s">
        <v>3134</v>
      </c>
      <c r="H340" t="s">
        <v>1247</v>
      </c>
      <c r="I340" t="s">
        <v>3588</v>
      </c>
      <c r="J340" s="455">
        <v>46245</v>
      </c>
      <c r="K340" s="455">
        <v>46245</v>
      </c>
      <c r="L340" s="455">
        <v>46245</v>
      </c>
      <c r="S340" s="455">
        <v>46246</v>
      </c>
      <c r="U340" s="455">
        <v>46263</v>
      </c>
    </row>
    <row r="341" spans="1:21">
      <c r="A341" t="s">
        <v>1751</v>
      </c>
      <c r="B341" t="s">
        <v>11162</v>
      </c>
      <c r="C341" t="s">
        <v>1751</v>
      </c>
      <c r="D341">
        <v>20599349</v>
      </c>
      <c r="E341" t="s">
        <v>3128</v>
      </c>
      <c r="F341" t="s">
        <v>3285</v>
      </c>
      <c r="G341" t="s">
        <v>3129</v>
      </c>
      <c r="H341" t="s">
        <v>1253</v>
      </c>
      <c r="J341" s="455">
        <v>46237</v>
      </c>
      <c r="U341" s="455">
        <v>46247</v>
      </c>
    </row>
    <row r="342" spans="1:21">
      <c r="A342" t="s">
        <v>1751</v>
      </c>
      <c r="B342" t="s">
        <v>5124</v>
      </c>
      <c r="C342" t="s">
        <v>1751</v>
      </c>
      <c r="D342">
        <v>20599279</v>
      </c>
      <c r="E342" t="s">
        <v>3128</v>
      </c>
      <c r="F342" t="s">
        <v>3285</v>
      </c>
      <c r="G342" t="s">
        <v>3141</v>
      </c>
      <c r="H342" t="s">
        <v>1252</v>
      </c>
      <c r="J342" s="455">
        <v>46237</v>
      </c>
      <c r="U342" s="455">
        <v>46254</v>
      </c>
    </row>
    <row r="343" spans="1:21">
      <c r="A343" t="s">
        <v>1751</v>
      </c>
      <c r="B343" t="s">
        <v>5125</v>
      </c>
      <c r="C343" t="s">
        <v>1751</v>
      </c>
      <c r="D343">
        <v>20600063</v>
      </c>
      <c r="E343" t="s">
        <v>3128</v>
      </c>
      <c r="F343" t="s">
        <v>3285</v>
      </c>
      <c r="G343" t="s">
        <v>3141</v>
      </c>
      <c r="H343" t="s">
        <v>4278</v>
      </c>
      <c r="J343" s="455">
        <v>46238</v>
      </c>
      <c r="U343" s="455">
        <v>46268</v>
      </c>
    </row>
    <row r="344" spans="1:21">
      <c r="A344" t="s">
        <v>1751</v>
      </c>
      <c r="B344" t="s">
        <v>5126</v>
      </c>
      <c r="C344" t="s">
        <v>1751</v>
      </c>
      <c r="D344">
        <v>20600253</v>
      </c>
      <c r="E344" t="s">
        <v>3128</v>
      </c>
      <c r="F344" t="s">
        <v>1241</v>
      </c>
      <c r="G344" t="s">
        <v>3129</v>
      </c>
      <c r="H344" t="s">
        <v>1253</v>
      </c>
      <c r="J344" s="455">
        <v>46238</v>
      </c>
      <c r="U344" s="455">
        <v>46238</v>
      </c>
    </row>
    <row r="345" spans="1:21">
      <c r="A345" t="s">
        <v>1751</v>
      </c>
      <c r="B345" t="s">
        <v>5126</v>
      </c>
      <c r="C345" t="s">
        <v>1751</v>
      </c>
      <c r="D345">
        <v>20599880</v>
      </c>
      <c r="E345" t="s">
        <v>3133</v>
      </c>
      <c r="F345" t="s">
        <v>1237</v>
      </c>
      <c r="G345" t="s">
        <v>3134</v>
      </c>
      <c r="H345" t="s">
        <v>1247</v>
      </c>
      <c r="I345" t="s">
        <v>1908</v>
      </c>
      <c r="J345" s="455">
        <v>46237</v>
      </c>
      <c r="K345" s="455">
        <v>46237</v>
      </c>
      <c r="L345" s="455">
        <v>46237</v>
      </c>
      <c r="S345" s="455">
        <v>46239</v>
      </c>
      <c r="U345" s="455">
        <v>46263</v>
      </c>
    </row>
    <row r="346" spans="1:21">
      <c r="A346" t="s">
        <v>1751</v>
      </c>
      <c r="B346" t="s">
        <v>11000</v>
      </c>
      <c r="C346" t="s">
        <v>1751</v>
      </c>
      <c r="D346">
        <v>20586394</v>
      </c>
      <c r="E346" t="s">
        <v>3142</v>
      </c>
      <c r="F346" t="s">
        <v>1243</v>
      </c>
      <c r="G346" t="s">
        <v>3143</v>
      </c>
      <c r="H346" t="s">
        <v>1247</v>
      </c>
      <c r="I346" t="s">
        <v>2449</v>
      </c>
      <c r="J346" s="455">
        <v>46221</v>
      </c>
      <c r="K346" s="455">
        <v>46233</v>
      </c>
      <c r="L346" s="455">
        <v>46233</v>
      </c>
      <c r="M346" s="455">
        <v>46240</v>
      </c>
      <c r="N346" s="455">
        <v>46240</v>
      </c>
      <c r="O346" s="455">
        <v>46241</v>
      </c>
      <c r="P346" s="455">
        <v>46241</v>
      </c>
      <c r="Q346" s="455">
        <v>46244</v>
      </c>
      <c r="U346" s="455">
        <v>46259</v>
      </c>
    </row>
    <row r="347" spans="1:21">
      <c r="A347" t="s">
        <v>1751</v>
      </c>
      <c r="B347" t="s">
        <v>5127</v>
      </c>
      <c r="C347" t="s">
        <v>1751</v>
      </c>
      <c r="D347">
        <v>20601254</v>
      </c>
      <c r="E347" t="s">
        <v>3128</v>
      </c>
      <c r="F347" t="s">
        <v>1237</v>
      </c>
      <c r="G347" t="s">
        <v>2009</v>
      </c>
      <c r="H347" t="s">
        <v>1251</v>
      </c>
      <c r="I347" t="s">
        <v>3170</v>
      </c>
      <c r="J347" s="455">
        <v>46239</v>
      </c>
      <c r="U347" s="455">
        <v>46239</v>
      </c>
    </row>
    <row r="348" spans="1:21">
      <c r="A348" t="s">
        <v>1751</v>
      </c>
      <c r="B348" t="s">
        <v>11163</v>
      </c>
      <c r="C348" t="s">
        <v>1751</v>
      </c>
      <c r="D348">
        <v>20604345</v>
      </c>
      <c r="E348" t="s">
        <v>3128</v>
      </c>
      <c r="F348" t="s">
        <v>1782</v>
      </c>
      <c r="G348" t="s">
        <v>3141</v>
      </c>
      <c r="H348" t="s">
        <v>1252</v>
      </c>
      <c r="J348" s="455">
        <v>46242</v>
      </c>
      <c r="U348" s="455">
        <v>46249</v>
      </c>
    </row>
    <row r="349" spans="1:21">
      <c r="A349" t="s">
        <v>1751</v>
      </c>
      <c r="B349" t="s">
        <v>11164</v>
      </c>
      <c r="C349" t="s">
        <v>1751</v>
      </c>
      <c r="D349">
        <v>20608035</v>
      </c>
      <c r="E349" t="s">
        <v>3128</v>
      </c>
      <c r="F349" t="s">
        <v>1241</v>
      </c>
      <c r="G349" t="s">
        <v>3134</v>
      </c>
      <c r="H349" t="s">
        <v>1252</v>
      </c>
      <c r="J349" s="455">
        <v>46246</v>
      </c>
      <c r="U349" s="455">
        <v>46246</v>
      </c>
    </row>
    <row r="350" spans="1:21">
      <c r="A350" t="s">
        <v>1751</v>
      </c>
      <c r="B350" t="s">
        <v>5128</v>
      </c>
      <c r="C350" t="s">
        <v>1751</v>
      </c>
      <c r="D350">
        <v>20599981</v>
      </c>
      <c r="E350" t="s">
        <v>3128</v>
      </c>
      <c r="F350" t="s">
        <v>1241</v>
      </c>
      <c r="G350" t="s">
        <v>3141</v>
      </c>
      <c r="H350" t="s">
        <v>4278</v>
      </c>
      <c r="J350" s="455">
        <v>46237</v>
      </c>
      <c r="U350" s="455">
        <v>46267</v>
      </c>
    </row>
    <row r="351" spans="1:21">
      <c r="A351" t="s">
        <v>1751</v>
      </c>
      <c r="B351" t="s">
        <v>11165</v>
      </c>
      <c r="C351" t="s">
        <v>1751</v>
      </c>
      <c r="D351">
        <v>20604732</v>
      </c>
      <c r="E351" t="s">
        <v>3133</v>
      </c>
      <c r="F351" t="s">
        <v>1243</v>
      </c>
      <c r="G351" t="s">
        <v>3134</v>
      </c>
      <c r="H351" t="s">
        <v>1247</v>
      </c>
      <c r="I351" t="s">
        <v>2409</v>
      </c>
      <c r="J351" s="455">
        <v>46243</v>
      </c>
      <c r="K351" s="455">
        <v>46243</v>
      </c>
      <c r="L351" s="455">
        <v>46243</v>
      </c>
      <c r="S351" s="455">
        <v>46244</v>
      </c>
      <c r="U351" s="455">
        <v>46244</v>
      </c>
    </row>
    <row r="352" spans="1:21">
      <c r="A352" t="s">
        <v>1751</v>
      </c>
      <c r="B352" t="s">
        <v>11166</v>
      </c>
      <c r="C352" t="s">
        <v>1751</v>
      </c>
      <c r="D352">
        <v>20603991</v>
      </c>
      <c r="E352" t="s">
        <v>3128</v>
      </c>
      <c r="F352" t="s">
        <v>1241</v>
      </c>
      <c r="G352" t="s">
        <v>3129</v>
      </c>
      <c r="H352" t="s">
        <v>3131</v>
      </c>
      <c r="J352" s="455">
        <v>46242</v>
      </c>
      <c r="U352" s="455">
        <v>46245</v>
      </c>
    </row>
    <row r="353" spans="1:21">
      <c r="A353" t="s">
        <v>1751</v>
      </c>
      <c r="B353" t="s">
        <v>5129</v>
      </c>
      <c r="C353" t="s">
        <v>1751</v>
      </c>
      <c r="D353">
        <v>20598079</v>
      </c>
      <c r="E353" t="s">
        <v>2008</v>
      </c>
      <c r="F353" t="s">
        <v>1243</v>
      </c>
      <c r="G353" t="s">
        <v>3143</v>
      </c>
      <c r="H353" t="s">
        <v>1248</v>
      </c>
      <c r="I353" t="s">
        <v>2654</v>
      </c>
      <c r="J353" s="455">
        <v>46235</v>
      </c>
      <c r="K353" s="455">
        <v>46236</v>
      </c>
      <c r="L353" s="455">
        <v>46236</v>
      </c>
      <c r="M353" s="455">
        <v>46246</v>
      </c>
      <c r="U353" s="455">
        <v>46276</v>
      </c>
    </row>
    <row r="354" spans="1:21">
      <c r="A354" t="s">
        <v>1751</v>
      </c>
      <c r="B354" t="s">
        <v>11167</v>
      </c>
      <c r="C354" t="s">
        <v>1751</v>
      </c>
      <c r="D354">
        <v>20607414</v>
      </c>
      <c r="E354" t="s">
        <v>3128</v>
      </c>
      <c r="F354" t="s">
        <v>1238</v>
      </c>
      <c r="G354" t="s">
        <v>3143</v>
      </c>
      <c r="H354" t="s">
        <v>1252</v>
      </c>
      <c r="I354" t="s">
        <v>3170</v>
      </c>
      <c r="J354" s="455">
        <v>46246</v>
      </c>
      <c r="U354" s="455">
        <v>46256</v>
      </c>
    </row>
    <row r="355" spans="1:21">
      <c r="A355" t="s">
        <v>1751</v>
      </c>
      <c r="B355" t="s">
        <v>11168</v>
      </c>
      <c r="C355" t="s">
        <v>1751</v>
      </c>
      <c r="D355">
        <v>20607400</v>
      </c>
      <c r="E355" t="s">
        <v>3128</v>
      </c>
      <c r="F355" t="s">
        <v>1241</v>
      </c>
      <c r="G355" t="s">
        <v>3134</v>
      </c>
      <c r="H355" t="s">
        <v>3165</v>
      </c>
      <c r="J355" s="455">
        <v>46246</v>
      </c>
      <c r="U355" s="455">
        <v>46258</v>
      </c>
    </row>
    <row r="356" spans="1:21">
      <c r="A356" t="s">
        <v>1751</v>
      </c>
      <c r="B356" t="s">
        <v>11169</v>
      </c>
      <c r="C356" t="s">
        <v>1751</v>
      </c>
      <c r="D356">
        <v>20606071</v>
      </c>
      <c r="E356" t="s">
        <v>3128</v>
      </c>
      <c r="F356" t="s">
        <v>1782</v>
      </c>
      <c r="G356" t="s">
        <v>3134</v>
      </c>
      <c r="H356" t="s">
        <v>3165</v>
      </c>
      <c r="J356" s="455">
        <v>46245</v>
      </c>
      <c r="U356" s="455">
        <v>46280</v>
      </c>
    </row>
    <row r="357" spans="1:21">
      <c r="A357" t="s">
        <v>1751</v>
      </c>
      <c r="B357" t="s">
        <v>3000</v>
      </c>
      <c r="C357" t="s">
        <v>1751</v>
      </c>
      <c r="D357">
        <v>20605261</v>
      </c>
      <c r="E357" t="s">
        <v>1897</v>
      </c>
      <c r="F357" t="s">
        <v>1241</v>
      </c>
      <c r="G357" t="s">
        <v>3134</v>
      </c>
      <c r="H357" t="s">
        <v>1247</v>
      </c>
      <c r="J357" s="455">
        <v>46244</v>
      </c>
      <c r="K357" s="455">
        <v>46244</v>
      </c>
      <c r="U357" s="455">
        <v>46244</v>
      </c>
    </row>
    <row r="358" spans="1:21">
      <c r="A358" t="s">
        <v>1751</v>
      </c>
      <c r="B358" t="s">
        <v>3000</v>
      </c>
      <c r="C358" t="s">
        <v>1751</v>
      </c>
      <c r="D358">
        <v>20602474</v>
      </c>
      <c r="E358" t="s">
        <v>3133</v>
      </c>
      <c r="F358" t="s">
        <v>1241</v>
      </c>
      <c r="G358" t="s">
        <v>3134</v>
      </c>
      <c r="H358" t="s">
        <v>1247</v>
      </c>
      <c r="I358" t="s">
        <v>1552</v>
      </c>
      <c r="J358" s="455">
        <v>46240</v>
      </c>
      <c r="K358" s="455">
        <v>46240</v>
      </c>
      <c r="L358" s="455">
        <v>46242</v>
      </c>
      <c r="S358" s="455">
        <v>46244</v>
      </c>
      <c r="U358" s="455">
        <v>46256</v>
      </c>
    </row>
    <row r="359" spans="1:21">
      <c r="A359" t="s">
        <v>1751</v>
      </c>
      <c r="B359" t="s">
        <v>3000</v>
      </c>
      <c r="C359" t="s">
        <v>1751</v>
      </c>
      <c r="D359">
        <v>20601568</v>
      </c>
      <c r="E359" t="s">
        <v>3128</v>
      </c>
      <c r="F359" t="s">
        <v>1237</v>
      </c>
      <c r="G359" t="s">
        <v>3143</v>
      </c>
      <c r="H359" t="s">
        <v>1252</v>
      </c>
      <c r="I359" t="s">
        <v>3170</v>
      </c>
      <c r="J359" s="455">
        <v>46239</v>
      </c>
      <c r="U359" s="455">
        <v>46249</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6D8AD-D86C-4379-8DA3-4811D6EEB355}">
  <sheetPr>
    <tabColor theme="6" tint="-0.499984740745262"/>
  </sheetPr>
  <dimension ref="A1:P19"/>
  <sheetViews>
    <sheetView workbookViewId="0">
      <selection activeCell="D26" sqref="D26"/>
    </sheetView>
  </sheetViews>
  <sheetFormatPr defaultRowHeight="14.4"/>
  <sheetData>
    <row r="1" spans="1:16">
      <c r="A1" t="s">
        <v>1664</v>
      </c>
      <c r="B1" t="s">
        <v>2302</v>
      </c>
      <c r="C1" t="s">
        <v>2303</v>
      </c>
      <c r="D1" t="s">
        <v>5130</v>
      </c>
      <c r="E1" t="s">
        <v>954</v>
      </c>
      <c r="F1" t="s">
        <v>5130</v>
      </c>
      <c r="G1" t="s">
        <v>1282</v>
      </c>
      <c r="H1" t="s">
        <v>5130</v>
      </c>
      <c r="I1" t="s">
        <v>2304</v>
      </c>
      <c r="J1" t="s">
        <v>5130</v>
      </c>
      <c r="K1" t="s">
        <v>2305</v>
      </c>
      <c r="L1" t="s">
        <v>5130</v>
      </c>
      <c r="M1" t="s">
        <v>1278</v>
      </c>
      <c r="N1" t="s">
        <v>5130</v>
      </c>
      <c r="O1" t="s">
        <v>2215</v>
      </c>
      <c r="P1" t="s">
        <v>5130</v>
      </c>
    </row>
    <row r="2" spans="1:16">
      <c r="A2" s="454">
        <v>46082</v>
      </c>
      <c r="B2" s="90">
        <v>68</v>
      </c>
      <c r="C2" s="90">
        <v>6</v>
      </c>
      <c r="D2" s="90">
        <v>8.8200000000000001E-2</v>
      </c>
      <c r="E2" s="90">
        <v>19</v>
      </c>
      <c r="F2" s="90">
        <v>0.27939999999999998</v>
      </c>
      <c r="G2" s="90">
        <v>40</v>
      </c>
      <c r="H2" s="90">
        <v>0.58819999999999995</v>
      </c>
      <c r="I2" s="90">
        <v>0</v>
      </c>
      <c r="J2" s="90">
        <v>0</v>
      </c>
      <c r="K2" s="90">
        <v>0</v>
      </c>
      <c r="L2" s="90">
        <v>0</v>
      </c>
      <c r="M2" s="90">
        <v>0</v>
      </c>
      <c r="N2" s="90">
        <v>0</v>
      </c>
      <c r="O2" s="90">
        <v>3</v>
      </c>
      <c r="P2" s="90">
        <v>4.41E-2</v>
      </c>
    </row>
    <row r="3" spans="1:16">
      <c r="A3" s="454">
        <v>46113</v>
      </c>
      <c r="B3" s="90">
        <v>63</v>
      </c>
      <c r="C3" s="90">
        <v>8</v>
      </c>
      <c r="D3" s="90">
        <v>0.127</v>
      </c>
      <c r="E3" s="90">
        <v>21</v>
      </c>
      <c r="F3" s="90">
        <v>0.33329999999999999</v>
      </c>
      <c r="G3" s="90">
        <v>31</v>
      </c>
      <c r="H3" s="90">
        <v>0.49209999999999998</v>
      </c>
      <c r="I3" s="90">
        <v>0</v>
      </c>
      <c r="J3" s="90">
        <v>0</v>
      </c>
      <c r="K3" s="90">
        <v>1</v>
      </c>
      <c r="L3" s="90">
        <v>1.5900000000000001E-2</v>
      </c>
      <c r="M3" s="90">
        <v>0</v>
      </c>
      <c r="N3" s="90">
        <v>0</v>
      </c>
      <c r="O3" s="90">
        <v>2</v>
      </c>
      <c r="P3" s="90">
        <v>3.1699999999999999E-2</v>
      </c>
    </row>
    <row r="4" spans="1:16">
      <c r="A4" s="454">
        <v>46143</v>
      </c>
      <c r="B4" s="90">
        <v>57</v>
      </c>
      <c r="C4" s="90">
        <v>12</v>
      </c>
      <c r="D4" s="90">
        <v>0.21049999999999999</v>
      </c>
      <c r="E4" s="90">
        <v>7</v>
      </c>
      <c r="F4" s="90">
        <v>0.12280000000000001</v>
      </c>
      <c r="G4" s="90">
        <v>34</v>
      </c>
      <c r="H4" s="90">
        <v>0.59650000000000003</v>
      </c>
      <c r="I4" s="90">
        <v>0</v>
      </c>
      <c r="J4" s="90">
        <v>0</v>
      </c>
      <c r="K4" s="90">
        <v>1</v>
      </c>
      <c r="L4" s="90">
        <v>1.7500000000000002E-2</v>
      </c>
      <c r="M4" s="90">
        <v>0</v>
      </c>
      <c r="N4" s="90">
        <v>0</v>
      </c>
      <c r="O4" s="90">
        <v>3</v>
      </c>
      <c r="P4" s="90">
        <v>5.2600000000000001E-2</v>
      </c>
    </row>
    <row r="5" spans="1:16">
      <c r="A5" s="454">
        <v>46174</v>
      </c>
      <c r="B5">
        <v>54</v>
      </c>
      <c r="C5">
        <v>19</v>
      </c>
      <c r="D5">
        <v>0.35189999999999999</v>
      </c>
      <c r="E5">
        <v>10</v>
      </c>
      <c r="F5">
        <v>0.1852</v>
      </c>
      <c r="G5">
        <v>25</v>
      </c>
      <c r="H5">
        <v>0.46300000000000002</v>
      </c>
      <c r="I5">
        <v>0</v>
      </c>
      <c r="J5">
        <v>0</v>
      </c>
      <c r="K5">
        <v>0</v>
      </c>
      <c r="L5">
        <v>0</v>
      </c>
      <c r="M5">
        <v>0</v>
      </c>
      <c r="N5">
        <v>0</v>
      </c>
      <c r="O5">
        <v>0</v>
      </c>
      <c r="P5">
        <v>0</v>
      </c>
    </row>
    <row r="6" spans="1:16">
      <c r="A6" s="454">
        <v>46204</v>
      </c>
      <c r="B6">
        <v>72</v>
      </c>
      <c r="C6">
        <v>17</v>
      </c>
      <c r="D6">
        <v>0.2361</v>
      </c>
      <c r="E6">
        <v>18</v>
      </c>
      <c r="F6">
        <v>0.25</v>
      </c>
      <c r="G6">
        <v>37</v>
      </c>
      <c r="H6">
        <v>0.51390000000000002</v>
      </c>
      <c r="I6">
        <v>0</v>
      </c>
      <c r="J6">
        <v>0</v>
      </c>
      <c r="K6">
        <v>0</v>
      </c>
      <c r="L6">
        <v>0</v>
      </c>
      <c r="M6">
        <v>0</v>
      </c>
      <c r="N6">
        <v>0</v>
      </c>
      <c r="O6">
        <v>0</v>
      </c>
      <c r="P6">
        <v>0</v>
      </c>
    </row>
    <row r="7" spans="1:16">
      <c r="A7" s="454">
        <v>46235</v>
      </c>
      <c r="B7">
        <v>68</v>
      </c>
      <c r="C7">
        <v>9</v>
      </c>
      <c r="D7">
        <v>0.13239999999999999</v>
      </c>
      <c r="E7">
        <v>11</v>
      </c>
      <c r="F7">
        <v>0.1618</v>
      </c>
      <c r="G7">
        <v>31</v>
      </c>
      <c r="H7">
        <v>0.45590000000000003</v>
      </c>
      <c r="I7">
        <v>0</v>
      </c>
      <c r="J7">
        <v>0</v>
      </c>
      <c r="K7">
        <v>0</v>
      </c>
      <c r="L7">
        <v>0</v>
      </c>
      <c r="M7">
        <v>0</v>
      </c>
      <c r="N7">
        <v>0</v>
      </c>
      <c r="O7">
        <v>17</v>
      </c>
      <c r="P7">
        <v>0.25</v>
      </c>
    </row>
    <row r="8" spans="1:16">
      <c r="A8" s="454">
        <v>46266</v>
      </c>
      <c r="B8">
        <v>53</v>
      </c>
      <c r="C8">
        <v>9</v>
      </c>
      <c r="D8">
        <v>0.16980000000000001</v>
      </c>
      <c r="E8">
        <v>13</v>
      </c>
      <c r="F8">
        <v>0.24529999999999999</v>
      </c>
      <c r="G8">
        <v>25</v>
      </c>
      <c r="H8">
        <v>0.47170000000000001</v>
      </c>
      <c r="I8">
        <v>0</v>
      </c>
      <c r="J8">
        <v>0</v>
      </c>
      <c r="K8">
        <v>0</v>
      </c>
      <c r="L8">
        <v>0</v>
      </c>
      <c r="M8">
        <v>6</v>
      </c>
      <c r="N8">
        <v>0.1132</v>
      </c>
      <c r="O8">
        <v>0</v>
      </c>
      <c r="P8">
        <v>0</v>
      </c>
    </row>
    <row r="9" spans="1:16">
      <c r="A9" s="454">
        <v>46296</v>
      </c>
      <c r="B9">
        <v>39</v>
      </c>
      <c r="C9">
        <v>6</v>
      </c>
      <c r="D9">
        <v>0.15379999999999999</v>
      </c>
      <c r="E9">
        <v>3</v>
      </c>
      <c r="F9">
        <v>7.6899999999999996E-2</v>
      </c>
      <c r="G9">
        <v>17</v>
      </c>
      <c r="H9">
        <v>0.43590000000000001</v>
      </c>
      <c r="I9">
        <v>0</v>
      </c>
      <c r="J9">
        <v>0</v>
      </c>
      <c r="K9">
        <v>0</v>
      </c>
      <c r="L9">
        <v>0</v>
      </c>
      <c r="M9">
        <v>13</v>
      </c>
      <c r="N9">
        <v>0.33329999999999999</v>
      </c>
      <c r="O9">
        <v>0</v>
      </c>
      <c r="P9">
        <v>0</v>
      </c>
    </row>
    <row r="10" spans="1:16">
      <c r="A10" s="454">
        <v>46327</v>
      </c>
      <c r="B10">
        <v>44</v>
      </c>
      <c r="C10">
        <v>5</v>
      </c>
      <c r="D10">
        <v>0.11360000000000001</v>
      </c>
      <c r="E10">
        <v>1</v>
      </c>
      <c r="F10">
        <v>2.2700000000000001E-2</v>
      </c>
      <c r="G10">
        <v>0</v>
      </c>
      <c r="H10">
        <v>0</v>
      </c>
      <c r="I10">
        <v>0</v>
      </c>
      <c r="J10">
        <v>0</v>
      </c>
      <c r="K10">
        <v>0</v>
      </c>
      <c r="L10">
        <v>0</v>
      </c>
      <c r="M10">
        <v>38</v>
      </c>
      <c r="N10">
        <v>0.86360000000000003</v>
      </c>
      <c r="O10">
        <v>0</v>
      </c>
      <c r="P10">
        <v>0</v>
      </c>
    </row>
    <row r="11" spans="1:16">
      <c r="A11" s="454">
        <v>46357</v>
      </c>
      <c r="B11">
        <v>18</v>
      </c>
      <c r="C11">
        <v>1</v>
      </c>
      <c r="D11">
        <v>5.5599999999999997E-2</v>
      </c>
      <c r="E11">
        <v>0</v>
      </c>
      <c r="F11">
        <v>0</v>
      </c>
      <c r="G11">
        <v>0</v>
      </c>
      <c r="H11">
        <v>0</v>
      </c>
      <c r="I11">
        <v>0</v>
      </c>
      <c r="J11">
        <v>0</v>
      </c>
      <c r="K11">
        <v>0</v>
      </c>
      <c r="L11">
        <v>0</v>
      </c>
      <c r="M11">
        <v>17</v>
      </c>
      <c r="N11">
        <v>0.94440000000000002</v>
      </c>
      <c r="O11">
        <v>0</v>
      </c>
      <c r="P11">
        <v>0</v>
      </c>
    </row>
    <row r="12" spans="1:16">
      <c r="A12" s="454">
        <v>46388</v>
      </c>
      <c r="B12">
        <v>22</v>
      </c>
      <c r="C12">
        <v>2</v>
      </c>
      <c r="D12">
        <v>9.0899999999999995E-2</v>
      </c>
      <c r="E12">
        <v>0</v>
      </c>
      <c r="F12">
        <v>0</v>
      </c>
      <c r="G12">
        <v>0</v>
      </c>
      <c r="H12">
        <v>0</v>
      </c>
      <c r="I12">
        <v>0</v>
      </c>
      <c r="J12">
        <v>0</v>
      </c>
      <c r="K12">
        <v>1</v>
      </c>
      <c r="L12">
        <v>4.5499999999999999E-2</v>
      </c>
      <c r="M12">
        <v>19</v>
      </c>
      <c r="N12">
        <v>0.86360000000000003</v>
      </c>
      <c r="O12">
        <v>0</v>
      </c>
      <c r="P12">
        <v>0</v>
      </c>
    </row>
    <row r="13" spans="1:16">
      <c r="A13" s="454">
        <v>46419</v>
      </c>
      <c r="B13">
        <v>71</v>
      </c>
      <c r="C13">
        <v>2</v>
      </c>
      <c r="D13">
        <v>2.8199999999999999E-2</v>
      </c>
      <c r="E13">
        <v>0</v>
      </c>
      <c r="F13">
        <v>0</v>
      </c>
      <c r="G13">
        <v>0</v>
      </c>
      <c r="H13">
        <v>0</v>
      </c>
      <c r="I13">
        <v>0</v>
      </c>
      <c r="J13">
        <v>0</v>
      </c>
      <c r="K13">
        <v>0</v>
      </c>
      <c r="L13">
        <v>0</v>
      </c>
      <c r="M13">
        <v>69</v>
      </c>
      <c r="N13">
        <v>0.9718</v>
      </c>
      <c r="O13">
        <v>0</v>
      </c>
      <c r="P13">
        <v>0</v>
      </c>
    </row>
    <row r="14" spans="1:16">
      <c r="A14" s="454">
        <v>46447</v>
      </c>
      <c r="B14">
        <v>70</v>
      </c>
      <c r="C14">
        <v>6</v>
      </c>
      <c r="D14">
        <v>8.5699999999999998E-2</v>
      </c>
      <c r="E14">
        <v>0</v>
      </c>
      <c r="F14">
        <v>0</v>
      </c>
      <c r="G14">
        <v>0</v>
      </c>
      <c r="H14">
        <v>0</v>
      </c>
      <c r="I14">
        <v>0</v>
      </c>
      <c r="J14">
        <v>0</v>
      </c>
      <c r="K14">
        <v>0</v>
      </c>
      <c r="L14">
        <v>0</v>
      </c>
      <c r="M14">
        <v>64</v>
      </c>
      <c r="N14">
        <v>0.9143</v>
      </c>
      <c r="O14">
        <v>0</v>
      </c>
      <c r="P14">
        <v>0</v>
      </c>
    </row>
    <row r="15" spans="1:16">
      <c r="A15" s="454">
        <v>46478</v>
      </c>
      <c r="B15">
        <v>62</v>
      </c>
      <c r="C15">
        <v>2</v>
      </c>
      <c r="D15">
        <v>3.2300000000000002E-2</v>
      </c>
      <c r="E15">
        <v>2</v>
      </c>
      <c r="F15">
        <v>3.2300000000000002E-2</v>
      </c>
      <c r="G15">
        <v>0</v>
      </c>
      <c r="H15">
        <v>0</v>
      </c>
      <c r="I15">
        <v>0</v>
      </c>
      <c r="J15">
        <v>0</v>
      </c>
      <c r="K15">
        <v>0</v>
      </c>
      <c r="L15">
        <v>0</v>
      </c>
      <c r="M15">
        <v>58</v>
      </c>
      <c r="N15">
        <v>0.9355</v>
      </c>
      <c r="O15">
        <v>0</v>
      </c>
      <c r="P15">
        <v>0</v>
      </c>
    </row>
    <row r="16" spans="1:16">
      <c r="A16" s="454">
        <v>46508</v>
      </c>
      <c r="B16">
        <v>76</v>
      </c>
      <c r="C16">
        <v>5</v>
      </c>
      <c r="D16">
        <v>6.5799999999999997E-2</v>
      </c>
      <c r="E16">
        <v>0</v>
      </c>
      <c r="F16">
        <v>0</v>
      </c>
      <c r="G16">
        <v>0</v>
      </c>
      <c r="H16">
        <v>0</v>
      </c>
      <c r="I16">
        <v>0</v>
      </c>
      <c r="J16">
        <v>0</v>
      </c>
      <c r="K16">
        <v>0</v>
      </c>
      <c r="L16">
        <v>0</v>
      </c>
      <c r="M16">
        <v>71</v>
      </c>
      <c r="N16">
        <v>0.93420000000000003</v>
      </c>
      <c r="O16">
        <v>0</v>
      </c>
      <c r="P16">
        <v>0</v>
      </c>
    </row>
    <row r="17" spans="1:16">
      <c r="A17" s="454">
        <v>46539</v>
      </c>
      <c r="B17">
        <v>59</v>
      </c>
      <c r="C17">
        <v>0</v>
      </c>
      <c r="D17">
        <v>0</v>
      </c>
      <c r="E17">
        <v>0</v>
      </c>
      <c r="F17">
        <v>0</v>
      </c>
      <c r="G17">
        <v>0</v>
      </c>
      <c r="H17">
        <v>0</v>
      </c>
      <c r="I17">
        <v>0</v>
      </c>
      <c r="J17">
        <v>0</v>
      </c>
      <c r="K17">
        <v>0</v>
      </c>
      <c r="L17">
        <v>0</v>
      </c>
      <c r="M17">
        <v>59</v>
      </c>
      <c r="N17">
        <v>1</v>
      </c>
      <c r="O17">
        <v>0</v>
      </c>
      <c r="P17">
        <v>0</v>
      </c>
    </row>
    <row r="18" spans="1:16">
      <c r="A18" s="454">
        <v>46569</v>
      </c>
      <c r="B18">
        <v>86</v>
      </c>
      <c r="C18">
        <v>1</v>
      </c>
      <c r="D18">
        <v>1.1599999999999999E-2</v>
      </c>
      <c r="E18">
        <v>0</v>
      </c>
      <c r="F18">
        <v>0</v>
      </c>
      <c r="G18">
        <v>0</v>
      </c>
      <c r="H18">
        <v>0</v>
      </c>
      <c r="I18">
        <v>0</v>
      </c>
      <c r="J18">
        <v>0</v>
      </c>
      <c r="K18">
        <v>0</v>
      </c>
      <c r="L18">
        <v>0</v>
      </c>
      <c r="M18">
        <v>85</v>
      </c>
      <c r="N18">
        <v>0.98839999999999995</v>
      </c>
      <c r="O18">
        <v>0</v>
      </c>
      <c r="P18">
        <v>0</v>
      </c>
    </row>
    <row r="19" spans="1:16">
      <c r="A19" s="454">
        <v>46600</v>
      </c>
      <c r="B19">
        <v>59</v>
      </c>
      <c r="C19">
        <v>0</v>
      </c>
      <c r="D19">
        <v>0</v>
      </c>
      <c r="E19">
        <v>0</v>
      </c>
      <c r="F19">
        <v>0</v>
      </c>
      <c r="G19">
        <v>0</v>
      </c>
      <c r="H19">
        <v>0</v>
      </c>
      <c r="I19">
        <v>0</v>
      </c>
      <c r="J19">
        <v>0</v>
      </c>
      <c r="K19">
        <v>0</v>
      </c>
      <c r="L19">
        <v>0</v>
      </c>
      <c r="M19">
        <v>59</v>
      </c>
      <c r="N19">
        <v>1</v>
      </c>
      <c r="O19">
        <v>0</v>
      </c>
      <c r="P19">
        <v>0</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67989-76FE-4615-87D8-DAB80CEFF99E}">
  <sheetPr>
    <tabColor theme="6" tint="-0.499984740745262"/>
  </sheetPr>
  <dimension ref="A1:I164"/>
  <sheetViews>
    <sheetView workbookViewId="0">
      <selection sqref="A1:XFD1048576"/>
    </sheetView>
  </sheetViews>
  <sheetFormatPr defaultRowHeight="14.4"/>
  <cols>
    <col min="1" max="1" width="18.88671875" customWidth="1"/>
    <col min="2" max="3" width="54" customWidth="1"/>
    <col min="4" max="4" width="18.88671875" customWidth="1"/>
    <col min="5" max="5" width="16.21875" customWidth="1"/>
    <col min="6" max="6" width="48.5546875" customWidth="1"/>
    <col min="7" max="7" width="37.77734375" customWidth="1"/>
    <col min="8" max="8" width="29.6640625" customWidth="1"/>
    <col min="9" max="9" width="50" customWidth="1"/>
  </cols>
  <sheetData>
    <row r="1" spans="1:9">
      <c r="A1" s="1278" t="s">
        <v>5131</v>
      </c>
      <c r="B1" s="1240"/>
      <c r="C1" s="1240"/>
      <c r="D1" s="1240"/>
      <c r="E1" s="1240"/>
      <c r="F1" s="1240"/>
      <c r="G1" s="1240"/>
      <c r="H1" s="1240"/>
      <c r="I1" s="1240"/>
    </row>
    <row r="2" spans="1:9">
      <c r="A2" s="1212" t="s">
        <v>5132</v>
      </c>
      <c r="B2" s="1212" t="s">
        <v>5133</v>
      </c>
      <c r="C2" s="1212" t="s">
        <v>5134</v>
      </c>
      <c r="D2" s="1212" t="s">
        <v>5135</v>
      </c>
      <c r="E2" s="1212" t="s">
        <v>5136</v>
      </c>
      <c r="F2" s="1212" t="s">
        <v>5137</v>
      </c>
      <c r="G2" s="1212" t="s">
        <v>5138</v>
      </c>
      <c r="H2" s="1212" t="s">
        <v>5139</v>
      </c>
      <c r="I2" s="1212" t="s">
        <v>929</v>
      </c>
    </row>
    <row r="3" spans="1:9">
      <c r="A3" t="s">
        <v>5140</v>
      </c>
      <c r="B3" t="s">
        <v>5141</v>
      </c>
      <c r="C3" t="s">
        <v>5142</v>
      </c>
      <c r="D3" t="s">
        <v>5143</v>
      </c>
      <c r="E3" t="s">
        <v>5144</v>
      </c>
      <c r="F3" t="s">
        <v>5145</v>
      </c>
      <c r="G3" t="s">
        <v>5146</v>
      </c>
      <c r="H3" t="s">
        <v>5147</v>
      </c>
      <c r="I3" t="s">
        <v>5148</v>
      </c>
    </row>
    <row r="4" spans="1:9">
      <c r="A4" t="s">
        <v>5140</v>
      </c>
      <c r="B4" t="s">
        <v>5149</v>
      </c>
      <c r="C4" t="s">
        <v>5150</v>
      </c>
      <c r="D4" t="s">
        <v>5143</v>
      </c>
      <c r="E4" t="s">
        <v>5151</v>
      </c>
      <c r="F4" t="s">
        <v>5145</v>
      </c>
      <c r="G4" t="s">
        <v>5146</v>
      </c>
      <c r="H4" t="s">
        <v>5147</v>
      </c>
      <c r="I4" t="s">
        <v>5148</v>
      </c>
    </row>
    <row r="5" spans="1:9">
      <c r="A5" t="s">
        <v>5140</v>
      </c>
      <c r="B5" t="s">
        <v>5152</v>
      </c>
      <c r="C5" t="s">
        <v>5153</v>
      </c>
      <c r="D5" t="s">
        <v>5143</v>
      </c>
      <c r="E5" t="s">
        <v>5154</v>
      </c>
      <c r="F5" t="s">
        <v>5145</v>
      </c>
      <c r="G5" t="s">
        <v>5155</v>
      </c>
      <c r="H5" t="s">
        <v>11171</v>
      </c>
      <c r="I5" t="s">
        <v>5156</v>
      </c>
    </row>
    <row r="6" spans="1:9">
      <c r="A6" t="s">
        <v>5140</v>
      </c>
      <c r="B6" t="s">
        <v>5157</v>
      </c>
      <c r="C6" t="s">
        <v>5158</v>
      </c>
      <c r="D6" t="s">
        <v>5143</v>
      </c>
      <c r="E6" t="s">
        <v>5159</v>
      </c>
      <c r="F6" t="s">
        <v>5145</v>
      </c>
      <c r="G6" t="s">
        <v>5146</v>
      </c>
      <c r="H6" t="s">
        <v>5147</v>
      </c>
      <c r="I6" t="s">
        <v>5148</v>
      </c>
    </row>
    <row r="7" spans="1:9">
      <c r="A7" t="s">
        <v>5140</v>
      </c>
      <c r="B7" t="s">
        <v>5160</v>
      </c>
      <c r="C7" t="s">
        <v>5161</v>
      </c>
      <c r="D7" t="s">
        <v>5143</v>
      </c>
      <c r="E7" t="s">
        <v>5162</v>
      </c>
      <c r="F7" t="s">
        <v>5145</v>
      </c>
      <c r="G7" t="s">
        <v>5155</v>
      </c>
      <c r="H7" t="s">
        <v>5163</v>
      </c>
      <c r="I7" t="s">
        <v>5156</v>
      </c>
    </row>
    <row r="8" spans="1:9">
      <c r="A8" t="s">
        <v>5140</v>
      </c>
      <c r="B8" t="s">
        <v>5164</v>
      </c>
      <c r="C8" t="s">
        <v>5165</v>
      </c>
      <c r="D8" t="s">
        <v>5143</v>
      </c>
      <c r="E8" t="s">
        <v>5166</v>
      </c>
      <c r="F8" t="s">
        <v>5145</v>
      </c>
      <c r="G8" t="s">
        <v>5167</v>
      </c>
      <c r="H8" t="s">
        <v>5168</v>
      </c>
      <c r="I8" t="s">
        <v>5156</v>
      </c>
    </row>
    <row r="9" spans="1:9">
      <c r="A9" t="s">
        <v>5140</v>
      </c>
      <c r="B9" t="s">
        <v>5169</v>
      </c>
      <c r="C9" t="s">
        <v>5170</v>
      </c>
      <c r="D9" t="s">
        <v>5143</v>
      </c>
      <c r="E9" t="s">
        <v>5171</v>
      </c>
      <c r="F9" t="s">
        <v>5145</v>
      </c>
      <c r="G9" t="s">
        <v>5172</v>
      </c>
      <c r="H9" t="s">
        <v>5173</v>
      </c>
      <c r="I9" t="s">
        <v>5156</v>
      </c>
    </row>
    <row r="10" spans="1:9">
      <c r="A10" t="s">
        <v>5140</v>
      </c>
      <c r="B10" t="s">
        <v>5174</v>
      </c>
      <c r="C10" t="s">
        <v>5175</v>
      </c>
      <c r="D10" t="s">
        <v>5143</v>
      </c>
      <c r="E10" t="s">
        <v>5176</v>
      </c>
      <c r="F10" t="s">
        <v>5145</v>
      </c>
      <c r="G10" t="s">
        <v>5172</v>
      </c>
      <c r="H10" t="s">
        <v>5177</v>
      </c>
      <c r="I10" t="s">
        <v>5156</v>
      </c>
    </row>
    <row r="11" spans="1:9">
      <c r="A11" t="s">
        <v>5140</v>
      </c>
      <c r="B11" t="s">
        <v>5178</v>
      </c>
      <c r="C11" t="s">
        <v>5179</v>
      </c>
      <c r="D11" t="s">
        <v>5143</v>
      </c>
      <c r="E11" t="s">
        <v>5180</v>
      </c>
      <c r="F11" t="s">
        <v>5145</v>
      </c>
      <c r="G11" t="s">
        <v>5146</v>
      </c>
      <c r="H11" t="s">
        <v>5147</v>
      </c>
      <c r="I11" t="s">
        <v>5148</v>
      </c>
    </row>
    <row r="12" spans="1:9">
      <c r="A12" t="s">
        <v>5140</v>
      </c>
      <c r="B12" t="s">
        <v>5181</v>
      </c>
      <c r="C12" t="s">
        <v>5182</v>
      </c>
      <c r="D12" t="s">
        <v>5143</v>
      </c>
      <c r="E12" t="s">
        <v>5183</v>
      </c>
      <c r="F12" t="s">
        <v>11172</v>
      </c>
      <c r="G12" t="s">
        <v>5184</v>
      </c>
      <c r="H12" t="s">
        <v>5185</v>
      </c>
      <c r="I12" t="s">
        <v>5213</v>
      </c>
    </row>
    <row r="13" spans="1:9">
      <c r="A13" t="s">
        <v>5140</v>
      </c>
      <c r="B13" t="s">
        <v>5186</v>
      </c>
      <c r="C13" t="s">
        <v>5187</v>
      </c>
      <c r="D13" t="s">
        <v>5143</v>
      </c>
      <c r="E13" t="s">
        <v>5188</v>
      </c>
      <c r="F13" t="s">
        <v>5145</v>
      </c>
      <c r="G13" t="s">
        <v>5146</v>
      </c>
      <c r="H13" t="s">
        <v>5147</v>
      </c>
      <c r="I13" t="s">
        <v>5148</v>
      </c>
    </row>
    <row r="14" spans="1:9">
      <c r="A14" t="s">
        <v>5140</v>
      </c>
      <c r="B14" t="s">
        <v>5189</v>
      </c>
      <c r="C14" t="s">
        <v>5190</v>
      </c>
      <c r="D14" t="s">
        <v>5143</v>
      </c>
      <c r="E14" t="s">
        <v>5191</v>
      </c>
      <c r="F14" t="s">
        <v>5145</v>
      </c>
      <c r="G14" t="s">
        <v>5167</v>
      </c>
      <c r="H14" t="s">
        <v>5192</v>
      </c>
      <c r="I14" t="s">
        <v>5156</v>
      </c>
    </row>
    <row r="15" spans="1:9">
      <c r="A15" t="s">
        <v>5140</v>
      </c>
      <c r="B15" t="s">
        <v>5193</v>
      </c>
      <c r="C15" t="s">
        <v>5194</v>
      </c>
      <c r="D15" t="s">
        <v>5143</v>
      </c>
      <c r="E15" t="s">
        <v>5195</v>
      </c>
      <c r="F15" t="s">
        <v>5145</v>
      </c>
      <c r="G15" t="s">
        <v>5184</v>
      </c>
      <c r="H15" t="s">
        <v>5196</v>
      </c>
      <c r="I15" t="s">
        <v>11173</v>
      </c>
    </row>
    <row r="16" spans="1:9">
      <c r="A16" t="s">
        <v>5140</v>
      </c>
      <c r="B16" t="s">
        <v>5197</v>
      </c>
      <c r="C16" t="s">
        <v>5198</v>
      </c>
      <c r="D16" t="s">
        <v>5143</v>
      </c>
      <c r="E16" t="s">
        <v>5199</v>
      </c>
      <c r="F16" t="s">
        <v>5145</v>
      </c>
      <c r="G16" t="s">
        <v>5167</v>
      </c>
      <c r="H16" t="s">
        <v>5200</v>
      </c>
      <c r="I16" t="s">
        <v>5201</v>
      </c>
    </row>
    <row r="17" spans="1:9">
      <c r="A17" t="s">
        <v>5140</v>
      </c>
      <c r="B17" t="s">
        <v>5202</v>
      </c>
      <c r="C17" t="s">
        <v>5203</v>
      </c>
      <c r="D17" t="s">
        <v>5143</v>
      </c>
      <c r="E17" t="s">
        <v>5204</v>
      </c>
      <c r="F17" t="s">
        <v>11174</v>
      </c>
      <c r="G17" t="s">
        <v>5184</v>
      </c>
      <c r="H17" t="s">
        <v>5205</v>
      </c>
      <c r="I17" t="s">
        <v>5213</v>
      </c>
    </row>
    <row r="18" spans="1:9">
      <c r="A18" t="s">
        <v>5206</v>
      </c>
      <c r="B18" t="s">
        <v>5207</v>
      </c>
      <c r="C18" t="s">
        <v>5208</v>
      </c>
      <c r="D18" t="s">
        <v>5143</v>
      </c>
      <c r="E18" t="s">
        <v>5209</v>
      </c>
      <c r="F18" t="s">
        <v>5210</v>
      </c>
      <c r="G18" t="s">
        <v>5211</v>
      </c>
      <c r="H18" t="s">
        <v>5212</v>
      </c>
      <c r="I18" t="s">
        <v>5213</v>
      </c>
    </row>
    <row r="19" spans="1:9">
      <c r="A19" t="s">
        <v>5206</v>
      </c>
      <c r="B19" t="s">
        <v>5214</v>
      </c>
      <c r="C19" t="s">
        <v>5215</v>
      </c>
      <c r="D19" t="s">
        <v>5143</v>
      </c>
      <c r="E19" t="s">
        <v>5216</v>
      </c>
      <c r="F19" t="s">
        <v>5145</v>
      </c>
      <c r="G19" t="s">
        <v>5146</v>
      </c>
      <c r="H19" t="s">
        <v>5147</v>
      </c>
      <c r="I19" t="s">
        <v>5148</v>
      </c>
    </row>
    <row r="20" spans="1:9">
      <c r="A20" t="s">
        <v>5206</v>
      </c>
      <c r="B20" t="s">
        <v>5217</v>
      </c>
      <c r="C20" t="s">
        <v>5218</v>
      </c>
      <c r="D20" t="s">
        <v>5143</v>
      </c>
      <c r="E20" t="s">
        <v>5219</v>
      </c>
      <c r="F20" t="s">
        <v>5145</v>
      </c>
      <c r="G20" t="s">
        <v>5220</v>
      </c>
      <c r="H20" t="s">
        <v>5221</v>
      </c>
      <c r="I20" t="s">
        <v>5222</v>
      </c>
    </row>
    <row r="21" spans="1:9">
      <c r="A21" t="s">
        <v>5206</v>
      </c>
      <c r="B21" t="s">
        <v>5223</v>
      </c>
      <c r="C21" t="s">
        <v>5224</v>
      </c>
      <c r="D21" t="s">
        <v>5143</v>
      </c>
      <c r="E21" t="s">
        <v>5225</v>
      </c>
      <c r="F21" t="s">
        <v>5145</v>
      </c>
      <c r="G21" t="s">
        <v>5226</v>
      </c>
      <c r="H21" t="s">
        <v>5227</v>
      </c>
      <c r="I21" t="s">
        <v>5228</v>
      </c>
    </row>
    <row r="22" spans="1:9">
      <c r="A22" t="s">
        <v>5206</v>
      </c>
      <c r="B22" t="s">
        <v>5229</v>
      </c>
      <c r="C22" t="s">
        <v>5230</v>
      </c>
      <c r="D22" t="s">
        <v>5143</v>
      </c>
      <c r="E22" t="s">
        <v>5231</v>
      </c>
      <c r="F22" t="s">
        <v>5145</v>
      </c>
      <c r="G22" t="s">
        <v>5232</v>
      </c>
      <c r="H22" t="s">
        <v>5233</v>
      </c>
      <c r="I22" t="s">
        <v>5228</v>
      </c>
    </row>
    <row r="23" spans="1:9">
      <c r="A23" t="s">
        <v>5206</v>
      </c>
      <c r="B23" t="s">
        <v>5234</v>
      </c>
      <c r="C23" t="s">
        <v>5235</v>
      </c>
      <c r="D23" t="s">
        <v>5143</v>
      </c>
      <c r="E23" t="s">
        <v>5236</v>
      </c>
      <c r="F23" t="s">
        <v>5237</v>
      </c>
      <c r="G23" t="s">
        <v>5226</v>
      </c>
      <c r="H23" t="s">
        <v>5238</v>
      </c>
      <c r="I23" t="s">
        <v>5228</v>
      </c>
    </row>
    <row r="24" spans="1:9">
      <c r="A24" t="s">
        <v>5206</v>
      </c>
      <c r="B24" t="s">
        <v>5239</v>
      </c>
      <c r="C24" t="s">
        <v>5240</v>
      </c>
      <c r="D24" t="s">
        <v>5143</v>
      </c>
      <c r="E24" t="s">
        <v>5241</v>
      </c>
      <c r="F24" t="s">
        <v>5145</v>
      </c>
      <c r="G24" t="s">
        <v>5242</v>
      </c>
      <c r="H24" t="s">
        <v>5243</v>
      </c>
      <c r="I24" t="s">
        <v>5222</v>
      </c>
    </row>
    <row r="25" spans="1:9">
      <c r="A25" t="s">
        <v>5206</v>
      </c>
      <c r="B25" t="s">
        <v>5244</v>
      </c>
      <c r="C25" t="s">
        <v>5245</v>
      </c>
      <c r="D25" t="s">
        <v>5143</v>
      </c>
      <c r="E25" t="s">
        <v>5246</v>
      </c>
      <c r="F25" t="s">
        <v>5145</v>
      </c>
      <c r="G25" t="s">
        <v>5211</v>
      </c>
      <c r="H25" t="s">
        <v>5247</v>
      </c>
      <c r="I25" t="s">
        <v>5248</v>
      </c>
    </row>
    <row r="26" spans="1:9">
      <c r="A26" t="s">
        <v>5206</v>
      </c>
      <c r="B26" t="s">
        <v>5193</v>
      </c>
      <c r="C26" t="s">
        <v>5194</v>
      </c>
      <c r="D26" t="s">
        <v>5143</v>
      </c>
      <c r="E26" t="s">
        <v>5195</v>
      </c>
      <c r="F26" t="s">
        <v>5145</v>
      </c>
      <c r="G26" t="s">
        <v>5211</v>
      </c>
      <c r="H26" t="s">
        <v>5249</v>
      </c>
      <c r="I26" t="s">
        <v>5250</v>
      </c>
    </row>
    <row r="27" spans="1:9">
      <c r="A27" t="s">
        <v>5206</v>
      </c>
      <c r="B27" t="s">
        <v>5251</v>
      </c>
      <c r="C27" t="s">
        <v>5252</v>
      </c>
      <c r="D27" t="s">
        <v>5143</v>
      </c>
      <c r="E27" t="s">
        <v>5253</v>
      </c>
      <c r="F27" t="s">
        <v>5145</v>
      </c>
      <c r="G27" t="s">
        <v>5254</v>
      </c>
      <c r="H27" t="s">
        <v>5255</v>
      </c>
      <c r="I27" t="s">
        <v>5222</v>
      </c>
    </row>
    <row r="28" spans="1:9">
      <c r="A28" t="s">
        <v>5206</v>
      </c>
      <c r="B28" t="s">
        <v>5189</v>
      </c>
      <c r="C28" t="s">
        <v>5190</v>
      </c>
      <c r="D28" t="s">
        <v>5143</v>
      </c>
      <c r="E28" t="s">
        <v>5191</v>
      </c>
      <c r="F28" t="s">
        <v>5145</v>
      </c>
      <c r="G28" t="s">
        <v>5146</v>
      </c>
      <c r="H28" t="s">
        <v>5147</v>
      </c>
      <c r="I28" t="s">
        <v>5148</v>
      </c>
    </row>
    <row r="29" spans="1:9">
      <c r="A29" t="s">
        <v>5256</v>
      </c>
      <c r="B29" t="s">
        <v>5164</v>
      </c>
      <c r="C29" t="s">
        <v>5165</v>
      </c>
      <c r="D29" t="s">
        <v>5143</v>
      </c>
      <c r="E29" t="s">
        <v>5257</v>
      </c>
      <c r="F29" t="s">
        <v>5145</v>
      </c>
      <c r="G29" t="s">
        <v>5258</v>
      </c>
      <c r="H29" t="s">
        <v>5259</v>
      </c>
      <c r="I29" t="s">
        <v>5228</v>
      </c>
    </row>
    <row r="30" spans="1:9">
      <c r="A30" t="s">
        <v>5256</v>
      </c>
      <c r="B30" t="s">
        <v>5260</v>
      </c>
      <c r="C30" t="s">
        <v>5261</v>
      </c>
      <c r="D30" t="s">
        <v>5143</v>
      </c>
      <c r="E30" t="s">
        <v>5262</v>
      </c>
      <c r="F30" t="s">
        <v>5145</v>
      </c>
      <c r="G30" t="s">
        <v>5263</v>
      </c>
      <c r="H30" t="s">
        <v>5264</v>
      </c>
      <c r="I30" t="s">
        <v>5228</v>
      </c>
    </row>
    <row r="31" spans="1:9">
      <c r="A31" t="s">
        <v>5265</v>
      </c>
      <c r="B31" t="s">
        <v>5266</v>
      </c>
      <c r="C31" t="s">
        <v>5267</v>
      </c>
      <c r="D31" t="s">
        <v>5143</v>
      </c>
      <c r="E31" t="s">
        <v>5268</v>
      </c>
      <c r="F31" t="s">
        <v>5145</v>
      </c>
      <c r="G31" t="s">
        <v>5258</v>
      </c>
      <c r="H31" t="s">
        <v>5269</v>
      </c>
      <c r="I31" t="s">
        <v>5250</v>
      </c>
    </row>
    <row r="32" spans="1:9">
      <c r="A32" t="s">
        <v>5265</v>
      </c>
      <c r="B32" t="s">
        <v>5270</v>
      </c>
      <c r="C32" t="s">
        <v>5271</v>
      </c>
      <c r="D32" t="s">
        <v>5143</v>
      </c>
      <c r="E32" t="s">
        <v>5272</v>
      </c>
      <c r="F32" t="s">
        <v>5273</v>
      </c>
      <c r="G32" t="s">
        <v>5274</v>
      </c>
      <c r="H32" t="s">
        <v>5275</v>
      </c>
      <c r="I32" t="s">
        <v>5213</v>
      </c>
    </row>
    <row r="33" spans="1:9">
      <c r="A33" t="s">
        <v>5276</v>
      </c>
      <c r="B33" t="s">
        <v>5277</v>
      </c>
      <c r="C33" t="s">
        <v>5278</v>
      </c>
      <c r="D33" t="s">
        <v>5143</v>
      </c>
      <c r="E33" t="s">
        <v>5279</v>
      </c>
      <c r="F33" t="s">
        <v>5145</v>
      </c>
      <c r="G33" t="s">
        <v>5258</v>
      </c>
      <c r="H33" t="s">
        <v>5280</v>
      </c>
      <c r="I33" t="s">
        <v>5228</v>
      </c>
    </row>
    <row r="34" spans="1:9">
      <c r="A34" t="s">
        <v>5276</v>
      </c>
      <c r="B34" t="s">
        <v>5281</v>
      </c>
      <c r="C34" t="s">
        <v>5282</v>
      </c>
      <c r="D34" t="s">
        <v>5143</v>
      </c>
      <c r="E34" t="s">
        <v>5283</v>
      </c>
      <c r="F34" t="s">
        <v>5145</v>
      </c>
      <c r="G34" t="s">
        <v>5284</v>
      </c>
      <c r="H34" t="s">
        <v>5285</v>
      </c>
      <c r="I34" t="s">
        <v>5248</v>
      </c>
    </row>
    <row r="35" spans="1:9">
      <c r="A35" t="s">
        <v>5276</v>
      </c>
      <c r="B35" t="s">
        <v>5286</v>
      </c>
      <c r="C35" t="s">
        <v>5287</v>
      </c>
      <c r="D35" t="s">
        <v>5143</v>
      </c>
      <c r="E35" t="s">
        <v>5288</v>
      </c>
      <c r="F35" t="s">
        <v>5289</v>
      </c>
      <c r="G35" t="s">
        <v>5284</v>
      </c>
      <c r="H35" t="s">
        <v>5290</v>
      </c>
      <c r="I35" t="s">
        <v>5213</v>
      </c>
    </row>
    <row r="36" spans="1:9">
      <c r="A36" t="s">
        <v>5276</v>
      </c>
      <c r="B36" t="s">
        <v>5291</v>
      </c>
      <c r="C36" t="s">
        <v>5292</v>
      </c>
      <c r="D36" t="s">
        <v>5143</v>
      </c>
      <c r="E36" t="s">
        <v>5293</v>
      </c>
      <c r="F36" t="s">
        <v>5145</v>
      </c>
      <c r="G36" t="s">
        <v>5274</v>
      </c>
      <c r="H36" t="s">
        <v>5294</v>
      </c>
      <c r="I36" t="s">
        <v>5222</v>
      </c>
    </row>
    <row r="37" spans="1:9">
      <c r="A37" t="s">
        <v>5276</v>
      </c>
      <c r="B37" t="s">
        <v>5295</v>
      </c>
      <c r="C37" t="s">
        <v>5296</v>
      </c>
      <c r="D37" t="s">
        <v>5143</v>
      </c>
      <c r="E37" t="s">
        <v>5297</v>
      </c>
      <c r="F37" t="s">
        <v>5145</v>
      </c>
      <c r="G37" t="s">
        <v>5284</v>
      </c>
      <c r="H37" t="s">
        <v>5298</v>
      </c>
      <c r="I37" t="s">
        <v>5228</v>
      </c>
    </row>
    <row r="38" spans="1:9">
      <c r="A38" t="s">
        <v>5276</v>
      </c>
      <c r="B38" t="s">
        <v>5299</v>
      </c>
      <c r="C38" t="s">
        <v>5300</v>
      </c>
      <c r="D38" t="s">
        <v>5143</v>
      </c>
      <c r="E38" t="s">
        <v>5301</v>
      </c>
      <c r="F38" t="s">
        <v>5145</v>
      </c>
      <c r="G38" t="s">
        <v>5284</v>
      </c>
      <c r="H38" t="s">
        <v>5302</v>
      </c>
      <c r="I38" t="s">
        <v>5228</v>
      </c>
    </row>
    <row r="39" spans="1:9">
      <c r="A39" t="s">
        <v>5276</v>
      </c>
      <c r="B39" t="s">
        <v>5303</v>
      </c>
      <c r="C39" t="s">
        <v>5304</v>
      </c>
      <c r="D39" t="s">
        <v>5143</v>
      </c>
      <c r="E39" t="s">
        <v>5305</v>
      </c>
      <c r="F39" t="s">
        <v>5145</v>
      </c>
      <c r="G39" t="s">
        <v>5258</v>
      </c>
      <c r="H39" t="s">
        <v>5306</v>
      </c>
      <c r="I39" t="s">
        <v>5222</v>
      </c>
    </row>
    <row r="40" spans="1:9">
      <c r="A40" t="s">
        <v>5276</v>
      </c>
      <c r="B40" t="s">
        <v>5307</v>
      </c>
      <c r="C40" t="s">
        <v>5308</v>
      </c>
      <c r="D40" t="s">
        <v>5143</v>
      </c>
      <c r="E40" t="s">
        <v>5309</v>
      </c>
      <c r="F40" t="s">
        <v>5145</v>
      </c>
      <c r="G40" t="s">
        <v>5146</v>
      </c>
      <c r="H40" t="s">
        <v>5147</v>
      </c>
      <c r="I40" t="s">
        <v>5310</v>
      </c>
    </row>
    <row r="41" spans="1:9">
      <c r="A41" t="s">
        <v>5276</v>
      </c>
      <c r="B41" t="s">
        <v>5311</v>
      </c>
      <c r="C41" t="s">
        <v>5312</v>
      </c>
      <c r="D41" t="s">
        <v>5143</v>
      </c>
      <c r="E41" t="s">
        <v>5313</v>
      </c>
      <c r="F41" t="s">
        <v>5314</v>
      </c>
      <c r="G41" t="s">
        <v>5284</v>
      </c>
      <c r="H41" t="s">
        <v>5315</v>
      </c>
      <c r="I41" t="s">
        <v>5316</v>
      </c>
    </row>
    <row r="42" spans="1:9">
      <c r="A42" t="s">
        <v>5276</v>
      </c>
      <c r="B42" t="s">
        <v>5317</v>
      </c>
      <c r="C42" t="s">
        <v>5318</v>
      </c>
      <c r="D42" t="s">
        <v>5143</v>
      </c>
      <c r="E42" t="s">
        <v>5319</v>
      </c>
      <c r="F42" t="s">
        <v>5145</v>
      </c>
      <c r="G42" t="s">
        <v>5258</v>
      </c>
      <c r="H42" t="s">
        <v>5320</v>
      </c>
      <c r="I42" t="s">
        <v>5228</v>
      </c>
    </row>
    <row r="43" spans="1:9">
      <c r="A43" t="s">
        <v>5276</v>
      </c>
      <c r="B43" t="s">
        <v>5321</v>
      </c>
      <c r="C43" t="s">
        <v>5322</v>
      </c>
      <c r="D43" t="s">
        <v>5143</v>
      </c>
      <c r="E43" t="s">
        <v>5323</v>
      </c>
      <c r="F43" t="s">
        <v>5145</v>
      </c>
      <c r="G43" t="s">
        <v>5146</v>
      </c>
      <c r="H43" t="s">
        <v>5147</v>
      </c>
      <c r="I43" t="s">
        <v>5310</v>
      </c>
    </row>
    <row r="44" spans="1:9">
      <c r="A44" t="s">
        <v>5276</v>
      </c>
      <c r="B44" t="s">
        <v>5324</v>
      </c>
      <c r="C44" t="s">
        <v>5325</v>
      </c>
      <c r="D44" t="s">
        <v>5143</v>
      </c>
      <c r="E44" t="s">
        <v>5326</v>
      </c>
      <c r="F44" t="s">
        <v>5145</v>
      </c>
      <c r="G44" t="s">
        <v>5258</v>
      </c>
      <c r="H44" t="s">
        <v>5327</v>
      </c>
      <c r="I44" t="s">
        <v>5228</v>
      </c>
    </row>
    <row r="45" spans="1:9">
      <c r="A45" t="s">
        <v>5276</v>
      </c>
      <c r="B45" t="s">
        <v>5328</v>
      </c>
      <c r="C45" t="s">
        <v>5329</v>
      </c>
      <c r="D45" t="s">
        <v>5143</v>
      </c>
      <c r="E45" t="s">
        <v>5330</v>
      </c>
      <c r="F45" t="s">
        <v>5145</v>
      </c>
      <c r="G45" t="s">
        <v>5258</v>
      </c>
      <c r="H45" t="s">
        <v>5331</v>
      </c>
      <c r="I45" t="s">
        <v>5222</v>
      </c>
    </row>
    <row r="46" spans="1:9">
      <c r="A46" t="s">
        <v>5276</v>
      </c>
      <c r="B46" t="s">
        <v>5202</v>
      </c>
      <c r="C46" t="s">
        <v>5203</v>
      </c>
      <c r="D46" t="s">
        <v>5143</v>
      </c>
      <c r="E46" t="s">
        <v>5332</v>
      </c>
      <c r="F46" t="s">
        <v>5145</v>
      </c>
      <c r="G46" t="s">
        <v>5258</v>
      </c>
      <c r="H46" t="s">
        <v>5333</v>
      </c>
      <c r="I46" t="s">
        <v>5250</v>
      </c>
    </row>
    <row r="47" spans="1:9">
      <c r="A47" t="s">
        <v>5276</v>
      </c>
      <c r="B47" t="s">
        <v>5334</v>
      </c>
      <c r="C47" t="s">
        <v>5335</v>
      </c>
      <c r="D47" t="s">
        <v>5143</v>
      </c>
      <c r="E47" t="s">
        <v>5336</v>
      </c>
      <c r="F47" t="s">
        <v>5145</v>
      </c>
      <c r="G47" t="s">
        <v>5146</v>
      </c>
      <c r="H47" t="s">
        <v>5147</v>
      </c>
      <c r="I47" t="s">
        <v>5310</v>
      </c>
    </row>
    <row r="48" spans="1:9">
      <c r="A48" t="s">
        <v>5276</v>
      </c>
      <c r="B48" t="s">
        <v>5181</v>
      </c>
      <c r="C48" t="s">
        <v>5182</v>
      </c>
      <c r="D48" t="s">
        <v>5143</v>
      </c>
      <c r="E48" t="s">
        <v>5236</v>
      </c>
      <c r="F48" t="s">
        <v>5145</v>
      </c>
      <c r="G48" t="s">
        <v>5284</v>
      </c>
      <c r="H48" t="s">
        <v>5337</v>
      </c>
      <c r="I48" t="s">
        <v>5250</v>
      </c>
    </row>
    <row r="49" spans="1:9">
      <c r="A49" t="s">
        <v>5338</v>
      </c>
      <c r="B49" t="s">
        <v>5217</v>
      </c>
      <c r="C49" t="s">
        <v>5218</v>
      </c>
      <c r="D49" t="s">
        <v>5143</v>
      </c>
      <c r="E49" t="s">
        <v>5339</v>
      </c>
      <c r="F49" t="s">
        <v>5145</v>
      </c>
      <c r="G49" t="s">
        <v>5146</v>
      </c>
      <c r="H49" t="s">
        <v>5147</v>
      </c>
      <c r="I49" t="s">
        <v>5148</v>
      </c>
    </row>
    <row r="50" spans="1:9">
      <c r="A50" t="s">
        <v>5338</v>
      </c>
      <c r="B50" t="s">
        <v>5214</v>
      </c>
      <c r="C50" t="s">
        <v>5215</v>
      </c>
      <c r="D50" t="s">
        <v>5143</v>
      </c>
      <c r="E50" t="s">
        <v>5340</v>
      </c>
      <c r="F50" t="s">
        <v>5145</v>
      </c>
      <c r="G50" t="s">
        <v>5146</v>
      </c>
      <c r="H50" t="s">
        <v>5147</v>
      </c>
      <c r="I50" t="s">
        <v>5310</v>
      </c>
    </row>
    <row r="51" spans="1:9">
      <c r="A51" t="s">
        <v>5338</v>
      </c>
      <c r="B51" t="s">
        <v>5174</v>
      </c>
      <c r="C51" t="s">
        <v>5175</v>
      </c>
      <c r="D51" t="s">
        <v>5143</v>
      </c>
      <c r="E51" t="s">
        <v>5341</v>
      </c>
      <c r="F51" t="s">
        <v>5145</v>
      </c>
      <c r="G51" t="s">
        <v>5146</v>
      </c>
      <c r="H51" t="s">
        <v>5147</v>
      </c>
      <c r="I51" t="s">
        <v>5310</v>
      </c>
    </row>
    <row r="52" spans="1:9">
      <c r="A52" t="s">
        <v>5338</v>
      </c>
      <c r="B52" t="s">
        <v>5342</v>
      </c>
      <c r="C52" t="s">
        <v>5343</v>
      </c>
      <c r="D52" t="s">
        <v>5143</v>
      </c>
      <c r="E52" t="s">
        <v>5344</v>
      </c>
      <c r="F52" t="s">
        <v>5145</v>
      </c>
      <c r="G52" t="s">
        <v>5146</v>
      </c>
      <c r="H52" t="s">
        <v>5147</v>
      </c>
      <c r="I52" t="s">
        <v>5310</v>
      </c>
    </row>
    <row r="53" spans="1:9">
      <c r="A53" t="s">
        <v>5338</v>
      </c>
      <c r="B53" t="s">
        <v>5345</v>
      </c>
      <c r="C53" t="s">
        <v>5346</v>
      </c>
      <c r="D53" t="s">
        <v>5143</v>
      </c>
      <c r="E53" t="s">
        <v>5347</v>
      </c>
      <c r="F53" t="s">
        <v>5348</v>
      </c>
      <c r="G53" t="s">
        <v>5349</v>
      </c>
      <c r="H53" t="s">
        <v>5350</v>
      </c>
      <c r="I53" t="s">
        <v>11175</v>
      </c>
    </row>
    <row r="54" spans="1:9">
      <c r="A54" t="s">
        <v>5338</v>
      </c>
      <c r="B54" t="s">
        <v>5351</v>
      </c>
      <c r="C54" t="s">
        <v>5352</v>
      </c>
      <c r="D54" t="s">
        <v>5143</v>
      </c>
      <c r="E54" t="s">
        <v>5353</v>
      </c>
      <c r="F54" t="s">
        <v>5354</v>
      </c>
      <c r="G54" t="s">
        <v>5349</v>
      </c>
      <c r="H54" t="s">
        <v>5355</v>
      </c>
      <c r="I54" t="s">
        <v>5316</v>
      </c>
    </row>
    <row r="55" spans="1:9">
      <c r="A55" t="s">
        <v>5338</v>
      </c>
      <c r="B55" t="s">
        <v>5299</v>
      </c>
      <c r="C55" t="s">
        <v>5300</v>
      </c>
      <c r="D55" t="s">
        <v>5143</v>
      </c>
      <c r="E55" t="s">
        <v>5356</v>
      </c>
      <c r="F55" t="s">
        <v>5145</v>
      </c>
      <c r="G55" t="s">
        <v>5146</v>
      </c>
      <c r="H55" t="s">
        <v>5147</v>
      </c>
      <c r="I55" t="s">
        <v>5310</v>
      </c>
    </row>
    <row r="56" spans="1:9">
      <c r="A56" t="s">
        <v>5338</v>
      </c>
      <c r="B56" t="s">
        <v>5357</v>
      </c>
      <c r="C56" t="s">
        <v>5358</v>
      </c>
      <c r="D56" t="s">
        <v>5143</v>
      </c>
      <c r="E56" t="s">
        <v>5359</v>
      </c>
      <c r="F56" t="s">
        <v>5360</v>
      </c>
      <c r="G56" t="s">
        <v>5361</v>
      </c>
      <c r="H56" t="s">
        <v>5362</v>
      </c>
      <c r="I56" t="s">
        <v>11175</v>
      </c>
    </row>
    <row r="57" spans="1:9">
      <c r="A57" t="s">
        <v>5338</v>
      </c>
      <c r="B57" t="s">
        <v>5363</v>
      </c>
      <c r="C57" t="s">
        <v>5364</v>
      </c>
      <c r="D57" t="s">
        <v>5143</v>
      </c>
      <c r="E57" t="s">
        <v>5365</v>
      </c>
      <c r="F57" t="s">
        <v>5145</v>
      </c>
      <c r="G57" t="s">
        <v>5349</v>
      </c>
      <c r="H57" t="s">
        <v>5366</v>
      </c>
      <c r="I57" t="s">
        <v>5228</v>
      </c>
    </row>
    <row r="58" spans="1:9">
      <c r="A58" t="s">
        <v>5338</v>
      </c>
      <c r="B58" t="s">
        <v>5311</v>
      </c>
      <c r="C58" t="s">
        <v>5312</v>
      </c>
      <c r="D58" t="s">
        <v>5143</v>
      </c>
      <c r="E58" t="s">
        <v>5367</v>
      </c>
      <c r="F58" t="s">
        <v>5145</v>
      </c>
      <c r="G58" t="s">
        <v>5146</v>
      </c>
      <c r="H58" t="s">
        <v>5147</v>
      </c>
      <c r="I58" t="s">
        <v>5148</v>
      </c>
    </row>
    <row r="59" spans="1:9">
      <c r="A59" t="s">
        <v>5338</v>
      </c>
      <c r="B59" t="s">
        <v>5207</v>
      </c>
      <c r="C59" t="s">
        <v>5208</v>
      </c>
      <c r="D59" t="s">
        <v>5143</v>
      </c>
      <c r="E59" t="s">
        <v>5368</v>
      </c>
      <c r="F59" t="s">
        <v>5145</v>
      </c>
      <c r="G59" t="s">
        <v>5361</v>
      </c>
      <c r="H59" t="s">
        <v>5369</v>
      </c>
      <c r="I59" t="s">
        <v>5250</v>
      </c>
    </row>
    <row r="60" spans="1:9">
      <c r="A60" t="s">
        <v>5338</v>
      </c>
      <c r="B60" t="s">
        <v>5370</v>
      </c>
      <c r="C60" t="s">
        <v>5371</v>
      </c>
      <c r="D60" t="s">
        <v>5143</v>
      </c>
      <c r="E60" t="s">
        <v>5372</v>
      </c>
      <c r="F60" t="s">
        <v>5145</v>
      </c>
      <c r="G60" t="s">
        <v>5373</v>
      </c>
      <c r="H60" t="s">
        <v>5374</v>
      </c>
      <c r="I60" t="s">
        <v>5222</v>
      </c>
    </row>
    <row r="61" spans="1:9">
      <c r="A61" t="s">
        <v>5338</v>
      </c>
      <c r="B61" t="s">
        <v>5277</v>
      </c>
      <c r="C61" t="s">
        <v>5278</v>
      </c>
      <c r="D61" t="s">
        <v>5143</v>
      </c>
      <c r="E61" t="s">
        <v>5279</v>
      </c>
      <c r="F61" t="s">
        <v>5145</v>
      </c>
      <c r="G61" t="s">
        <v>5146</v>
      </c>
      <c r="H61" t="s">
        <v>5147</v>
      </c>
      <c r="I61" t="s">
        <v>5310</v>
      </c>
    </row>
    <row r="62" spans="1:9">
      <c r="A62" t="s">
        <v>5338</v>
      </c>
      <c r="B62" t="s">
        <v>5286</v>
      </c>
      <c r="C62" t="s">
        <v>5287</v>
      </c>
      <c r="D62" t="s">
        <v>5143</v>
      </c>
      <c r="E62" t="s">
        <v>5375</v>
      </c>
      <c r="F62" t="s">
        <v>5145</v>
      </c>
      <c r="G62" t="s">
        <v>5146</v>
      </c>
      <c r="H62" t="s">
        <v>5147</v>
      </c>
      <c r="I62" t="s">
        <v>5148</v>
      </c>
    </row>
    <row r="63" spans="1:9">
      <c r="A63" t="s">
        <v>5338</v>
      </c>
      <c r="B63" t="s">
        <v>5376</v>
      </c>
      <c r="C63" t="s">
        <v>5377</v>
      </c>
      <c r="D63" t="s">
        <v>5143</v>
      </c>
      <c r="E63" t="s">
        <v>5378</v>
      </c>
      <c r="F63" t="s">
        <v>5379</v>
      </c>
      <c r="G63" t="s">
        <v>5380</v>
      </c>
      <c r="H63" t="s">
        <v>5381</v>
      </c>
      <c r="I63" t="s">
        <v>5316</v>
      </c>
    </row>
    <row r="64" spans="1:9">
      <c r="A64" t="s">
        <v>5338</v>
      </c>
      <c r="B64" t="s">
        <v>5382</v>
      </c>
      <c r="C64" t="s">
        <v>5383</v>
      </c>
      <c r="D64" t="s">
        <v>5143</v>
      </c>
      <c r="E64" t="s">
        <v>5384</v>
      </c>
      <c r="F64" t="s">
        <v>5145</v>
      </c>
      <c r="G64" t="s">
        <v>5349</v>
      </c>
      <c r="H64" t="s">
        <v>5385</v>
      </c>
      <c r="I64" t="s">
        <v>5228</v>
      </c>
    </row>
    <row r="65" spans="1:9">
      <c r="A65" t="s">
        <v>5338</v>
      </c>
      <c r="B65" t="s">
        <v>5307</v>
      </c>
      <c r="C65" t="s">
        <v>5308</v>
      </c>
      <c r="D65" t="s">
        <v>5143</v>
      </c>
      <c r="E65" t="s">
        <v>5386</v>
      </c>
      <c r="F65" t="s">
        <v>5145</v>
      </c>
      <c r="G65" t="s">
        <v>5146</v>
      </c>
      <c r="H65" t="s">
        <v>5147</v>
      </c>
      <c r="I65" t="s">
        <v>5148</v>
      </c>
    </row>
    <row r="66" spans="1:9">
      <c r="A66" t="s">
        <v>5338</v>
      </c>
      <c r="B66" t="s">
        <v>5387</v>
      </c>
      <c r="C66" t="s">
        <v>5388</v>
      </c>
      <c r="D66" t="s">
        <v>5143</v>
      </c>
      <c r="E66" t="s">
        <v>5389</v>
      </c>
      <c r="F66" t="s">
        <v>5390</v>
      </c>
      <c r="G66" t="s">
        <v>5391</v>
      </c>
      <c r="H66" t="s">
        <v>5392</v>
      </c>
      <c r="I66" t="s">
        <v>5213</v>
      </c>
    </row>
    <row r="67" spans="1:9">
      <c r="A67" t="s">
        <v>5338</v>
      </c>
      <c r="B67" t="s">
        <v>5393</v>
      </c>
      <c r="C67" t="s">
        <v>5394</v>
      </c>
      <c r="D67" t="s">
        <v>5143</v>
      </c>
      <c r="E67" t="s">
        <v>5395</v>
      </c>
      <c r="F67" t="s">
        <v>5145</v>
      </c>
      <c r="G67" t="s">
        <v>5349</v>
      </c>
      <c r="H67" t="s">
        <v>5396</v>
      </c>
      <c r="I67" t="s">
        <v>5228</v>
      </c>
    </row>
    <row r="68" spans="1:9">
      <c r="A68" t="s">
        <v>5338</v>
      </c>
      <c r="B68" t="s">
        <v>5397</v>
      </c>
      <c r="C68" t="s">
        <v>5398</v>
      </c>
      <c r="D68" t="s">
        <v>5143</v>
      </c>
      <c r="E68" t="s">
        <v>5399</v>
      </c>
      <c r="F68" t="s">
        <v>5145</v>
      </c>
      <c r="G68" t="s">
        <v>5373</v>
      </c>
      <c r="H68" t="s">
        <v>5400</v>
      </c>
      <c r="I68" t="s">
        <v>5222</v>
      </c>
    </row>
    <row r="69" spans="1:9">
      <c r="A69" t="s">
        <v>5338</v>
      </c>
      <c r="B69" t="s">
        <v>5401</v>
      </c>
      <c r="C69" t="s">
        <v>5402</v>
      </c>
      <c r="D69" t="s">
        <v>5143</v>
      </c>
      <c r="E69" t="s">
        <v>5403</v>
      </c>
      <c r="F69" t="s">
        <v>5404</v>
      </c>
      <c r="G69" t="s">
        <v>5349</v>
      </c>
      <c r="H69" t="s">
        <v>5405</v>
      </c>
      <c r="I69" t="s">
        <v>11175</v>
      </c>
    </row>
    <row r="70" spans="1:9">
      <c r="A70" t="s">
        <v>5338</v>
      </c>
      <c r="B70" t="s">
        <v>5406</v>
      </c>
      <c r="C70" t="s">
        <v>5407</v>
      </c>
      <c r="D70" t="s">
        <v>5143</v>
      </c>
      <c r="E70" t="s">
        <v>5408</v>
      </c>
      <c r="F70" t="s">
        <v>5145</v>
      </c>
      <c r="G70" t="s">
        <v>5349</v>
      </c>
      <c r="H70" t="s">
        <v>5409</v>
      </c>
      <c r="I70" t="s">
        <v>5228</v>
      </c>
    </row>
    <row r="71" spans="1:9">
      <c r="A71" t="s">
        <v>5338</v>
      </c>
      <c r="B71" t="s">
        <v>5260</v>
      </c>
      <c r="C71" t="s">
        <v>5261</v>
      </c>
      <c r="D71" t="s">
        <v>5143</v>
      </c>
      <c r="E71" t="s">
        <v>5410</v>
      </c>
      <c r="F71" t="s">
        <v>5145</v>
      </c>
      <c r="G71" t="s">
        <v>5373</v>
      </c>
      <c r="H71" t="s">
        <v>5411</v>
      </c>
      <c r="I71" t="s">
        <v>5250</v>
      </c>
    </row>
    <row r="72" spans="1:9">
      <c r="A72" t="s">
        <v>5338</v>
      </c>
      <c r="B72" t="s">
        <v>5412</v>
      </c>
      <c r="C72" t="s">
        <v>5413</v>
      </c>
      <c r="D72" t="s">
        <v>5143</v>
      </c>
      <c r="E72" t="s">
        <v>5414</v>
      </c>
      <c r="F72" t="s">
        <v>5415</v>
      </c>
      <c r="G72" t="s">
        <v>5349</v>
      </c>
      <c r="H72" t="s">
        <v>5416</v>
      </c>
      <c r="I72" t="s">
        <v>5417</v>
      </c>
    </row>
    <row r="73" spans="1:9">
      <c r="A73" t="s">
        <v>5338</v>
      </c>
      <c r="B73" t="s">
        <v>5418</v>
      </c>
      <c r="C73" t="s">
        <v>5419</v>
      </c>
      <c r="D73" t="s">
        <v>5143</v>
      </c>
      <c r="E73" t="s">
        <v>5420</v>
      </c>
      <c r="F73" t="s">
        <v>5145</v>
      </c>
      <c r="G73" t="s">
        <v>5146</v>
      </c>
      <c r="H73" t="s">
        <v>5147</v>
      </c>
      <c r="I73" t="s">
        <v>5148</v>
      </c>
    </row>
    <row r="74" spans="1:9">
      <c r="A74" t="s">
        <v>5338</v>
      </c>
      <c r="B74" t="s">
        <v>5421</v>
      </c>
      <c r="C74" t="s">
        <v>5422</v>
      </c>
      <c r="D74" t="s">
        <v>5143</v>
      </c>
      <c r="E74" t="s">
        <v>5423</v>
      </c>
      <c r="F74" t="s">
        <v>5424</v>
      </c>
      <c r="G74" t="s">
        <v>5361</v>
      </c>
      <c r="H74" t="s">
        <v>5425</v>
      </c>
      <c r="I74" t="s">
        <v>11175</v>
      </c>
    </row>
    <row r="75" spans="1:9">
      <c r="A75" t="s">
        <v>5338</v>
      </c>
      <c r="B75" t="s">
        <v>5426</v>
      </c>
      <c r="C75" t="s">
        <v>5427</v>
      </c>
      <c r="D75" t="s">
        <v>5143</v>
      </c>
      <c r="E75" t="s">
        <v>5428</v>
      </c>
      <c r="F75" t="s">
        <v>5145</v>
      </c>
      <c r="G75" t="s">
        <v>5146</v>
      </c>
      <c r="H75" t="s">
        <v>5147</v>
      </c>
      <c r="I75" t="s">
        <v>5310</v>
      </c>
    </row>
    <row r="76" spans="1:9">
      <c r="A76" t="s">
        <v>5338</v>
      </c>
      <c r="B76" t="s">
        <v>5429</v>
      </c>
      <c r="C76" t="s">
        <v>5430</v>
      </c>
      <c r="D76" t="s">
        <v>5143</v>
      </c>
      <c r="E76" t="s">
        <v>5431</v>
      </c>
      <c r="F76" t="s">
        <v>5145</v>
      </c>
      <c r="G76" t="s">
        <v>5349</v>
      </c>
      <c r="H76" t="s">
        <v>5432</v>
      </c>
      <c r="I76" t="s">
        <v>5228</v>
      </c>
    </row>
    <row r="77" spans="1:9">
      <c r="A77" t="s">
        <v>5338</v>
      </c>
      <c r="B77" t="s">
        <v>5229</v>
      </c>
      <c r="C77" t="s">
        <v>5230</v>
      </c>
      <c r="D77" t="s">
        <v>5143</v>
      </c>
      <c r="E77" t="s">
        <v>5433</v>
      </c>
      <c r="F77" t="s">
        <v>5145</v>
      </c>
      <c r="G77" t="s">
        <v>5361</v>
      </c>
      <c r="H77" t="s">
        <v>5434</v>
      </c>
      <c r="I77" t="s">
        <v>5250</v>
      </c>
    </row>
    <row r="78" spans="1:9">
      <c r="A78" t="s">
        <v>5338</v>
      </c>
      <c r="B78" t="s">
        <v>5164</v>
      </c>
      <c r="C78" t="s">
        <v>5165</v>
      </c>
      <c r="D78" t="s">
        <v>5143</v>
      </c>
      <c r="E78" t="s">
        <v>5435</v>
      </c>
      <c r="F78" t="s">
        <v>5145</v>
      </c>
      <c r="G78" t="s">
        <v>5361</v>
      </c>
      <c r="H78" t="s">
        <v>5436</v>
      </c>
      <c r="I78" t="s">
        <v>5222</v>
      </c>
    </row>
    <row r="79" spans="1:9">
      <c r="A79" t="s">
        <v>5338</v>
      </c>
      <c r="B79" t="s">
        <v>5437</v>
      </c>
      <c r="C79" t="s">
        <v>5438</v>
      </c>
      <c r="D79" t="s">
        <v>5143</v>
      </c>
      <c r="E79" t="s">
        <v>5439</v>
      </c>
      <c r="F79" t="s">
        <v>5145</v>
      </c>
      <c r="G79" t="s">
        <v>5146</v>
      </c>
      <c r="H79" t="s">
        <v>5147</v>
      </c>
      <c r="I79" t="s">
        <v>5148</v>
      </c>
    </row>
    <row r="80" spans="1:9">
      <c r="A80" t="s">
        <v>5338</v>
      </c>
      <c r="B80" t="s">
        <v>5440</v>
      </c>
      <c r="C80" t="s">
        <v>5441</v>
      </c>
      <c r="D80" t="s">
        <v>5143</v>
      </c>
      <c r="E80" t="s">
        <v>5442</v>
      </c>
      <c r="F80" t="s">
        <v>5443</v>
      </c>
      <c r="G80" t="s">
        <v>5361</v>
      </c>
      <c r="H80" t="s">
        <v>5444</v>
      </c>
      <c r="I80" t="s">
        <v>11175</v>
      </c>
    </row>
    <row r="81" spans="1:9">
      <c r="A81" t="s">
        <v>5338</v>
      </c>
      <c r="B81" t="s">
        <v>5445</v>
      </c>
      <c r="C81" t="s">
        <v>5446</v>
      </c>
      <c r="D81" t="s">
        <v>5143</v>
      </c>
      <c r="E81" t="s">
        <v>5447</v>
      </c>
      <c r="F81" t="s">
        <v>5448</v>
      </c>
      <c r="G81" t="s">
        <v>5391</v>
      </c>
      <c r="H81" t="s">
        <v>5449</v>
      </c>
      <c r="I81" t="s">
        <v>5213</v>
      </c>
    </row>
    <row r="82" spans="1:9">
      <c r="A82" t="s">
        <v>5338</v>
      </c>
      <c r="B82" t="s">
        <v>5450</v>
      </c>
      <c r="C82" t="s">
        <v>5451</v>
      </c>
      <c r="D82" t="s">
        <v>5143</v>
      </c>
      <c r="E82" t="s">
        <v>5452</v>
      </c>
      <c r="F82" t="s">
        <v>5145</v>
      </c>
      <c r="G82" t="s">
        <v>5373</v>
      </c>
      <c r="H82" t="s">
        <v>5453</v>
      </c>
      <c r="I82" t="s">
        <v>5222</v>
      </c>
    </row>
    <row r="83" spans="1:9">
      <c r="A83" t="s">
        <v>5338</v>
      </c>
      <c r="B83" t="s">
        <v>5454</v>
      </c>
      <c r="C83" t="s">
        <v>5455</v>
      </c>
      <c r="D83" t="s">
        <v>5143</v>
      </c>
      <c r="E83" t="s">
        <v>5456</v>
      </c>
      <c r="F83" t="s">
        <v>5145</v>
      </c>
      <c r="G83" t="s">
        <v>5361</v>
      </c>
      <c r="H83" t="s">
        <v>5457</v>
      </c>
      <c r="I83" t="s">
        <v>5222</v>
      </c>
    </row>
    <row r="84" spans="1:9">
      <c r="A84" t="s">
        <v>5338</v>
      </c>
      <c r="B84" t="s">
        <v>5458</v>
      </c>
      <c r="C84" t="s">
        <v>5459</v>
      </c>
      <c r="D84" t="s">
        <v>5143</v>
      </c>
      <c r="E84" t="s">
        <v>5460</v>
      </c>
      <c r="F84" t="s">
        <v>5145</v>
      </c>
      <c r="G84" t="s">
        <v>5391</v>
      </c>
      <c r="H84" t="s">
        <v>5461</v>
      </c>
      <c r="I84" t="s">
        <v>5222</v>
      </c>
    </row>
    <row r="85" spans="1:9">
      <c r="A85" t="s">
        <v>5338</v>
      </c>
      <c r="B85" t="s">
        <v>5181</v>
      </c>
      <c r="C85" t="s">
        <v>5182</v>
      </c>
      <c r="D85" t="s">
        <v>5143</v>
      </c>
      <c r="E85" t="s">
        <v>5236</v>
      </c>
      <c r="F85" t="s">
        <v>5145</v>
      </c>
      <c r="G85" t="s">
        <v>5146</v>
      </c>
      <c r="H85" t="s">
        <v>5147</v>
      </c>
      <c r="I85" t="s">
        <v>5148</v>
      </c>
    </row>
    <row r="86" spans="1:9">
      <c r="A86" t="s">
        <v>5338</v>
      </c>
      <c r="B86" t="s">
        <v>5462</v>
      </c>
      <c r="C86" t="s">
        <v>5463</v>
      </c>
      <c r="D86" t="s">
        <v>5143</v>
      </c>
      <c r="E86" t="s">
        <v>5464</v>
      </c>
      <c r="F86" t="s">
        <v>5465</v>
      </c>
      <c r="G86" t="s">
        <v>5361</v>
      </c>
      <c r="H86" t="s">
        <v>5466</v>
      </c>
      <c r="I86" t="s">
        <v>11175</v>
      </c>
    </row>
    <row r="87" spans="1:9">
      <c r="A87" t="s">
        <v>5338</v>
      </c>
      <c r="B87" t="s">
        <v>5467</v>
      </c>
      <c r="C87" t="s">
        <v>5468</v>
      </c>
      <c r="D87" t="s">
        <v>5143</v>
      </c>
      <c r="E87" t="s">
        <v>5469</v>
      </c>
      <c r="F87" t="s">
        <v>5145</v>
      </c>
      <c r="G87" t="s">
        <v>5349</v>
      </c>
      <c r="H87" t="s">
        <v>5470</v>
      </c>
      <c r="I87" t="s">
        <v>5228</v>
      </c>
    </row>
    <row r="88" spans="1:9">
      <c r="A88" t="s">
        <v>5338</v>
      </c>
      <c r="B88" t="s">
        <v>5471</v>
      </c>
      <c r="C88" t="s">
        <v>5472</v>
      </c>
      <c r="D88" t="s">
        <v>5143</v>
      </c>
      <c r="E88" t="s">
        <v>5473</v>
      </c>
      <c r="F88" t="s">
        <v>5474</v>
      </c>
      <c r="G88" t="s">
        <v>5361</v>
      </c>
      <c r="H88" t="s">
        <v>5475</v>
      </c>
      <c r="I88" t="s">
        <v>5316</v>
      </c>
    </row>
    <row r="89" spans="1:9">
      <c r="A89" t="s">
        <v>5338</v>
      </c>
      <c r="B89" t="s">
        <v>5239</v>
      </c>
      <c r="C89" t="s">
        <v>5240</v>
      </c>
      <c r="D89" t="s">
        <v>5143</v>
      </c>
      <c r="E89" t="s">
        <v>5476</v>
      </c>
      <c r="F89" t="s">
        <v>5145</v>
      </c>
      <c r="G89" t="s">
        <v>5146</v>
      </c>
      <c r="H89" t="s">
        <v>5147</v>
      </c>
      <c r="I89" t="s">
        <v>5148</v>
      </c>
    </row>
    <row r="90" spans="1:9">
      <c r="A90" t="s">
        <v>5338</v>
      </c>
      <c r="B90" t="s">
        <v>5477</v>
      </c>
      <c r="C90" t="s">
        <v>5478</v>
      </c>
      <c r="D90" t="s">
        <v>5143</v>
      </c>
      <c r="E90" t="s">
        <v>5479</v>
      </c>
      <c r="F90" t="s">
        <v>5145</v>
      </c>
      <c r="G90" t="s">
        <v>5361</v>
      </c>
      <c r="H90" t="s">
        <v>5480</v>
      </c>
      <c r="I90" t="s">
        <v>5222</v>
      </c>
    </row>
    <row r="91" spans="1:9">
      <c r="A91" t="s">
        <v>5338</v>
      </c>
      <c r="B91" t="s">
        <v>5481</v>
      </c>
      <c r="C91" t="s">
        <v>5482</v>
      </c>
      <c r="D91" t="s">
        <v>5143</v>
      </c>
      <c r="E91" t="s">
        <v>5483</v>
      </c>
      <c r="F91" t="s">
        <v>5484</v>
      </c>
      <c r="G91" t="s">
        <v>5361</v>
      </c>
      <c r="H91" t="s">
        <v>5485</v>
      </c>
      <c r="I91" t="s">
        <v>11175</v>
      </c>
    </row>
    <row r="92" spans="1:9">
      <c r="A92" t="s">
        <v>5338</v>
      </c>
      <c r="B92" t="s">
        <v>5244</v>
      </c>
      <c r="C92" t="s">
        <v>5245</v>
      </c>
      <c r="D92" t="s">
        <v>5143</v>
      </c>
      <c r="E92" t="s">
        <v>5486</v>
      </c>
      <c r="F92" t="s">
        <v>5487</v>
      </c>
      <c r="G92" t="s">
        <v>5361</v>
      </c>
      <c r="H92" t="s">
        <v>5488</v>
      </c>
      <c r="I92" t="s">
        <v>5228</v>
      </c>
    </row>
    <row r="93" spans="1:9">
      <c r="A93" t="s">
        <v>5338</v>
      </c>
      <c r="B93" t="s">
        <v>5489</v>
      </c>
      <c r="C93" t="s">
        <v>5490</v>
      </c>
      <c r="D93" t="s">
        <v>5143</v>
      </c>
      <c r="E93" t="s">
        <v>5491</v>
      </c>
      <c r="F93" t="s">
        <v>5145</v>
      </c>
      <c r="G93" t="s">
        <v>5361</v>
      </c>
      <c r="H93" t="s">
        <v>5492</v>
      </c>
      <c r="I93" t="s">
        <v>5250</v>
      </c>
    </row>
    <row r="94" spans="1:9">
      <c r="A94" t="s">
        <v>5338</v>
      </c>
      <c r="B94" t="s">
        <v>5493</v>
      </c>
      <c r="C94" t="s">
        <v>5494</v>
      </c>
      <c r="D94" t="s">
        <v>5143</v>
      </c>
      <c r="E94" t="s">
        <v>5495</v>
      </c>
      <c r="F94" t="s">
        <v>5145</v>
      </c>
      <c r="G94" t="s">
        <v>5361</v>
      </c>
      <c r="H94" t="s">
        <v>5496</v>
      </c>
      <c r="I94" t="s">
        <v>5222</v>
      </c>
    </row>
    <row r="95" spans="1:9">
      <c r="A95" t="s">
        <v>5338</v>
      </c>
      <c r="B95" t="s">
        <v>5497</v>
      </c>
      <c r="C95" t="s">
        <v>5498</v>
      </c>
      <c r="D95" t="s">
        <v>5143</v>
      </c>
      <c r="E95" t="s">
        <v>5499</v>
      </c>
      <c r="F95" t="s">
        <v>5500</v>
      </c>
      <c r="G95" t="s">
        <v>5361</v>
      </c>
      <c r="H95" t="s">
        <v>5501</v>
      </c>
      <c r="I95" t="s">
        <v>11175</v>
      </c>
    </row>
    <row r="96" spans="1:9">
      <c r="A96" t="s">
        <v>5338</v>
      </c>
      <c r="B96" t="s">
        <v>5502</v>
      </c>
      <c r="C96" t="s">
        <v>5503</v>
      </c>
      <c r="D96" t="s">
        <v>5143</v>
      </c>
      <c r="E96" t="s">
        <v>5504</v>
      </c>
      <c r="F96" t="s">
        <v>5505</v>
      </c>
      <c r="G96" t="s">
        <v>5506</v>
      </c>
      <c r="H96" t="s">
        <v>5507</v>
      </c>
      <c r="I96" t="s">
        <v>5508</v>
      </c>
    </row>
    <row r="97" spans="1:9">
      <c r="A97" t="s">
        <v>5338</v>
      </c>
      <c r="B97" t="s">
        <v>5509</v>
      </c>
      <c r="C97" t="s">
        <v>5510</v>
      </c>
      <c r="D97" t="s">
        <v>5143</v>
      </c>
      <c r="E97" t="s">
        <v>5511</v>
      </c>
      <c r="F97" t="s">
        <v>5512</v>
      </c>
      <c r="G97" t="s">
        <v>5361</v>
      </c>
      <c r="H97" t="s">
        <v>5513</v>
      </c>
      <c r="I97" t="s">
        <v>5417</v>
      </c>
    </row>
    <row r="98" spans="1:9">
      <c r="A98" t="s">
        <v>5338</v>
      </c>
      <c r="B98" t="s">
        <v>5514</v>
      </c>
      <c r="C98" t="s">
        <v>5515</v>
      </c>
      <c r="D98" t="s">
        <v>5143</v>
      </c>
      <c r="E98" t="s">
        <v>5516</v>
      </c>
      <c r="F98" t="s">
        <v>5145</v>
      </c>
      <c r="G98" t="s">
        <v>5391</v>
      </c>
      <c r="H98" t="s">
        <v>5517</v>
      </c>
      <c r="I98" t="s">
        <v>5222</v>
      </c>
    </row>
    <row r="99" spans="1:9">
      <c r="A99" t="s">
        <v>5338</v>
      </c>
      <c r="B99" t="s">
        <v>5518</v>
      </c>
      <c r="C99" t="s">
        <v>5519</v>
      </c>
      <c r="D99" t="s">
        <v>5143</v>
      </c>
      <c r="E99" t="s">
        <v>5520</v>
      </c>
      <c r="F99" t="s">
        <v>5521</v>
      </c>
      <c r="G99" t="s">
        <v>5361</v>
      </c>
      <c r="H99" t="s">
        <v>5522</v>
      </c>
      <c r="I99" t="s">
        <v>11175</v>
      </c>
    </row>
    <row r="100" spans="1:9">
      <c r="A100" t="s">
        <v>5338</v>
      </c>
      <c r="B100" t="s">
        <v>5523</v>
      </c>
      <c r="C100" t="s">
        <v>5524</v>
      </c>
      <c r="D100" t="s">
        <v>5143</v>
      </c>
      <c r="E100" t="s">
        <v>5525</v>
      </c>
      <c r="F100" t="s">
        <v>5145</v>
      </c>
      <c r="G100" t="s">
        <v>5146</v>
      </c>
      <c r="H100" t="s">
        <v>5147</v>
      </c>
      <c r="I100" t="s">
        <v>5148</v>
      </c>
    </row>
    <row r="101" spans="1:9">
      <c r="A101" t="s">
        <v>5338</v>
      </c>
      <c r="B101" t="s">
        <v>5526</v>
      </c>
      <c r="C101" t="s">
        <v>5527</v>
      </c>
      <c r="D101" t="s">
        <v>5143</v>
      </c>
      <c r="E101" t="s">
        <v>5528</v>
      </c>
      <c r="F101" t="s">
        <v>5529</v>
      </c>
      <c r="G101" t="s">
        <v>5506</v>
      </c>
      <c r="H101" t="s">
        <v>5530</v>
      </c>
      <c r="I101" t="s">
        <v>5417</v>
      </c>
    </row>
    <row r="102" spans="1:9">
      <c r="A102" t="s">
        <v>5338</v>
      </c>
      <c r="B102" t="s">
        <v>5531</v>
      </c>
      <c r="C102" t="s">
        <v>5532</v>
      </c>
      <c r="D102" t="s">
        <v>5143</v>
      </c>
      <c r="E102" t="s">
        <v>5533</v>
      </c>
      <c r="F102" t="s">
        <v>5534</v>
      </c>
      <c r="G102" t="s">
        <v>5535</v>
      </c>
      <c r="H102" t="s">
        <v>5536</v>
      </c>
      <c r="I102" t="s">
        <v>5316</v>
      </c>
    </row>
    <row r="103" spans="1:9">
      <c r="A103" t="s">
        <v>5338</v>
      </c>
      <c r="B103" t="s">
        <v>5537</v>
      </c>
      <c r="C103" t="s">
        <v>5538</v>
      </c>
      <c r="D103" t="s">
        <v>5143</v>
      </c>
      <c r="E103" t="s">
        <v>5539</v>
      </c>
      <c r="F103" t="s">
        <v>5540</v>
      </c>
      <c r="G103" t="s">
        <v>5361</v>
      </c>
      <c r="H103" t="s">
        <v>5541</v>
      </c>
      <c r="I103" t="s">
        <v>11175</v>
      </c>
    </row>
    <row r="104" spans="1:9">
      <c r="A104" t="s">
        <v>5338</v>
      </c>
      <c r="B104" t="s">
        <v>5542</v>
      </c>
      <c r="C104" t="s">
        <v>5543</v>
      </c>
      <c r="D104" t="s">
        <v>5143</v>
      </c>
      <c r="E104" t="s">
        <v>5544</v>
      </c>
      <c r="F104" t="s">
        <v>5145</v>
      </c>
      <c r="G104" t="s">
        <v>5146</v>
      </c>
      <c r="H104" t="s">
        <v>5147</v>
      </c>
      <c r="I104" t="s">
        <v>5310</v>
      </c>
    </row>
    <row r="105" spans="1:9">
      <c r="A105" t="s">
        <v>5545</v>
      </c>
      <c r="B105" t="s">
        <v>5546</v>
      </c>
      <c r="C105" t="s">
        <v>5547</v>
      </c>
      <c r="D105" t="s">
        <v>5143</v>
      </c>
      <c r="E105" t="s">
        <v>5548</v>
      </c>
      <c r="F105" t="s">
        <v>5145</v>
      </c>
      <c r="G105" t="s">
        <v>5146</v>
      </c>
      <c r="H105" t="s">
        <v>5147</v>
      </c>
      <c r="I105" t="s">
        <v>5310</v>
      </c>
    </row>
    <row r="106" spans="1:9">
      <c r="A106" t="s">
        <v>5545</v>
      </c>
      <c r="B106" t="s">
        <v>5421</v>
      </c>
      <c r="C106" t="s">
        <v>5422</v>
      </c>
      <c r="D106" t="s">
        <v>5143</v>
      </c>
      <c r="E106" t="s">
        <v>5549</v>
      </c>
      <c r="F106" t="s">
        <v>5145</v>
      </c>
      <c r="G106" t="s">
        <v>5146</v>
      </c>
      <c r="H106" t="s">
        <v>5147</v>
      </c>
      <c r="I106" t="s">
        <v>5310</v>
      </c>
    </row>
    <row r="107" spans="1:9">
      <c r="A107" t="s">
        <v>5545</v>
      </c>
      <c r="B107" t="s">
        <v>5497</v>
      </c>
      <c r="C107" t="s">
        <v>5498</v>
      </c>
      <c r="D107" t="s">
        <v>5143</v>
      </c>
      <c r="E107" t="s">
        <v>5550</v>
      </c>
      <c r="F107" t="s">
        <v>5145</v>
      </c>
      <c r="G107" t="s">
        <v>5146</v>
      </c>
      <c r="H107" t="s">
        <v>5147</v>
      </c>
      <c r="I107" t="s">
        <v>5310</v>
      </c>
    </row>
    <row r="108" spans="1:9">
      <c r="A108" t="s">
        <v>5545</v>
      </c>
      <c r="B108" t="s">
        <v>5551</v>
      </c>
      <c r="C108" t="s">
        <v>5552</v>
      </c>
      <c r="D108" t="s">
        <v>5143</v>
      </c>
      <c r="E108" t="s">
        <v>5553</v>
      </c>
      <c r="F108" t="s">
        <v>5145</v>
      </c>
      <c r="G108" t="s">
        <v>5146</v>
      </c>
      <c r="H108" t="s">
        <v>5147</v>
      </c>
      <c r="I108" t="s">
        <v>5310</v>
      </c>
    </row>
    <row r="109" spans="1:9">
      <c r="A109" t="s">
        <v>5554</v>
      </c>
      <c r="B109" t="s">
        <v>5351</v>
      </c>
      <c r="C109" t="s">
        <v>5352</v>
      </c>
      <c r="D109" t="s">
        <v>5143</v>
      </c>
      <c r="E109" t="s">
        <v>5555</v>
      </c>
      <c r="F109" t="s">
        <v>5145</v>
      </c>
      <c r="G109" t="s">
        <v>5146</v>
      </c>
      <c r="H109" t="s">
        <v>5147</v>
      </c>
      <c r="I109" t="s">
        <v>5310</v>
      </c>
    </row>
    <row r="110" spans="1:9">
      <c r="A110" t="s">
        <v>5554</v>
      </c>
      <c r="B110" t="s">
        <v>5556</v>
      </c>
      <c r="C110" t="s">
        <v>5557</v>
      </c>
      <c r="D110" t="s">
        <v>5143</v>
      </c>
      <c r="E110" t="s">
        <v>5558</v>
      </c>
      <c r="F110" t="s">
        <v>5559</v>
      </c>
      <c r="G110" t="s">
        <v>5560</v>
      </c>
      <c r="H110" t="s">
        <v>5561</v>
      </c>
      <c r="I110" t="s">
        <v>5213</v>
      </c>
    </row>
    <row r="111" spans="1:9">
      <c r="A111" t="s">
        <v>5554</v>
      </c>
      <c r="B111" t="s">
        <v>5562</v>
      </c>
      <c r="C111" t="s">
        <v>5563</v>
      </c>
      <c r="D111" t="s">
        <v>5143</v>
      </c>
      <c r="E111" t="s">
        <v>5564</v>
      </c>
      <c r="F111" t="s">
        <v>5145</v>
      </c>
      <c r="G111" t="s">
        <v>5560</v>
      </c>
      <c r="H111" t="s">
        <v>5565</v>
      </c>
      <c r="I111" t="s">
        <v>5250</v>
      </c>
    </row>
    <row r="112" spans="1:9">
      <c r="A112" t="s">
        <v>5554</v>
      </c>
      <c r="B112" t="s">
        <v>5406</v>
      </c>
      <c r="C112" t="s">
        <v>5407</v>
      </c>
      <c r="D112" t="s">
        <v>5143</v>
      </c>
      <c r="E112" t="s">
        <v>5431</v>
      </c>
      <c r="F112" t="s">
        <v>5145</v>
      </c>
      <c r="G112" t="s">
        <v>5146</v>
      </c>
      <c r="H112" t="s">
        <v>5147</v>
      </c>
      <c r="I112" t="s">
        <v>5310</v>
      </c>
    </row>
    <row r="113" spans="1:9">
      <c r="A113" t="s">
        <v>5554</v>
      </c>
      <c r="B113" t="s">
        <v>5270</v>
      </c>
      <c r="C113" t="s">
        <v>5271</v>
      </c>
      <c r="D113" t="s">
        <v>5143</v>
      </c>
      <c r="E113" t="s">
        <v>5566</v>
      </c>
      <c r="F113" t="s">
        <v>5145</v>
      </c>
      <c r="G113" t="s">
        <v>5146</v>
      </c>
      <c r="H113" t="s">
        <v>5147</v>
      </c>
      <c r="I113" t="s">
        <v>5310</v>
      </c>
    </row>
    <row r="114" spans="1:9">
      <c r="A114" t="s">
        <v>5554</v>
      </c>
      <c r="B114" t="s">
        <v>5502</v>
      </c>
      <c r="C114" t="s">
        <v>5503</v>
      </c>
      <c r="D114" t="s">
        <v>5143</v>
      </c>
      <c r="E114" t="s">
        <v>5253</v>
      </c>
      <c r="F114" t="s">
        <v>5145</v>
      </c>
      <c r="G114" t="s">
        <v>5146</v>
      </c>
      <c r="H114" t="s">
        <v>5147</v>
      </c>
      <c r="I114" t="s">
        <v>5310</v>
      </c>
    </row>
    <row r="115" spans="1:9">
      <c r="A115" t="s">
        <v>5554</v>
      </c>
      <c r="B115" t="s">
        <v>5567</v>
      </c>
      <c r="C115" t="s">
        <v>5568</v>
      </c>
      <c r="D115" t="s">
        <v>5143</v>
      </c>
      <c r="E115" t="s">
        <v>5558</v>
      </c>
      <c r="F115" t="s">
        <v>5145</v>
      </c>
      <c r="G115" t="s">
        <v>5146</v>
      </c>
      <c r="H115" t="s">
        <v>5147</v>
      </c>
      <c r="I115" t="s">
        <v>5310</v>
      </c>
    </row>
    <row r="116" spans="1:9">
      <c r="A116" t="s">
        <v>5554</v>
      </c>
      <c r="B116" t="s">
        <v>5569</v>
      </c>
      <c r="C116" t="s">
        <v>5570</v>
      </c>
      <c r="D116" t="s">
        <v>5143</v>
      </c>
      <c r="E116" t="s">
        <v>5571</v>
      </c>
      <c r="F116" t="s">
        <v>5572</v>
      </c>
      <c r="G116" t="s">
        <v>5560</v>
      </c>
      <c r="H116" t="s">
        <v>5573</v>
      </c>
      <c r="I116" t="s">
        <v>5213</v>
      </c>
    </row>
    <row r="117" spans="1:9">
      <c r="A117" t="s">
        <v>5554</v>
      </c>
      <c r="B117" t="s">
        <v>5526</v>
      </c>
      <c r="C117" t="s">
        <v>5527</v>
      </c>
      <c r="D117" t="s">
        <v>5143</v>
      </c>
      <c r="E117" t="s">
        <v>5574</v>
      </c>
      <c r="F117" t="s">
        <v>5145</v>
      </c>
      <c r="G117" t="s">
        <v>5146</v>
      </c>
      <c r="H117" t="s">
        <v>5147</v>
      </c>
      <c r="I117" t="s">
        <v>5310</v>
      </c>
    </row>
    <row r="118" spans="1:9">
      <c r="A118" t="s">
        <v>5554</v>
      </c>
      <c r="B118" t="s">
        <v>5575</v>
      </c>
      <c r="C118" t="s">
        <v>5576</v>
      </c>
      <c r="D118" t="s">
        <v>5143</v>
      </c>
      <c r="E118" t="s">
        <v>5577</v>
      </c>
      <c r="F118" t="s">
        <v>5145</v>
      </c>
      <c r="G118" t="s">
        <v>5146</v>
      </c>
      <c r="H118" t="s">
        <v>5147</v>
      </c>
      <c r="I118" t="s">
        <v>5310</v>
      </c>
    </row>
    <row r="119" spans="1:9">
      <c r="A119" t="s">
        <v>5554</v>
      </c>
      <c r="B119" t="s">
        <v>5578</v>
      </c>
      <c r="C119" t="s">
        <v>5579</v>
      </c>
      <c r="D119" t="s">
        <v>5143</v>
      </c>
      <c r="E119" t="s">
        <v>5580</v>
      </c>
      <c r="F119" t="s">
        <v>5145</v>
      </c>
      <c r="G119" t="s">
        <v>5146</v>
      </c>
      <c r="H119" t="s">
        <v>5147</v>
      </c>
      <c r="I119" t="s">
        <v>5310</v>
      </c>
    </row>
    <row r="120" spans="1:9">
      <c r="A120" t="s">
        <v>5554</v>
      </c>
      <c r="B120" t="s">
        <v>5376</v>
      </c>
      <c r="C120" t="s">
        <v>5377</v>
      </c>
      <c r="D120" t="s">
        <v>5143</v>
      </c>
      <c r="E120" t="s">
        <v>5581</v>
      </c>
      <c r="F120" t="s">
        <v>5145</v>
      </c>
      <c r="G120" t="s">
        <v>5582</v>
      </c>
      <c r="H120" t="s">
        <v>5583</v>
      </c>
      <c r="I120" t="s">
        <v>5228</v>
      </c>
    </row>
    <row r="121" spans="1:9">
      <c r="A121" t="s">
        <v>5554</v>
      </c>
      <c r="B121" t="s">
        <v>5584</v>
      </c>
      <c r="C121" t="s">
        <v>5585</v>
      </c>
      <c r="D121" t="s">
        <v>5143</v>
      </c>
      <c r="E121" t="s">
        <v>5586</v>
      </c>
      <c r="F121" t="s">
        <v>5587</v>
      </c>
      <c r="G121" t="s">
        <v>5560</v>
      </c>
      <c r="H121" t="s">
        <v>5588</v>
      </c>
      <c r="I121" t="s">
        <v>5213</v>
      </c>
    </row>
    <row r="122" spans="1:9">
      <c r="A122" t="s">
        <v>5554</v>
      </c>
      <c r="B122" t="s">
        <v>5299</v>
      </c>
      <c r="C122" t="s">
        <v>5300</v>
      </c>
      <c r="D122" t="s">
        <v>5143</v>
      </c>
      <c r="E122" t="s">
        <v>5301</v>
      </c>
      <c r="F122" t="s">
        <v>5145</v>
      </c>
      <c r="G122" t="s">
        <v>5146</v>
      </c>
      <c r="H122" t="s">
        <v>5147</v>
      </c>
      <c r="I122" t="s">
        <v>5310</v>
      </c>
    </row>
    <row r="123" spans="1:9">
      <c r="A123" t="s">
        <v>5554</v>
      </c>
      <c r="B123" t="s">
        <v>5357</v>
      </c>
      <c r="C123" t="s">
        <v>5358</v>
      </c>
      <c r="D123" t="s">
        <v>5143</v>
      </c>
      <c r="E123" t="s">
        <v>5589</v>
      </c>
      <c r="F123" t="s">
        <v>5145</v>
      </c>
      <c r="G123" t="s">
        <v>5582</v>
      </c>
      <c r="H123" t="s">
        <v>5590</v>
      </c>
      <c r="I123" t="s">
        <v>5228</v>
      </c>
    </row>
    <row r="124" spans="1:9">
      <c r="A124" t="s">
        <v>5554</v>
      </c>
      <c r="B124" t="s">
        <v>5387</v>
      </c>
      <c r="C124" t="s">
        <v>5388</v>
      </c>
      <c r="D124" t="s">
        <v>5143</v>
      </c>
      <c r="E124" t="s">
        <v>5591</v>
      </c>
      <c r="F124" t="s">
        <v>5145</v>
      </c>
      <c r="G124" t="s">
        <v>5220</v>
      </c>
      <c r="H124" t="s">
        <v>5147</v>
      </c>
      <c r="I124" t="s">
        <v>5248</v>
      </c>
    </row>
    <row r="125" spans="1:9">
      <c r="A125" t="s">
        <v>5554</v>
      </c>
      <c r="B125" t="s">
        <v>5207</v>
      </c>
      <c r="C125" t="s">
        <v>5208</v>
      </c>
      <c r="D125" t="s">
        <v>5143</v>
      </c>
      <c r="E125" t="s">
        <v>5592</v>
      </c>
      <c r="F125" t="s">
        <v>5145</v>
      </c>
      <c r="G125" t="s">
        <v>5146</v>
      </c>
      <c r="H125" t="s">
        <v>5147</v>
      </c>
      <c r="I125" t="s">
        <v>5310</v>
      </c>
    </row>
    <row r="126" spans="1:9">
      <c r="A126" t="s">
        <v>5554</v>
      </c>
      <c r="B126" t="s">
        <v>5593</v>
      </c>
      <c r="C126" t="s">
        <v>5594</v>
      </c>
      <c r="D126" t="s">
        <v>5143</v>
      </c>
      <c r="E126" t="s">
        <v>5595</v>
      </c>
      <c r="F126" t="s">
        <v>5145</v>
      </c>
      <c r="G126" t="s">
        <v>5582</v>
      </c>
      <c r="H126" t="s">
        <v>5596</v>
      </c>
      <c r="I126" t="s">
        <v>5228</v>
      </c>
    </row>
    <row r="127" spans="1:9">
      <c r="A127" t="s">
        <v>5554</v>
      </c>
      <c r="B127" t="s">
        <v>5597</v>
      </c>
      <c r="C127" t="s">
        <v>5598</v>
      </c>
      <c r="D127" t="s">
        <v>5143</v>
      </c>
      <c r="E127" t="s">
        <v>5599</v>
      </c>
      <c r="F127" t="s">
        <v>5145</v>
      </c>
      <c r="G127" t="s">
        <v>5146</v>
      </c>
      <c r="H127" t="s">
        <v>5147</v>
      </c>
      <c r="I127" t="s">
        <v>5310</v>
      </c>
    </row>
    <row r="128" spans="1:9">
      <c r="A128" t="s">
        <v>5554</v>
      </c>
      <c r="B128" t="s">
        <v>5217</v>
      </c>
      <c r="C128" t="s">
        <v>5218</v>
      </c>
      <c r="D128" t="s">
        <v>5143</v>
      </c>
      <c r="E128" t="s">
        <v>5600</v>
      </c>
      <c r="F128" t="s">
        <v>5145</v>
      </c>
      <c r="G128" t="s">
        <v>5220</v>
      </c>
      <c r="H128" t="s">
        <v>5147</v>
      </c>
      <c r="I128" t="s">
        <v>5248</v>
      </c>
    </row>
    <row r="129" spans="1:9">
      <c r="A129" t="s">
        <v>5554</v>
      </c>
      <c r="B129" t="s">
        <v>5397</v>
      </c>
      <c r="C129" t="s">
        <v>5398</v>
      </c>
      <c r="D129" t="s">
        <v>5143</v>
      </c>
      <c r="E129" t="s">
        <v>5601</v>
      </c>
      <c r="F129" t="s">
        <v>5145</v>
      </c>
      <c r="G129" t="s">
        <v>5146</v>
      </c>
      <c r="H129" t="s">
        <v>5147</v>
      </c>
      <c r="I129" t="s">
        <v>5310</v>
      </c>
    </row>
    <row r="130" spans="1:9">
      <c r="A130" t="s">
        <v>5554</v>
      </c>
      <c r="B130" t="s">
        <v>5401</v>
      </c>
      <c r="C130" t="s">
        <v>5402</v>
      </c>
      <c r="D130" t="s">
        <v>5143</v>
      </c>
      <c r="E130" t="s">
        <v>5602</v>
      </c>
      <c r="F130" t="s">
        <v>5145</v>
      </c>
      <c r="G130" t="s">
        <v>5146</v>
      </c>
      <c r="H130" t="s">
        <v>5147</v>
      </c>
      <c r="I130" t="s">
        <v>5310</v>
      </c>
    </row>
    <row r="131" spans="1:9">
      <c r="A131" t="s">
        <v>5603</v>
      </c>
      <c r="B131" t="s">
        <v>5604</v>
      </c>
      <c r="C131" t="s">
        <v>5605</v>
      </c>
      <c r="D131" t="s">
        <v>5143</v>
      </c>
      <c r="E131" t="s">
        <v>5606</v>
      </c>
      <c r="F131" t="s">
        <v>5145</v>
      </c>
      <c r="G131" t="s">
        <v>5146</v>
      </c>
      <c r="H131" t="s">
        <v>5147</v>
      </c>
      <c r="I131" t="s">
        <v>5310</v>
      </c>
    </row>
    <row r="132" spans="1:9">
      <c r="A132" t="s">
        <v>5554</v>
      </c>
      <c r="B132" t="s">
        <v>5607</v>
      </c>
      <c r="C132" t="s">
        <v>5608</v>
      </c>
      <c r="D132" t="s">
        <v>5143</v>
      </c>
      <c r="E132" t="s">
        <v>5609</v>
      </c>
      <c r="F132" t="s">
        <v>5145</v>
      </c>
      <c r="G132" t="s">
        <v>5146</v>
      </c>
      <c r="H132" t="s">
        <v>5147</v>
      </c>
      <c r="I132" t="s">
        <v>5310</v>
      </c>
    </row>
    <row r="133" spans="1:9">
      <c r="A133" t="s">
        <v>5554</v>
      </c>
      <c r="B133" t="s">
        <v>5610</v>
      </c>
      <c r="C133" t="s">
        <v>5611</v>
      </c>
      <c r="D133" t="s">
        <v>5143</v>
      </c>
      <c r="E133" t="s">
        <v>5612</v>
      </c>
      <c r="F133" t="s">
        <v>5613</v>
      </c>
      <c r="G133" t="s">
        <v>5614</v>
      </c>
      <c r="H133" t="s">
        <v>5615</v>
      </c>
      <c r="I133" t="s">
        <v>5417</v>
      </c>
    </row>
    <row r="134" spans="1:9">
      <c r="A134" t="s">
        <v>5554</v>
      </c>
      <c r="B134" t="s">
        <v>5616</v>
      </c>
      <c r="C134" t="s">
        <v>5617</v>
      </c>
      <c r="D134" t="s">
        <v>5143</v>
      </c>
      <c r="E134" t="s">
        <v>5618</v>
      </c>
      <c r="F134" t="s">
        <v>5145</v>
      </c>
      <c r="G134" t="s">
        <v>5582</v>
      </c>
      <c r="H134" t="s">
        <v>5619</v>
      </c>
      <c r="I134" t="s">
        <v>5222</v>
      </c>
    </row>
    <row r="135" spans="1:9">
      <c r="A135" t="s">
        <v>5554</v>
      </c>
      <c r="B135" t="s">
        <v>5620</v>
      </c>
      <c r="C135" t="s">
        <v>5621</v>
      </c>
      <c r="D135" t="s">
        <v>5143</v>
      </c>
      <c r="E135" t="s">
        <v>5622</v>
      </c>
      <c r="F135" t="s">
        <v>5145</v>
      </c>
      <c r="G135" t="s">
        <v>5146</v>
      </c>
      <c r="H135" t="s">
        <v>5147</v>
      </c>
      <c r="I135" t="s">
        <v>5310</v>
      </c>
    </row>
    <row r="136" spans="1:9">
      <c r="A136" t="s">
        <v>5554</v>
      </c>
      <c r="B136" t="s">
        <v>5623</v>
      </c>
      <c r="C136" t="s">
        <v>5624</v>
      </c>
      <c r="D136" t="s">
        <v>5143</v>
      </c>
      <c r="E136" t="s">
        <v>5625</v>
      </c>
      <c r="F136" t="s">
        <v>5145</v>
      </c>
      <c r="G136" t="s">
        <v>5582</v>
      </c>
      <c r="H136" t="s">
        <v>5626</v>
      </c>
      <c r="I136" t="s">
        <v>5222</v>
      </c>
    </row>
    <row r="137" spans="1:9">
      <c r="A137" t="s">
        <v>5554</v>
      </c>
      <c r="B137" t="s">
        <v>5627</v>
      </c>
      <c r="C137" t="s">
        <v>5628</v>
      </c>
      <c r="D137" t="s">
        <v>5143</v>
      </c>
      <c r="E137" t="s">
        <v>5629</v>
      </c>
      <c r="F137" t="s">
        <v>5145</v>
      </c>
      <c r="G137" t="s">
        <v>5146</v>
      </c>
      <c r="H137" t="s">
        <v>5147</v>
      </c>
      <c r="I137" t="s">
        <v>5310</v>
      </c>
    </row>
    <row r="138" spans="1:9">
      <c r="A138" t="s">
        <v>5554</v>
      </c>
      <c r="B138" t="s">
        <v>5317</v>
      </c>
      <c r="C138" t="s">
        <v>5318</v>
      </c>
      <c r="D138" t="s">
        <v>5143</v>
      </c>
      <c r="E138" t="s">
        <v>5630</v>
      </c>
      <c r="F138" t="s">
        <v>5145</v>
      </c>
      <c r="G138" t="s">
        <v>5146</v>
      </c>
      <c r="H138" t="s">
        <v>5147</v>
      </c>
      <c r="I138" t="s">
        <v>5310</v>
      </c>
    </row>
    <row r="139" spans="1:9">
      <c r="A139" t="s">
        <v>5554</v>
      </c>
      <c r="B139" t="s">
        <v>5631</v>
      </c>
      <c r="C139" t="s">
        <v>5632</v>
      </c>
      <c r="D139" t="s">
        <v>5143</v>
      </c>
      <c r="E139" t="s">
        <v>5633</v>
      </c>
      <c r="F139" t="s">
        <v>5145</v>
      </c>
      <c r="G139" t="s">
        <v>5582</v>
      </c>
      <c r="H139" t="s">
        <v>5634</v>
      </c>
      <c r="I139" t="s">
        <v>5228</v>
      </c>
    </row>
    <row r="140" spans="1:9">
      <c r="A140" t="s">
        <v>5554</v>
      </c>
      <c r="B140" t="s">
        <v>5635</v>
      </c>
      <c r="C140" t="s">
        <v>5636</v>
      </c>
      <c r="D140" t="s">
        <v>5143</v>
      </c>
      <c r="E140" t="s">
        <v>5637</v>
      </c>
      <c r="F140" t="s">
        <v>5145</v>
      </c>
      <c r="G140" t="s">
        <v>5146</v>
      </c>
      <c r="H140" t="s">
        <v>5147</v>
      </c>
      <c r="I140" t="s">
        <v>5310</v>
      </c>
    </row>
    <row r="141" spans="1:9">
      <c r="A141" t="s">
        <v>5554</v>
      </c>
      <c r="B141" t="s">
        <v>5638</v>
      </c>
      <c r="C141" t="s">
        <v>5639</v>
      </c>
      <c r="D141" t="s">
        <v>5143</v>
      </c>
      <c r="E141" t="s">
        <v>5640</v>
      </c>
      <c r="F141" t="s">
        <v>5145</v>
      </c>
      <c r="G141" t="s">
        <v>5146</v>
      </c>
      <c r="H141" t="s">
        <v>5147</v>
      </c>
      <c r="I141" t="s">
        <v>5310</v>
      </c>
    </row>
    <row r="142" spans="1:9">
      <c r="A142" t="s">
        <v>5554</v>
      </c>
      <c r="B142" t="s">
        <v>5641</v>
      </c>
      <c r="C142" t="s">
        <v>5642</v>
      </c>
      <c r="D142" t="s">
        <v>5143</v>
      </c>
      <c r="E142" t="s">
        <v>5643</v>
      </c>
      <c r="F142" t="s">
        <v>5145</v>
      </c>
      <c r="G142" t="s">
        <v>5582</v>
      </c>
      <c r="H142" t="s">
        <v>5644</v>
      </c>
      <c r="I142" t="s">
        <v>5228</v>
      </c>
    </row>
    <row r="143" spans="1:9">
      <c r="A143" t="s">
        <v>5554</v>
      </c>
      <c r="B143" t="s">
        <v>5645</v>
      </c>
      <c r="C143" t="s">
        <v>5646</v>
      </c>
      <c r="D143" t="s">
        <v>5143</v>
      </c>
      <c r="E143" t="s">
        <v>5647</v>
      </c>
      <c r="F143" t="s">
        <v>5145</v>
      </c>
      <c r="G143" t="s">
        <v>5582</v>
      </c>
      <c r="H143" t="s">
        <v>5648</v>
      </c>
      <c r="I143" t="s">
        <v>5228</v>
      </c>
    </row>
    <row r="144" spans="1:9">
      <c r="A144" t="s">
        <v>5554</v>
      </c>
      <c r="B144" t="s">
        <v>5649</v>
      </c>
      <c r="C144" t="s">
        <v>5650</v>
      </c>
      <c r="D144" t="s">
        <v>5143</v>
      </c>
      <c r="E144" t="s">
        <v>5651</v>
      </c>
      <c r="F144" t="s">
        <v>5145</v>
      </c>
      <c r="G144" t="s">
        <v>5582</v>
      </c>
      <c r="H144" t="s">
        <v>5652</v>
      </c>
      <c r="I144" t="s">
        <v>5228</v>
      </c>
    </row>
    <row r="145" spans="1:9">
      <c r="A145" t="s">
        <v>5554</v>
      </c>
      <c r="B145" t="s">
        <v>5653</v>
      </c>
      <c r="C145" t="s">
        <v>5654</v>
      </c>
      <c r="D145" t="s">
        <v>5143</v>
      </c>
      <c r="E145" t="s">
        <v>5655</v>
      </c>
      <c r="F145" t="s">
        <v>5145</v>
      </c>
      <c r="G145" t="s">
        <v>5220</v>
      </c>
      <c r="H145" t="s">
        <v>5147</v>
      </c>
      <c r="I145" t="s">
        <v>5222</v>
      </c>
    </row>
    <row r="146" spans="1:9">
      <c r="A146" t="s">
        <v>5554</v>
      </c>
      <c r="B146" t="s">
        <v>5437</v>
      </c>
      <c r="C146" t="s">
        <v>5438</v>
      </c>
      <c r="D146" t="s">
        <v>5143</v>
      </c>
      <c r="E146" t="s">
        <v>5656</v>
      </c>
      <c r="F146" t="s">
        <v>5145</v>
      </c>
      <c r="G146" t="s">
        <v>5146</v>
      </c>
      <c r="H146" t="s">
        <v>5147</v>
      </c>
      <c r="I146" t="s">
        <v>5310</v>
      </c>
    </row>
    <row r="147" spans="1:9">
      <c r="A147" t="s">
        <v>5554</v>
      </c>
      <c r="B147" t="s">
        <v>5412</v>
      </c>
      <c r="C147" t="s">
        <v>5413</v>
      </c>
      <c r="D147" t="s">
        <v>5143</v>
      </c>
      <c r="E147" t="s">
        <v>5657</v>
      </c>
      <c r="F147" t="s">
        <v>5145</v>
      </c>
      <c r="G147" t="s">
        <v>5560</v>
      </c>
      <c r="H147" t="s">
        <v>5658</v>
      </c>
      <c r="I147" t="s">
        <v>5250</v>
      </c>
    </row>
    <row r="148" spans="1:9">
      <c r="A148" t="s">
        <v>5554</v>
      </c>
      <c r="B148" t="s">
        <v>5454</v>
      </c>
      <c r="C148" t="s">
        <v>5455</v>
      </c>
      <c r="D148" t="s">
        <v>5143</v>
      </c>
      <c r="E148" t="s">
        <v>5659</v>
      </c>
      <c r="F148" t="s">
        <v>5145</v>
      </c>
      <c r="G148" t="s">
        <v>5146</v>
      </c>
      <c r="H148" t="s">
        <v>5147</v>
      </c>
      <c r="I148" t="s">
        <v>5310</v>
      </c>
    </row>
    <row r="149" spans="1:9">
      <c r="A149" t="s">
        <v>5554</v>
      </c>
      <c r="B149" t="s">
        <v>5660</v>
      </c>
      <c r="C149" t="s">
        <v>5661</v>
      </c>
      <c r="D149" t="s">
        <v>5143</v>
      </c>
      <c r="E149" t="s">
        <v>5662</v>
      </c>
      <c r="F149" t="s">
        <v>5145</v>
      </c>
      <c r="G149" t="s">
        <v>5146</v>
      </c>
      <c r="H149" t="s">
        <v>5147</v>
      </c>
      <c r="I149" t="s">
        <v>5310</v>
      </c>
    </row>
    <row r="150" spans="1:9">
      <c r="A150" t="s">
        <v>5554</v>
      </c>
      <c r="B150" t="s">
        <v>5458</v>
      </c>
      <c r="C150" t="s">
        <v>5459</v>
      </c>
      <c r="D150" t="s">
        <v>5143</v>
      </c>
      <c r="E150" t="s">
        <v>5663</v>
      </c>
      <c r="F150" t="s">
        <v>5145</v>
      </c>
      <c r="G150" t="s">
        <v>5146</v>
      </c>
      <c r="H150" t="s">
        <v>5147</v>
      </c>
      <c r="I150" t="s">
        <v>5310</v>
      </c>
    </row>
    <row r="151" spans="1:9">
      <c r="A151" t="s">
        <v>5554</v>
      </c>
      <c r="B151" t="s">
        <v>5664</v>
      </c>
      <c r="C151" t="s">
        <v>5665</v>
      </c>
      <c r="D151" t="s">
        <v>5143</v>
      </c>
      <c r="E151" t="s">
        <v>5666</v>
      </c>
      <c r="F151" t="s">
        <v>5145</v>
      </c>
      <c r="G151" t="s">
        <v>5146</v>
      </c>
      <c r="H151" t="s">
        <v>5147</v>
      </c>
      <c r="I151" t="s">
        <v>5310</v>
      </c>
    </row>
    <row r="152" spans="1:9">
      <c r="A152" t="s">
        <v>5554</v>
      </c>
      <c r="B152" t="s">
        <v>5667</v>
      </c>
      <c r="C152" t="s">
        <v>5668</v>
      </c>
      <c r="D152" t="s">
        <v>5143</v>
      </c>
      <c r="E152" t="s">
        <v>5669</v>
      </c>
      <c r="F152" t="s">
        <v>5145</v>
      </c>
      <c r="G152" t="s">
        <v>5146</v>
      </c>
      <c r="H152" t="s">
        <v>5147</v>
      </c>
      <c r="I152" t="s">
        <v>5310</v>
      </c>
    </row>
    <row r="153" spans="1:9">
      <c r="A153" t="s">
        <v>5554</v>
      </c>
      <c r="B153" t="s">
        <v>5670</v>
      </c>
      <c r="C153" t="s">
        <v>5671</v>
      </c>
      <c r="D153" t="s">
        <v>5143</v>
      </c>
      <c r="E153" t="s">
        <v>5672</v>
      </c>
      <c r="F153" t="s">
        <v>5145</v>
      </c>
      <c r="G153" t="s">
        <v>5146</v>
      </c>
      <c r="H153" t="s">
        <v>5147</v>
      </c>
      <c r="I153" t="s">
        <v>5310</v>
      </c>
    </row>
    <row r="154" spans="1:9">
      <c r="A154" t="s">
        <v>5554</v>
      </c>
      <c r="B154" t="s">
        <v>5673</v>
      </c>
      <c r="C154" t="s">
        <v>5674</v>
      </c>
      <c r="D154" t="s">
        <v>5143</v>
      </c>
      <c r="E154" t="s">
        <v>5675</v>
      </c>
      <c r="F154" t="s">
        <v>5145</v>
      </c>
      <c r="G154" t="s">
        <v>5146</v>
      </c>
      <c r="H154" t="s">
        <v>5147</v>
      </c>
      <c r="I154" t="s">
        <v>5148</v>
      </c>
    </row>
    <row r="155" spans="1:9">
      <c r="A155" t="s">
        <v>5554</v>
      </c>
      <c r="B155" t="s">
        <v>5450</v>
      </c>
      <c r="C155" t="s">
        <v>5451</v>
      </c>
      <c r="D155" t="s">
        <v>5143</v>
      </c>
      <c r="E155" t="s">
        <v>5676</v>
      </c>
      <c r="F155" t="s">
        <v>5145</v>
      </c>
      <c r="G155" t="s">
        <v>5146</v>
      </c>
      <c r="H155" t="s">
        <v>5147</v>
      </c>
      <c r="I155" t="s">
        <v>5310</v>
      </c>
    </row>
    <row r="156" spans="1:9">
      <c r="A156" t="s">
        <v>5554</v>
      </c>
      <c r="B156" t="s">
        <v>5677</v>
      </c>
      <c r="C156" t="s">
        <v>5678</v>
      </c>
      <c r="D156" t="s">
        <v>5143</v>
      </c>
      <c r="E156" t="s">
        <v>5679</v>
      </c>
      <c r="F156" t="s">
        <v>5145</v>
      </c>
      <c r="G156" t="s">
        <v>5146</v>
      </c>
      <c r="H156" t="s">
        <v>5147</v>
      </c>
      <c r="I156" t="s">
        <v>5310</v>
      </c>
    </row>
    <row r="157" spans="1:9">
      <c r="A157" t="s">
        <v>5554</v>
      </c>
      <c r="B157" t="s">
        <v>5493</v>
      </c>
      <c r="C157" t="s">
        <v>5494</v>
      </c>
      <c r="D157" t="s">
        <v>5143</v>
      </c>
      <c r="E157" t="s">
        <v>5680</v>
      </c>
      <c r="F157" t="s">
        <v>5145</v>
      </c>
      <c r="G157" t="s">
        <v>5146</v>
      </c>
      <c r="H157" t="s">
        <v>5147</v>
      </c>
      <c r="I157" t="s">
        <v>5310</v>
      </c>
    </row>
    <row r="158" spans="1:9">
      <c r="A158" t="s">
        <v>5554</v>
      </c>
      <c r="B158" t="s">
        <v>5481</v>
      </c>
      <c r="C158" t="s">
        <v>5482</v>
      </c>
      <c r="D158" t="s">
        <v>5143</v>
      </c>
      <c r="E158" t="s">
        <v>5681</v>
      </c>
      <c r="F158" t="s">
        <v>5145</v>
      </c>
      <c r="G158" t="s">
        <v>5146</v>
      </c>
      <c r="H158" t="s">
        <v>5147</v>
      </c>
      <c r="I158" t="s">
        <v>5310</v>
      </c>
    </row>
    <row r="159" spans="1:9">
      <c r="A159" t="s">
        <v>5554</v>
      </c>
      <c r="B159" t="s">
        <v>5682</v>
      </c>
      <c r="C159" t="s">
        <v>5683</v>
      </c>
      <c r="D159" t="s">
        <v>5143</v>
      </c>
      <c r="E159" t="s">
        <v>5684</v>
      </c>
      <c r="F159" t="s">
        <v>5145</v>
      </c>
      <c r="G159" t="s">
        <v>5146</v>
      </c>
      <c r="H159" t="s">
        <v>5147</v>
      </c>
      <c r="I159" t="s">
        <v>5310</v>
      </c>
    </row>
    <row r="160" spans="1:9">
      <c r="A160" t="s">
        <v>5554</v>
      </c>
      <c r="B160" t="s">
        <v>5244</v>
      </c>
      <c r="C160" t="s">
        <v>5245</v>
      </c>
      <c r="D160" t="s">
        <v>5143</v>
      </c>
      <c r="E160" t="s">
        <v>5685</v>
      </c>
      <c r="F160" t="s">
        <v>5145</v>
      </c>
      <c r="G160" t="s">
        <v>5146</v>
      </c>
      <c r="H160" t="s">
        <v>5147</v>
      </c>
      <c r="I160" t="s">
        <v>5310</v>
      </c>
    </row>
    <row r="161" spans="1:9">
      <c r="A161" t="s">
        <v>5554</v>
      </c>
      <c r="B161" t="s">
        <v>5489</v>
      </c>
      <c r="C161" t="s">
        <v>5490</v>
      </c>
      <c r="D161" t="s">
        <v>5143</v>
      </c>
      <c r="E161" t="s">
        <v>5600</v>
      </c>
      <c r="F161" t="s">
        <v>5145</v>
      </c>
      <c r="G161" t="s">
        <v>5146</v>
      </c>
      <c r="H161" t="s">
        <v>5147</v>
      </c>
      <c r="I161" t="s">
        <v>5310</v>
      </c>
    </row>
    <row r="162" spans="1:9">
      <c r="A162" t="s">
        <v>5554</v>
      </c>
      <c r="B162" t="s">
        <v>5514</v>
      </c>
      <c r="C162" t="s">
        <v>5515</v>
      </c>
      <c r="D162" t="s">
        <v>5143</v>
      </c>
      <c r="E162" t="s">
        <v>5686</v>
      </c>
      <c r="F162" t="s">
        <v>5145</v>
      </c>
      <c r="G162" t="s">
        <v>5146</v>
      </c>
      <c r="H162" t="s">
        <v>5147</v>
      </c>
      <c r="I162" t="s">
        <v>5310</v>
      </c>
    </row>
    <row r="163" spans="1:9">
      <c r="A163" t="s">
        <v>5554</v>
      </c>
      <c r="B163" t="s">
        <v>5518</v>
      </c>
      <c r="C163" t="s">
        <v>5519</v>
      </c>
      <c r="D163" t="s">
        <v>5143</v>
      </c>
      <c r="E163" t="s">
        <v>5687</v>
      </c>
      <c r="F163" t="s">
        <v>5145</v>
      </c>
      <c r="G163" t="s">
        <v>5146</v>
      </c>
      <c r="H163" t="s">
        <v>5147</v>
      </c>
      <c r="I163" t="s">
        <v>5310</v>
      </c>
    </row>
    <row r="164" spans="1:9">
      <c r="A164" t="s">
        <v>5554</v>
      </c>
      <c r="B164" t="s">
        <v>5688</v>
      </c>
      <c r="C164" t="s">
        <v>5689</v>
      </c>
      <c r="D164" t="s">
        <v>5143</v>
      </c>
      <c r="E164" t="s">
        <v>5690</v>
      </c>
      <c r="F164" t="s">
        <v>5145</v>
      </c>
      <c r="G164" t="s">
        <v>5146</v>
      </c>
      <c r="H164" t="s">
        <v>5147</v>
      </c>
      <c r="I164" t="s">
        <v>5310</v>
      </c>
    </row>
  </sheetData>
  <mergeCells count="1">
    <mergeCell ref="A1:I1"/>
  </mergeCell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4851E-BD28-45E6-A657-621D67224022}">
  <sheetPr>
    <tabColor theme="6" tint="-0.499984740745262"/>
  </sheetPr>
  <dimension ref="A1:AC207"/>
  <sheetViews>
    <sheetView topLeftCell="D1" workbookViewId="0">
      <selection activeCell="O4" sqref="O4"/>
    </sheetView>
  </sheetViews>
  <sheetFormatPr defaultColWidth="8.5546875" defaultRowHeight="14.4"/>
  <cols>
    <col min="1" max="1" width="14" customWidth="1"/>
    <col min="2" max="2" width="16" customWidth="1"/>
    <col min="3" max="3" width="38" customWidth="1"/>
    <col min="4" max="4" width="10" customWidth="1"/>
    <col min="5" max="5" width="22" customWidth="1"/>
    <col min="6" max="6" width="14" customWidth="1"/>
    <col min="7" max="7" width="36" customWidth="1"/>
    <col min="8" max="8" width="10" customWidth="1"/>
    <col min="9" max="9" width="12" customWidth="1"/>
    <col min="10" max="10" width="16" customWidth="1"/>
    <col min="11" max="11" width="13" customWidth="1"/>
    <col min="12" max="12" width="14" customWidth="1"/>
    <col min="13" max="13" width="12" customWidth="1"/>
    <col min="14" max="14" width="14" customWidth="1"/>
    <col min="15" max="15" width="10" customWidth="1"/>
    <col min="16" max="16" width="12" customWidth="1"/>
    <col min="17" max="17" width="28" customWidth="1"/>
    <col min="18" max="18" width="10" customWidth="1"/>
    <col min="19" max="19" width="18" customWidth="1"/>
    <col min="20" max="21" width="12" customWidth="1"/>
    <col min="22" max="22" width="10" customWidth="1"/>
    <col min="23" max="23" width="20.109375" bestFit="1" customWidth="1"/>
    <col min="27" max="27" width="10.88671875" bestFit="1" customWidth="1"/>
    <col min="28" max="28" width="9.88671875" bestFit="1" customWidth="1"/>
  </cols>
  <sheetData>
    <row r="1" spans="1:29">
      <c r="A1" s="457" t="s">
        <v>5691</v>
      </c>
      <c r="B1" s="457" t="s">
        <v>5692</v>
      </c>
      <c r="C1" s="457" t="s">
        <v>5693</v>
      </c>
      <c r="D1" s="457" t="s">
        <v>1137</v>
      </c>
      <c r="E1" s="457" t="s">
        <v>5694</v>
      </c>
      <c r="F1" s="457" t="s">
        <v>929</v>
      </c>
      <c r="G1" s="457" t="s">
        <v>5695</v>
      </c>
      <c r="H1" s="457" t="s">
        <v>5696</v>
      </c>
      <c r="I1" s="457" t="s">
        <v>5697</v>
      </c>
      <c r="J1" s="457" t="s">
        <v>5698</v>
      </c>
      <c r="K1" s="457" t="s">
        <v>5699</v>
      </c>
      <c r="L1" s="457" t="s">
        <v>1118</v>
      </c>
      <c r="M1" s="457" t="s">
        <v>1123</v>
      </c>
      <c r="N1" s="457" t="s">
        <v>5700</v>
      </c>
      <c r="O1" s="457" t="s">
        <v>5701</v>
      </c>
      <c r="P1" s="457" t="s">
        <v>5702</v>
      </c>
      <c r="Q1" s="457" t="s">
        <v>5703</v>
      </c>
      <c r="R1" s="457" t="s">
        <v>5704</v>
      </c>
      <c r="S1" s="457" t="s">
        <v>5705</v>
      </c>
      <c r="T1" s="457" t="s">
        <v>5706</v>
      </c>
      <c r="U1" s="457" t="s">
        <v>5707</v>
      </c>
      <c r="V1" s="457" t="s">
        <v>1664</v>
      </c>
      <c r="W1" s="607" t="s">
        <v>5708</v>
      </c>
      <c r="X1" s="607" t="s">
        <v>5709</v>
      </c>
      <c r="Y1" s="607" t="s">
        <v>5710</v>
      </c>
      <c r="Z1" s="607" t="s">
        <v>1270</v>
      </c>
      <c r="AA1" s="607" t="s">
        <v>5711</v>
      </c>
      <c r="AB1" s="607" t="s">
        <v>5712</v>
      </c>
      <c r="AC1" s="607" t="s">
        <v>5713</v>
      </c>
    </row>
    <row r="2" spans="1:29">
      <c r="A2" s="606" t="s">
        <v>5714</v>
      </c>
      <c r="B2" t="s">
        <v>5715</v>
      </c>
      <c r="C2" t="s">
        <v>2729</v>
      </c>
      <c r="D2" t="s">
        <v>5716</v>
      </c>
      <c r="E2" t="s">
        <v>1751</v>
      </c>
      <c r="F2" t="s">
        <v>5717</v>
      </c>
      <c r="G2" t="s">
        <v>5718</v>
      </c>
      <c r="H2" s="606" t="s">
        <v>5719</v>
      </c>
      <c r="I2" s="605">
        <v>45966</v>
      </c>
      <c r="J2" s="605"/>
      <c r="K2" t="s">
        <v>5715</v>
      </c>
      <c r="L2" s="603">
        <v>1903</v>
      </c>
      <c r="M2" s="603">
        <v>750</v>
      </c>
      <c r="N2" s="603">
        <f t="shared" ref="N2:N33" si="0">L2-M2</f>
        <v>1153</v>
      </c>
      <c r="O2" s="604">
        <f t="shared" ref="O2:O33" si="1">IF(L2=0,"",M2/L2)</f>
        <v>0.39411455596426692</v>
      </c>
      <c r="P2" s="603">
        <v>750</v>
      </c>
      <c r="R2" t="b">
        <v>0</v>
      </c>
      <c r="S2" t="b">
        <v>0</v>
      </c>
      <c r="T2">
        <v>58</v>
      </c>
      <c r="U2" s="605">
        <v>45908</v>
      </c>
      <c r="V2" t="str">
        <f t="shared" ref="V2:V33" si="2">TEXT(U2,"YYYY-MM")</f>
        <v>2025-09</v>
      </c>
      <c r="W2" s="603">
        <f t="shared" ref="W2:W33" si="3">MIN(L2,P2)</f>
        <v>750</v>
      </c>
      <c r="AA2" s="606"/>
    </row>
    <row r="3" spans="1:29">
      <c r="A3" s="606" t="s">
        <v>5720</v>
      </c>
      <c r="B3" t="s">
        <v>5715</v>
      </c>
      <c r="C3" t="s">
        <v>5721</v>
      </c>
      <c r="D3">
        <v>224</v>
      </c>
      <c r="E3" t="s">
        <v>1751</v>
      </c>
      <c r="F3" t="s">
        <v>5717</v>
      </c>
      <c r="G3" t="s">
        <v>5718</v>
      </c>
      <c r="H3" s="606" t="s">
        <v>5722</v>
      </c>
      <c r="I3" s="605">
        <v>45526</v>
      </c>
      <c r="J3" s="605">
        <v>45485</v>
      </c>
      <c r="K3" t="s">
        <v>5715</v>
      </c>
      <c r="L3" s="603">
        <v>1510.79</v>
      </c>
      <c r="M3" s="603">
        <v>1000</v>
      </c>
      <c r="N3" s="603">
        <f t="shared" si="0"/>
        <v>510.78999999999996</v>
      </c>
      <c r="O3" s="604">
        <f t="shared" si="1"/>
        <v>0.66190536077151696</v>
      </c>
      <c r="P3" s="603">
        <v>1000</v>
      </c>
      <c r="R3" t="b">
        <v>0</v>
      </c>
      <c r="S3" t="b">
        <v>0</v>
      </c>
      <c r="T3">
        <v>112</v>
      </c>
      <c r="U3" s="605">
        <v>45414</v>
      </c>
      <c r="V3" t="str">
        <f t="shared" si="2"/>
        <v>2024-05</v>
      </c>
      <c r="W3" s="603">
        <f t="shared" si="3"/>
        <v>1000</v>
      </c>
      <c r="AA3" s="606"/>
    </row>
    <row r="4" spans="1:29">
      <c r="A4" s="606" t="s">
        <v>5723</v>
      </c>
      <c r="B4" t="s">
        <v>5715</v>
      </c>
      <c r="C4" t="s">
        <v>5724</v>
      </c>
      <c r="D4" t="s">
        <v>5725</v>
      </c>
      <c r="E4" t="s">
        <v>1751</v>
      </c>
      <c r="F4" t="s">
        <v>5717</v>
      </c>
      <c r="G4" t="s">
        <v>5726</v>
      </c>
      <c r="H4" s="606" t="s">
        <v>5727</v>
      </c>
      <c r="I4" s="605">
        <v>45581</v>
      </c>
      <c r="J4" s="605">
        <v>45519</v>
      </c>
      <c r="K4" t="s">
        <v>5715</v>
      </c>
      <c r="L4" s="603">
        <v>502.74</v>
      </c>
      <c r="M4" s="603">
        <v>0</v>
      </c>
      <c r="N4" s="603">
        <f t="shared" si="0"/>
        <v>502.74</v>
      </c>
      <c r="O4" s="604" t="s">
        <v>11176</v>
      </c>
      <c r="P4" s="603">
        <v>1000</v>
      </c>
      <c r="R4" t="b">
        <v>0</v>
      </c>
      <c r="S4" t="b">
        <v>1</v>
      </c>
      <c r="T4">
        <v>107</v>
      </c>
      <c r="U4" s="605">
        <v>45474</v>
      </c>
      <c r="V4" t="str">
        <f t="shared" si="2"/>
        <v>2024-07</v>
      </c>
      <c r="W4" s="603">
        <f t="shared" si="3"/>
        <v>502.74</v>
      </c>
      <c r="AA4" s="606"/>
    </row>
    <row r="5" spans="1:29">
      <c r="A5" s="606" t="s">
        <v>5728</v>
      </c>
      <c r="B5" t="s">
        <v>5715</v>
      </c>
      <c r="C5" t="s">
        <v>5729</v>
      </c>
      <c r="D5">
        <v>3069</v>
      </c>
      <c r="E5" t="s">
        <v>1751</v>
      </c>
      <c r="F5" t="s">
        <v>5717</v>
      </c>
      <c r="G5" t="s">
        <v>5730</v>
      </c>
      <c r="H5" s="606" t="s">
        <v>5731</v>
      </c>
      <c r="I5" s="605">
        <v>45499</v>
      </c>
      <c r="J5" s="605">
        <v>45484</v>
      </c>
      <c r="K5" t="s">
        <v>5715</v>
      </c>
      <c r="L5" s="603">
        <v>232</v>
      </c>
      <c r="M5" s="603">
        <v>120</v>
      </c>
      <c r="N5" s="603">
        <f t="shared" si="0"/>
        <v>112</v>
      </c>
      <c r="O5" s="604">
        <f t="shared" si="1"/>
        <v>0.51724137931034486</v>
      </c>
      <c r="P5" s="603">
        <v>1000</v>
      </c>
      <c r="R5" t="b">
        <v>0</v>
      </c>
      <c r="S5" t="b">
        <v>0</v>
      </c>
      <c r="T5">
        <v>88</v>
      </c>
      <c r="U5" s="605">
        <v>45411</v>
      </c>
      <c r="V5" t="str">
        <f t="shared" si="2"/>
        <v>2024-04</v>
      </c>
      <c r="W5" s="603">
        <f t="shared" si="3"/>
        <v>232</v>
      </c>
      <c r="AA5" s="606"/>
    </row>
    <row r="6" spans="1:29">
      <c r="A6" s="606" t="s">
        <v>5732</v>
      </c>
      <c r="B6" t="s">
        <v>5715</v>
      </c>
      <c r="C6" t="s">
        <v>2729</v>
      </c>
      <c r="D6" t="s">
        <v>5733</v>
      </c>
      <c r="E6" t="s">
        <v>1751</v>
      </c>
      <c r="F6" t="s">
        <v>5717</v>
      </c>
      <c r="G6" t="s">
        <v>5718</v>
      </c>
      <c r="H6" s="606" t="s">
        <v>5734</v>
      </c>
      <c r="I6" s="605">
        <v>45947</v>
      </c>
      <c r="J6" s="605"/>
      <c r="K6" t="s">
        <v>5715</v>
      </c>
      <c r="L6" s="603">
        <v>8351.58</v>
      </c>
      <c r="M6" s="603">
        <v>1000</v>
      </c>
      <c r="N6" s="603">
        <f t="shared" si="0"/>
        <v>7351.58</v>
      </c>
      <c r="O6" s="604">
        <f t="shared" si="1"/>
        <v>0.1197378220648069</v>
      </c>
      <c r="P6" s="603">
        <v>1000</v>
      </c>
      <c r="R6" t="b">
        <v>0</v>
      </c>
      <c r="S6" t="b">
        <v>0</v>
      </c>
      <c r="T6">
        <v>60</v>
      </c>
      <c r="U6" s="605">
        <v>45887</v>
      </c>
      <c r="V6" t="str">
        <f t="shared" si="2"/>
        <v>2025-08</v>
      </c>
      <c r="W6" s="603">
        <f t="shared" si="3"/>
        <v>1000</v>
      </c>
      <c r="AA6" s="606"/>
    </row>
    <row r="7" spans="1:29">
      <c r="A7" s="606" t="s">
        <v>5735</v>
      </c>
      <c r="B7" t="s">
        <v>5715</v>
      </c>
      <c r="C7" t="s">
        <v>5736</v>
      </c>
      <c r="D7" t="s">
        <v>5737</v>
      </c>
      <c r="E7" t="s">
        <v>1751</v>
      </c>
      <c r="F7" t="s">
        <v>5717</v>
      </c>
      <c r="G7" t="s">
        <v>5738</v>
      </c>
      <c r="H7" s="606" t="s">
        <v>5739</v>
      </c>
      <c r="I7" s="605">
        <v>45922</v>
      </c>
      <c r="J7" s="605"/>
      <c r="K7" t="s">
        <v>5715</v>
      </c>
      <c r="L7" s="603">
        <v>477.44</v>
      </c>
      <c r="M7" s="603">
        <v>170</v>
      </c>
      <c r="N7" s="603">
        <f t="shared" si="0"/>
        <v>307.44</v>
      </c>
      <c r="O7" s="604">
        <f t="shared" si="1"/>
        <v>0.35606568364611263</v>
      </c>
      <c r="P7" s="603">
        <v>1000</v>
      </c>
      <c r="R7" t="b">
        <v>1</v>
      </c>
      <c r="S7" t="b">
        <v>0</v>
      </c>
      <c r="T7">
        <v>59</v>
      </c>
      <c r="U7" s="605">
        <v>45863</v>
      </c>
      <c r="V7" t="str">
        <f t="shared" si="2"/>
        <v>2025-07</v>
      </c>
      <c r="W7" s="603">
        <f t="shared" si="3"/>
        <v>477.44</v>
      </c>
      <c r="AA7" s="606"/>
    </row>
    <row r="8" spans="1:29">
      <c r="A8" s="606" t="s">
        <v>5740</v>
      </c>
      <c r="B8" t="s">
        <v>5715</v>
      </c>
      <c r="C8" t="s">
        <v>5741</v>
      </c>
      <c r="D8" t="s">
        <v>5742</v>
      </c>
      <c r="E8" t="s">
        <v>1751</v>
      </c>
      <c r="F8" t="s">
        <v>5743</v>
      </c>
      <c r="G8" t="s">
        <v>5743</v>
      </c>
      <c r="H8" s="606" t="s">
        <v>5744</v>
      </c>
      <c r="I8" s="605">
        <v>46010</v>
      </c>
      <c r="J8" s="605"/>
      <c r="K8" t="s">
        <v>5715</v>
      </c>
      <c r="L8" s="603">
        <v>8131.42</v>
      </c>
      <c r="M8" s="603">
        <v>0</v>
      </c>
      <c r="N8" s="603">
        <f t="shared" si="0"/>
        <v>8131.42</v>
      </c>
      <c r="O8" s="604">
        <f t="shared" si="1"/>
        <v>0</v>
      </c>
      <c r="P8" s="603">
        <v>750</v>
      </c>
      <c r="Q8" t="s">
        <v>5745</v>
      </c>
      <c r="R8" t="b">
        <v>0</v>
      </c>
      <c r="S8" t="b">
        <v>0</v>
      </c>
      <c r="T8">
        <v>37</v>
      </c>
      <c r="U8" s="605">
        <v>45973</v>
      </c>
      <c r="V8" t="str">
        <f t="shared" si="2"/>
        <v>2025-11</v>
      </c>
      <c r="W8" s="603">
        <f t="shared" si="3"/>
        <v>750</v>
      </c>
      <c r="AA8" s="606"/>
    </row>
    <row r="9" spans="1:29">
      <c r="A9" s="606" t="s">
        <v>5746</v>
      </c>
      <c r="B9" t="s">
        <v>5715</v>
      </c>
      <c r="C9" t="s">
        <v>5747</v>
      </c>
      <c r="D9" t="s">
        <v>3588</v>
      </c>
      <c r="E9" t="s">
        <v>1751</v>
      </c>
      <c r="F9" t="s">
        <v>5717</v>
      </c>
      <c r="G9" t="s">
        <v>5730</v>
      </c>
      <c r="H9" s="606" t="s">
        <v>5748</v>
      </c>
      <c r="I9" s="605">
        <v>45925</v>
      </c>
      <c r="J9" s="605"/>
      <c r="K9" t="s">
        <v>5715</v>
      </c>
      <c r="L9" s="603">
        <v>565</v>
      </c>
      <c r="M9" s="603">
        <v>465</v>
      </c>
      <c r="N9" s="603">
        <f t="shared" si="0"/>
        <v>100</v>
      </c>
      <c r="O9" s="604">
        <f t="shared" si="1"/>
        <v>0.82300884955752207</v>
      </c>
      <c r="P9" s="603">
        <v>1000</v>
      </c>
      <c r="R9" t="b">
        <v>0</v>
      </c>
      <c r="S9" t="b">
        <v>0</v>
      </c>
      <c r="T9">
        <v>56</v>
      </c>
      <c r="U9" s="605">
        <v>45869</v>
      </c>
      <c r="V9" t="str">
        <f t="shared" si="2"/>
        <v>2025-07</v>
      </c>
      <c r="W9" s="603">
        <f t="shared" si="3"/>
        <v>565</v>
      </c>
      <c r="AA9" s="606"/>
    </row>
    <row r="10" spans="1:29">
      <c r="A10" s="606" t="s">
        <v>5749</v>
      </c>
      <c r="B10" t="s">
        <v>5715</v>
      </c>
      <c r="C10" t="s">
        <v>2729</v>
      </c>
      <c r="D10" t="s">
        <v>5750</v>
      </c>
      <c r="E10" t="s">
        <v>1751</v>
      </c>
      <c r="F10" t="s">
        <v>5717</v>
      </c>
      <c r="G10" t="s">
        <v>5718</v>
      </c>
      <c r="H10" s="606" t="s">
        <v>5751</v>
      </c>
      <c r="I10" s="605">
        <v>45966</v>
      </c>
      <c r="J10" s="605"/>
      <c r="K10" t="s">
        <v>5715</v>
      </c>
      <c r="L10" s="603">
        <v>1730</v>
      </c>
      <c r="M10" s="603">
        <v>750</v>
      </c>
      <c r="N10" s="603">
        <f t="shared" si="0"/>
        <v>980</v>
      </c>
      <c r="O10" s="604">
        <f t="shared" si="1"/>
        <v>0.43352601156069365</v>
      </c>
      <c r="P10" s="603">
        <v>750</v>
      </c>
      <c r="R10" t="b">
        <v>0</v>
      </c>
      <c r="S10" t="b">
        <v>0</v>
      </c>
      <c r="T10">
        <v>58</v>
      </c>
      <c r="U10" s="605">
        <v>45908</v>
      </c>
      <c r="V10" t="str">
        <f t="shared" si="2"/>
        <v>2025-09</v>
      </c>
      <c r="W10" s="603">
        <f t="shared" si="3"/>
        <v>750</v>
      </c>
      <c r="AA10" s="606"/>
    </row>
    <row r="11" spans="1:29">
      <c r="A11" s="606" t="s">
        <v>5752</v>
      </c>
      <c r="B11" t="s">
        <v>5715</v>
      </c>
      <c r="C11" t="s">
        <v>5753</v>
      </c>
      <c r="D11">
        <v>3017</v>
      </c>
      <c r="E11" t="s">
        <v>1751</v>
      </c>
      <c r="F11" t="s">
        <v>5717</v>
      </c>
      <c r="G11" t="s">
        <v>5718</v>
      </c>
      <c r="H11" s="606" t="s">
        <v>5754</v>
      </c>
      <c r="I11" s="605">
        <v>45499</v>
      </c>
      <c r="J11" s="605"/>
      <c r="K11" t="s">
        <v>5715</v>
      </c>
      <c r="L11" s="603">
        <v>1250</v>
      </c>
      <c r="M11" s="603">
        <v>1000</v>
      </c>
      <c r="N11" s="603">
        <f t="shared" si="0"/>
        <v>250</v>
      </c>
      <c r="O11" s="604">
        <f t="shared" si="1"/>
        <v>0.8</v>
      </c>
      <c r="P11" s="603">
        <v>1000</v>
      </c>
      <c r="R11" t="b">
        <v>0</v>
      </c>
      <c r="S11" t="b">
        <v>0</v>
      </c>
      <c r="T11">
        <v>100</v>
      </c>
      <c r="U11" s="605">
        <v>45399</v>
      </c>
      <c r="V11" t="str">
        <f t="shared" si="2"/>
        <v>2024-04</v>
      </c>
      <c r="W11" s="603">
        <f t="shared" si="3"/>
        <v>1000</v>
      </c>
      <c r="AA11" s="606"/>
    </row>
    <row r="12" spans="1:29">
      <c r="A12" s="606" t="s">
        <v>5755</v>
      </c>
      <c r="B12" t="s">
        <v>5715</v>
      </c>
      <c r="C12" t="s">
        <v>5756</v>
      </c>
      <c r="D12" t="s">
        <v>1921</v>
      </c>
      <c r="E12" t="s">
        <v>1751</v>
      </c>
      <c r="F12" t="s">
        <v>5743</v>
      </c>
      <c r="G12" t="s">
        <v>5743</v>
      </c>
      <c r="H12" s="606" t="s">
        <v>5757</v>
      </c>
      <c r="I12" s="605">
        <v>46010</v>
      </c>
      <c r="J12" s="605"/>
      <c r="K12" t="s">
        <v>5715</v>
      </c>
      <c r="L12" s="603">
        <v>9793.82</v>
      </c>
      <c r="M12" s="603">
        <v>0</v>
      </c>
      <c r="N12" s="603">
        <f t="shared" si="0"/>
        <v>9793.82</v>
      </c>
      <c r="O12" s="604">
        <f t="shared" si="1"/>
        <v>0</v>
      </c>
      <c r="P12" s="603">
        <v>750</v>
      </c>
      <c r="Q12" t="s">
        <v>5745</v>
      </c>
      <c r="R12" t="b">
        <v>0</v>
      </c>
      <c r="S12" t="b">
        <v>0</v>
      </c>
      <c r="T12">
        <v>37</v>
      </c>
      <c r="U12" s="605">
        <v>45973</v>
      </c>
      <c r="V12" t="str">
        <f t="shared" si="2"/>
        <v>2025-11</v>
      </c>
      <c r="W12" s="603">
        <f t="shared" si="3"/>
        <v>750</v>
      </c>
      <c r="AA12" s="606"/>
    </row>
    <row r="13" spans="1:29">
      <c r="A13" s="606" t="s">
        <v>5758</v>
      </c>
      <c r="B13" t="s">
        <v>5715</v>
      </c>
      <c r="C13" t="s">
        <v>5759</v>
      </c>
      <c r="D13" t="s">
        <v>3845</v>
      </c>
      <c r="E13" t="s">
        <v>1751</v>
      </c>
      <c r="F13" t="s">
        <v>5717</v>
      </c>
      <c r="G13" t="s">
        <v>5718</v>
      </c>
      <c r="H13" s="606" t="s">
        <v>5760</v>
      </c>
      <c r="I13" s="605">
        <v>45925</v>
      </c>
      <c r="J13" s="605"/>
      <c r="K13" t="s">
        <v>5715</v>
      </c>
      <c r="L13" s="603">
        <v>3441.36</v>
      </c>
      <c r="M13" s="603">
        <v>1000</v>
      </c>
      <c r="N13" s="603">
        <f t="shared" si="0"/>
        <v>2441.36</v>
      </c>
      <c r="O13" s="604">
        <f t="shared" si="1"/>
        <v>0.29058279284933863</v>
      </c>
      <c r="P13" s="603">
        <v>1000</v>
      </c>
      <c r="R13" t="b">
        <v>0</v>
      </c>
      <c r="S13" t="b">
        <v>0</v>
      </c>
      <c r="T13">
        <v>56</v>
      </c>
      <c r="U13" s="605">
        <v>45869</v>
      </c>
      <c r="V13" t="str">
        <f t="shared" si="2"/>
        <v>2025-07</v>
      </c>
      <c r="W13" s="603">
        <f t="shared" si="3"/>
        <v>1000</v>
      </c>
      <c r="AA13" s="606"/>
    </row>
    <row r="14" spans="1:29">
      <c r="A14" s="606" t="s">
        <v>5761</v>
      </c>
      <c r="B14" t="s">
        <v>5715</v>
      </c>
      <c r="C14" t="s">
        <v>5762</v>
      </c>
      <c r="D14">
        <v>2097</v>
      </c>
      <c r="E14" t="s">
        <v>1751</v>
      </c>
      <c r="F14" t="s">
        <v>5717</v>
      </c>
      <c r="G14" t="s">
        <v>5730</v>
      </c>
      <c r="H14" s="606" t="s">
        <v>5763</v>
      </c>
      <c r="I14" s="605">
        <v>45526</v>
      </c>
      <c r="J14" s="605">
        <v>45499</v>
      </c>
      <c r="K14" t="s">
        <v>5715</v>
      </c>
      <c r="L14" s="603">
        <v>640.97</v>
      </c>
      <c r="M14" s="603">
        <v>297.01</v>
      </c>
      <c r="N14" s="603">
        <f t="shared" si="0"/>
        <v>343.96000000000004</v>
      </c>
      <c r="O14" s="604">
        <f t="shared" si="1"/>
        <v>0.46337582102126462</v>
      </c>
      <c r="P14" s="603">
        <v>1000</v>
      </c>
      <c r="R14" t="b">
        <v>0</v>
      </c>
      <c r="S14" t="b">
        <v>0</v>
      </c>
      <c r="T14">
        <v>107</v>
      </c>
      <c r="U14" s="605">
        <v>45419</v>
      </c>
      <c r="V14" t="str">
        <f t="shared" si="2"/>
        <v>2024-05</v>
      </c>
      <c r="W14" s="603">
        <f t="shared" si="3"/>
        <v>640.97</v>
      </c>
      <c r="AA14" s="606"/>
    </row>
    <row r="15" spans="1:29">
      <c r="A15" s="606" t="s">
        <v>5764</v>
      </c>
      <c r="B15" t="s">
        <v>5715</v>
      </c>
      <c r="C15" t="s">
        <v>5765</v>
      </c>
      <c r="D15" t="s">
        <v>1784</v>
      </c>
      <c r="E15" t="s">
        <v>1751</v>
      </c>
      <c r="F15" t="s">
        <v>5717</v>
      </c>
      <c r="G15" t="s">
        <v>5738</v>
      </c>
      <c r="H15" s="606" t="s">
        <v>5766</v>
      </c>
      <c r="I15" s="605">
        <v>46028</v>
      </c>
      <c r="J15" s="605"/>
      <c r="K15" t="s">
        <v>5715</v>
      </c>
      <c r="L15" s="603">
        <v>450.53</v>
      </c>
      <c r="M15" s="603">
        <v>340</v>
      </c>
      <c r="N15" s="603">
        <f t="shared" si="0"/>
        <v>110.52999999999997</v>
      </c>
      <c r="O15" s="604">
        <f t="shared" si="1"/>
        <v>0.75466672585621386</v>
      </c>
      <c r="P15" s="603">
        <v>750</v>
      </c>
      <c r="R15" t="b">
        <v>1</v>
      </c>
      <c r="S15" t="b">
        <v>0</v>
      </c>
      <c r="T15">
        <v>36</v>
      </c>
      <c r="U15" s="605">
        <v>45992</v>
      </c>
      <c r="V15" t="str">
        <f t="shared" si="2"/>
        <v>2025-12</v>
      </c>
      <c r="W15" s="603">
        <f t="shared" si="3"/>
        <v>450.53</v>
      </c>
      <c r="AA15" s="606"/>
    </row>
    <row r="16" spans="1:29">
      <c r="A16" s="606" t="s">
        <v>5767</v>
      </c>
      <c r="B16" t="s">
        <v>5715</v>
      </c>
      <c r="C16" t="s">
        <v>5768</v>
      </c>
      <c r="D16" t="s">
        <v>5769</v>
      </c>
      <c r="E16" t="s">
        <v>1751</v>
      </c>
      <c r="F16" t="s">
        <v>5717</v>
      </c>
      <c r="G16" t="s">
        <v>5730</v>
      </c>
      <c r="H16" s="606" t="s">
        <v>5770</v>
      </c>
      <c r="I16" s="605">
        <v>46041</v>
      </c>
      <c r="J16" s="605"/>
      <c r="K16" t="s">
        <v>5715</v>
      </c>
      <c r="L16" s="603">
        <v>3002.45</v>
      </c>
      <c r="M16" s="603">
        <v>245</v>
      </c>
      <c r="N16" s="603">
        <f t="shared" si="0"/>
        <v>2757.45</v>
      </c>
      <c r="O16" s="604">
        <f t="shared" si="1"/>
        <v>8.1600026644906662E-2</v>
      </c>
      <c r="P16" s="603">
        <v>750</v>
      </c>
      <c r="R16" t="b">
        <v>0</v>
      </c>
      <c r="S16" t="b">
        <v>0</v>
      </c>
      <c r="T16">
        <v>55</v>
      </c>
      <c r="U16" s="605">
        <v>45986</v>
      </c>
      <c r="V16" t="str">
        <f t="shared" si="2"/>
        <v>2025-11</v>
      </c>
      <c r="W16" s="603">
        <f t="shared" si="3"/>
        <v>750</v>
      </c>
      <c r="AA16" s="606"/>
    </row>
    <row r="17" spans="1:27">
      <c r="A17" s="606" t="s">
        <v>5771</v>
      </c>
      <c r="B17" t="s">
        <v>5715</v>
      </c>
      <c r="C17" t="s">
        <v>5772</v>
      </c>
      <c r="D17" t="s">
        <v>5773</v>
      </c>
      <c r="E17" t="s">
        <v>1751</v>
      </c>
      <c r="F17" t="s">
        <v>5717</v>
      </c>
      <c r="G17" t="s">
        <v>5718</v>
      </c>
      <c r="H17" s="606" t="s">
        <v>5774</v>
      </c>
      <c r="I17" s="605">
        <v>45923</v>
      </c>
      <c r="J17" s="605"/>
      <c r="K17" t="s">
        <v>5715</v>
      </c>
      <c r="L17" s="603">
        <v>1151</v>
      </c>
      <c r="M17" s="603">
        <v>750</v>
      </c>
      <c r="N17" s="603">
        <f t="shared" si="0"/>
        <v>401</v>
      </c>
      <c r="O17" s="604">
        <f t="shared" si="1"/>
        <v>0.65160729800173767</v>
      </c>
      <c r="P17" s="603">
        <v>750</v>
      </c>
      <c r="R17" t="b">
        <v>0</v>
      </c>
      <c r="S17" t="b">
        <v>0</v>
      </c>
      <c r="T17">
        <v>57</v>
      </c>
      <c r="U17" s="605">
        <v>45866</v>
      </c>
      <c r="V17" t="str">
        <f t="shared" si="2"/>
        <v>2025-07</v>
      </c>
      <c r="W17" s="603">
        <f t="shared" si="3"/>
        <v>750</v>
      </c>
      <c r="AA17" s="606"/>
    </row>
    <row r="18" spans="1:27">
      <c r="A18" s="606" t="s">
        <v>5775</v>
      </c>
      <c r="B18" t="s">
        <v>5715</v>
      </c>
      <c r="C18" t="s">
        <v>5776</v>
      </c>
      <c r="D18" t="s">
        <v>5777</v>
      </c>
      <c r="E18" t="s">
        <v>1751</v>
      </c>
      <c r="F18" t="s">
        <v>5717</v>
      </c>
      <c r="G18" t="s">
        <v>5718</v>
      </c>
      <c r="H18" s="606" t="s">
        <v>5778</v>
      </c>
      <c r="I18" s="605">
        <v>45526</v>
      </c>
      <c r="J18" s="605"/>
      <c r="K18" t="s">
        <v>5715</v>
      </c>
      <c r="L18" s="603">
        <v>2611.98</v>
      </c>
      <c r="M18" s="603">
        <v>1000</v>
      </c>
      <c r="N18" s="603">
        <f t="shared" si="0"/>
        <v>1611.98</v>
      </c>
      <c r="O18" s="604">
        <f t="shared" si="1"/>
        <v>0.38285132351702539</v>
      </c>
      <c r="P18" s="603">
        <v>1000</v>
      </c>
      <c r="R18" t="b">
        <v>0</v>
      </c>
      <c r="S18" t="b">
        <v>0</v>
      </c>
      <c r="T18">
        <v>106</v>
      </c>
      <c r="U18" s="605">
        <v>45420</v>
      </c>
      <c r="V18" t="str">
        <f t="shared" si="2"/>
        <v>2024-05</v>
      </c>
      <c r="W18" s="603">
        <f t="shared" si="3"/>
        <v>1000</v>
      </c>
      <c r="AA18" s="606"/>
    </row>
    <row r="19" spans="1:27">
      <c r="A19" s="606" t="s">
        <v>5779</v>
      </c>
      <c r="B19" t="s">
        <v>5715</v>
      </c>
      <c r="C19" t="s">
        <v>5780</v>
      </c>
      <c r="D19" t="s">
        <v>5781</v>
      </c>
      <c r="E19" t="s">
        <v>1751</v>
      </c>
      <c r="F19" t="s">
        <v>5717</v>
      </c>
      <c r="G19" t="s">
        <v>5730</v>
      </c>
      <c r="H19" s="606" t="s">
        <v>5782</v>
      </c>
      <c r="I19" s="605">
        <v>45890</v>
      </c>
      <c r="J19" s="605">
        <v>45863</v>
      </c>
      <c r="K19" t="s">
        <v>5715</v>
      </c>
      <c r="L19" s="603">
        <v>246.24</v>
      </c>
      <c r="M19" s="603">
        <v>125</v>
      </c>
      <c r="N19" s="603">
        <f t="shared" si="0"/>
        <v>121.24000000000001</v>
      </c>
      <c r="O19" s="604">
        <f t="shared" si="1"/>
        <v>0.50763482781026636</v>
      </c>
      <c r="P19" s="603">
        <v>750</v>
      </c>
      <c r="R19" t="b">
        <v>0</v>
      </c>
      <c r="S19" t="b">
        <v>0</v>
      </c>
      <c r="T19">
        <v>51</v>
      </c>
      <c r="U19" s="605">
        <v>45839</v>
      </c>
      <c r="V19" t="str">
        <f t="shared" si="2"/>
        <v>2025-07</v>
      </c>
      <c r="W19" s="603">
        <f t="shared" si="3"/>
        <v>246.24</v>
      </c>
      <c r="AA19" s="606"/>
    </row>
    <row r="20" spans="1:27">
      <c r="A20" s="606" t="s">
        <v>5783</v>
      </c>
      <c r="B20" t="s">
        <v>5715</v>
      </c>
      <c r="C20" t="s">
        <v>5784</v>
      </c>
      <c r="D20" t="s">
        <v>1598</v>
      </c>
      <c r="E20" t="s">
        <v>1751</v>
      </c>
      <c r="F20" t="s">
        <v>5743</v>
      </c>
      <c r="G20" t="s">
        <v>5743</v>
      </c>
      <c r="H20" s="606" t="s">
        <v>5785</v>
      </c>
      <c r="I20" s="605">
        <v>46011</v>
      </c>
      <c r="J20" s="605"/>
      <c r="K20" t="s">
        <v>5715</v>
      </c>
      <c r="L20" s="603">
        <v>21165.97</v>
      </c>
      <c r="M20" s="603">
        <v>0</v>
      </c>
      <c r="N20" s="603">
        <f t="shared" si="0"/>
        <v>21165.97</v>
      </c>
      <c r="O20" s="604">
        <f t="shared" si="1"/>
        <v>0</v>
      </c>
      <c r="P20" s="603">
        <v>750</v>
      </c>
      <c r="Q20" t="s">
        <v>5745</v>
      </c>
      <c r="R20" t="b">
        <v>0</v>
      </c>
      <c r="S20" t="b">
        <v>0</v>
      </c>
      <c r="T20">
        <v>38</v>
      </c>
      <c r="U20" s="605">
        <v>45973</v>
      </c>
      <c r="V20" t="str">
        <f t="shared" si="2"/>
        <v>2025-11</v>
      </c>
      <c r="W20" s="603">
        <f t="shared" si="3"/>
        <v>750</v>
      </c>
      <c r="AA20" s="606"/>
    </row>
    <row r="21" spans="1:27">
      <c r="A21" s="606" t="s">
        <v>5786</v>
      </c>
      <c r="B21" t="s">
        <v>5715</v>
      </c>
      <c r="C21" t="s">
        <v>5787</v>
      </c>
      <c r="D21" t="s">
        <v>5788</v>
      </c>
      <c r="E21" t="s">
        <v>1751</v>
      </c>
      <c r="F21" t="s">
        <v>5717</v>
      </c>
      <c r="G21" t="s">
        <v>5789</v>
      </c>
      <c r="H21" s="606" t="s">
        <v>5790</v>
      </c>
      <c r="I21" s="605">
        <v>46010</v>
      </c>
      <c r="J21" s="605">
        <v>45960</v>
      </c>
      <c r="K21" t="s">
        <v>5715</v>
      </c>
      <c r="L21" s="603">
        <v>857</v>
      </c>
      <c r="M21" s="603">
        <v>276</v>
      </c>
      <c r="N21" s="603">
        <f t="shared" si="0"/>
        <v>581</v>
      </c>
      <c r="O21" s="604">
        <f t="shared" si="1"/>
        <v>0.32205367561260212</v>
      </c>
      <c r="P21" s="603">
        <v>1000</v>
      </c>
      <c r="R21" t="b">
        <v>1</v>
      </c>
      <c r="S21" t="b">
        <v>0</v>
      </c>
      <c r="T21">
        <v>119</v>
      </c>
      <c r="U21" s="605">
        <v>45891</v>
      </c>
      <c r="V21" t="str">
        <f t="shared" si="2"/>
        <v>2025-08</v>
      </c>
      <c r="W21" s="603">
        <f t="shared" si="3"/>
        <v>857</v>
      </c>
      <c r="AA21" s="606"/>
    </row>
    <row r="22" spans="1:27">
      <c r="A22" s="606" t="s">
        <v>5791</v>
      </c>
      <c r="B22" t="s">
        <v>5715</v>
      </c>
      <c r="C22" t="s">
        <v>5792</v>
      </c>
      <c r="D22">
        <v>3089</v>
      </c>
      <c r="E22" t="s">
        <v>1751</v>
      </c>
      <c r="F22" t="s">
        <v>5717</v>
      </c>
      <c r="G22" t="s">
        <v>5789</v>
      </c>
      <c r="H22" s="606" t="s">
        <v>5793</v>
      </c>
      <c r="I22" s="605">
        <v>45582</v>
      </c>
      <c r="J22" s="605">
        <v>45539</v>
      </c>
      <c r="K22" t="s">
        <v>5715</v>
      </c>
      <c r="L22" s="603">
        <v>1922.02</v>
      </c>
      <c r="M22" s="603">
        <v>730.62</v>
      </c>
      <c r="N22" s="603">
        <f t="shared" si="0"/>
        <v>1191.4000000000001</v>
      </c>
      <c r="O22" s="604">
        <f t="shared" si="1"/>
        <v>0.38013132017356738</v>
      </c>
      <c r="P22" s="603">
        <v>1000</v>
      </c>
      <c r="R22" t="b">
        <v>1</v>
      </c>
      <c r="S22" t="b">
        <v>0</v>
      </c>
      <c r="T22">
        <v>115</v>
      </c>
      <c r="U22" s="605">
        <v>45467</v>
      </c>
      <c r="V22" t="str">
        <f t="shared" si="2"/>
        <v>2024-06</v>
      </c>
      <c r="W22" s="603">
        <f t="shared" si="3"/>
        <v>1000</v>
      </c>
      <c r="AA22" s="606"/>
    </row>
    <row r="23" spans="1:27">
      <c r="A23" s="606" t="s">
        <v>5794</v>
      </c>
      <c r="B23" t="s">
        <v>5715</v>
      </c>
      <c r="C23" t="s">
        <v>5795</v>
      </c>
      <c r="D23" t="s">
        <v>2186</v>
      </c>
      <c r="E23" t="s">
        <v>1751</v>
      </c>
      <c r="F23" t="s">
        <v>5717</v>
      </c>
      <c r="G23" t="s">
        <v>5730</v>
      </c>
      <c r="H23" s="606" t="s">
        <v>5796</v>
      </c>
      <c r="I23" s="605">
        <v>45925</v>
      </c>
      <c r="J23" s="605"/>
      <c r="K23" t="s">
        <v>5715</v>
      </c>
      <c r="L23" s="603">
        <v>2614.7800000000002</v>
      </c>
      <c r="M23" s="603">
        <v>750</v>
      </c>
      <c r="N23" s="603">
        <f t="shared" si="0"/>
        <v>1864.7800000000002</v>
      </c>
      <c r="O23" s="604">
        <f t="shared" si="1"/>
        <v>0.28683101446393194</v>
      </c>
      <c r="P23" s="603">
        <v>750</v>
      </c>
      <c r="R23" t="b">
        <v>1</v>
      </c>
      <c r="S23" t="b">
        <v>0</v>
      </c>
      <c r="T23">
        <v>57</v>
      </c>
      <c r="U23" s="605">
        <v>45868</v>
      </c>
      <c r="V23" t="str">
        <f t="shared" si="2"/>
        <v>2025-07</v>
      </c>
      <c r="W23" s="603">
        <f t="shared" si="3"/>
        <v>750</v>
      </c>
      <c r="AA23" s="606"/>
    </row>
    <row r="24" spans="1:27">
      <c r="A24" s="606" t="s">
        <v>5797</v>
      </c>
      <c r="B24" t="s">
        <v>5715</v>
      </c>
      <c r="C24" t="s">
        <v>5798</v>
      </c>
      <c r="D24">
        <v>3008</v>
      </c>
      <c r="E24" t="s">
        <v>1751</v>
      </c>
      <c r="F24" t="s">
        <v>5717</v>
      </c>
      <c r="G24" t="s">
        <v>5718</v>
      </c>
      <c r="H24" s="606" t="s">
        <v>5799</v>
      </c>
      <c r="I24" s="605">
        <v>45499</v>
      </c>
      <c r="J24" s="605">
        <v>45448</v>
      </c>
      <c r="K24" t="s">
        <v>5715</v>
      </c>
      <c r="L24" s="603">
        <v>1335.42</v>
      </c>
      <c r="M24" s="603">
        <v>1000</v>
      </c>
      <c r="N24" s="603">
        <f t="shared" si="0"/>
        <v>335.42000000000007</v>
      </c>
      <c r="O24" s="604">
        <f t="shared" si="1"/>
        <v>0.74882808404846413</v>
      </c>
      <c r="P24" s="603">
        <v>1000</v>
      </c>
      <c r="R24" t="b">
        <v>0</v>
      </c>
      <c r="S24" t="b">
        <v>0</v>
      </c>
      <c r="T24">
        <v>88</v>
      </c>
      <c r="U24" s="605">
        <v>45411</v>
      </c>
      <c r="V24" t="str">
        <f t="shared" si="2"/>
        <v>2024-04</v>
      </c>
      <c r="W24" s="603">
        <f t="shared" si="3"/>
        <v>1000</v>
      </c>
      <c r="AA24" s="606"/>
    </row>
    <row r="25" spans="1:27">
      <c r="A25" s="606" t="s">
        <v>5800</v>
      </c>
      <c r="B25" t="s">
        <v>5715</v>
      </c>
      <c r="C25" t="s">
        <v>5801</v>
      </c>
      <c r="D25">
        <v>3047</v>
      </c>
      <c r="E25" t="s">
        <v>1751</v>
      </c>
      <c r="F25" t="s">
        <v>5717</v>
      </c>
      <c r="G25" t="s">
        <v>5718</v>
      </c>
      <c r="H25" s="606" t="s">
        <v>5802</v>
      </c>
      <c r="I25" s="605">
        <v>45573</v>
      </c>
      <c r="J25" s="605">
        <v>45511</v>
      </c>
      <c r="K25" t="s">
        <v>5715</v>
      </c>
      <c r="L25" s="603">
        <v>1074.79</v>
      </c>
      <c r="M25" s="603">
        <v>1000</v>
      </c>
      <c r="N25" s="603">
        <f t="shared" si="0"/>
        <v>74.789999999999964</v>
      </c>
      <c r="O25" s="604">
        <f t="shared" si="1"/>
        <v>0.93041431349379877</v>
      </c>
      <c r="P25" s="603">
        <v>1000</v>
      </c>
      <c r="R25" t="b">
        <v>0</v>
      </c>
      <c r="S25" t="b">
        <v>0</v>
      </c>
      <c r="T25">
        <v>98</v>
      </c>
      <c r="U25" s="605">
        <v>45475</v>
      </c>
      <c r="V25" t="str">
        <f t="shared" si="2"/>
        <v>2024-07</v>
      </c>
      <c r="W25" s="603">
        <f t="shared" si="3"/>
        <v>1000</v>
      </c>
      <c r="AA25" s="606"/>
    </row>
    <row r="26" spans="1:27">
      <c r="A26" s="606" t="s">
        <v>5803</v>
      </c>
      <c r="B26" t="s">
        <v>5715</v>
      </c>
      <c r="C26" t="s">
        <v>5804</v>
      </c>
      <c r="D26" t="s">
        <v>5805</v>
      </c>
      <c r="E26" t="s">
        <v>1751</v>
      </c>
      <c r="F26" t="s">
        <v>5717</v>
      </c>
      <c r="G26" t="s">
        <v>5718</v>
      </c>
      <c r="H26" s="606" t="s">
        <v>5806</v>
      </c>
      <c r="I26" s="605">
        <v>45925</v>
      </c>
      <c r="J26" s="605"/>
      <c r="K26" t="s">
        <v>5715</v>
      </c>
      <c r="L26" s="603">
        <v>2070</v>
      </c>
      <c r="M26" s="603">
        <v>750</v>
      </c>
      <c r="N26" s="603">
        <f t="shared" si="0"/>
        <v>1320</v>
      </c>
      <c r="O26" s="604">
        <f t="shared" si="1"/>
        <v>0.36231884057971014</v>
      </c>
      <c r="P26" s="603">
        <v>750</v>
      </c>
      <c r="R26" t="b">
        <v>0</v>
      </c>
      <c r="S26" t="b">
        <v>0</v>
      </c>
      <c r="T26">
        <v>66</v>
      </c>
      <c r="U26" s="605">
        <v>45859</v>
      </c>
      <c r="V26" t="str">
        <f t="shared" si="2"/>
        <v>2025-07</v>
      </c>
      <c r="W26" s="603">
        <f t="shared" si="3"/>
        <v>750</v>
      </c>
      <c r="AA26" s="606"/>
    </row>
    <row r="27" spans="1:27">
      <c r="A27" s="606" t="s">
        <v>5807</v>
      </c>
      <c r="B27" t="s">
        <v>5715</v>
      </c>
      <c r="C27" t="s">
        <v>5808</v>
      </c>
      <c r="D27" t="s">
        <v>2646</v>
      </c>
      <c r="E27" t="s">
        <v>1751</v>
      </c>
      <c r="F27" t="s">
        <v>5717</v>
      </c>
      <c r="G27" t="s">
        <v>5718</v>
      </c>
      <c r="H27" s="606" t="s">
        <v>5809</v>
      </c>
      <c r="I27" s="605">
        <v>45670</v>
      </c>
      <c r="J27" s="605">
        <v>45643</v>
      </c>
      <c r="K27" t="s">
        <v>5715</v>
      </c>
      <c r="L27" s="603">
        <v>1165</v>
      </c>
      <c r="M27" s="603">
        <v>750</v>
      </c>
      <c r="N27" s="603">
        <f t="shared" si="0"/>
        <v>415</v>
      </c>
      <c r="O27" s="604">
        <f t="shared" si="1"/>
        <v>0.64377682403433478</v>
      </c>
      <c r="P27" s="603">
        <v>750</v>
      </c>
      <c r="R27" t="b">
        <v>0</v>
      </c>
      <c r="S27" t="b">
        <v>0</v>
      </c>
      <c r="T27">
        <v>31</v>
      </c>
      <c r="U27" s="605">
        <v>45639</v>
      </c>
      <c r="V27" t="str">
        <f t="shared" si="2"/>
        <v>2024-12</v>
      </c>
      <c r="W27" s="603">
        <f t="shared" si="3"/>
        <v>750</v>
      </c>
      <c r="AA27" s="606"/>
    </row>
    <row r="28" spans="1:27">
      <c r="A28" s="606" t="s">
        <v>5810</v>
      </c>
      <c r="B28" t="s">
        <v>5715</v>
      </c>
      <c r="C28" t="s">
        <v>5811</v>
      </c>
      <c r="D28" t="s">
        <v>5812</v>
      </c>
      <c r="E28" t="s">
        <v>1751</v>
      </c>
      <c r="F28" t="s">
        <v>5717</v>
      </c>
      <c r="G28" t="s">
        <v>5718</v>
      </c>
      <c r="H28" s="606" t="s">
        <v>5813</v>
      </c>
      <c r="I28" s="605">
        <v>45925</v>
      </c>
      <c r="J28" s="605"/>
      <c r="K28" t="s">
        <v>5715</v>
      </c>
      <c r="L28" s="603">
        <v>1753.48</v>
      </c>
      <c r="M28" s="603">
        <v>750</v>
      </c>
      <c r="N28" s="603">
        <f t="shared" si="0"/>
        <v>1003.48</v>
      </c>
      <c r="O28" s="604">
        <f t="shared" si="1"/>
        <v>0.42772087505988093</v>
      </c>
      <c r="P28" s="603">
        <v>750</v>
      </c>
      <c r="R28" t="b">
        <v>0</v>
      </c>
      <c r="S28" t="b">
        <v>0</v>
      </c>
      <c r="T28">
        <v>60</v>
      </c>
      <c r="U28" s="605">
        <v>45865</v>
      </c>
      <c r="V28" t="str">
        <f t="shared" si="2"/>
        <v>2025-07</v>
      </c>
      <c r="W28" s="603">
        <f t="shared" si="3"/>
        <v>750</v>
      </c>
      <c r="AA28" s="606"/>
    </row>
    <row r="29" spans="1:27">
      <c r="A29" s="606" t="s">
        <v>5814</v>
      </c>
      <c r="B29" t="s">
        <v>5715</v>
      </c>
      <c r="C29" t="s">
        <v>5815</v>
      </c>
      <c r="D29" t="s">
        <v>5816</v>
      </c>
      <c r="E29" t="s">
        <v>1751</v>
      </c>
      <c r="F29" t="s">
        <v>5743</v>
      </c>
      <c r="G29" t="s">
        <v>5743</v>
      </c>
      <c r="H29" s="606" t="s">
        <v>5817</v>
      </c>
      <c r="I29" s="605">
        <v>46010</v>
      </c>
      <c r="J29" s="605"/>
      <c r="K29" t="s">
        <v>5715</v>
      </c>
      <c r="L29" s="603">
        <v>2283.36</v>
      </c>
      <c r="M29" s="603">
        <v>0</v>
      </c>
      <c r="N29" s="603">
        <f t="shared" si="0"/>
        <v>2283.36</v>
      </c>
      <c r="O29" s="604">
        <f t="shared" si="1"/>
        <v>0</v>
      </c>
      <c r="P29" s="603">
        <v>750</v>
      </c>
      <c r="Q29" t="s">
        <v>5818</v>
      </c>
      <c r="R29" t="b">
        <v>0</v>
      </c>
      <c r="S29" t="b">
        <v>0</v>
      </c>
      <c r="T29">
        <v>43</v>
      </c>
      <c r="U29" s="605">
        <v>45967</v>
      </c>
      <c r="V29" t="str">
        <f t="shared" si="2"/>
        <v>2025-11</v>
      </c>
      <c r="W29" s="603">
        <f t="shared" si="3"/>
        <v>750</v>
      </c>
      <c r="AA29" s="606"/>
    </row>
    <row r="30" spans="1:27">
      <c r="A30" s="606" t="s">
        <v>5819</v>
      </c>
      <c r="B30" t="s">
        <v>5715</v>
      </c>
      <c r="C30" t="s">
        <v>5820</v>
      </c>
      <c r="D30" t="s">
        <v>5821</v>
      </c>
      <c r="E30" t="s">
        <v>1751</v>
      </c>
      <c r="F30" t="s">
        <v>5717</v>
      </c>
      <c r="G30" t="s">
        <v>5718</v>
      </c>
      <c r="H30" s="606" t="s">
        <v>5822</v>
      </c>
      <c r="I30" s="605">
        <v>46063</v>
      </c>
      <c r="J30" s="605"/>
      <c r="K30" t="s">
        <v>5715</v>
      </c>
      <c r="L30" s="603">
        <v>4296.25</v>
      </c>
      <c r="M30" s="603">
        <v>750</v>
      </c>
      <c r="N30" s="603">
        <f t="shared" si="0"/>
        <v>3546.25</v>
      </c>
      <c r="O30" s="604">
        <f t="shared" si="1"/>
        <v>0.17457084666860634</v>
      </c>
      <c r="P30" s="603">
        <v>750</v>
      </c>
      <c r="R30" t="b">
        <v>0</v>
      </c>
      <c r="S30" t="b">
        <v>0</v>
      </c>
      <c r="T30">
        <v>46</v>
      </c>
      <c r="U30" s="605">
        <v>46017</v>
      </c>
      <c r="V30" t="str">
        <f t="shared" si="2"/>
        <v>2025-12</v>
      </c>
      <c r="W30" s="603">
        <f t="shared" si="3"/>
        <v>750</v>
      </c>
      <c r="AA30" s="606"/>
    </row>
    <row r="31" spans="1:27">
      <c r="A31" s="606" t="s">
        <v>5823</v>
      </c>
      <c r="B31" t="s">
        <v>5715</v>
      </c>
      <c r="C31" t="s">
        <v>5824</v>
      </c>
      <c r="D31" t="s">
        <v>5825</v>
      </c>
      <c r="E31" t="s">
        <v>1751</v>
      </c>
      <c r="F31" t="s">
        <v>5717</v>
      </c>
      <c r="G31" t="s">
        <v>5718</v>
      </c>
      <c r="H31" s="606" t="s">
        <v>5826</v>
      </c>
      <c r="I31" s="605">
        <v>45890</v>
      </c>
      <c r="J31" s="605"/>
      <c r="K31" t="s">
        <v>5715</v>
      </c>
      <c r="L31" s="603">
        <v>1670</v>
      </c>
      <c r="M31" s="603">
        <v>750</v>
      </c>
      <c r="N31" s="603">
        <f t="shared" si="0"/>
        <v>920</v>
      </c>
      <c r="O31" s="604">
        <f t="shared" si="1"/>
        <v>0.44910179640718562</v>
      </c>
      <c r="P31" s="603">
        <v>750</v>
      </c>
      <c r="R31" t="b">
        <v>0</v>
      </c>
      <c r="S31" t="b">
        <v>0</v>
      </c>
      <c r="T31">
        <v>57</v>
      </c>
      <c r="U31" s="605">
        <v>45833</v>
      </c>
      <c r="V31" t="str">
        <f t="shared" si="2"/>
        <v>2025-06</v>
      </c>
      <c r="W31" s="603">
        <f t="shared" si="3"/>
        <v>750</v>
      </c>
      <c r="AA31" s="606"/>
    </row>
    <row r="32" spans="1:27">
      <c r="A32" s="606" t="s">
        <v>5827</v>
      </c>
      <c r="B32" t="s">
        <v>5715</v>
      </c>
      <c r="C32" t="s">
        <v>5828</v>
      </c>
      <c r="D32" t="s">
        <v>5829</v>
      </c>
      <c r="E32" t="s">
        <v>1751</v>
      </c>
      <c r="F32" t="s">
        <v>5717</v>
      </c>
      <c r="G32" t="s">
        <v>5730</v>
      </c>
      <c r="H32" s="606" t="s">
        <v>5830</v>
      </c>
      <c r="I32" s="605">
        <v>46028</v>
      </c>
      <c r="J32" s="605"/>
      <c r="K32" t="s">
        <v>5715</v>
      </c>
      <c r="L32" s="603">
        <v>319.33</v>
      </c>
      <c r="M32" s="603">
        <v>195.25</v>
      </c>
      <c r="N32" s="603">
        <f t="shared" si="0"/>
        <v>124.07999999999998</v>
      </c>
      <c r="O32" s="604">
        <f t="shared" si="1"/>
        <v>0.61143644505683781</v>
      </c>
      <c r="P32" s="603">
        <v>750</v>
      </c>
      <c r="R32" t="b">
        <v>0</v>
      </c>
      <c r="S32" t="b">
        <v>0</v>
      </c>
      <c r="T32">
        <v>42</v>
      </c>
      <c r="U32" s="605">
        <v>45986</v>
      </c>
      <c r="V32" t="str">
        <f t="shared" si="2"/>
        <v>2025-11</v>
      </c>
      <c r="W32" s="603">
        <f t="shared" si="3"/>
        <v>319.33</v>
      </c>
      <c r="AA32" s="606"/>
    </row>
    <row r="33" spans="1:27">
      <c r="A33" s="606" t="s">
        <v>5831</v>
      </c>
      <c r="B33" t="s">
        <v>5715</v>
      </c>
      <c r="C33" t="s">
        <v>5832</v>
      </c>
      <c r="D33" t="s">
        <v>5833</v>
      </c>
      <c r="E33" t="s">
        <v>1751</v>
      </c>
      <c r="F33" t="s">
        <v>5717</v>
      </c>
      <c r="G33" t="s">
        <v>5718</v>
      </c>
      <c r="H33" s="606" t="s">
        <v>5834</v>
      </c>
      <c r="I33" s="605">
        <v>45452</v>
      </c>
      <c r="J33" s="605"/>
      <c r="K33" t="s">
        <v>5715</v>
      </c>
      <c r="L33" s="603">
        <v>1420.2</v>
      </c>
      <c r="M33" s="603">
        <v>1000</v>
      </c>
      <c r="N33" s="603">
        <f t="shared" si="0"/>
        <v>420.20000000000005</v>
      </c>
      <c r="O33" s="604">
        <f t="shared" si="1"/>
        <v>0.70412617941135047</v>
      </c>
      <c r="P33" s="603">
        <v>1000</v>
      </c>
      <c r="R33" t="b">
        <v>0</v>
      </c>
      <c r="S33" t="b">
        <v>0</v>
      </c>
      <c r="T33">
        <v>95</v>
      </c>
      <c r="U33" s="605">
        <v>45357</v>
      </c>
      <c r="V33" t="str">
        <f t="shared" si="2"/>
        <v>2024-03</v>
      </c>
      <c r="W33" s="603">
        <f t="shared" si="3"/>
        <v>1000</v>
      </c>
      <c r="AA33" s="606"/>
    </row>
    <row r="34" spans="1:27">
      <c r="A34" s="606" t="s">
        <v>5835</v>
      </c>
      <c r="B34" t="s">
        <v>5715</v>
      </c>
      <c r="C34" t="s">
        <v>5836</v>
      </c>
      <c r="D34" t="s">
        <v>5837</v>
      </c>
      <c r="E34" t="s">
        <v>1751</v>
      </c>
      <c r="F34" t="s">
        <v>5717</v>
      </c>
      <c r="G34" t="s">
        <v>5838</v>
      </c>
      <c r="H34" s="606" t="s">
        <v>5839</v>
      </c>
      <c r="I34" s="605">
        <v>45452</v>
      </c>
      <c r="J34" s="605">
        <v>45390</v>
      </c>
      <c r="K34" t="s">
        <v>5715</v>
      </c>
      <c r="L34" s="603">
        <v>2168</v>
      </c>
      <c r="M34" s="603">
        <v>0</v>
      </c>
      <c r="N34" s="603">
        <f t="shared" ref="N34:N65" si="4">L34-M34</f>
        <v>2168</v>
      </c>
      <c r="O34" s="604">
        <f t="shared" ref="O34:O65" si="5">IF(L34=0,"",M34/L34)</f>
        <v>0</v>
      </c>
      <c r="P34" s="603">
        <v>1000</v>
      </c>
      <c r="R34" t="b">
        <v>0</v>
      </c>
      <c r="S34" t="b">
        <v>1</v>
      </c>
      <c r="T34">
        <v>88</v>
      </c>
      <c r="U34" s="605">
        <v>45364</v>
      </c>
      <c r="V34" t="str">
        <f t="shared" ref="V34:V65" si="6">TEXT(U34,"YYYY-MM")</f>
        <v>2024-03</v>
      </c>
      <c r="W34" s="603">
        <f t="shared" ref="W34:W65" si="7">MIN(L34,P34)</f>
        <v>1000</v>
      </c>
      <c r="AA34" s="606"/>
    </row>
    <row r="35" spans="1:27">
      <c r="A35" s="606" t="s">
        <v>5840</v>
      </c>
      <c r="B35" t="s">
        <v>5715</v>
      </c>
      <c r="C35" t="s">
        <v>5841</v>
      </c>
      <c r="D35" t="s">
        <v>1938</v>
      </c>
      <c r="E35" t="s">
        <v>1751</v>
      </c>
      <c r="F35" t="s">
        <v>5743</v>
      </c>
      <c r="G35" t="s">
        <v>5743</v>
      </c>
      <c r="H35" s="606" t="s">
        <v>5842</v>
      </c>
      <c r="I35" s="605">
        <v>46010</v>
      </c>
      <c r="J35" s="605"/>
      <c r="K35" t="s">
        <v>5715</v>
      </c>
      <c r="L35" s="603">
        <v>1723.75</v>
      </c>
      <c r="M35" s="603">
        <v>0</v>
      </c>
      <c r="N35" s="603">
        <f t="shared" si="4"/>
        <v>1723.75</v>
      </c>
      <c r="O35" s="604">
        <f t="shared" si="5"/>
        <v>0</v>
      </c>
      <c r="P35" s="603">
        <v>1000</v>
      </c>
      <c r="Q35" t="s">
        <v>5745</v>
      </c>
      <c r="R35" t="b">
        <v>0</v>
      </c>
      <c r="S35" t="b">
        <v>0</v>
      </c>
      <c r="T35">
        <v>43</v>
      </c>
      <c r="U35" s="605">
        <v>45967</v>
      </c>
      <c r="V35" t="str">
        <f t="shared" si="6"/>
        <v>2025-11</v>
      </c>
      <c r="W35" s="603">
        <f t="shared" si="7"/>
        <v>1000</v>
      </c>
      <c r="AA35" s="606"/>
    </row>
    <row r="36" spans="1:27">
      <c r="A36" s="606" t="s">
        <v>5843</v>
      </c>
      <c r="B36" t="s">
        <v>5715</v>
      </c>
      <c r="C36" t="s">
        <v>5844</v>
      </c>
      <c r="D36">
        <v>2041</v>
      </c>
      <c r="E36" t="s">
        <v>1751</v>
      </c>
      <c r="F36" t="s">
        <v>5717</v>
      </c>
      <c r="G36" t="s">
        <v>5718</v>
      </c>
      <c r="H36" s="606" t="s">
        <v>5845</v>
      </c>
      <c r="I36" s="605">
        <v>45452</v>
      </c>
      <c r="J36" s="605"/>
      <c r="K36" t="s">
        <v>5715</v>
      </c>
      <c r="L36" s="603">
        <v>5750.66</v>
      </c>
      <c r="M36" s="603">
        <v>1000</v>
      </c>
      <c r="N36" s="603">
        <f t="shared" si="4"/>
        <v>4750.66</v>
      </c>
      <c r="O36" s="604">
        <f t="shared" si="5"/>
        <v>0.17389308357649383</v>
      </c>
      <c r="P36" s="603">
        <v>1000</v>
      </c>
      <c r="R36" t="b">
        <v>0</v>
      </c>
      <c r="S36" t="b">
        <v>0</v>
      </c>
      <c r="T36">
        <v>83</v>
      </c>
      <c r="U36" s="605">
        <v>45369</v>
      </c>
      <c r="V36" t="str">
        <f t="shared" si="6"/>
        <v>2024-03</v>
      </c>
      <c r="W36" s="603">
        <f t="shared" si="7"/>
        <v>1000</v>
      </c>
      <c r="AA36" s="606"/>
    </row>
    <row r="37" spans="1:27">
      <c r="A37" s="606" t="s">
        <v>5846</v>
      </c>
      <c r="B37" t="s">
        <v>5715</v>
      </c>
      <c r="C37" t="s">
        <v>5847</v>
      </c>
      <c r="D37">
        <v>1003</v>
      </c>
      <c r="E37" t="s">
        <v>1751</v>
      </c>
      <c r="F37" t="s">
        <v>5717</v>
      </c>
      <c r="G37" t="s">
        <v>5718</v>
      </c>
      <c r="H37" s="606" t="s">
        <v>5848</v>
      </c>
      <c r="I37" s="605">
        <v>45526</v>
      </c>
      <c r="J37" s="605"/>
      <c r="K37" t="s">
        <v>5715</v>
      </c>
      <c r="L37" s="603">
        <v>2263.31</v>
      </c>
      <c r="M37" s="603">
        <v>1000</v>
      </c>
      <c r="N37" s="603">
        <f t="shared" si="4"/>
        <v>1263.31</v>
      </c>
      <c r="O37" s="604">
        <f t="shared" si="5"/>
        <v>0.44183076997848286</v>
      </c>
      <c r="P37" s="603">
        <v>1000</v>
      </c>
      <c r="R37" t="b">
        <v>0</v>
      </c>
      <c r="S37" t="b">
        <v>0</v>
      </c>
      <c r="T37">
        <v>112</v>
      </c>
      <c r="U37" s="605">
        <v>45414</v>
      </c>
      <c r="V37" t="str">
        <f t="shared" si="6"/>
        <v>2024-05</v>
      </c>
      <c r="W37" s="603">
        <f t="shared" si="7"/>
        <v>1000</v>
      </c>
      <c r="AA37" s="606"/>
    </row>
    <row r="38" spans="1:27">
      <c r="A38" s="606" t="s">
        <v>5849</v>
      </c>
      <c r="B38" t="s">
        <v>5715</v>
      </c>
      <c r="C38" t="s">
        <v>5850</v>
      </c>
      <c r="D38" t="s">
        <v>5851</v>
      </c>
      <c r="E38" t="s">
        <v>1751</v>
      </c>
      <c r="F38" t="s">
        <v>5717</v>
      </c>
      <c r="G38" t="s">
        <v>5718</v>
      </c>
      <c r="H38" s="606" t="s">
        <v>5852</v>
      </c>
      <c r="I38" s="605">
        <v>46029</v>
      </c>
      <c r="J38" s="605"/>
      <c r="K38" t="s">
        <v>5715</v>
      </c>
      <c r="L38" s="603">
        <v>2958.7</v>
      </c>
      <c r="M38" s="603">
        <v>750</v>
      </c>
      <c r="N38" s="603">
        <f t="shared" si="4"/>
        <v>2208.6999999999998</v>
      </c>
      <c r="O38" s="604">
        <f t="shared" si="5"/>
        <v>0.25348970831784229</v>
      </c>
      <c r="P38" s="603">
        <v>750</v>
      </c>
      <c r="R38" t="b">
        <v>0</v>
      </c>
      <c r="S38" t="b">
        <v>0</v>
      </c>
      <c r="T38">
        <v>46</v>
      </c>
      <c r="U38" s="605">
        <v>45983</v>
      </c>
      <c r="V38" t="str">
        <f t="shared" si="6"/>
        <v>2025-11</v>
      </c>
      <c r="W38" s="603">
        <f t="shared" si="7"/>
        <v>750</v>
      </c>
      <c r="AA38" s="606"/>
    </row>
    <row r="39" spans="1:27">
      <c r="A39" s="606" t="s">
        <v>5853</v>
      </c>
      <c r="B39" t="s">
        <v>5715</v>
      </c>
      <c r="C39" t="s">
        <v>5854</v>
      </c>
      <c r="D39" t="s">
        <v>5855</v>
      </c>
      <c r="E39" t="s">
        <v>1751</v>
      </c>
      <c r="F39" t="s">
        <v>5717</v>
      </c>
      <c r="G39" t="s">
        <v>5718</v>
      </c>
      <c r="H39" s="606" t="s">
        <v>5856</v>
      </c>
      <c r="I39" s="605">
        <v>45452</v>
      </c>
      <c r="J39" s="605">
        <v>45409</v>
      </c>
      <c r="K39" t="s">
        <v>5715</v>
      </c>
      <c r="L39" s="603">
        <v>4791.1000000000004</v>
      </c>
      <c r="M39" s="603">
        <v>1000</v>
      </c>
      <c r="N39" s="603">
        <f t="shared" si="4"/>
        <v>3791.1000000000004</v>
      </c>
      <c r="O39" s="604">
        <f t="shared" si="5"/>
        <v>0.20872033562229966</v>
      </c>
      <c r="P39" s="603">
        <v>1000</v>
      </c>
      <c r="R39" t="b">
        <v>0</v>
      </c>
      <c r="S39" t="b">
        <v>0</v>
      </c>
      <c r="T39">
        <v>87</v>
      </c>
      <c r="U39" s="605">
        <v>45365</v>
      </c>
      <c r="V39" t="str">
        <f t="shared" si="6"/>
        <v>2024-03</v>
      </c>
      <c r="W39" s="603">
        <f t="shared" si="7"/>
        <v>1000</v>
      </c>
      <c r="AA39" s="606"/>
    </row>
    <row r="40" spans="1:27">
      <c r="A40" s="606" t="s">
        <v>5857</v>
      </c>
      <c r="B40" t="s">
        <v>5715</v>
      </c>
      <c r="C40" t="s">
        <v>5858</v>
      </c>
      <c r="D40" t="s">
        <v>5859</v>
      </c>
      <c r="E40" t="s">
        <v>1751</v>
      </c>
      <c r="F40" t="s">
        <v>5717</v>
      </c>
      <c r="G40" t="s">
        <v>5789</v>
      </c>
      <c r="H40" s="606" t="s">
        <v>5860</v>
      </c>
      <c r="I40" s="605">
        <v>45497</v>
      </c>
      <c r="J40" s="605">
        <v>45413</v>
      </c>
      <c r="K40" t="s">
        <v>5715</v>
      </c>
      <c r="L40" s="603">
        <v>3882.14</v>
      </c>
      <c r="M40" s="603">
        <v>0</v>
      </c>
      <c r="N40" s="603">
        <f t="shared" si="4"/>
        <v>3882.14</v>
      </c>
      <c r="O40" s="604">
        <f t="shared" si="5"/>
        <v>0</v>
      </c>
      <c r="P40" s="603">
        <v>1000</v>
      </c>
      <c r="R40" t="b">
        <v>1</v>
      </c>
      <c r="S40" t="b">
        <v>0</v>
      </c>
      <c r="T40">
        <v>106</v>
      </c>
      <c r="U40" s="605">
        <v>45391</v>
      </c>
      <c r="V40" t="str">
        <f t="shared" si="6"/>
        <v>2024-04</v>
      </c>
      <c r="W40" s="603">
        <f t="shared" si="7"/>
        <v>1000</v>
      </c>
      <c r="AA40" s="606"/>
    </row>
    <row r="41" spans="1:27">
      <c r="A41" s="606" t="s">
        <v>5861</v>
      </c>
      <c r="B41" t="s">
        <v>5715</v>
      </c>
      <c r="C41" t="s">
        <v>5862</v>
      </c>
      <c r="D41">
        <v>114</v>
      </c>
      <c r="E41" t="s">
        <v>1751</v>
      </c>
      <c r="F41" t="s">
        <v>5717</v>
      </c>
      <c r="G41" t="s">
        <v>5789</v>
      </c>
      <c r="H41" s="606" t="s">
        <v>5863</v>
      </c>
      <c r="I41" s="605">
        <v>45688</v>
      </c>
      <c r="J41" s="605">
        <v>45596</v>
      </c>
      <c r="K41" t="s">
        <v>5715</v>
      </c>
      <c r="L41" s="603">
        <v>1869.75</v>
      </c>
      <c r="M41" s="603">
        <v>0</v>
      </c>
      <c r="N41" s="603">
        <f t="shared" si="4"/>
        <v>1869.75</v>
      </c>
      <c r="O41" s="604">
        <f t="shared" si="5"/>
        <v>0</v>
      </c>
      <c r="P41" s="603">
        <v>1000</v>
      </c>
      <c r="R41" t="b">
        <v>1</v>
      </c>
      <c r="S41" t="b">
        <v>0</v>
      </c>
      <c r="T41">
        <v>81</v>
      </c>
      <c r="U41" s="605">
        <v>45607</v>
      </c>
      <c r="V41" t="str">
        <f t="shared" si="6"/>
        <v>2024-11</v>
      </c>
      <c r="W41" s="603">
        <f t="shared" si="7"/>
        <v>1000</v>
      </c>
      <c r="AA41" s="606"/>
    </row>
    <row r="42" spans="1:27">
      <c r="A42" s="606" t="s">
        <v>5864</v>
      </c>
      <c r="B42" t="s">
        <v>5715</v>
      </c>
      <c r="C42" t="s">
        <v>5865</v>
      </c>
      <c r="D42" t="s">
        <v>5866</v>
      </c>
      <c r="E42" t="s">
        <v>1751</v>
      </c>
      <c r="F42" t="s">
        <v>5717</v>
      </c>
      <c r="G42" t="s">
        <v>5718</v>
      </c>
      <c r="H42" s="606" t="s">
        <v>5867</v>
      </c>
      <c r="I42" s="605">
        <v>46010</v>
      </c>
      <c r="J42" s="605"/>
      <c r="K42" t="s">
        <v>5715</v>
      </c>
      <c r="L42" s="603">
        <v>10192.540000000001</v>
      </c>
      <c r="M42" s="603">
        <v>750</v>
      </c>
      <c r="N42" s="603">
        <f t="shared" si="4"/>
        <v>9442.5400000000009</v>
      </c>
      <c r="O42" s="604">
        <f t="shared" si="5"/>
        <v>7.3583228518112262E-2</v>
      </c>
      <c r="P42" s="603">
        <v>750</v>
      </c>
      <c r="R42" t="b">
        <v>0</v>
      </c>
      <c r="S42" t="b">
        <v>0</v>
      </c>
      <c r="T42">
        <v>52</v>
      </c>
      <c r="U42" s="605">
        <v>45958</v>
      </c>
      <c r="V42" t="str">
        <f t="shared" si="6"/>
        <v>2025-10</v>
      </c>
      <c r="W42" s="603">
        <f t="shared" si="7"/>
        <v>750</v>
      </c>
      <c r="AA42" s="606"/>
    </row>
    <row r="43" spans="1:27">
      <c r="A43" s="606" t="s">
        <v>5868</v>
      </c>
      <c r="B43" t="s">
        <v>5715</v>
      </c>
      <c r="C43" t="s">
        <v>5869</v>
      </c>
      <c r="D43" t="s">
        <v>5105</v>
      </c>
      <c r="E43" t="s">
        <v>1751</v>
      </c>
      <c r="F43" t="s">
        <v>5717</v>
      </c>
      <c r="G43" t="s">
        <v>5730</v>
      </c>
      <c r="H43" s="606" t="s">
        <v>5870</v>
      </c>
      <c r="I43" s="605">
        <v>46010</v>
      </c>
      <c r="J43" s="605"/>
      <c r="K43" t="s">
        <v>5715</v>
      </c>
      <c r="L43" s="603">
        <v>1210.67</v>
      </c>
      <c r="M43" s="603">
        <v>632</v>
      </c>
      <c r="N43" s="603">
        <f t="shared" si="4"/>
        <v>578.67000000000007</v>
      </c>
      <c r="O43" s="604">
        <f t="shared" si="5"/>
        <v>0.52202499442457484</v>
      </c>
      <c r="P43" s="603">
        <v>750</v>
      </c>
      <c r="R43" t="b">
        <v>0</v>
      </c>
      <c r="S43" t="b">
        <v>0</v>
      </c>
      <c r="T43">
        <v>41</v>
      </c>
      <c r="U43" s="605">
        <v>45969</v>
      </c>
      <c r="V43" t="str">
        <f t="shared" si="6"/>
        <v>2025-11</v>
      </c>
      <c r="W43" s="603">
        <f t="shared" si="7"/>
        <v>750</v>
      </c>
      <c r="AA43" s="606"/>
    </row>
    <row r="44" spans="1:27">
      <c r="A44" s="606" t="s">
        <v>5871</v>
      </c>
      <c r="B44" t="s">
        <v>5715</v>
      </c>
      <c r="C44" t="s">
        <v>5872</v>
      </c>
      <c r="D44" t="s">
        <v>1956</v>
      </c>
      <c r="E44" t="s">
        <v>1751</v>
      </c>
      <c r="F44" t="s">
        <v>5717</v>
      </c>
      <c r="G44" t="s">
        <v>5738</v>
      </c>
      <c r="H44" s="606" t="s">
        <v>5873</v>
      </c>
      <c r="I44" s="605">
        <v>46010</v>
      </c>
      <c r="J44" s="605"/>
      <c r="K44" t="s">
        <v>5715</v>
      </c>
      <c r="L44" s="603">
        <v>507.25</v>
      </c>
      <c r="M44" s="603">
        <v>240</v>
      </c>
      <c r="N44" s="603">
        <f t="shared" si="4"/>
        <v>267.25</v>
      </c>
      <c r="O44" s="604">
        <f t="shared" si="5"/>
        <v>0.47313947757516017</v>
      </c>
      <c r="P44" s="603">
        <v>750</v>
      </c>
      <c r="R44" t="b">
        <v>1</v>
      </c>
      <c r="S44" t="b">
        <v>0</v>
      </c>
      <c r="T44">
        <v>45</v>
      </c>
      <c r="U44" s="605">
        <v>45965</v>
      </c>
      <c r="V44" t="str">
        <f t="shared" si="6"/>
        <v>2025-11</v>
      </c>
      <c r="W44" s="603">
        <f t="shared" si="7"/>
        <v>507.25</v>
      </c>
      <c r="AA44" s="606"/>
    </row>
    <row r="45" spans="1:27">
      <c r="A45" s="606" t="s">
        <v>5874</v>
      </c>
      <c r="B45" t="s">
        <v>5715</v>
      </c>
      <c r="C45" t="s">
        <v>5875</v>
      </c>
      <c r="D45" t="s">
        <v>3013</v>
      </c>
      <c r="E45" t="s">
        <v>1751</v>
      </c>
      <c r="F45" t="s">
        <v>5717</v>
      </c>
      <c r="G45" t="s">
        <v>5730</v>
      </c>
      <c r="H45" s="606" t="s">
        <v>5876</v>
      </c>
      <c r="I45" s="605">
        <v>45932</v>
      </c>
      <c r="J45" s="605">
        <v>45829</v>
      </c>
      <c r="K45" t="s">
        <v>5715</v>
      </c>
      <c r="L45" s="603">
        <v>406.36</v>
      </c>
      <c r="M45" s="603">
        <v>377.36</v>
      </c>
      <c r="N45" s="603">
        <f t="shared" si="4"/>
        <v>29</v>
      </c>
      <c r="O45" s="604">
        <f t="shared" si="5"/>
        <v>0.92863470814056503</v>
      </c>
      <c r="P45" s="603">
        <v>1000</v>
      </c>
      <c r="R45" t="b">
        <v>0</v>
      </c>
      <c r="S45" t="b">
        <v>0</v>
      </c>
      <c r="T45">
        <v>117</v>
      </c>
      <c r="U45" s="605">
        <v>45815</v>
      </c>
      <c r="V45" t="str">
        <f t="shared" si="6"/>
        <v>2025-06</v>
      </c>
      <c r="W45" s="603">
        <f t="shared" si="7"/>
        <v>406.36</v>
      </c>
      <c r="AA45" s="606"/>
    </row>
    <row r="46" spans="1:27">
      <c r="A46" s="606" t="s">
        <v>5877</v>
      </c>
      <c r="B46" t="s">
        <v>5715</v>
      </c>
      <c r="C46" t="s">
        <v>5878</v>
      </c>
      <c r="D46" t="s">
        <v>5879</v>
      </c>
      <c r="E46" t="s">
        <v>1751</v>
      </c>
      <c r="F46" t="s">
        <v>5717</v>
      </c>
      <c r="G46" t="s">
        <v>5838</v>
      </c>
      <c r="H46" s="606" t="s">
        <v>5880</v>
      </c>
      <c r="I46" s="605">
        <v>45890</v>
      </c>
      <c r="J46" s="605"/>
      <c r="K46" t="s">
        <v>5715</v>
      </c>
      <c r="L46" s="603">
        <v>985.16</v>
      </c>
      <c r="M46" s="603">
        <v>579.42999999999995</v>
      </c>
      <c r="N46" s="603">
        <f t="shared" si="4"/>
        <v>405.73</v>
      </c>
      <c r="O46" s="604">
        <f t="shared" si="5"/>
        <v>0.58815826870762111</v>
      </c>
      <c r="P46" s="603">
        <v>1000</v>
      </c>
      <c r="R46" t="b">
        <v>1</v>
      </c>
      <c r="S46" t="b">
        <v>0</v>
      </c>
      <c r="T46">
        <v>115</v>
      </c>
      <c r="U46" s="605">
        <v>45775</v>
      </c>
      <c r="V46" t="str">
        <f t="shared" si="6"/>
        <v>2025-04</v>
      </c>
      <c r="W46" s="603">
        <f t="shared" si="7"/>
        <v>985.16</v>
      </c>
      <c r="AA46" s="606"/>
    </row>
    <row r="47" spans="1:27">
      <c r="A47" s="606" t="s">
        <v>5881</v>
      </c>
      <c r="B47" t="s">
        <v>5715</v>
      </c>
      <c r="C47" t="s">
        <v>5882</v>
      </c>
      <c r="D47" t="s">
        <v>5883</v>
      </c>
      <c r="E47" t="s">
        <v>1751</v>
      </c>
      <c r="F47" t="s">
        <v>5717</v>
      </c>
      <c r="G47" t="s">
        <v>5718</v>
      </c>
      <c r="H47" s="606" t="s">
        <v>5884</v>
      </c>
      <c r="I47" s="605">
        <v>46010</v>
      </c>
      <c r="J47" s="605"/>
      <c r="K47" t="s">
        <v>5715</v>
      </c>
      <c r="L47" s="603">
        <v>8481.61</v>
      </c>
      <c r="M47" s="603">
        <v>750</v>
      </c>
      <c r="N47" s="603">
        <f t="shared" si="4"/>
        <v>7731.6100000000006</v>
      </c>
      <c r="O47" s="604">
        <f t="shared" si="5"/>
        <v>8.8426607684154293E-2</v>
      </c>
      <c r="P47" s="603">
        <v>750</v>
      </c>
      <c r="R47" t="b">
        <v>0</v>
      </c>
      <c r="S47" t="b">
        <v>0</v>
      </c>
      <c r="T47">
        <v>44</v>
      </c>
      <c r="U47" s="605">
        <v>45966</v>
      </c>
      <c r="V47" t="str">
        <f t="shared" si="6"/>
        <v>2025-11</v>
      </c>
      <c r="W47" s="603">
        <f t="shared" si="7"/>
        <v>750</v>
      </c>
      <c r="AA47" s="606"/>
    </row>
    <row r="48" spans="1:27">
      <c r="A48" s="606" t="s">
        <v>5885</v>
      </c>
      <c r="B48" t="s">
        <v>5715</v>
      </c>
      <c r="C48" t="s">
        <v>5886</v>
      </c>
      <c r="D48" s="454">
        <v>43497</v>
      </c>
      <c r="E48" t="s">
        <v>1751</v>
      </c>
      <c r="F48" t="s">
        <v>5717</v>
      </c>
      <c r="G48" t="s">
        <v>5718</v>
      </c>
      <c r="H48" s="606" t="s">
        <v>5887</v>
      </c>
      <c r="I48" s="605">
        <v>45484</v>
      </c>
      <c r="J48" s="605">
        <v>45387</v>
      </c>
      <c r="K48" t="s">
        <v>5715</v>
      </c>
      <c r="L48" s="603">
        <v>2990</v>
      </c>
      <c r="M48" s="603">
        <v>1000</v>
      </c>
      <c r="N48" s="603">
        <f t="shared" si="4"/>
        <v>1990</v>
      </c>
      <c r="O48" s="604">
        <f t="shared" si="5"/>
        <v>0.33444816053511706</v>
      </c>
      <c r="P48" s="603">
        <v>1000</v>
      </c>
      <c r="R48" t="b">
        <v>0</v>
      </c>
      <c r="S48" t="b">
        <v>0</v>
      </c>
      <c r="T48">
        <v>111</v>
      </c>
      <c r="U48" s="605">
        <v>45373</v>
      </c>
      <c r="V48" t="str">
        <f t="shared" si="6"/>
        <v>2024-03</v>
      </c>
      <c r="W48" s="603">
        <f t="shared" si="7"/>
        <v>1000</v>
      </c>
      <c r="AA48" s="606"/>
    </row>
    <row r="49" spans="1:27">
      <c r="A49" s="606" t="s">
        <v>5888</v>
      </c>
      <c r="B49" t="s">
        <v>5715</v>
      </c>
      <c r="C49" t="s">
        <v>5889</v>
      </c>
      <c r="D49" t="s">
        <v>5890</v>
      </c>
      <c r="E49" t="s">
        <v>1751</v>
      </c>
      <c r="F49" t="s">
        <v>5717</v>
      </c>
      <c r="G49" t="s">
        <v>5726</v>
      </c>
      <c r="H49" s="606" t="s">
        <v>5891</v>
      </c>
      <c r="I49" s="605">
        <v>45447</v>
      </c>
      <c r="J49" s="605">
        <v>45356</v>
      </c>
      <c r="K49" t="s">
        <v>5715</v>
      </c>
      <c r="L49" s="603">
        <v>1151.49</v>
      </c>
      <c r="M49" s="603">
        <v>0</v>
      </c>
      <c r="N49" s="603">
        <f t="shared" si="4"/>
        <v>1151.49</v>
      </c>
      <c r="O49" s="604">
        <f t="shared" si="5"/>
        <v>0</v>
      </c>
      <c r="P49" s="603">
        <v>1000</v>
      </c>
      <c r="R49" t="b">
        <v>0</v>
      </c>
      <c r="S49" t="b">
        <v>1</v>
      </c>
      <c r="T49">
        <v>117</v>
      </c>
      <c r="U49" s="605">
        <v>45330</v>
      </c>
      <c r="V49" t="str">
        <f t="shared" si="6"/>
        <v>2024-02</v>
      </c>
      <c r="W49" s="603">
        <f t="shared" si="7"/>
        <v>1000</v>
      </c>
      <c r="AA49" s="606"/>
    </row>
    <row r="50" spans="1:27">
      <c r="A50" s="606" t="s">
        <v>5892</v>
      </c>
      <c r="B50" t="s">
        <v>5715</v>
      </c>
      <c r="C50" t="s">
        <v>5893</v>
      </c>
      <c r="D50" t="s">
        <v>5894</v>
      </c>
      <c r="E50" t="s">
        <v>1751</v>
      </c>
      <c r="F50" t="s">
        <v>5717</v>
      </c>
      <c r="G50" t="s">
        <v>5789</v>
      </c>
      <c r="H50" s="606" t="s">
        <v>5895</v>
      </c>
      <c r="I50" s="605">
        <v>45925</v>
      </c>
      <c r="J50" s="605"/>
      <c r="K50" t="s">
        <v>5715</v>
      </c>
      <c r="L50" s="603">
        <v>1045</v>
      </c>
      <c r="M50" s="603">
        <v>325</v>
      </c>
      <c r="N50" s="603">
        <f t="shared" si="4"/>
        <v>720</v>
      </c>
      <c r="O50" s="604">
        <f t="shared" si="5"/>
        <v>0.31100478468899523</v>
      </c>
      <c r="P50" s="603">
        <v>1000</v>
      </c>
      <c r="R50" t="b">
        <v>1</v>
      </c>
      <c r="S50" t="b">
        <v>0</v>
      </c>
      <c r="T50">
        <v>56</v>
      </c>
      <c r="U50" s="605">
        <v>45869</v>
      </c>
      <c r="V50" t="str">
        <f t="shared" si="6"/>
        <v>2025-07</v>
      </c>
      <c r="W50" s="603">
        <f t="shared" si="7"/>
        <v>1000</v>
      </c>
      <c r="AA50" s="606"/>
    </row>
    <row r="51" spans="1:27">
      <c r="A51" s="606" t="s">
        <v>5896</v>
      </c>
      <c r="B51" t="s">
        <v>5715</v>
      </c>
      <c r="C51" t="s">
        <v>5897</v>
      </c>
      <c r="D51">
        <v>266</v>
      </c>
      <c r="E51" t="s">
        <v>1751</v>
      </c>
      <c r="F51" t="s">
        <v>5717</v>
      </c>
      <c r="G51" t="s">
        <v>5730</v>
      </c>
      <c r="H51" s="606" t="s">
        <v>5898</v>
      </c>
      <c r="I51" s="605">
        <v>45526</v>
      </c>
      <c r="J51" s="605">
        <v>45504</v>
      </c>
      <c r="K51" t="s">
        <v>5715</v>
      </c>
      <c r="L51" s="603">
        <v>666.73</v>
      </c>
      <c r="M51" s="603">
        <v>450</v>
      </c>
      <c r="N51" s="603">
        <f t="shared" si="4"/>
        <v>216.73000000000002</v>
      </c>
      <c r="O51" s="604">
        <f t="shared" si="5"/>
        <v>0.67493588109129632</v>
      </c>
      <c r="P51" s="603">
        <v>1000</v>
      </c>
      <c r="R51" t="b">
        <v>0</v>
      </c>
      <c r="S51" t="b">
        <v>0</v>
      </c>
      <c r="T51">
        <v>113</v>
      </c>
      <c r="U51" s="605">
        <v>45413</v>
      </c>
      <c r="V51" t="str">
        <f t="shared" si="6"/>
        <v>2024-05</v>
      </c>
      <c r="W51" s="603">
        <f t="shared" si="7"/>
        <v>666.73</v>
      </c>
      <c r="AA51" s="606"/>
    </row>
    <row r="52" spans="1:27">
      <c r="A52" s="606" t="s">
        <v>5899</v>
      </c>
      <c r="B52" t="s">
        <v>5715</v>
      </c>
      <c r="C52" t="s">
        <v>5900</v>
      </c>
      <c r="D52" t="s">
        <v>4368</v>
      </c>
      <c r="E52" t="s">
        <v>1751</v>
      </c>
      <c r="F52" t="s">
        <v>5717</v>
      </c>
      <c r="G52" t="s">
        <v>5718</v>
      </c>
      <c r="H52" s="606" t="s">
        <v>5901</v>
      </c>
      <c r="I52" s="605">
        <v>46041</v>
      </c>
      <c r="J52" s="605"/>
      <c r="K52" t="s">
        <v>5715</v>
      </c>
      <c r="L52" s="603">
        <v>4866.7</v>
      </c>
      <c r="M52" s="603">
        <v>750</v>
      </c>
      <c r="N52" s="603">
        <f t="shared" si="4"/>
        <v>4116.7</v>
      </c>
      <c r="O52" s="604">
        <f t="shared" si="5"/>
        <v>0.1541085335031952</v>
      </c>
      <c r="P52" s="603">
        <v>750</v>
      </c>
      <c r="R52" t="b">
        <v>0</v>
      </c>
      <c r="S52" t="b">
        <v>0</v>
      </c>
      <c r="T52">
        <v>55</v>
      </c>
      <c r="U52" s="605">
        <v>45986</v>
      </c>
      <c r="V52" t="str">
        <f t="shared" si="6"/>
        <v>2025-11</v>
      </c>
      <c r="W52" s="603">
        <f t="shared" si="7"/>
        <v>750</v>
      </c>
      <c r="AA52" s="606"/>
    </row>
    <row r="53" spans="1:27">
      <c r="A53" s="606" t="s">
        <v>5902</v>
      </c>
      <c r="B53" t="s">
        <v>5715</v>
      </c>
      <c r="C53" t="s">
        <v>5903</v>
      </c>
      <c r="D53" t="s">
        <v>3303</v>
      </c>
      <c r="E53" t="s">
        <v>1751</v>
      </c>
      <c r="F53" t="s">
        <v>5717</v>
      </c>
      <c r="G53" t="s">
        <v>5718</v>
      </c>
      <c r="H53" s="606" t="s">
        <v>5904</v>
      </c>
      <c r="I53" s="605">
        <v>46011</v>
      </c>
      <c r="J53" s="605"/>
      <c r="K53" t="s">
        <v>5715</v>
      </c>
      <c r="L53" s="603">
        <v>1759.55</v>
      </c>
      <c r="M53" s="603">
        <v>750</v>
      </c>
      <c r="N53" s="603">
        <f t="shared" si="4"/>
        <v>1009.55</v>
      </c>
      <c r="O53" s="604">
        <f t="shared" si="5"/>
        <v>0.42624534682163057</v>
      </c>
      <c r="P53" s="603">
        <v>750</v>
      </c>
      <c r="R53" t="b">
        <v>0</v>
      </c>
      <c r="S53" t="b">
        <v>0</v>
      </c>
      <c r="T53">
        <v>36</v>
      </c>
      <c r="U53" s="605">
        <v>45975</v>
      </c>
      <c r="V53" t="str">
        <f t="shared" si="6"/>
        <v>2025-11</v>
      </c>
      <c r="W53" s="603">
        <f t="shared" si="7"/>
        <v>750</v>
      </c>
      <c r="AA53" s="606"/>
    </row>
    <row r="54" spans="1:27">
      <c r="A54" s="606" t="s">
        <v>5905</v>
      </c>
      <c r="B54" t="s">
        <v>5715</v>
      </c>
      <c r="C54" t="s">
        <v>5906</v>
      </c>
      <c r="D54" s="454" t="s">
        <v>2541</v>
      </c>
      <c r="E54" t="s">
        <v>1751</v>
      </c>
      <c r="F54" t="s">
        <v>5743</v>
      </c>
      <c r="G54" t="s">
        <v>5743</v>
      </c>
      <c r="H54" s="606" t="s">
        <v>5907</v>
      </c>
      <c r="I54" s="605">
        <v>46010</v>
      </c>
      <c r="J54" s="605"/>
      <c r="K54" t="s">
        <v>5715</v>
      </c>
      <c r="L54" s="603">
        <v>1480</v>
      </c>
      <c r="M54" s="603">
        <v>0</v>
      </c>
      <c r="N54" s="603">
        <f t="shared" si="4"/>
        <v>1480</v>
      </c>
      <c r="O54" s="604">
        <f t="shared" si="5"/>
        <v>0</v>
      </c>
      <c r="P54" s="603">
        <v>750</v>
      </c>
      <c r="Q54" t="s">
        <v>5745</v>
      </c>
      <c r="R54" t="b">
        <v>0</v>
      </c>
      <c r="S54" t="b">
        <v>0</v>
      </c>
      <c r="T54">
        <v>31</v>
      </c>
      <c r="U54" s="605">
        <v>45979</v>
      </c>
      <c r="V54" t="str">
        <f t="shared" si="6"/>
        <v>2025-11</v>
      </c>
      <c r="W54" s="603">
        <f t="shared" si="7"/>
        <v>750</v>
      </c>
      <c r="AA54" s="606"/>
    </row>
    <row r="55" spans="1:27">
      <c r="A55" s="606" t="s">
        <v>5908</v>
      </c>
      <c r="B55" t="s">
        <v>5715</v>
      </c>
      <c r="C55" t="s">
        <v>5909</v>
      </c>
      <c r="D55" t="s">
        <v>5910</v>
      </c>
      <c r="E55" t="s">
        <v>1751</v>
      </c>
      <c r="F55" t="s">
        <v>5717</v>
      </c>
      <c r="G55" t="s">
        <v>5730</v>
      </c>
      <c r="H55" s="606" t="s">
        <v>5911</v>
      </c>
      <c r="I55" s="605">
        <v>46010</v>
      </c>
      <c r="J55" s="605"/>
      <c r="K55" t="s">
        <v>5715</v>
      </c>
      <c r="L55" s="603">
        <v>312.47000000000003</v>
      </c>
      <c r="M55" s="603">
        <v>230</v>
      </c>
      <c r="N55" s="603">
        <f t="shared" si="4"/>
        <v>82.470000000000027</v>
      </c>
      <c r="O55" s="604">
        <f t="shared" si="5"/>
        <v>0.73607066278362721</v>
      </c>
      <c r="P55" s="603">
        <v>1000</v>
      </c>
      <c r="R55" t="b">
        <v>0</v>
      </c>
      <c r="S55" t="b">
        <v>0</v>
      </c>
      <c r="T55">
        <v>59</v>
      </c>
      <c r="U55" s="605">
        <v>45951</v>
      </c>
      <c r="V55" t="str">
        <f t="shared" si="6"/>
        <v>2025-10</v>
      </c>
      <c r="W55" s="603">
        <f t="shared" si="7"/>
        <v>312.47000000000003</v>
      </c>
      <c r="AA55" s="606"/>
    </row>
    <row r="56" spans="1:27">
      <c r="A56" s="606" t="s">
        <v>5912</v>
      </c>
      <c r="B56" t="s">
        <v>5715</v>
      </c>
      <c r="C56" t="s">
        <v>5913</v>
      </c>
      <c r="D56" t="s">
        <v>3363</v>
      </c>
      <c r="E56" t="s">
        <v>1751</v>
      </c>
      <c r="F56" t="s">
        <v>5717</v>
      </c>
      <c r="G56" t="s">
        <v>5738</v>
      </c>
      <c r="H56" s="606" t="s">
        <v>5914</v>
      </c>
      <c r="I56" s="605">
        <v>46041</v>
      </c>
      <c r="J56" s="605"/>
      <c r="K56" t="s">
        <v>5715</v>
      </c>
      <c r="L56" s="603">
        <v>652.85</v>
      </c>
      <c r="M56" s="603">
        <v>200</v>
      </c>
      <c r="N56" s="603">
        <f t="shared" si="4"/>
        <v>452.85</v>
      </c>
      <c r="O56" s="604">
        <f t="shared" si="5"/>
        <v>0.3063490847821092</v>
      </c>
      <c r="P56" s="603">
        <v>750</v>
      </c>
      <c r="R56" t="b">
        <v>1</v>
      </c>
      <c r="S56" t="b">
        <v>0</v>
      </c>
      <c r="T56">
        <v>51</v>
      </c>
      <c r="U56" s="605">
        <v>45990</v>
      </c>
      <c r="V56" t="str">
        <f t="shared" si="6"/>
        <v>2025-11</v>
      </c>
      <c r="W56" s="603">
        <f t="shared" si="7"/>
        <v>652.85</v>
      </c>
      <c r="AA56" s="606"/>
    </row>
    <row r="57" spans="1:27">
      <c r="A57" s="606" t="s">
        <v>5915</v>
      </c>
      <c r="B57" t="s">
        <v>5715</v>
      </c>
      <c r="C57" t="s">
        <v>5916</v>
      </c>
      <c r="D57" t="s">
        <v>2488</v>
      </c>
      <c r="E57" t="s">
        <v>1751</v>
      </c>
      <c r="F57" t="s">
        <v>5717</v>
      </c>
      <c r="G57" t="s">
        <v>5718</v>
      </c>
      <c r="H57" s="606" t="s">
        <v>5917</v>
      </c>
      <c r="I57" s="605">
        <v>45890</v>
      </c>
      <c r="J57" s="605">
        <v>45873</v>
      </c>
      <c r="K57" t="s">
        <v>5715</v>
      </c>
      <c r="L57" s="603">
        <v>2325.56</v>
      </c>
      <c r="M57" s="603">
        <v>1000</v>
      </c>
      <c r="N57" s="603">
        <f t="shared" si="4"/>
        <v>1325.56</v>
      </c>
      <c r="O57" s="604">
        <f t="shared" si="5"/>
        <v>0.43000395603639552</v>
      </c>
      <c r="P57" s="603">
        <v>1000</v>
      </c>
      <c r="R57" t="b">
        <v>0</v>
      </c>
      <c r="S57" t="b">
        <v>0</v>
      </c>
      <c r="T57">
        <v>51</v>
      </c>
      <c r="U57" s="605">
        <v>45839</v>
      </c>
      <c r="V57" t="str">
        <f t="shared" si="6"/>
        <v>2025-07</v>
      </c>
      <c r="W57" s="603">
        <f t="shared" si="7"/>
        <v>1000</v>
      </c>
      <c r="AA57" s="606"/>
    </row>
    <row r="58" spans="1:27">
      <c r="A58" s="606" t="s">
        <v>5918</v>
      </c>
      <c r="B58" t="s">
        <v>5715</v>
      </c>
      <c r="C58" t="s">
        <v>2729</v>
      </c>
      <c r="D58" t="s">
        <v>2431</v>
      </c>
      <c r="E58" t="s">
        <v>1751</v>
      </c>
      <c r="F58" t="s">
        <v>5717</v>
      </c>
      <c r="G58" t="s">
        <v>5718</v>
      </c>
      <c r="H58" s="606" t="s">
        <v>5919</v>
      </c>
      <c r="I58" s="605">
        <v>45966</v>
      </c>
      <c r="J58" s="605">
        <v>45926</v>
      </c>
      <c r="K58" t="s">
        <v>5715</v>
      </c>
      <c r="L58" s="603">
        <v>5153.4799999999996</v>
      </c>
      <c r="M58" s="603">
        <v>750</v>
      </c>
      <c r="N58" s="603">
        <f t="shared" si="4"/>
        <v>4403.4799999999996</v>
      </c>
      <c r="O58" s="604">
        <f t="shared" si="5"/>
        <v>0.14553272739973766</v>
      </c>
      <c r="P58" s="603">
        <v>750</v>
      </c>
      <c r="R58" t="b">
        <v>0</v>
      </c>
      <c r="S58" t="b">
        <v>0</v>
      </c>
      <c r="T58">
        <v>58</v>
      </c>
      <c r="U58" s="605">
        <v>45908</v>
      </c>
      <c r="V58" t="str">
        <f t="shared" si="6"/>
        <v>2025-09</v>
      </c>
      <c r="W58" s="603">
        <f t="shared" si="7"/>
        <v>750</v>
      </c>
      <c r="AA58" s="606"/>
    </row>
    <row r="59" spans="1:27">
      <c r="A59" s="606" t="s">
        <v>5920</v>
      </c>
      <c r="B59" t="s">
        <v>5715</v>
      </c>
      <c r="C59" t="s">
        <v>2729</v>
      </c>
      <c r="D59" t="s">
        <v>1227</v>
      </c>
      <c r="E59" t="s">
        <v>1751</v>
      </c>
      <c r="F59" t="s">
        <v>5717</v>
      </c>
      <c r="G59" t="s">
        <v>5718</v>
      </c>
      <c r="H59" s="606" t="s">
        <v>5921</v>
      </c>
      <c r="I59" s="605">
        <v>45966</v>
      </c>
      <c r="J59" s="605"/>
      <c r="K59" t="s">
        <v>5715</v>
      </c>
      <c r="L59" s="603">
        <v>2260.75</v>
      </c>
      <c r="M59" s="603">
        <v>750</v>
      </c>
      <c r="N59" s="603">
        <f t="shared" si="4"/>
        <v>1510.75</v>
      </c>
      <c r="O59" s="604">
        <f t="shared" si="5"/>
        <v>0.33174831361273915</v>
      </c>
      <c r="P59" s="603">
        <v>750</v>
      </c>
      <c r="R59" t="b">
        <v>0</v>
      </c>
      <c r="S59" t="b">
        <v>0</v>
      </c>
      <c r="T59">
        <v>58</v>
      </c>
      <c r="U59" s="605">
        <v>45908</v>
      </c>
      <c r="V59" t="str">
        <f t="shared" si="6"/>
        <v>2025-09</v>
      </c>
      <c r="W59" s="603">
        <f t="shared" si="7"/>
        <v>750</v>
      </c>
      <c r="AA59" s="606"/>
    </row>
    <row r="60" spans="1:27">
      <c r="A60" s="606" t="s">
        <v>5922</v>
      </c>
      <c r="B60" t="s">
        <v>5715</v>
      </c>
      <c r="C60" t="s">
        <v>2729</v>
      </c>
      <c r="D60" t="s">
        <v>1954</v>
      </c>
      <c r="E60" t="s">
        <v>1751</v>
      </c>
      <c r="F60" t="s">
        <v>5717</v>
      </c>
      <c r="G60" t="s">
        <v>5718</v>
      </c>
      <c r="H60" s="606" t="s">
        <v>5923</v>
      </c>
      <c r="I60" s="605">
        <v>45966</v>
      </c>
      <c r="J60" s="605"/>
      <c r="K60" t="s">
        <v>5715</v>
      </c>
      <c r="L60" s="603">
        <v>2399</v>
      </c>
      <c r="M60" s="603">
        <v>750</v>
      </c>
      <c r="N60" s="603">
        <f t="shared" si="4"/>
        <v>1649</v>
      </c>
      <c r="O60" s="604">
        <f t="shared" si="5"/>
        <v>0.31263026260942062</v>
      </c>
      <c r="P60" s="603">
        <v>750</v>
      </c>
      <c r="R60" t="b">
        <v>0</v>
      </c>
      <c r="S60" t="b">
        <v>0</v>
      </c>
      <c r="T60">
        <v>58</v>
      </c>
      <c r="U60" s="605">
        <v>45908</v>
      </c>
      <c r="V60" t="str">
        <f t="shared" si="6"/>
        <v>2025-09</v>
      </c>
      <c r="W60" s="603">
        <f t="shared" si="7"/>
        <v>750</v>
      </c>
      <c r="AA60" s="606"/>
    </row>
    <row r="61" spans="1:27">
      <c r="A61" s="606" t="s">
        <v>5924</v>
      </c>
      <c r="B61" t="s">
        <v>5715</v>
      </c>
      <c r="C61" t="s">
        <v>5925</v>
      </c>
      <c r="D61" t="s">
        <v>2548</v>
      </c>
      <c r="E61" t="s">
        <v>1751</v>
      </c>
      <c r="F61" t="s">
        <v>5717</v>
      </c>
      <c r="G61" t="s">
        <v>5718</v>
      </c>
      <c r="H61" s="606" t="s">
        <v>5926</v>
      </c>
      <c r="I61" s="605">
        <v>45933</v>
      </c>
      <c r="J61" s="605">
        <v>45908</v>
      </c>
      <c r="K61" t="s">
        <v>5715</v>
      </c>
      <c r="L61" s="603">
        <v>3357.61</v>
      </c>
      <c r="M61" s="603">
        <v>750</v>
      </c>
      <c r="N61" s="603">
        <f t="shared" si="4"/>
        <v>2607.61</v>
      </c>
      <c r="O61" s="604">
        <f t="shared" si="5"/>
        <v>0.22337317317973202</v>
      </c>
      <c r="P61" s="603">
        <v>750</v>
      </c>
      <c r="R61" t="b">
        <v>0</v>
      </c>
      <c r="S61" t="b">
        <v>0</v>
      </c>
      <c r="T61">
        <v>56</v>
      </c>
      <c r="U61" s="605">
        <v>45877</v>
      </c>
      <c r="V61" t="str">
        <f t="shared" si="6"/>
        <v>2025-08</v>
      </c>
      <c r="W61" s="603">
        <f t="shared" si="7"/>
        <v>750</v>
      </c>
      <c r="AA61" s="606"/>
    </row>
    <row r="62" spans="1:27">
      <c r="A62" s="606" t="s">
        <v>5927</v>
      </c>
      <c r="B62" t="s">
        <v>5715</v>
      </c>
      <c r="C62" t="s">
        <v>5928</v>
      </c>
      <c r="D62" t="s">
        <v>5929</v>
      </c>
      <c r="E62" t="s">
        <v>1751</v>
      </c>
      <c r="F62" t="s">
        <v>5717</v>
      </c>
      <c r="G62" t="s">
        <v>5718</v>
      </c>
      <c r="H62" s="606" t="s">
        <v>5930</v>
      </c>
      <c r="I62" s="605">
        <v>45497</v>
      </c>
      <c r="J62" s="605">
        <v>45409</v>
      </c>
      <c r="K62" t="s">
        <v>5715</v>
      </c>
      <c r="L62" s="603">
        <v>2111.3000000000002</v>
      </c>
      <c r="M62" s="603">
        <v>1000</v>
      </c>
      <c r="N62" s="603">
        <f t="shared" si="4"/>
        <v>1111.3000000000002</v>
      </c>
      <c r="O62" s="604">
        <f t="shared" si="5"/>
        <v>0.47364183204660631</v>
      </c>
      <c r="P62" s="603">
        <v>1000</v>
      </c>
      <c r="R62" t="b">
        <v>0</v>
      </c>
      <c r="S62" t="b">
        <v>0</v>
      </c>
      <c r="T62">
        <v>112</v>
      </c>
      <c r="U62" s="605">
        <v>45385</v>
      </c>
      <c r="V62" t="str">
        <f t="shared" si="6"/>
        <v>2024-04</v>
      </c>
      <c r="W62" s="603">
        <f t="shared" si="7"/>
        <v>1000</v>
      </c>
      <c r="AA62" s="606"/>
    </row>
    <row r="63" spans="1:27">
      <c r="A63" s="606" t="s">
        <v>5931</v>
      </c>
      <c r="B63" t="s">
        <v>5715</v>
      </c>
      <c r="C63" t="s">
        <v>5932</v>
      </c>
      <c r="D63" t="s">
        <v>2615</v>
      </c>
      <c r="E63" t="s">
        <v>1751</v>
      </c>
      <c r="F63" t="s">
        <v>5717</v>
      </c>
      <c r="G63" t="s">
        <v>5730</v>
      </c>
      <c r="H63" s="606" t="s">
        <v>5933</v>
      </c>
      <c r="I63" s="605">
        <v>46028</v>
      </c>
      <c r="J63" s="605"/>
      <c r="K63" t="s">
        <v>5715</v>
      </c>
      <c r="L63" s="603">
        <v>615.99</v>
      </c>
      <c r="M63" s="603">
        <v>150</v>
      </c>
      <c r="N63" s="603">
        <f t="shared" si="4"/>
        <v>465.99</v>
      </c>
      <c r="O63" s="604">
        <f t="shared" si="5"/>
        <v>0.24351044659815907</v>
      </c>
      <c r="P63" s="603">
        <v>750</v>
      </c>
      <c r="R63" t="b">
        <v>0</v>
      </c>
      <c r="S63" t="b">
        <v>0</v>
      </c>
      <c r="T63">
        <v>36</v>
      </c>
      <c r="U63" s="605">
        <v>45992</v>
      </c>
      <c r="V63" t="str">
        <f t="shared" si="6"/>
        <v>2025-12</v>
      </c>
      <c r="W63" s="603">
        <f t="shared" si="7"/>
        <v>615.99</v>
      </c>
      <c r="AA63" s="606"/>
    </row>
    <row r="64" spans="1:27">
      <c r="A64" s="606" t="s">
        <v>5934</v>
      </c>
      <c r="B64" t="s">
        <v>5715</v>
      </c>
      <c r="C64" t="s">
        <v>5935</v>
      </c>
      <c r="D64" s="454" t="s">
        <v>5936</v>
      </c>
      <c r="E64" t="s">
        <v>1751</v>
      </c>
      <c r="F64" t="s">
        <v>5717</v>
      </c>
      <c r="G64" t="s">
        <v>5718</v>
      </c>
      <c r="H64" s="606" t="s">
        <v>5937</v>
      </c>
      <c r="I64" s="605">
        <v>45771</v>
      </c>
      <c r="J64" s="605">
        <v>45748</v>
      </c>
      <c r="K64" t="s">
        <v>5715</v>
      </c>
      <c r="L64" s="603">
        <v>9992.92</v>
      </c>
      <c r="M64" s="603">
        <v>750</v>
      </c>
      <c r="N64" s="603">
        <f t="shared" si="4"/>
        <v>9242.92</v>
      </c>
      <c r="O64" s="604">
        <f t="shared" si="5"/>
        <v>7.5053137621435978E-2</v>
      </c>
      <c r="P64" s="603">
        <v>750</v>
      </c>
      <c r="R64" t="b">
        <v>0</v>
      </c>
      <c r="S64" t="b">
        <v>0</v>
      </c>
      <c r="T64">
        <v>49</v>
      </c>
      <c r="U64" s="605">
        <v>45722</v>
      </c>
      <c r="V64" t="str">
        <f t="shared" si="6"/>
        <v>2025-03</v>
      </c>
      <c r="W64" s="603">
        <f t="shared" si="7"/>
        <v>750</v>
      </c>
      <c r="AA64" s="606"/>
    </row>
    <row r="65" spans="1:27">
      <c r="A65" s="606" t="s">
        <v>5938</v>
      </c>
      <c r="B65" t="s">
        <v>5715</v>
      </c>
      <c r="C65" t="s">
        <v>2729</v>
      </c>
      <c r="D65" t="s">
        <v>5939</v>
      </c>
      <c r="E65" t="s">
        <v>1751</v>
      </c>
      <c r="F65" t="s">
        <v>5717</v>
      </c>
      <c r="G65" t="s">
        <v>5718</v>
      </c>
      <c r="H65" s="606" t="s">
        <v>5940</v>
      </c>
      <c r="I65" s="605">
        <v>45946</v>
      </c>
      <c r="J65" s="605"/>
      <c r="K65" t="s">
        <v>5715</v>
      </c>
      <c r="L65" s="603">
        <v>5071.2299999999996</v>
      </c>
      <c r="M65" s="603">
        <v>750</v>
      </c>
      <c r="N65" s="603">
        <f t="shared" si="4"/>
        <v>4321.2299999999996</v>
      </c>
      <c r="O65" s="604">
        <f t="shared" si="5"/>
        <v>0.14789311468815258</v>
      </c>
      <c r="P65" s="603">
        <v>750</v>
      </c>
      <c r="R65" t="b">
        <v>0</v>
      </c>
      <c r="S65" t="b">
        <v>0</v>
      </c>
      <c r="T65">
        <v>59</v>
      </c>
      <c r="U65" s="605">
        <v>45887</v>
      </c>
      <c r="V65" t="str">
        <f t="shared" si="6"/>
        <v>2025-08</v>
      </c>
      <c r="W65" s="603">
        <f t="shared" si="7"/>
        <v>750</v>
      </c>
      <c r="AA65" s="606"/>
    </row>
    <row r="66" spans="1:27">
      <c r="A66" s="606" t="s">
        <v>5941</v>
      </c>
      <c r="B66" t="s">
        <v>5715</v>
      </c>
      <c r="C66" t="s">
        <v>5942</v>
      </c>
      <c r="D66" s="454" t="s">
        <v>5943</v>
      </c>
      <c r="E66" t="s">
        <v>1751</v>
      </c>
      <c r="F66" t="s">
        <v>5717</v>
      </c>
      <c r="G66" t="s">
        <v>5730</v>
      </c>
      <c r="H66" s="606" t="s">
        <v>5944</v>
      </c>
      <c r="I66" s="605">
        <v>46010</v>
      </c>
      <c r="J66" s="605"/>
      <c r="K66" t="s">
        <v>5715</v>
      </c>
      <c r="L66" s="603">
        <v>443.66</v>
      </c>
      <c r="M66" s="603">
        <v>200</v>
      </c>
      <c r="N66" s="603">
        <f t="shared" ref="N66:N97" si="8">L66-M66</f>
        <v>243.66000000000003</v>
      </c>
      <c r="O66" s="604">
        <f t="shared" ref="O66:O97" si="9">IF(L66=0,"",M66/L66)</f>
        <v>0.45079565432989221</v>
      </c>
      <c r="P66" s="603">
        <v>750</v>
      </c>
      <c r="R66" t="b">
        <v>0</v>
      </c>
      <c r="S66" t="b">
        <v>0</v>
      </c>
      <c r="T66">
        <v>50</v>
      </c>
      <c r="U66" s="605">
        <v>45960</v>
      </c>
      <c r="V66" t="str">
        <f t="shared" ref="V66:V97" si="10">TEXT(U66,"YYYY-MM")</f>
        <v>2025-10</v>
      </c>
      <c r="W66" s="603">
        <f t="shared" ref="W66:W100" si="11">MIN(L66,P66)</f>
        <v>443.66</v>
      </c>
      <c r="AA66" s="606"/>
    </row>
    <row r="67" spans="1:27">
      <c r="A67" s="606" t="s">
        <v>5945</v>
      </c>
      <c r="B67" t="s">
        <v>5715</v>
      </c>
      <c r="C67" t="s">
        <v>5946</v>
      </c>
      <c r="D67" t="s">
        <v>2682</v>
      </c>
      <c r="E67" t="s">
        <v>1751</v>
      </c>
      <c r="F67" t="s">
        <v>5717</v>
      </c>
      <c r="G67" t="s">
        <v>5718</v>
      </c>
      <c r="H67" s="606" t="s">
        <v>5947</v>
      </c>
      <c r="I67" s="605">
        <v>45937</v>
      </c>
      <c r="J67" s="605"/>
      <c r="K67" t="s">
        <v>5715</v>
      </c>
      <c r="L67" s="603">
        <v>5081.18</v>
      </c>
      <c r="M67" s="603">
        <v>750</v>
      </c>
      <c r="N67" s="603">
        <f t="shared" si="8"/>
        <v>4331.18</v>
      </c>
      <c r="O67" s="604">
        <f t="shared" si="9"/>
        <v>0.14760350942103997</v>
      </c>
      <c r="P67" s="603">
        <v>750</v>
      </c>
      <c r="R67" t="b">
        <v>0</v>
      </c>
      <c r="S67" t="b">
        <v>0</v>
      </c>
      <c r="T67">
        <v>60</v>
      </c>
      <c r="U67" s="605">
        <v>45877</v>
      </c>
      <c r="V67" t="str">
        <f t="shared" si="10"/>
        <v>2025-08</v>
      </c>
      <c r="W67" s="603">
        <f t="shared" si="11"/>
        <v>750</v>
      </c>
      <c r="AA67" s="606"/>
    </row>
    <row r="68" spans="1:27">
      <c r="A68" s="606" t="s">
        <v>5948</v>
      </c>
      <c r="B68" t="s">
        <v>5715</v>
      </c>
      <c r="C68" t="s">
        <v>5949</v>
      </c>
      <c r="D68" t="s">
        <v>5950</v>
      </c>
      <c r="E68" t="s">
        <v>1751</v>
      </c>
      <c r="F68" t="s">
        <v>5717</v>
      </c>
      <c r="G68" t="s">
        <v>5789</v>
      </c>
      <c r="H68" s="606" t="s">
        <v>5951</v>
      </c>
      <c r="I68" s="605">
        <v>45452</v>
      </c>
      <c r="J68" s="605">
        <v>45430</v>
      </c>
      <c r="K68" t="s">
        <v>5715</v>
      </c>
      <c r="L68" s="603">
        <v>850.5</v>
      </c>
      <c r="M68" s="603">
        <v>250.25</v>
      </c>
      <c r="N68" s="603">
        <f t="shared" si="8"/>
        <v>600.25</v>
      </c>
      <c r="O68" s="604">
        <f t="shared" si="9"/>
        <v>0.29423868312757201</v>
      </c>
      <c r="P68" s="603">
        <v>1000</v>
      </c>
      <c r="R68" t="b">
        <v>1</v>
      </c>
      <c r="S68" t="b">
        <v>0</v>
      </c>
      <c r="T68">
        <v>100</v>
      </c>
      <c r="U68" s="605">
        <v>45352</v>
      </c>
      <c r="V68" t="str">
        <f t="shared" si="10"/>
        <v>2024-03</v>
      </c>
      <c r="W68" s="603">
        <f t="shared" si="11"/>
        <v>850.5</v>
      </c>
      <c r="AA68" s="606"/>
    </row>
    <row r="69" spans="1:27">
      <c r="A69" s="606" t="s">
        <v>5952</v>
      </c>
      <c r="B69" t="s">
        <v>5715</v>
      </c>
      <c r="C69" t="s">
        <v>5953</v>
      </c>
      <c r="D69" t="s">
        <v>5954</v>
      </c>
      <c r="E69" t="s">
        <v>1751</v>
      </c>
      <c r="F69" t="s">
        <v>5717</v>
      </c>
      <c r="G69" t="s">
        <v>5789</v>
      </c>
      <c r="H69" s="606" t="s">
        <v>5955</v>
      </c>
      <c r="I69" s="605">
        <v>45923</v>
      </c>
      <c r="J69" s="605"/>
      <c r="K69" t="s">
        <v>5715</v>
      </c>
      <c r="L69" s="603">
        <v>864.59</v>
      </c>
      <c r="M69" s="603">
        <v>120</v>
      </c>
      <c r="N69" s="603">
        <f t="shared" si="8"/>
        <v>744.59</v>
      </c>
      <c r="O69" s="604">
        <f t="shared" si="9"/>
        <v>0.13879411050324431</v>
      </c>
      <c r="P69" s="603">
        <v>1000</v>
      </c>
      <c r="R69" t="b">
        <v>1</v>
      </c>
      <c r="S69" t="b">
        <v>0</v>
      </c>
      <c r="T69">
        <v>56</v>
      </c>
      <c r="U69" s="605">
        <v>45867</v>
      </c>
      <c r="V69" t="str">
        <f t="shared" si="10"/>
        <v>2025-07</v>
      </c>
      <c r="W69" s="603">
        <f t="shared" si="11"/>
        <v>864.59</v>
      </c>
      <c r="AA69" s="606"/>
    </row>
    <row r="70" spans="1:27">
      <c r="A70" s="606" t="s">
        <v>5956</v>
      </c>
      <c r="B70" t="s">
        <v>5715</v>
      </c>
      <c r="C70" t="s">
        <v>5957</v>
      </c>
      <c r="D70" t="s">
        <v>2696</v>
      </c>
      <c r="E70" t="s">
        <v>1751</v>
      </c>
      <c r="F70" t="s">
        <v>5717</v>
      </c>
      <c r="G70" t="s">
        <v>5718</v>
      </c>
      <c r="H70" s="606" t="s">
        <v>5958</v>
      </c>
      <c r="I70" s="605">
        <v>46011</v>
      </c>
      <c r="J70" s="605"/>
      <c r="K70" t="s">
        <v>5715</v>
      </c>
      <c r="L70" s="603">
        <v>9680.89</v>
      </c>
      <c r="M70" s="603">
        <v>750</v>
      </c>
      <c r="N70" s="603">
        <f t="shared" si="8"/>
        <v>8930.89</v>
      </c>
      <c r="O70" s="604">
        <f t="shared" si="9"/>
        <v>7.7472215880977885E-2</v>
      </c>
      <c r="P70" s="603">
        <v>750</v>
      </c>
      <c r="R70" t="b">
        <v>0</v>
      </c>
      <c r="S70" t="b">
        <v>0</v>
      </c>
      <c r="T70">
        <v>38</v>
      </c>
      <c r="U70" s="605">
        <v>45973</v>
      </c>
      <c r="V70" t="str">
        <f t="shared" si="10"/>
        <v>2025-11</v>
      </c>
      <c r="W70" s="603">
        <f t="shared" si="11"/>
        <v>750</v>
      </c>
      <c r="AA70" s="606"/>
    </row>
    <row r="71" spans="1:27">
      <c r="A71" s="606" t="s">
        <v>5959</v>
      </c>
      <c r="B71" t="s">
        <v>5715</v>
      </c>
      <c r="C71" t="s">
        <v>5960</v>
      </c>
      <c r="D71" s="454">
        <v>47880</v>
      </c>
      <c r="E71" t="s">
        <v>1751</v>
      </c>
      <c r="F71" t="s">
        <v>5717</v>
      </c>
      <c r="G71" t="s">
        <v>5789</v>
      </c>
      <c r="H71" s="606" t="s">
        <v>5961</v>
      </c>
      <c r="I71" s="605">
        <v>45582</v>
      </c>
      <c r="J71" s="605">
        <v>45565</v>
      </c>
      <c r="K71" t="s">
        <v>5715</v>
      </c>
      <c r="L71" s="603">
        <v>712.53</v>
      </c>
      <c r="M71" s="603">
        <v>0</v>
      </c>
      <c r="N71" s="603">
        <f t="shared" si="8"/>
        <v>712.53</v>
      </c>
      <c r="O71" s="604">
        <f t="shared" si="9"/>
        <v>0</v>
      </c>
      <c r="P71" s="603">
        <v>1000</v>
      </c>
      <c r="R71" t="b">
        <v>0</v>
      </c>
      <c r="S71" t="b">
        <v>1</v>
      </c>
      <c r="T71">
        <v>108</v>
      </c>
      <c r="U71" s="605">
        <v>45474</v>
      </c>
      <c r="V71" t="str">
        <f t="shared" si="10"/>
        <v>2024-07</v>
      </c>
      <c r="W71" s="603">
        <f t="shared" si="11"/>
        <v>712.53</v>
      </c>
      <c r="AA71" s="606"/>
    </row>
    <row r="72" spans="1:27">
      <c r="A72" s="606" t="s">
        <v>5962</v>
      </c>
      <c r="B72" t="s">
        <v>5715</v>
      </c>
      <c r="C72" t="s">
        <v>5963</v>
      </c>
      <c r="D72" s="454">
        <v>53359</v>
      </c>
      <c r="E72" t="s">
        <v>1751</v>
      </c>
      <c r="F72" t="s">
        <v>5717</v>
      </c>
      <c r="G72" t="s">
        <v>5789</v>
      </c>
      <c r="H72" s="606" t="s">
        <v>5964</v>
      </c>
      <c r="I72" s="605">
        <v>45582</v>
      </c>
      <c r="J72" s="605"/>
      <c r="K72" t="s">
        <v>5715</v>
      </c>
      <c r="L72" s="603">
        <v>388.74</v>
      </c>
      <c r="M72" s="603">
        <v>0</v>
      </c>
      <c r="N72" s="603">
        <f t="shared" si="8"/>
        <v>388.74</v>
      </c>
      <c r="O72" s="604">
        <f t="shared" si="9"/>
        <v>0</v>
      </c>
      <c r="P72" s="603">
        <v>1000</v>
      </c>
      <c r="R72" t="b">
        <v>0</v>
      </c>
      <c r="S72" t="b">
        <v>1</v>
      </c>
      <c r="T72">
        <v>108</v>
      </c>
      <c r="U72" s="605">
        <v>45474</v>
      </c>
      <c r="V72" t="str">
        <f t="shared" si="10"/>
        <v>2024-07</v>
      </c>
      <c r="W72" s="603">
        <f t="shared" si="11"/>
        <v>388.74</v>
      </c>
      <c r="AA72" s="606"/>
    </row>
    <row r="73" spans="1:27">
      <c r="A73" s="606" t="s">
        <v>5965</v>
      </c>
      <c r="B73" t="s">
        <v>5715</v>
      </c>
      <c r="C73" t="s">
        <v>5966</v>
      </c>
      <c r="D73" s="454">
        <v>426636</v>
      </c>
      <c r="E73" t="s">
        <v>1751</v>
      </c>
      <c r="F73" t="s">
        <v>5717</v>
      </c>
      <c r="G73" t="s">
        <v>5718</v>
      </c>
      <c r="H73" s="606" t="s">
        <v>5967</v>
      </c>
      <c r="I73" s="605">
        <v>45582</v>
      </c>
      <c r="J73" s="605">
        <v>45523</v>
      </c>
      <c r="K73" t="s">
        <v>5715</v>
      </c>
      <c r="L73" s="603">
        <v>5399.83</v>
      </c>
      <c r="M73" s="603">
        <v>1000</v>
      </c>
      <c r="N73" s="603">
        <f t="shared" si="8"/>
        <v>4399.83</v>
      </c>
      <c r="O73" s="604">
        <f t="shared" si="9"/>
        <v>0.18519101527270304</v>
      </c>
      <c r="P73" s="603">
        <v>1000</v>
      </c>
      <c r="R73" t="b">
        <v>0</v>
      </c>
      <c r="S73" t="b">
        <v>0</v>
      </c>
      <c r="T73">
        <v>115</v>
      </c>
      <c r="U73" s="605">
        <v>45467</v>
      </c>
      <c r="V73" t="str">
        <f t="shared" si="10"/>
        <v>2024-06</v>
      </c>
      <c r="W73" s="603">
        <f t="shared" si="11"/>
        <v>1000</v>
      </c>
      <c r="AA73" s="606"/>
    </row>
    <row r="74" spans="1:27">
      <c r="A74" s="606" t="s">
        <v>5968</v>
      </c>
      <c r="B74" t="s">
        <v>5715</v>
      </c>
      <c r="C74" t="s">
        <v>5969</v>
      </c>
      <c r="D74" t="s">
        <v>2403</v>
      </c>
      <c r="E74" t="s">
        <v>1751</v>
      </c>
      <c r="F74" t="s">
        <v>5717</v>
      </c>
      <c r="G74" t="s">
        <v>5718</v>
      </c>
      <c r="H74" s="606" t="s">
        <v>5970</v>
      </c>
      <c r="I74" s="605">
        <v>46010</v>
      </c>
      <c r="J74" s="605"/>
      <c r="K74" t="s">
        <v>5715</v>
      </c>
      <c r="L74" s="603">
        <v>5340.29</v>
      </c>
      <c r="M74" s="603">
        <v>750</v>
      </c>
      <c r="N74" s="603">
        <f t="shared" si="8"/>
        <v>4590.29</v>
      </c>
      <c r="O74" s="604">
        <f t="shared" si="9"/>
        <v>0.14044181121249968</v>
      </c>
      <c r="P74" s="603">
        <v>750</v>
      </c>
      <c r="R74" t="b">
        <v>0</v>
      </c>
      <c r="S74" t="b">
        <v>0</v>
      </c>
      <c r="T74">
        <v>31</v>
      </c>
      <c r="U74" s="605">
        <v>45979</v>
      </c>
      <c r="V74" t="str">
        <f t="shared" si="10"/>
        <v>2025-11</v>
      </c>
      <c r="W74" s="603">
        <f t="shared" si="11"/>
        <v>750</v>
      </c>
      <c r="AA74" s="606"/>
    </row>
    <row r="75" spans="1:27">
      <c r="A75" s="606" t="s">
        <v>5971</v>
      </c>
      <c r="B75" t="s">
        <v>5715</v>
      </c>
      <c r="C75" t="s">
        <v>2729</v>
      </c>
      <c r="D75" t="s">
        <v>5972</v>
      </c>
      <c r="E75" t="s">
        <v>1751</v>
      </c>
      <c r="F75" t="s">
        <v>5717</v>
      </c>
      <c r="G75" t="s">
        <v>5718</v>
      </c>
      <c r="H75" s="606" t="s">
        <v>5973</v>
      </c>
      <c r="I75" s="605">
        <v>45890</v>
      </c>
      <c r="J75" s="605"/>
      <c r="K75" t="s">
        <v>5715</v>
      </c>
      <c r="L75" s="603">
        <v>4691.41</v>
      </c>
      <c r="M75" s="603">
        <v>750</v>
      </c>
      <c r="N75" s="603">
        <f t="shared" si="8"/>
        <v>3941.41</v>
      </c>
      <c r="O75" s="604">
        <f t="shared" si="9"/>
        <v>0.15986664989843138</v>
      </c>
      <c r="P75" s="603">
        <v>750</v>
      </c>
      <c r="R75" t="b">
        <v>0</v>
      </c>
      <c r="S75" t="b">
        <v>0</v>
      </c>
      <c r="T75">
        <v>117</v>
      </c>
      <c r="U75" s="605">
        <v>45773</v>
      </c>
      <c r="V75" t="str">
        <f t="shared" si="10"/>
        <v>2025-04</v>
      </c>
      <c r="W75" s="603">
        <f t="shared" si="11"/>
        <v>750</v>
      </c>
      <c r="AA75" s="606"/>
    </row>
    <row r="76" spans="1:27">
      <c r="A76" s="606" t="s">
        <v>5974</v>
      </c>
      <c r="B76" t="s">
        <v>5715</v>
      </c>
      <c r="C76" t="s">
        <v>5975</v>
      </c>
      <c r="D76" s="454" t="s">
        <v>5976</v>
      </c>
      <c r="E76" t="s">
        <v>1751</v>
      </c>
      <c r="F76" t="s">
        <v>5717</v>
      </c>
      <c r="G76" t="s">
        <v>5838</v>
      </c>
      <c r="H76" s="606" t="s">
        <v>5977</v>
      </c>
      <c r="I76" s="605">
        <v>46010</v>
      </c>
      <c r="J76" s="605"/>
      <c r="K76" t="s">
        <v>5715</v>
      </c>
      <c r="L76" s="603">
        <v>2075</v>
      </c>
      <c r="M76" s="603">
        <v>0</v>
      </c>
      <c r="N76" s="603">
        <f t="shared" si="8"/>
        <v>2075</v>
      </c>
      <c r="O76" s="604">
        <f t="shared" si="9"/>
        <v>0</v>
      </c>
      <c r="P76" s="603">
        <v>1000</v>
      </c>
      <c r="R76" t="b">
        <v>0</v>
      </c>
      <c r="S76" t="b">
        <v>1</v>
      </c>
      <c r="T76">
        <v>59</v>
      </c>
      <c r="U76" s="605">
        <v>45951</v>
      </c>
      <c r="V76" t="str">
        <f t="shared" si="10"/>
        <v>2025-10</v>
      </c>
      <c r="W76" s="603">
        <f t="shared" si="11"/>
        <v>1000</v>
      </c>
      <c r="AA76" s="606"/>
    </row>
    <row r="77" spans="1:27">
      <c r="A77" s="606" t="s">
        <v>5978</v>
      </c>
      <c r="B77" t="s">
        <v>5715</v>
      </c>
      <c r="C77" t="s">
        <v>5979</v>
      </c>
      <c r="D77" t="s">
        <v>5980</v>
      </c>
      <c r="E77" t="s">
        <v>1751</v>
      </c>
      <c r="F77" t="s">
        <v>5717</v>
      </c>
      <c r="G77" t="s">
        <v>5838</v>
      </c>
      <c r="H77" s="606" t="s">
        <v>5981</v>
      </c>
      <c r="I77" s="605">
        <v>45447</v>
      </c>
      <c r="J77" s="605"/>
      <c r="K77" t="s">
        <v>5715</v>
      </c>
      <c r="L77" s="603">
        <v>1207.43</v>
      </c>
      <c r="M77" s="603">
        <v>0</v>
      </c>
      <c r="N77" s="603">
        <f t="shared" si="8"/>
        <v>1207.43</v>
      </c>
      <c r="O77" s="604">
        <f t="shared" si="9"/>
        <v>0</v>
      </c>
      <c r="P77" s="603">
        <v>1000</v>
      </c>
      <c r="R77" t="b">
        <v>0</v>
      </c>
      <c r="S77" t="b">
        <v>1</v>
      </c>
      <c r="T77">
        <v>117</v>
      </c>
      <c r="U77" s="605">
        <v>45330</v>
      </c>
      <c r="V77" t="str">
        <f t="shared" si="10"/>
        <v>2024-02</v>
      </c>
      <c r="W77" s="603">
        <f t="shared" si="11"/>
        <v>1000</v>
      </c>
      <c r="AA77" s="606"/>
    </row>
    <row r="78" spans="1:27">
      <c r="A78" s="606" t="s">
        <v>5982</v>
      </c>
      <c r="B78" t="s">
        <v>5715</v>
      </c>
      <c r="C78" t="s">
        <v>5983</v>
      </c>
      <c r="D78" t="s">
        <v>5984</v>
      </c>
      <c r="E78" t="s">
        <v>1751</v>
      </c>
      <c r="F78" t="s">
        <v>5717</v>
      </c>
      <c r="G78" t="s">
        <v>5789</v>
      </c>
      <c r="H78" s="606" t="s">
        <v>5985</v>
      </c>
      <c r="I78" s="605">
        <v>46010</v>
      </c>
      <c r="J78" s="605"/>
      <c r="K78" t="s">
        <v>5715</v>
      </c>
      <c r="L78" s="603">
        <v>770</v>
      </c>
      <c r="M78" s="603">
        <v>365</v>
      </c>
      <c r="N78" s="603">
        <f t="shared" si="8"/>
        <v>405</v>
      </c>
      <c r="O78" s="604">
        <f t="shared" si="9"/>
        <v>0.47402597402597402</v>
      </c>
      <c r="P78" s="603">
        <v>750</v>
      </c>
      <c r="R78" t="b">
        <v>1</v>
      </c>
      <c r="S78" t="b">
        <v>0</v>
      </c>
      <c r="T78">
        <v>59</v>
      </c>
      <c r="U78" s="605">
        <v>45951</v>
      </c>
      <c r="V78" t="str">
        <f t="shared" si="10"/>
        <v>2025-10</v>
      </c>
      <c r="W78" s="603">
        <f t="shared" si="11"/>
        <v>750</v>
      </c>
      <c r="AA78" s="606"/>
    </row>
    <row r="79" spans="1:27">
      <c r="A79" s="606" t="s">
        <v>5986</v>
      </c>
      <c r="B79" t="s">
        <v>5715</v>
      </c>
      <c r="C79" t="s">
        <v>2729</v>
      </c>
      <c r="D79" t="s">
        <v>5987</v>
      </c>
      <c r="E79" t="s">
        <v>1751</v>
      </c>
      <c r="F79" t="s">
        <v>5717</v>
      </c>
      <c r="G79" t="s">
        <v>5789</v>
      </c>
      <c r="H79" s="606" t="s">
        <v>5988</v>
      </c>
      <c r="I79" s="605">
        <v>46010</v>
      </c>
      <c r="J79" s="605">
        <v>45931</v>
      </c>
      <c r="K79" t="s">
        <v>5715</v>
      </c>
      <c r="L79" s="603">
        <v>785</v>
      </c>
      <c r="M79" s="603">
        <v>710</v>
      </c>
      <c r="N79" s="603">
        <f t="shared" si="8"/>
        <v>75</v>
      </c>
      <c r="O79" s="604">
        <f t="shared" si="9"/>
        <v>0.90445859872611467</v>
      </c>
      <c r="P79" s="603">
        <v>1000</v>
      </c>
      <c r="R79" t="b">
        <v>1</v>
      </c>
      <c r="S79" t="b">
        <v>0</v>
      </c>
      <c r="T79">
        <v>114</v>
      </c>
      <c r="U79" s="605">
        <v>45896</v>
      </c>
      <c r="V79" t="str">
        <f t="shared" si="10"/>
        <v>2025-08</v>
      </c>
      <c r="W79" s="603">
        <f t="shared" si="11"/>
        <v>785</v>
      </c>
      <c r="AA79" s="606"/>
    </row>
    <row r="80" spans="1:27">
      <c r="A80" s="606" t="s">
        <v>5989</v>
      </c>
      <c r="B80" t="s">
        <v>5715</v>
      </c>
      <c r="C80" t="s">
        <v>5990</v>
      </c>
      <c r="D80" t="s">
        <v>3851</v>
      </c>
      <c r="E80" t="s">
        <v>1751</v>
      </c>
      <c r="F80" t="s">
        <v>5717</v>
      </c>
      <c r="G80" t="s">
        <v>5718</v>
      </c>
      <c r="H80" s="606" t="s">
        <v>5991</v>
      </c>
      <c r="I80" s="605">
        <v>46010</v>
      </c>
      <c r="J80" s="605"/>
      <c r="K80" t="s">
        <v>5715</v>
      </c>
      <c r="L80" s="603">
        <v>2161.29</v>
      </c>
      <c r="M80" s="603">
        <v>750</v>
      </c>
      <c r="N80" s="603">
        <f t="shared" si="8"/>
        <v>1411.29</v>
      </c>
      <c r="O80" s="604">
        <f t="shared" si="9"/>
        <v>0.3470149771664145</v>
      </c>
      <c r="P80" s="603">
        <v>750</v>
      </c>
      <c r="R80" t="b">
        <v>0</v>
      </c>
      <c r="S80" t="b">
        <v>0</v>
      </c>
      <c r="T80">
        <v>48</v>
      </c>
      <c r="U80" s="605">
        <v>45962</v>
      </c>
      <c r="V80" t="str">
        <f t="shared" si="10"/>
        <v>2025-11</v>
      </c>
      <c r="W80" s="603">
        <f t="shared" si="11"/>
        <v>750</v>
      </c>
      <c r="AA80" s="606"/>
    </row>
    <row r="81" spans="1:28">
      <c r="A81" s="606" t="s">
        <v>5992</v>
      </c>
      <c r="B81" t="s">
        <v>5715</v>
      </c>
      <c r="C81" t="s">
        <v>5993</v>
      </c>
      <c r="D81" t="s">
        <v>3051</v>
      </c>
      <c r="E81" t="s">
        <v>1751</v>
      </c>
      <c r="F81" t="s">
        <v>5717</v>
      </c>
      <c r="G81" t="s">
        <v>5718</v>
      </c>
      <c r="H81" s="606" t="s">
        <v>5994</v>
      </c>
      <c r="I81" s="605">
        <v>45890</v>
      </c>
      <c r="J81" s="605">
        <v>45842</v>
      </c>
      <c r="K81" t="s">
        <v>5715</v>
      </c>
      <c r="L81" s="603">
        <v>2626.36</v>
      </c>
      <c r="M81" s="603">
        <v>1000</v>
      </c>
      <c r="N81" s="603">
        <f t="shared" si="8"/>
        <v>1626.3600000000001</v>
      </c>
      <c r="O81" s="604">
        <f t="shared" si="9"/>
        <v>0.38075511354117486</v>
      </c>
      <c r="P81" s="603">
        <v>1000</v>
      </c>
      <c r="R81" t="b">
        <v>0</v>
      </c>
      <c r="S81" t="b">
        <v>0</v>
      </c>
      <c r="T81">
        <v>53</v>
      </c>
      <c r="U81" s="605">
        <v>45837</v>
      </c>
      <c r="V81" t="str">
        <f t="shared" si="10"/>
        <v>2025-06</v>
      </c>
      <c r="W81" s="603">
        <f t="shared" si="11"/>
        <v>1000</v>
      </c>
      <c r="AA81" s="606"/>
    </row>
    <row r="82" spans="1:28">
      <c r="A82" s="606" t="s">
        <v>5995</v>
      </c>
      <c r="B82" t="s">
        <v>5715</v>
      </c>
      <c r="C82" t="s">
        <v>5996</v>
      </c>
      <c r="D82">
        <v>104</v>
      </c>
      <c r="E82" t="s">
        <v>1751</v>
      </c>
      <c r="F82" t="s">
        <v>5717</v>
      </c>
      <c r="G82" t="s">
        <v>5730</v>
      </c>
      <c r="H82" s="606" t="s">
        <v>5997</v>
      </c>
      <c r="I82" s="605">
        <v>45771</v>
      </c>
      <c r="J82" s="605">
        <v>45721</v>
      </c>
      <c r="K82" t="s">
        <v>5715</v>
      </c>
      <c r="L82" s="603">
        <v>731.12</v>
      </c>
      <c r="M82" s="603">
        <v>580</v>
      </c>
      <c r="N82" s="603">
        <f t="shared" si="8"/>
        <v>151.12</v>
      </c>
      <c r="O82" s="604">
        <f t="shared" si="9"/>
        <v>0.79330342488237227</v>
      </c>
      <c r="P82" s="603">
        <v>1000</v>
      </c>
      <c r="R82" t="b">
        <v>0</v>
      </c>
      <c r="S82" t="b">
        <v>0</v>
      </c>
      <c r="T82">
        <v>54</v>
      </c>
      <c r="U82" s="605">
        <v>45717</v>
      </c>
      <c r="V82" t="str">
        <f t="shared" si="10"/>
        <v>2025-03</v>
      </c>
      <c r="W82" s="603">
        <f t="shared" si="11"/>
        <v>731.12</v>
      </c>
      <c r="AA82" s="606"/>
      <c r="AB82" s="606"/>
    </row>
    <row r="83" spans="1:28">
      <c r="A83" s="606" t="s">
        <v>5998</v>
      </c>
      <c r="B83" t="s">
        <v>5715</v>
      </c>
      <c r="C83" t="s">
        <v>5999</v>
      </c>
      <c r="D83">
        <v>2076</v>
      </c>
      <c r="E83" t="s">
        <v>1751</v>
      </c>
      <c r="F83" t="s">
        <v>5717</v>
      </c>
      <c r="G83" t="s">
        <v>5789</v>
      </c>
      <c r="H83" s="606" t="s">
        <v>6000</v>
      </c>
      <c r="I83" s="605">
        <v>45497</v>
      </c>
      <c r="J83" s="605">
        <v>45485</v>
      </c>
      <c r="K83" t="s">
        <v>5715</v>
      </c>
      <c r="L83" s="603">
        <v>491.59</v>
      </c>
      <c r="M83" s="603">
        <v>87.59</v>
      </c>
      <c r="N83" s="603">
        <f t="shared" si="8"/>
        <v>404</v>
      </c>
      <c r="O83" s="604">
        <f t="shared" si="9"/>
        <v>0.17817693606460669</v>
      </c>
      <c r="P83" s="603">
        <v>1000</v>
      </c>
      <c r="R83" t="b">
        <v>1</v>
      </c>
      <c r="S83" t="b">
        <v>0</v>
      </c>
      <c r="T83">
        <v>114</v>
      </c>
      <c r="U83" s="605">
        <v>45383</v>
      </c>
      <c r="V83" t="str">
        <f t="shared" si="10"/>
        <v>2024-04</v>
      </c>
      <c r="W83" s="603">
        <f t="shared" si="11"/>
        <v>491.59</v>
      </c>
      <c r="AA83" s="606"/>
      <c r="AB83" s="606"/>
    </row>
    <row r="84" spans="1:28">
      <c r="A84" s="606" t="s">
        <v>6001</v>
      </c>
      <c r="B84" t="s">
        <v>5715</v>
      </c>
      <c r="C84" t="s">
        <v>6002</v>
      </c>
      <c r="D84" t="s">
        <v>6003</v>
      </c>
      <c r="E84" t="s">
        <v>1751</v>
      </c>
      <c r="F84" t="s">
        <v>5717</v>
      </c>
      <c r="G84" t="s">
        <v>5718</v>
      </c>
      <c r="H84" s="606" t="s">
        <v>6004</v>
      </c>
      <c r="I84" s="605">
        <v>45499</v>
      </c>
      <c r="J84" s="605"/>
      <c r="K84" t="s">
        <v>5715</v>
      </c>
      <c r="L84" s="603">
        <v>3717.5</v>
      </c>
      <c r="M84" s="603">
        <v>1000</v>
      </c>
      <c r="N84" s="603">
        <f t="shared" si="8"/>
        <v>2717.5</v>
      </c>
      <c r="O84" s="604">
        <f t="shared" si="9"/>
        <v>0.26899798251513113</v>
      </c>
      <c r="P84" s="603">
        <v>1000</v>
      </c>
      <c r="R84" t="b">
        <v>0</v>
      </c>
      <c r="S84" t="b">
        <v>0</v>
      </c>
      <c r="T84">
        <v>92</v>
      </c>
      <c r="U84" s="605">
        <v>45407</v>
      </c>
      <c r="V84" t="str">
        <f t="shared" si="10"/>
        <v>2024-04</v>
      </c>
      <c r="W84" s="603">
        <f t="shared" si="11"/>
        <v>1000</v>
      </c>
      <c r="AA84" s="606"/>
    </row>
    <row r="85" spans="1:28">
      <c r="A85" s="606" t="s">
        <v>6005</v>
      </c>
      <c r="B85" t="s">
        <v>5715</v>
      </c>
      <c r="C85" t="s">
        <v>6006</v>
      </c>
      <c r="D85" t="s">
        <v>4706</v>
      </c>
      <c r="E85" t="s">
        <v>1751</v>
      </c>
      <c r="F85" t="s">
        <v>5717</v>
      </c>
      <c r="G85" t="s">
        <v>5718</v>
      </c>
      <c r="H85" s="606" t="s">
        <v>6007</v>
      </c>
      <c r="I85" s="605">
        <v>46028</v>
      </c>
      <c r="J85" s="605"/>
      <c r="K85" t="s">
        <v>5715</v>
      </c>
      <c r="L85" s="603">
        <v>1460</v>
      </c>
      <c r="M85" s="603">
        <v>750</v>
      </c>
      <c r="N85" s="603">
        <f t="shared" si="8"/>
        <v>710</v>
      </c>
      <c r="O85" s="604">
        <f t="shared" si="9"/>
        <v>0.51369863013698636</v>
      </c>
      <c r="P85" s="603">
        <v>750</v>
      </c>
      <c r="R85" t="b">
        <v>0</v>
      </c>
      <c r="S85" t="b">
        <v>0</v>
      </c>
      <c r="T85">
        <v>46</v>
      </c>
      <c r="U85" s="605">
        <v>45982</v>
      </c>
      <c r="V85" t="str">
        <f t="shared" si="10"/>
        <v>2025-11</v>
      </c>
      <c r="W85" s="603">
        <f t="shared" si="11"/>
        <v>750</v>
      </c>
      <c r="AA85" s="606"/>
      <c r="AB85" s="606"/>
    </row>
    <row r="86" spans="1:28">
      <c r="A86" s="606" t="s">
        <v>6008</v>
      </c>
      <c r="B86" t="s">
        <v>5715</v>
      </c>
      <c r="C86" t="s">
        <v>6009</v>
      </c>
      <c r="D86" t="s">
        <v>3307</v>
      </c>
      <c r="E86" t="s">
        <v>1751</v>
      </c>
      <c r="F86" t="s">
        <v>5717</v>
      </c>
      <c r="G86" t="s">
        <v>5730</v>
      </c>
      <c r="H86" s="606" t="s">
        <v>6010</v>
      </c>
      <c r="I86" s="605">
        <v>46028</v>
      </c>
      <c r="J86" s="605"/>
      <c r="K86" t="s">
        <v>5715</v>
      </c>
      <c r="L86" s="603">
        <v>772.45</v>
      </c>
      <c r="M86" s="603">
        <v>635</v>
      </c>
      <c r="N86" s="603">
        <f t="shared" si="8"/>
        <v>137.45000000000005</v>
      </c>
      <c r="O86" s="604">
        <f t="shared" si="9"/>
        <v>0.82205968023820308</v>
      </c>
      <c r="P86" s="603">
        <v>750</v>
      </c>
      <c r="R86" t="b">
        <v>0</v>
      </c>
      <c r="S86" t="b">
        <v>0</v>
      </c>
      <c r="T86">
        <v>36</v>
      </c>
      <c r="U86" s="605">
        <v>45992</v>
      </c>
      <c r="V86" t="str">
        <f t="shared" si="10"/>
        <v>2025-12</v>
      </c>
      <c r="W86" s="603">
        <f t="shared" si="11"/>
        <v>750</v>
      </c>
      <c r="AA86" s="606"/>
    </row>
    <row r="87" spans="1:28">
      <c r="A87" s="606" t="s">
        <v>6011</v>
      </c>
      <c r="B87" t="s">
        <v>5715</v>
      </c>
      <c r="C87" t="s">
        <v>6012</v>
      </c>
      <c r="D87">
        <v>2048</v>
      </c>
      <c r="E87" t="s">
        <v>1751</v>
      </c>
      <c r="F87" t="s">
        <v>5717</v>
      </c>
      <c r="G87" t="s">
        <v>5718</v>
      </c>
      <c r="H87" s="606" t="s">
        <v>6013</v>
      </c>
      <c r="I87" s="605">
        <v>45582</v>
      </c>
      <c r="J87" s="605">
        <v>45542</v>
      </c>
      <c r="K87" t="s">
        <v>5715</v>
      </c>
      <c r="L87" s="603">
        <v>1505.5</v>
      </c>
      <c r="M87" s="603">
        <v>1000</v>
      </c>
      <c r="N87" s="603">
        <f t="shared" si="8"/>
        <v>505.5</v>
      </c>
      <c r="O87" s="604">
        <f t="shared" si="9"/>
        <v>0.66423115244104947</v>
      </c>
      <c r="P87" s="603">
        <v>1000</v>
      </c>
      <c r="R87" t="b">
        <v>0</v>
      </c>
      <c r="S87" t="b">
        <v>0</v>
      </c>
      <c r="T87">
        <v>108</v>
      </c>
      <c r="U87" s="605">
        <v>45474</v>
      </c>
      <c r="V87" t="str">
        <f t="shared" si="10"/>
        <v>2024-07</v>
      </c>
      <c r="W87" s="603">
        <f t="shared" si="11"/>
        <v>1000</v>
      </c>
      <c r="AA87" s="606"/>
      <c r="AB87" s="606"/>
    </row>
    <row r="88" spans="1:28">
      <c r="A88" s="606" t="s">
        <v>6014</v>
      </c>
      <c r="B88" t="s">
        <v>5715</v>
      </c>
      <c r="C88" t="s">
        <v>6015</v>
      </c>
      <c r="D88" t="s">
        <v>6016</v>
      </c>
      <c r="E88" t="s">
        <v>1751</v>
      </c>
      <c r="F88" t="s">
        <v>5717</v>
      </c>
      <c r="G88" t="s">
        <v>5789</v>
      </c>
      <c r="H88" s="606" t="s">
        <v>6017</v>
      </c>
      <c r="I88" s="605">
        <v>46010</v>
      </c>
      <c r="J88" s="605"/>
      <c r="K88" t="s">
        <v>5715</v>
      </c>
      <c r="L88" s="603">
        <v>1455</v>
      </c>
      <c r="M88" s="603">
        <v>595</v>
      </c>
      <c r="N88" s="603">
        <f t="shared" si="8"/>
        <v>860</v>
      </c>
      <c r="O88" s="604">
        <f t="shared" si="9"/>
        <v>0.40893470790378006</v>
      </c>
      <c r="P88" s="603">
        <v>1000</v>
      </c>
      <c r="R88" t="b">
        <v>1</v>
      </c>
      <c r="S88" t="b">
        <v>0</v>
      </c>
      <c r="T88">
        <v>49</v>
      </c>
      <c r="U88" s="605">
        <v>45961</v>
      </c>
      <c r="V88" t="str">
        <f t="shared" si="10"/>
        <v>2025-10</v>
      </c>
      <c r="W88" s="603">
        <f t="shared" si="11"/>
        <v>1000</v>
      </c>
      <c r="AA88" s="606"/>
    </row>
    <row r="89" spans="1:28">
      <c r="A89" s="606" t="s">
        <v>6018</v>
      </c>
      <c r="B89" t="s">
        <v>5715</v>
      </c>
      <c r="C89" t="s">
        <v>6019</v>
      </c>
      <c r="D89" s="454">
        <v>40210</v>
      </c>
      <c r="E89" t="s">
        <v>1751</v>
      </c>
      <c r="F89" t="s">
        <v>5717</v>
      </c>
      <c r="G89" t="s">
        <v>5789</v>
      </c>
      <c r="H89" s="606" t="s">
        <v>6020</v>
      </c>
      <c r="I89" s="605">
        <v>45452</v>
      </c>
      <c r="J89" s="605">
        <v>45388</v>
      </c>
      <c r="K89" t="s">
        <v>5715</v>
      </c>
      <c r="L89" s="603">
        <v>1003</v>
      </c>
      <c r="M89" s="603">
        <v>0</v>
      </c>
      <c r="N89" s="603">
        <f t="shared" si="8"/>
        <v>1003</v>
      </c>
      <c r="O89" s="604">
        <f t="shared" si="9"/>
        <v>0</v>
      </c>
      <c r="P89" s="603">
        <v>1000</v>
      </c>
      <c r="R89" t="b">
        <v>0</v>
      </c>
      <c r="S89" t="b">
        <v>1</v>
      </c>
      <c r="T89">
        <v>88</v>
      </c>
      <c r="U89" s="605">
        <v>45364</v>
      </c>
      <c r="V89" t="str">
        <f t="shared" si="10"/>
        <v>2024-03</v>
      </c>
      <c r="W89" s="603">
        <f t="shared" si="11"/>
        <v>1000</v>
      </c>
      <c r="AA89" s="606"/>
    </row>
    <row r="90" spans="1:28">
      <c r="A90" s="606" t="s">
        <v>6021</v>
      </c>
      <c r="B90" t="s">
        <v>5715</v>
      </c>
      <c r="C90" t="s">
        <v>6022</v>
      </c>
      <c r="D90" t="s">
        <v>6023</v>
      </c>
      <c r="E90" t="s">
        <v>1751</v>
      </c>
      <c r="F90" t="s">
        <v>5717</v>
      </c>
      <c r="G90" t="s">
        <v>5718</v>
      </c>
      <c r="H90" s="606" t="s">
        <v>6024</v>
      </c>
      <c r="I90" s="605">
        <v>46010</v>
      </c>
      <c r="J90" s="605"/>
      <c r="K90" t="s">
        <v>5715</v>
      </c>
      <c r="L90" s="603">
        <v>3904.91</v>
      </c>
      <c r="M90" s="603">
        <v>750</v>
      </c>
      <c r="N90" s="603">
        <f t="shared" si="8"/>
        <v>3154.91</v>
      </c>
      <c r="O90" s="604">
        <f t="shared" si="9"/>
        <v>0.19206588628163004</v>
      </c>
      <c r="P90" s="603">
        <v>750</v>
      </c>
      <c r="R90" t="b">
        <v>0</v>
      </c>
      <c r="S90" t="b">
        <v>0</v>
      </c>
      <c r="T90">
        <v>59</v>
      </c>
      <c r="U90" s="605">
        <v>45951</v>
      </c>
      <c r="V90" t="str">
        <f t="shared" si="10"/>
        <v>2025-10</v>
      </c>
      <c r="W90" s="603">
        <f t="shared" si="11"/>
        <v>750</v>
      </c>
      <c r="AA90" s="606"/>
    </row>
    <row r="91" spans="1:28">
      <c r="A91" s="606" t="s">
        <v>6025</v>
      </c>
      <c r="B91" t="s">
        <v>5715</v>
      </c>
      <c r="C91" t="s">
        <v>6026</v>
      </c>
      <c r="D91" t="s">
        <v>6027</v>
      </c>
      <c r="E91" t="s">
        <v>1751</v>
      </c>
      <c r="F91" t="s">
        <v>5717</v>
      </c>
      <c r="G91" t="s">
        <v>5718</v>
      </c>
      <c r="H91" s="606" t="s">
        <v>6028</v>
      </c>
      <c r="I91" s="605">
        <v>45937</v>
      </c>
      <c r="J91" s="605"/>
      <c r="K91" t="s">
        <v>5715</v>
      </c>
      <c r="L91" s="603">
        <v>5579.31</v>
      </c>
      <c r="M91" s="603">
        <v>750</v>
      </c>
      <c r="N91" s="603">
        <f t="shared" si="8"/>
        <v>4829.3100000000004</v>
      </c>
      <c r="O91" s="604">
        <f t="shared" si="9"/>
        <v>0.13442522462455034</v>
      </c>
      <c r="P91" s="603">
        <v>750</v>
      </c>
      <c r="R91" t="b">
        <v>0</v>
      </c>
      <c r="S91" t="b">
        <v>0</v>
      </c>
      <c r="T91">
        <v>60</v>
      </c>
      <c r="U91" s="605">
        <v>45877</v>
      </c>
      <c r="V91" t="str">
        <f t="shared" si="10"/>
        <v>2025-08</v>
      </c>
      <c r="W91" s="603">
        <f t="shared" si="11"/>
        <v>750</v>
      </c>
      <c r="AA91" s="606"/>
    </row>
    <row r="92" spans="1:28">
      <c r="A92" s="606" t="s">
        <v>6029</v>
      </c>
      <c r="B92" t="s">
        <v>5715</v>
      </c>
      <c r="C92" t="s">
        <v>6030</v>
      </c>
      <c r="D92" t="s">
        <v>6031</v>
      </c>
      <c r="E92" t="s">
        <v>1751</v>
      </c>
      <c r="F92" t="s">
        <v>5717</v>
      </c>
      <c r="G92" t="s">
        <v>5718</v>
      </c>
      <c r="H92" s="606" t="s">
        <v>6032</v>
      </c>
      <c r="I92" s="605">
        <v>46011</v>
      </c>
      <c r="J92" s="605"/>
      <c r="K92" t="s">
        <v>5715</v>
      </c>
      <c r="L92" s="603">
        <v>8490.9</v>
      </c>
      <c r="M92" s="603">
        <v>750</v>
      </c>
      <c r="N92" s="603">
        <f t="shared" si="8"/>
        <v>7740.9</v>
      </c>
      <c r="O92" s="604">
        <f t="shared" si="9"/>
        <v>8.8329859025544993E-2</v>
      </c>
      <c r="P92" s="603">
        <v>750</v>
      </c>
      <c r="R92" t="b">
        <v>0</v>
      </c>
      <c r="S92" t="b">
        <v>0</v>
      </c>
      <c r="T92">
        <v>38</v>
      </c>
      <c r="U92" s="605">
        <v>45973</v>
      </c>
      <c r="V92" t="str">
        <f t="shared" si="10"/>
        <v>2025-11</v>
      </c>
      <c r="W92" s="603">
        <f t="shared" si="11"/>
        <v>750</v>
      </c>
      <c r="AA92" s="606"/>
      <c r="AB92" s="606"/>
    </row>
    <row r="93" spans="1:28">
      <c r="A93" s="606" t="s">
        <v>6033</v>
      </c>
      <c r="B93" t="s">
        <v>5715</v>
      </c>
      <c r="C93" t="s">
        <v>6034</v>
      </c>
      <c r="D93" t="s">
        <v>6035</v>
      </c>
      <c r="E93" t="s">
        <v>1751</v>
      </c>
      <c r="F93" t="s">
        <v>5717</v>
      </c>
      <c r="G93" t="s">
        <v>5718</v>
      </c>
      <c r="H93" s="606" t="s">
        <v>6036</v>
      </c>
      <c r="I93" s="605">
        <v>45484</v>
      </c>
      <c r="J93" s="605">
        <v>45413</v>
      </c>
      <c r="K93" t="s">
        <v>5715</v>
      </c>
      <c r="L93" s="603">
        <v>2380</v>
      </c>
      <c r="M93" s="603">
        <v>1000</v>
      </c>
      <c r="N93" s="603">
        <f t="shared" si="8"/>
        <v>1380</v>
      </c>
      <c r="O93" s="604">
        <f t="shared" si="9"/>
        <v>0.42016806722689076</v>
      </c>
      <c r="P93" s="603">
        <v>1000</v>
      </c>
      <c r="R93" t="b">
        <v>0</v>
      </c>
      <c r="S93" t="b">
        <v>0</v>
      </c>
      <c r="T93">
        <v>111</v>
      </c>
      <c r="U93" s="605">
        <v>45373</v>
      </c>
      <c r="V93" t="str">
        <f t="shared" si="10"/>
        <v>2024-03</v>
      </c>
      <c r="W93" s="603">
        <f t="shared" si="11"/>
        <v>1000</v>
      </c>
      <c r="AA93" s="606"/>
    </row>
    <row r="94" spans="1:28">
      <c r="A94" s="606" t="s">
        <v>6037</v>
      </c>
      <c r="B94" t="s">
        <v>5715</v>
      </c>
      <c r="C94" t="s">
        <v>6038</v>
      </c>
      <c r="D94" t="s">
        <v>3179</v>
      </c>
      <c r="E94" t="s">
        <v>1751</v>
      </c>
      <c r="F94" t="s">
        <v>5717</v>
      </c>
      <c r="G94" t="s">
        <v>5718</v>
      </c>
      <c r="H94" s="606" t="s">
        <v>6039</v>
      </c>
      <c r="I94" s="605">
        <v>46010</v>
      </c>
      <c r="J94" s="605"/>
      <c r="K94" t="s">
        <v>5715</v>
      </c>
      <c r="L94" s="603">
        <v>10456.66</v>
      </c>
      <c r="M94" s="603">
        <v>750</v>
      </c>
      <c r="N94" s="603">
        <f t="shared" si="8"/>
        <v>9706.66</v>
      </c>
      <c r="O94" s="604">
        <f t="shared" si="9"/>
        <v>7.172462335009458E-2</v>
      </c>
      <c r="P94" s="603">
        <v>750</v>
      </c>
      <c r="R94" t="b">
        <v>0</v>
      </c>
      <c r="S94" t="b">
        <v>0</v>
      </c>
      <c r="T94">
        <v>37</v>
      </c>
      <c r="U94" s="605">
        <v>45973</v>
      </c>
      <c r="V94" t="str">
        <f t="shared" si="10"/>
        <v>2025-11</v>
      </c>
      <c r="W94" s="603">
        <f t="shared" si="11"/>
        <v>750</v>
      </c>
      <c r="AA94" s="606"/>
    </row>
    <row r="95" spans="1:28">
      <c r="A95" s="606" t="s">
        <v>6040</v>
      </c>
      <c r="B95" t="s">
        <v>5715</v>
      </c>
      <c r="C95" t="s">
        <v>6041</v>
      </c>
      <c r="D95" t="s">
        <v>3150</v>
      </c>
      <c r="E95" t="s">
        <v>1751</v>
      </c>
      <c r="F95" t="s">
        <v>5717</v>
      </c>
      <c r="G95" t="s">
        <v>5738</v>
      </c>
      <c r="H95" s="606" t="s">
        <v>6042</v>
      </c>
      <c r="I95" s="605">
        <v>46010</v>
      </c>
      <c r="J95" s="605"/>
      <c r="K95" t="s">
        <v>5715</v>
      </c>
      <c r="L95" s="603">
        <v>1728.85</v>
      </c>
      <c r="M95" s="603">
        <v>415</v>
      </c>
      <c r="N95" s="603">
        <f t="shared" si="8"/>
        <v>1313.85</v>
      </c>
      <c r="O95" s="604">
        <f t="shared" si="9"/>
        <v>0.24004395985770891</v>
      </c>
      <c r="P95" s="603">
        <v>750</v>
      </c>
      <c r="R95" t="b">
        <v>1</v>
      </c>
      <c r="S95" t="b">
        <v>0</v>
      </c>
      <c r="T95">
        <v>31</v>
      </c>
      <c r="U95" s="605">
        <v>45979</v>
      </c>
      <c r="V95" t="str">
        <f t="shared" si="10"/>
        <v>2025-11</v>
      </c>
      <c r="W95" s="603">
        <f t="shared" si="11"/>
        <v>750</v>
      </c>
      <c r="AA95" s="606"/>
    </row>
    <row r="96" spans="1:28">
      <c r="A96" s="606" t="s">
        <v>6043</v>
      </c>
      <c r="B96" t="s">
        <v>5715</v>
      </c>
      <c r="C96" t="s">
        <v>6044</v>
      </c>
      <c r="D96">
        <v>201</v>
      </c>
      <c r="E96" t="s">
        <v>1751</v>
      </c>
      <c r="F96" t="s">
        <v>5717</v>
      </c>
      <c r="G96" t="s">
        <v>5726</v>
      </c>
      <c r="H96" s="606" t="s">
        <v>6045</v>
      </c>
      <c r="I96" s="605">
        <v>45484</v>
      </c>
      <c r="J96" s="605">
        <v>45451</v>
      </c>
      <c r="K96" t="s">
        <v>5715</v>
      </c>
      <c r="L96" s="603">
        <v>1949</v>
      </c>
      <c r="M96" s="603">
        <v>0</v>
      </c>
      <c r="N96" s="603">
        <f t="shared" si="8"/>
        <v>1949</v>
      </c>
      <c r="O96" s="604">
        <f t="shared" si="9"/>
        <v>0</v>
      </c>
      <c r="P96" s="603">
        <v>1000</v>
      </c>
      <c r="R96" t="b">
        <v>0</v>
      </c>
      <c r="S96" t="b">
        <v>1</v>
      </c>
      <c r="T96">
        <v>111</v>
      </c>
      <c r="U96" s="605">
        <v>45373</v>
      </c>
      <c r="V96" t="str">
        <f t="shared" si="10"/>
        <v>2024-03</v>
      </c>
      <c r="W96" s="603">
        <f t="shared" si="11"/>
        <v>1000</v>
      </c>
      <c r="AA96" s="606"/>
    </row>
    <row r="97" spans="1:28">
      <c r="A97" s="606" t="s">
        <v>6046</v>
      </c>
      <c r="B97" t="s">
        <v>5715</v>
      </c>
      <c r="C97" t="s">
        <v>6047</v>
      </c>
      <c r="D97" t="s">
        <v>2646</v>
      </c>
      <c r="E97" t="s">
        <v>1751</v>
      </c>
      <c r="F97" t="s">
        <v>5717</v>
      </c>
      <c r="G97" t="s">
        <v>5718</v>
      </c>
      <c r="H97" s="606" t="s">
        <v>6048</v>
      </c>
      <c r="I97" s="605">
        <v>45933</v>
      </c>
      <c r="J97" s="605">
        <v>45899</v>
      </c>
      <c r="K97" t="s">
        <v>5715</v>
      </c>
      <c r="L97" s="603">
        <v>3556.07</v>
      </c>
      <c r="M97" s="603">
        <v>750</v>
      </c>
      <c r="N97" s="603">
        <f t="shared" si="8"/>
        <v>2806.07</v>
      </c>
      <c r="O97" s="604">
        <f t="shared" si="9"/>
        <v>0.21090698439569525</v>
      </c>
      <c r="P97" s="603">
        <v>750</v>
      </c>
      <c r="R97" t="b">
        <v>0</v>
      </c>
      <c r="S97" t="b">
        <v>0</v>
      </c>
      <c r="T97">
        <v>56</v>
      </c>
      <c r="U97" s="605">
        <v>45877</v>
      </c>
      <c r="V97" t="str">
        <f t="shared" si="10"/>
        <v>2025-08</v>
      </c>
      <c r="W97" s="603">
        <f t="shared" si="11"/>
        <v>750</v>
      </c>
      <c r="AA97" s="606"/>
    </row>
    <row r="98" spans="1:28">
      <c r="A98" s="606" t="s">
        <v>6049</v>
      </c>
      <c r="B98" t="s">
        <v>5715</v>
      </c>
      <c r="C98" t="s">
        <v>6050</v>
      </c>
      <c r="D98" t="s">
        <v>6051</v>
      </c>
      <c r="E98" t="s">
        <v>1751</v>
      </c>
      <c r="F98" t="s">
        <v>5717</v>
      </c>
      <c r="G98" t="s">
        <v>5718</v>
      </c>
      <c r="H98" s="606" t="s">
        <v>6052</v>
      </c>
      <c r="I98" s="605">
        <v>45890</v>
      </c>
      <c r="J98" s="605"/>
      <c r="K98" t="s">
        <v>5715</v>
      </c>
      <c r="L98" s="603">
        <v>6001.76</v>
      </c>
      <c r="M98" s="603">
        <v>750</v>
      </c>
      <c r="N98" s="603">
        <f t="shared" ref="N98:N100" si="12">L98-M98</f>
        <v>5251.76</v>
      </c>
      <c r="O98" s="604">
        <f t="shared" ref="O98:O100" si="13">IF(L98=0,"",M98/L98)</f>
        <v>0.12496334408573484</v>
      </c>
      <c r="P98" s="603">
        <v>750</v>
      </c>
      <c r="R98" t="b">
        <v>0</v>
      </c>
      <c r="S98" t="b">
        <v>0</v>
      </c>
      <c r="T98">
        <v>52</v>
      </c>
      <c r="U98" s="605">
        <v>45838</v>
      </c>
      <c r="V98" t="str">
        <f t="shared" ref="V98:V100" si="14">TEXT(U98,"YYYY-MM")</f>
        <v>2025-06</v>
      </c>
      <c r="W98" s="603">
        <f t="shared" si="11"/>
        <v>750</v>
      </c>
      <c r="AA98" s="606"/>
      <c r="AB98" s="606"/>
    </row>
    <row r="99" spans="1:28">
      <c r="A99" s="606" t="s">
        <v>6053</v>
      </c>
      <c r="B99" t="s">
        <v>5715</v>
      </c>
      <c r="C99" t="s">
        <v>6054</v>
      </c>
      <c r="D99" t="s">
        <v>6055</v>
      </c>
      <c r="E99" t="s">
        <v>1751</v>
      </c>
      <c r="F99" t="s">
        <v>5717</v>
      </c>
      <c r="G99" t="s">
        <v>5718</v>
      </c>
      <c r="H99" s="606" t="s">
        <v>6056</v>
      </c>
      <c r="I99" s="605">
        <v>46010</v>
      </c>
      <c r="J99" s="605"/>
      <c r="K99" t="s">
        <v>5715</v>
      </c>
      <c r="L99" s="603">
        <v>2931.69</v>
      </c>
      <c r="M99" s="603">
        <v>750</v>
      </c>
      <c r="N99" s="603">
        <f t="shared" si="12"/>
        <v>2181.69</v>
      </c>
      <c r="O99" s="604">
        <f t="shared" si="13"/>
        <v>0.25582513840139987</v>
      </c>
      <c r="P99" s="603">
        <v>750</v>
      </c>
      <c r="R99" t="b">
        <v>0</v>
      </c>
      <c r="S99" t="b">
        <v>0</v>
      </c>
      <c r="T99">
        <v>60</v>
      </c>
      <c r="U99" s="605">
        <v>45950</v>
      </c>
      <c r="V99" t="str">
        <f t="shared" si="14"/>
        <v>2025-10</v>
      </c>
      <c r="W99" s="603">
        <f t="shared" si="11"/>
        <v>750</v>
      </c>
      <c r="AA99" s="606"/>
    </row>
    <row r="100" spans="1:28">
      <c r="A100" s="606" t="s">
        <v>6057</v>
      </c>
      <c r="B100" t="s">
        <v>5715</v>
      </c>
      <c r="C100" t="s">
        <v>6058</v>
      </c>
      <c r="D100" t="s">
        <v>6059</v>
      </c>
      <c r="E100" t="s">
        <v>1751</v>
      </c>
      <c r="F100" t="s">
        <v>5717</v>
      </c>
      <c r="G100" t="s">
        <v>5718</v>
      </c>
      <c r="H100" s="606" t="s">
        <v>6060</v>
      </c>
      <c r="I100" s="605">
        <v>46010</v>
      </c>
      <c r="J100" s="605"/>
      <c r="K100" t="s">
        <v>5715</v>
      </c>
      <c r="L100" s="603">
        <v>2846.62</v>
      </c>
      <c r="M100" s="603">
        <v>750</v>
      </c>
      <c r="N100" s="603">
        <f t="shared" si="12"/>
        <v>2096.62</v>
      </c>
      <c r="O100" s="604">
        <f t="shared" si="13"/>
        <v>0.26347036134081825</v>
      </c>
      <c r="P100" s="603">
        <v>750</v>
      </c>
      <c r="R100" t="b">
        <v>0</v>
      </c>
      <c r="S100" t="b">
        <v>0</v>
      </c>
      <c r="T100">
        <v>39</v>
      </c>
      <c r="U100" s="605">
        <v>45971</v>
      </c>
      <c r="V100" t="str">
        <f t="shared" si="14"/>
        <v>2025-11</v>
      </c>
      <c r="W100" s="603">
        <f t="shared" si="11"/>
        <v>750</v>
      </c>
      <c r="AA100" s="606"/>
      <c r="AB100" s="606"/>
    </row>
    <row r="101" spans="1:28">
      <c r="A101" s="606" t="s">
        <v>6061</v>
      </c>
      <c r="B101" t="s">
        <v>6062</v>
      </c>
      <c r="C101" t="s">
        <v>6063</v>
      </c>
      <c r="D101" s="454" t="s">
        <v>6064</v>
      </c>
      <c r="E101" t="s">
        <v>1751</v>
      </c>
      <c r="F101" t="s">
        <v>5717</v>
      </c>
      <c r="G101" t="s">
        <v>5730</v>
      </c>
      <c r="H101" s="606" t="s">
        <v>6065</v>
      </c>
      <c r="I101" s="605">
        <v>46062</v>
      </c>
      <c r="J101" s="605"/>
      <c r="K101" t="s">
        <v>6062</v>
      </c>
      <c r="L101" s="603">
        <v>1057.3499999999999</v>
      </c>
      <c r="M101" s="603">
        <v>522.58000000000004</v>
      </c>
      <c r="N101" s="603">
        <f t="shared" ref="N101:N132" si="15">L101-M101</f>
        <v>534.76999999999987</v>
      </c>
      <c r="O101" s="604">
        <f t="shared" ref="O101:O132" si="16">IF(L101=0,"",M101/L101)</f>
        <v>0.49423558897243114</v>
      </c>
      <c r="P101" s="603">
        <v>750</v>
      </c>
      <c r="R101" t="b">
        <v>0</v>
      </c>
      <c r="S101" t="b">
        <v>0</v>
      </c>
      <c r="T101">
        <f t="shared" ref="T101:T132" si="17">I101-U101</f>
        <v>53</v>
      </c>
      <c r="U101" s="605">
        <v>46009</v>
      </c>
      <c r="V101" t="str">
        <f t="shared" ref="V101:V132" si="18">TEXT(U101,"YYYY-MM")</f>
        <v>2025-12</v>
      </c>
      <c r="W101" s="603">
        <v>750</v>
      </c>
      <c r="X101" t="b">
        <v>0</v>
      </c>
      <c r="Z101" t="s">
        <v>6062</v>
      </c>
      <c r="AA101" s="606" t="s">
        <v>6066</v>
      </c>
      <c r="AB101">
        <v>16800951</v>
      </c>
    </row>
    <row r="102" spans="1:28">
      <c r="A102" s="606" t="s">
        <v>6067</v>
      </c>
      <c r="B102" t="s">
        <v>6062</v>
      </c>
      <c r="C102" t="s">
        <v>6068</v>
      </c>
      <c r="D102" t="s">
        <v>2137</v>
      </c>
      <c r="E102" t="s">
        <v>1751</v>
      </c>
      <c r="F102" t="s">
        <v>5717</v>
      </c>
      <c r="G102" t="s">
        <v>5718</v>
      </c>
      <c r="H102" s="606" t="s">
        <v>6069</v>
      </c>
      <c r="I102" s="605">
        <v>46104</v>
      </c>
      <c r="J102" s="605"/>
      <c r="K102" t="s">
        <v>6062</v>
      </c>
      <c r="L102" s="603">
        <v>10269.18</v>
      </c>
      <c r="M102" s="603">
        <v>1000</v>
      </c>
      <c r="N102" s="603">
        <f t="shared" si="15"/>
        <v>9269.18</v>
      </c>
      <c r="O102" s="604">
        <f t="shared" si="16"/>
        <v>9.7378758576634153E-2</v>
      </c>
      <c r="P102" s="603">
        <v>1000</v>
      </c>
      <c r="R102" t="b">
        <v>0</v>
      </c>
      <c r="S102" t="b">
        <v>0</v>
      </c>
      <c r="T102">
        <f t="shared" si="17"/>
        <v>59</v>
      </c>
      <c r="U102" s="605">
        <v>46045</v>
      </c>
      <c r="V102" t="str">
        <f t="shared" si="18"/>
        <v>2026-01</v>
      </c>
      <c r="W102" s="603">
        <v>1000</v>
      </c>
      <c r="X102" t="b">
        <v>0</v>
      </c>
      <c r="Z102" t="s">
        <v>6062</v>
      </c>
      <c r="AA102" s="606" t="s">
        <v>6066</v>
      </c>
      <c r="AB102">
        <v>16800962</v>
      </c>
    </row>
    <row r="103" spans="1:28">
      <c r="A103" s="606" t="s">
        <v>6070</v>
      </c>
      <c r="B103" t="s">
        <v>6062</v>
      </c>
      <c r="C103" t="s">
        <v>6071</v>
      </c>
      <c r="D103" t="s">
        <v>2139</v>
      </c>
      <c r="E103" t="s">
        <v>1751</v>
      </c>
      <c r="F103" t="s">
        <v>5743</v>
      </c>
      <c r="G103" t="s">
        <v>5743</v>
      </c>
      <c r="H103" s="606" t="s">
        <v>6072</v>
      </c>
      <c r="I103" s="605">
        <v>46105</v>
      </c>
      <c r="J103" s="605"/>
      <c r="K103" t="s">
        <v>6062</v>
      </c>
      <c r="L103" s="603">
        <v>8349.4</v>
      </c>
      <c r="M103" s="603">
        <v>0</v>
      </c>
      <c r="N103" s="603">
        <f t="shared" si="15"/>
        <v>8349.4</v>
      </c>
      <c r="O103" s="604">
        <f t="shared" si="16"/>
        <v>0</v>
      </c>
      <c r="P103" s="603">
        <v>750</v>
      </c>
      <c r="Q103" t="s">
        <v>5745</v>
      </c>
      <c r="R103" t="b">
        <v>0</v>
      </c>
      <c r="S103" t="b">
        <v>0</v>
      </c>
      <c r="T103">
        <f t="shared" si="17"/>
        <v>60</v>
      </c>
      <c r="U103" s="605">
        <v>46045</v>
      </c>
      <c r="V103" t="str">
        <f t="shared" si="18"/>
        <v>2026-01</v>
      </c>
      <c r="W103" s="603">
        <v>750</v>
      </c>
      <c r="X103" t="b">
        <v>0</v>
      </c>
      <c r="Z103" t="s">
        <v>6062</v>
      </c>
      <c r="AA103" s="606" t="s">
        <v>6066</v>
      </c>
      <c r="AB103">
        <v>16800966</v>
      </c>
    </row>
    <row r="104" spans="1:28">
      <c r="A104" s="606" t="s">
        <v>6073</v>
      </c>
      <c r="B104" t="s">
        <v>6062</v>
      </c>
      <c r="C104" t="s">
        <v>6074</v>
      </c>
      <c r="D104" t="s">
        <v>2134</v>
      </c>
      <c r="E104" t="s">
        <v>1751</v>
      </c>
      <c r="F104" t="s">
        <v>5743</v>
      </c>
      <c r="G104" t="s">
        <v>5743</v>
      </c>
      <c r="H104" s="606" t="s">
        <v>6075</v>
      </c>
      <c r="I104" s="605">
        <v>46090</v>
      </c>
      <c r="J104" s="605"/>
      <c r="K104" t="s">
        <v>6062</v>
      </c>
      <c r="L104" s="603">
        <v>752</v>
      </c>
      <c r="M104" s="603">
        <v>0</v>
      </c>
      <c r="N104" s="603">
        <f t="shared" si="15"/>
        <v>752</v>
      </c>
      <c r="O104" s="604">
        <f t="shared" si="16"/>
        <v>0</v>
      </c>
      <c r="P104" s="603">
        <v>750</v>
      </c>
      <c r="Q104" t="s">
        <v>6076</v>
      </c>
      <c r="R104" t="b">
        <v>1</v>
      </c>
      <c r="S104" t="b">
        <v>0</v>
      </c>
      <c r="T104">
        <f t="shared" si="17"/>
        <v>53</v>
      </c>
      <c r="U104" s="605">
        <v>46037</v>
      </c>
      <c r="V104" t="str">
        <f t="shared" si="18"/>
        <v>2026-01</v>
      </c>
      <c r="W104" s="603">
        <v>750</v>
      </c>
      <c r="X104" t="b">
        <v>0</v>
      </c>
      <c r="Z104" t="s">
        <v>6062</v>
      </c>
      <c r="AA104" s="606" t="s">
        <v>6066</v>
      </c>
      <c r="AB104">
        <v>16800968</v>
      </c>
    </row>
    <row r="105" spans="1:28">
      <c r="A105" s="606" t="s">
        <v>6077</v>
      </c>
      <c r="B105" t="s">
        <v>6062</v>
      </c>
      <c r="C105" t="s">
        <v>6078</v>
      </c>
      <c r="D105" t="s">
        <v>1517</v>
      </c>
      <c r="E105" t="s">
        <v>1751</v>
      </c>
      <c r="F105" t="s">
        <v>5743</v>
      </c>
      <c r="G105" t="s">
        <v>5743</v>
      </c>
      <c r="H105" s="606" t="s">
        <v>6079</v>
      </c>
      <c r="I105" s="605">
        <v>46121</v>
      </c>
      <c r="J105" s="605"/>
      <c r="K105" t="s">
        <v>6062</v>
      </c>
      <c r="L105" s="603">
        <v>3861.25</v>
      </c>
      <c r="M105" s="603">
        <v>0</v>
      </c>
      <c r="N105" s="603">
        <f t="shared" si="15"/>
        <v>3861.25</v>
      </c>
      <c r="O105" s="604">
        <f t="shared" si="16"/>
        <v>0</v>
      </c>
      <c r="P105" s="603">
        <v>750</v>
      </c>
      <c r="Q105" t="s">
        <v>5745</v>
      </c>
      <c r="R105" t="b">
        <v>0</v>
      </c>
      <c r="S105" t="b">
        <v>0</v>
      </c>
      <c r="T105">
        <f t="shared" si="17"/>
        <v>57</v>
      </c>
      <c r="U105" s="605">
        <v>46064</v>
      </c>
      <c r="V105" t="str">
        <f t="shared" si="18"/>
        <v>2026-02</v>
      </c>
      <c r="W105" s="603">
        <v>750</v>
      </c>
      <c r="X105" t="b">
        <v>0</v>
      </c>
      <c r="Z105" t="s">
        <v>6062</v>
      </c>
      <c r="AA105" s="606" t="s">
        <v>6066</v>
      </c>
      <c r="AB105">
        <v>16800978</v>
      </c>
    </row>
    <row r="106" spans="1:28">
      <c r="A106" s="606" t="s">
        <v>6080</v>
      </c>
      <c r="B106" t="s">
        <v>6062</v>
      </c>
      <c r="C106" t="s">
        <v>6081</v>
      </c>
      <c r="D106" t="s">
        <v>1910</v>
      </c>
      <c r="E106" t="s">
        <v>1751</v>
      </c>
      <c r="F106" t="s">
        <v>5717</v>
      </c>
      <c r="G106" t="s">
        <v>5718</v>
      </c>
      <c r="H106" s="606" t="s">
        <v>6082</v>
      </c>
      <c r="I106" s="605">
        <v>46105</v>
      </c>
      <c r="J106" s="605"/>
      <c r="K106" t="s">
        <v>6062</v>
      </c>
      <c r="L106" s="603">
        <v>904.2</v>
      </c>
      <c r="M106" s="603">
        <v>750</v>
      </c>
      <c r="N106" s="603">
        <f t="shared" si="15"/>
        <v>154.20000000000005</v>
      </c>
      <c r="O106" s="604">
        <f t="shared" si="16"/>
        <v>0.82946250829462509</v>
      </c>
      <c r="P106" s="603">
        <v>750</v>
      </c>
      <c r="R106" t="b">
        <v>0</v>
      </c>
      <c r="S106" t="b">
        <v>0</v>
      </c>
      <c r="T106">
        <f t="shared" si="17"/>
        <v>60</v>
      </c>
      <c r="U106" s="605">
        <v>46045</v>
      </c>
      <c r="V106" t="str">
        <f t="shared" si="18"/>
        <v>2026-01</v>
      </c>
      <c r="W106" s="603">
        <v>750</v>
      </c>
      <c r="X106" t="b">
        <v>0</v>
      </c>
      <c r="Z106" t="s">
        <v>6062</v>
      </c>
      <c r="AA106" s="606" t="s">
        <v>6066</v>
      </c>
      <c r="AB106">
        <v>16800983</v>
      </c>
    </row>
    <row r="107" spans="1:28">
      <c r="A107" s="606" t="s">
        <v>6083</v>
      </c>
      <c r="B107" t="s">
        <v>6062</v>
      </c>
      <c r="C107" t="s">
        <v>6084</v>
      </c>
      <c r="D107" t="s">
        <v>1539</v>
      </c>
      <c r="E107" t="s">
        <v>1751</v>
      </c>
      <c r="F107" t="s">
        <v>5717</v>
      </c>
      <c r="G107" t="s">
        <v>5718</v>
      </c>
      <c r="H107" s="606" t="s">
        <v>6085</v>
      </c>
      <c r="I107" s="605">
        <v>46120</v>
      </c>
      <c r="J107" s="605"/>
      <c r="K107" t="s">
        <v>6062</v>
      </c>
      <c r="L107" s="603">
        <v>1818</v>
      </c>
      <c r="M107" s="603">
        <v>750</v>
      </c>
      <c r="N107" s="603">
        <f t="shared" si="15"/>
        <v>1068</v>
      </c>
      <c r="O107" s="604">
        <f t="shared" si="16"/>
        <v>0.41254125412541254</v>
      </c>
      <c r="P107" s="603">
        <v>750</v>
      </c>
      <c r="R107" t="b">
        <v>0</v>
      </c>
      <c r="S107" t="b">
        <v>0</v>
      </c>
      <c r="T107">
        <f t="shared" si="17"/>
        <v>56</v>
      </c>
      <c r="U107" s="605">
        <v>46064</v>
      </c>
      <c r="V107" t="str">
        <f t="shared" si="18"/>
        <v>2026-02</v>
      </c>
      <c r="W107" s="603">
        <v>750</v>
      </c>
      <c r="X107" t="b">
        <v>0</v>
      </c>
      <c r="Z107" t="s">
        <v>6062</v>
      </c>
      <c r="AA107" s="606" t="s">
        <v>6066</v>
      </c>
      <c r="AB107">
        <v>16800990</v>
      </c>
    </row>
    <row r="108" spans="1:28">
      <c r="A108" s="606" t="s">
        <v>6086</v>
      </c>
      <c r="B108" t="s">
        <v>6062</v>
      </c>
      <c r="C108" t="s">
        <v>11203</v>
      </c>
      <c r="D108" t="s">
        <v>3198</v>
      </c>
      <c r="E108" t="s">
        <v>1751</v>
      </c>
      <c r="F108" t="s">
        <v>5717</v>
      </c>
      <c r="G108" t="s">
        <v>5838</v>
      </c>
      <c r="H108" s="606" t="s">
        <v>6087</v>
      </c>
      <c r="I108" s="605">
        <v>46083</v>
      </c>
      <c r="J108" s="605"/>
      <c r="K108" t="s">
        <v>6062</v>
      </c>
      <c r="L108" s="603">
        <v>128</v>
      </c>
      <c r="M108" s="603">
        <v>85</v>
      </c>
      <c r="N108" s="603">
        <f t="shared" si="15"/>
        <v>43</v>
      </c>
      <c r="O108" s="604">
        <f t="shared" si="16"/>
        <v>0.6640625</v>
      </c>
      <c r="P108" s="603">
        <v>750</v>
      </c>
      <c r="R108" t="b">
        <v>0</v>
      </c>
      <c r="S108" t="b">
        <v>0</v>
      </c>
      <c r="T108">
        <f t="shared" si="17"/>
        <v>59</v>
      </c>
      <c r="U108" s="605">
        <v>46024</v>
      </c>
      <c r="V108" t="str">
        <f t="shared" si="18"/>
        <v>2026-01</v>
      </c>
      <c r="W108" s="603">
        <v>128</v>
      </c>
      <c r="X108" t="b">
        <v>0</v>
      </c>
      <c r="Z108" t="s">
        <v>6062</v>
      </c>
      <c r="AA108" s="606" t="s">
        <v>6066</v>
      </c>
      <c r="AB108" s="606" t="s">
        <v>6088</v>
      </c>
    </row>
    <row r="109" spans="1:28">
      <c r="A109" s="606" t="s">
        <v>6089</v>
      </c>
      <c r="B109" t="s">
        <v>6062</v>
      </c>
      <c r="C109" t="s">
        <v>6090</v>
      </c>
      <c r="D109" t="s">
        <v>3552</v>
      </c>
      <c r="E109" t="s">
        <v>1751</v>
      </c>
      <c r="F109" t="s">
        <v>5743</v>
      </c>
      <c r="G109" t="s">
        <v>5743</v>
      </c>
      <c r="H109" s="606" t="s">
        <v>6091</v>
      </c>
      <c r="I109" s="605">
        <v>46113</v>
      </c>
      <c r="J109" s="605"/>
      <c r="K109" t="s">
        <v>6062</v>
      </c>
      <c r="L109" s="603">
        <v>1235</v>
      </c>
      <c r="M109" s="603">
        <v>0</v>
      </c>
      <c r="N109" s="603">
        <f t="shared" si="15"/>
        <v>1235</v>
      </c>
      <c r="O109" s="604">
        <f t="shared" si="16"/>
        <v>0</v>
      </c>
      <c r="P109" s="603">
        <v>750</v>
      </c>
      <c r="Q109" t="s">
        <v>6092</v>
      </c>
      <c r="R109" t="b">
        <v>0</v>
      </c>
      <c r="S109" t="b">
        <v>0</v>
      </c>
      <c r="T109">
        <f t="shared" si="17"/>
        <v>92</v>
      </c>
      <c r="U109" s="605">
        <v>46021</v>
      </c>
      <c r="V109" t="str">
        <f t="shared" si="18"/>
        <v>2025-12</v>
      </c>
      <c r="W109" s="603">
        <v>750</v>
      </c>
      <c r="X109" t="b">
        <v>0</v>
      </c>
      <c r="Z109" t="s">
        <v>6062</v>
      </c>
      <c r="AA109" s="606" t="s">
        <v>6066</v>
      </c>
      <c r="AB109">
        <v>16801000</v>
      </c>
    </row>
    <row r="110" spans="1:28">
      <c r="A110" s="606" t="s">
        <v>6093</v>
      </c>
      <c r="B110" t="s">
        <v>6062</v>
      </c>
      <c r="C110" t="s">
        <v>11202</v>
      </c>
      <c r="D110" t="s">
        <v>2186</v>
      </c>
      <c r="E110" t="s">
        <v>1751</v>
      </c>
      <c r="F110" t="s">
        <v>5743</v>
      </c>
      <c r="G110" t="s">
        <v>5743</v>
      </c>
      <c r="H110" s="606" t="s">
        <v>6094</v>
      </c>
      <c r="I110" s="605">
        <v>46113</v>
      </c>
      <c r="J110" s="605"/>
      <c r="K110" t="s">
        <v>6062</v>
      </c>
      <c r="L110" s="603">
        <v>1645</v>
      </c>
      <c r="M110" s="603">
        <v>0</v>
      </c>
      <c r="N110" s="603">
        <f t="shared" si="15"/>
        <v>1645</v>
      </c>
      <c r="O110" s="604">
        <f t="shared" si="16"/>
        <v>0</v>
      </c>
      <c r="P110" s="603">
        <v>750</v>
      </c>
      <c r="Q110" t="s">
        <v>6092</v>
      </c>
      <c r="R110" t="b">
        <v>0</v>
      </c>
      <c r="S110" t="b">
        <v>0</v>
      </c>
      <c r="T110">
        <f>I110-U110</f>
        <v>91</v>
      </c>
      <c r="U110" s="605">
        <v>46022</v>
      </c>
      <c r="V110" t="str">
        <f t="shared" si="18"/>
        <v>2025-12</v>
      </c>
      <c r="W110" s="603">
        <v>750</v>
      </c>
      <c r="X110" t="b">
        <v>0</v>
      </c>
      <c r="Z110" t="s">
        <v>6062</v>
      </c>
      <c r="AA110" s="606" t="s">
        <v>6066</v>
      </c>
      <c r="AB110" s="606" t="s">
        <v>6095</v>
      </c>
    </row>
    <row r="111" spans="1:28">
      <c r="A111" s="606" t="s">
        <v>6096</v>
      </c>
      <c r="B111" t="s">
        <v>6062</v>
      </c>
      <c r="C111" t="s">
        <v>11201</v>
      </c>
      <c r="D111" t="s">
        <v>1542</v>
      </c>
      <c r="E111" t="s">
        <v>1751</v>
      </c>
      <c r="F111" t="s">
        <v>5717</v>
      </c>
      <c r="G111" t="s">
        <v>5718</v>
      </c>
      <c r="H111" s="606" t="s">
        <v>6097</v>
      </c>
      <c r="I111" s="605">
        <v>46084</v>
      </c>
      <c r="J111" s="605"/>
      <c r="K111" t="s">
        <v>6062</v>
      </c>
      <c r="L111" s="603">
        <v>2590</v>
      </c>
      <c r="M111" s="603">
        <v>750</v>
      </c>
      <c r="N111" s="603">
        <f t="shared" si="15"/>
        <v>1840</v>
      </c>
      <c r="O111" s="604">
        <f t="shared" si="16"/>
        <v>0.28957528957528955</v>
      </c>
      <c r="P111" s="603">
        <v>750</v>
      </c>
      <c r="R111" t="b">
        <v>0</v>
      </c>
      <c r="S111" t="b">
        <v>0</v>
      </c>
      <c r="T111">
        <f>I111-U111</f>
        <v>59</v>
      </c>
      <c r="U111" s="605">
        <v>46025</v>
      </c>
      <c r="V111" t="str">
        <f t="shared" si="18"/>
        <v>2026-01</v>
      </c>
      <c r="W111" s="603">
        <v>750</v>
      </c>
      <c r="X111" t="b">
        <v>0</v>
      </c>
      <c r="Z111" t="s">
        <v>6062</v>
      </c>
      <c r="AA111" s="606" t="s">
        <v>6066</v>
      </c>
      <c r="AB111">
        <v>16801014</v>
      </c>
    </row>
    <row r="112" spans="1:28">
      <c r="A112" s="606" t="s">
        <v>6098</v>
      </c>
      <c r="B112" t="s">
        <v>6062</v>
      </c>
      <c r="C112" t="s">
        <v>6099</v>
      </c>
      <c r="D112" t="s">
        <v>2163</v>
      </c>
      <c r="E112" t="s">
        <v>1751</v>
      </c>
      <c r="F112" t="s">
        <v>5717</v>
      </c>
      <c r="G112" t="s">
        <v>5718</v>
      </c>
      <c r="H112" s="606" t="s">
        <v>6100</v>
      </c>
      <c r="I112" s="605">
        <v>46105</v>
      </c>
      <c r="J112" s="605"/>
      <c r="K112" t="s">
        <v>6062</v>
      </c>
      <c r="L112" s="603">
        <v>1785</v>
      </c>
      <c r="M112" s="603">
        <v>750</v>
      </c>
      <c r="N112" s="603">
        <f t="shared" si="15"/>
        <v>1035</v>
      </c>
      <c r="O112" s="604">
        <f t="shared" si="16"/>
        <v>0.42016806722689076</v>
      </c>
      <c r="P112" s="603">
        <v>750</v>
      </c>
      <c r="R112" t="b">
        <v>0</v>
      </c>
      <c r="S112" t="b">
        <v>0</v>
      </c>
      <c r="T112">
        <f t="shared" si="17"/>
        <v>60</v>
      </c>
      <c r="U112" s="605">
        <v>46045</v>
      </c>
      <c r="V112" t="str">
        <f t="shared" si="18"/>
        <v>2026-01</v>
      </c>
      <c r="W112" s="603">
        <v>750</v>
      </c>
      <c r="X112" t="b">
        <v>0</v>
      </c>
      <c r="Z112" t="s">
        <v>6062</v>
      </c>
      <c r="AA112" s="606" t="s">
        <v>6066</v>
      </c>
      <c r="AB112">
        <v>16801020</v>
      </c>
    </row>
    <row r="113" spans="1:28">
      <c r="A113" s="606" t="s">
        <v>6101</v>
      </c>
      <c r="B113" t="s">
        <v>6062</v>
      </c>
      <c r="C113" t="s">
        <v>11200</v>
      </c>
      <c r="D113" t="s">
        <v>2148</v>
      </c>
      <c r="E113" t="s">
        <v>1751</v>
      </c>
      <c r="F113" t="s">
        <v>5717</v>
      </c>
      <c r="G113" t="s">
        <v>5718</v>
      </c>
      <c r="H113" s="606" t="s">
        <v>6102</v>
      </c>
      <c r="I113" s="605">
        <v>46105</v>
      </c>
      <c r="J113" s="605"/>
      <c r="K113" t="s">
        <v>6062</v>
      </c>
      <c r="L113" s="603">
        <v>6254.32</v>
      </c>
      <c r="M113" s="603">
        <v>750</v>
      </c>
      <c r="N113" s="603">
        <f t="shared" si="15"/>
        <v>5504.32</v>
      </c>
      <c r="O113" s="604">
        <f t="shared" si="16"/>
        <v>0.11991711329129306</v>
      </c>
      <c r="P113" s="603">
        <v>750</v>
      </c>
      <c r="R113" t="b">
        <v>0</v>
      </c>
      <c r="S113" t="b">
        <v>0</v>
      </c>
      <c r="T113">
        <f t="shared" si="17"/>
        <v>60</v>
      </c>
      <c r="U113" s="605">
        <v>46045</v>
      </c>
      <c r="V113" t="str">
        <f t="shared" si="18"/>
        <v>2026-01</v>
      </c>
      <c r="W113" s="603">
        <v>750</v>
      </c>
      <c r="X113" t="b">
        <v>0</v>
      </c>
      <c r="Z113" t="s">
        <v>6062</v>
      </c>
      <c r="AA113" s="606" t="s">
        <v>6066</v>
      </c>
      <c r="AB113">
        <v>16801029</v>
      </c>
    </row>
    <row r="114" spans="1:28">
      <c r="A114" s="606" t="s">
        <v>6103</v>
      </c>
      <c r="B114" t="s">
        <v>6062</v>
      </c>
      <c r="C114" t="s">
        <v>6104</v>
      </c>
      <c r="D114" t="s">
        <v>1524</v>
      </c>
      <c r="E114" t="s">
        <v>1751</v>
      </c>
      <c r="F114" t="s">
        <v>5717</v>
      </c>
      <c r="G114" t="s">
        <v>5838</v>
      </c>
      <c r="H114" s="606" t="s">
        <v>6105</v>
      </c>
      <c r="I114" s="605">
        <v>46122</v>
      </c>
      <c r="J114" s="605"/>
      <c r="K114" t="s">
        <v>6062</v>
      </c>
      <c r="L114" s="603">
        <v>3249.25</v>
      </c>
      <c r="M114" s="603">
        <v>0</v>
      </c>
      <c r="N114" s="603">
        <f t="shared" si="15"/>
        <v>3249.25</v>
      </c>
      <c r="O114" s="604">
        <f t="shared" si="16"/>
        <v>0</v>
      </c>
      <c r="P114" s="603">
        <v>750</v>
      </c>
      <c r="R114" t="b">
        <v>0</v>
      </c>
      <c r="S114" t="b">
        <v>1</v>
      </c>
      <c r="T114">
        <f t="shared" si="17"/>
        <v>57</v>
      </c>
      <c r="U114" s="605">
        <v>46065</v>
      </c>
      <c r="V114" t="str">
        <f t="shared" si="18"/>
        <v>2026-02</v>
      </c>
      <c r="W114" s="603">
        <v>750</v>
      </c>
      <c r="X114" t="b">
        <v>1</v>
      </c>
      <c r="Y114" t="s">
        <v>6106</v>
      </c>
      <c r="Z114" t="s">
        <v>6062</v>
      </c>
      <c r="AA114" s="606" t="s">
        <v>6066</v>
      </c>
      <c r="AB114">
        <v>16801032</v>
      </c>
    </row>
    <row r="115" spans="1:28">
      <c r="A115" s="606" t="s">
        <v>6107</v>
      </c>
      <c r="B115" t="s">
        <v>6062</v>
      </c>
      <c r="C115" t="s">
        <v>11191</v>
      </c>
      <c r="D115" t="s">
        <v>2173</v>
      </c>
      <c r="E115" t="s">
        <v>1751</v>
      </c>
      <c r="F115" t="s">
        <v>5717</v>
      </c>
      <c r="G115" t="s">
        <v>5718</v>
      </c>
      <c r="H115" s="606" t="s">
        <v>6108</v>
      </c>
      <c r="I115" s="605">
        <v>46105</v>
      </c>
      <c r="J115" s="605"/>
      <c r="K115" t="s">
        <v>6062</v>
      </c>
      <c r="L115" s="603">
        <v>5011.16</v>
      </c>
      <c r="M115" s="603">
        <v>750</v>
      </c>
      <c r="N115" s="603">
        <f t="shared" si="15"/>
        <v>4261.16</v>
      </c>
      <c r="O115" s="604">
        <f t="shared" si="16"/>
        <v>0.14966594560939983</v>
      </c>
      <c r="P115" s="603">
        <v>750</v>
      </c>
      <c r="R115" t="b">
        <v>0</v>
      </c>
      <c r="S115" t="b">
        <v>0</v>
      </c>
      <c r="T115">
        <f>I115-U115</f>
        <v>60</v>
      </c>
      <c r="U115" s="605">
        <v>46045</v>
      </c>
      <c r="V115" t="str">
        <f t="shared" si="18"/>
        <v>2026-01</v>
      </c>
      <c r="W115" s="603">
        <v>750</v>
      </c>
      <c r="X115" t="b">
        <v>0</v>
      </c>
      <c r="Z115" t="s">
        <v>6062</v>
      </c>
      <c r="AA115">
        <v>100139438</v>
      </c>
      <c r="AB115">
        <v>16801163</v>
      </c>
    </row>
    <row r="116" spans="1:28">
      <c r="A116" s="606" t="s">
        <v>6109</v>
      </c>
      <c r="B116" t="s">
        <v>6062</v>
      </c>
      <c r="C116" t="s">
        <v>6110</v>
      </c>
      <c r="D116" t="s">
        <v>3264</v>
      </c>
      <c r="E116" t="s">
        <v>1751</v>
      </c>
      <c r="F116" t="s">
        <v>5717</v>
      </c>
      <c r="G116" t="s">
        <v>5718</v>
      </c>
      <c r="H116" s="606" t="s">
        <v>6111</v>
      </c>
      <c r="I116" s="605">
        <v>46104</v>
      </c>
      <c r="J116" s="605"/>
      <c r="K116" t="s">
        <v>6062</v>
      </c>
      <c r="L116" s="603">
        <v>5838.37</v>
      </c>
      <c r="M116" s="603">
        <v>750</v>
      </c>
      <c r="N116" s="603">
        <f t="shared" si="15"/>
        <v>5088.37</v>
      </c>
      <c r="O116" s="604">
        <f t="shared" si="16"/>
        <v>0.12846051209498541</v>
      </c>
      <c r="P116" s="603">
        <v>750</v>
      </c>
      <c r="R116" t="b">
        <v>0</v>
      </c>
      <c r="S116" t="b">
        <v>0</v>
      </c>
      <c r="T116">
        <f t="shared" si="17"/>
        <v>59</v>
      </c>
      <c r="U116" s="605">
        <v>46045</v>
      </c>
      <c r="V116" t="str">
        <f t="shared" si="18"/>
        <v>2026-01</v>
      </c>
      <c r="W116" s="603">
        <v>750</v>
      </c>
      <c r="X116" t="b">
        <v>0</v>
      </c>
      <c r="Z116" t="s">
        <v>6062</v>
      </c>
      <c r="AA116" s="606" t="s">
        <v>6066</v>
      </c>
      <c r="AB116" s="606" t="s">
        <v>6112</v>
      </c>
    </row>
    <row r="117" spans="1:28">
      <c r="A117" s="606" t="s">
        <v>6113</v>
      </c>
      <c r="B117" t="s">
        <v>6062</v>
      </c>
      <c r="C117" t="s">
        <v>6114</v>
      </c>
      <c r="D117" t="s">
        <v>1963</v>
      </c>
      <c r="E117" t="s">
        <v>1751</v>
      </c>
      <c r="F117" t="s">
        <v>5743</v>
      </c>
      <c r="G117" t="s">
        <v>5743</v>
      </c>
      <c r="H117" s="606" t="s">
        <v>6115</v>
      </c>
      <c r="I117" s="605">
        <v>46113</v>
      </c>
      <c r="J117" s="605"/>
      <c r="K117" t="s">
        <v>6062</v>
      </c>
      <c r="L117" s="603">
        <v>3900</v>
      </c>
      <c r="M117" s="603">
        <v>0</v>
      </c>
      <c r="N117" s="603">
        <f t="shared" si="15"/>
        <v>3900</v>
      </c>
      <c r="O117" s="604">
        <f t="shared" si="16"/>
        <v>0</v>
      </c>
      <c r="P117" s="603">
        <v>750</v>
      </c>
      <c r="Q117" t="s">
        <v>6092</v>
      </c>
      <c r="R117" t="b">
        <v>0</v>
      </c>
      <c r="S117" t="b">
        <v>0</v>
      </c>
      <c r="T117">
        <f t="shared" si="17"/>
        <v>76</v>
      </c>
      <c r="U117" s="605">
        <v>46037</v>
      </c>
      <c r="V117" t="str">
        <f t="shared" si="18"/>
        <v>2026-01</v>
      </c>
      <c r="W117" s="603">
        <v>750</v>
      </c>
      <c r="X117" t="b">
        <v>0</v>
      </c>
      <c r="Z117" t="s">
        <v>6062</v>
      </c>
      <c r="AA117">
        <v>100139438</v>
      </c>
      <c r="AB117">
        <v>16801290</v>
      </c>
    </row>
    <row r="118" spans="1:28">
      <c r="A118" s="606" t="s">
        <v>6116</v>
      </c>
      <c r="B118" t="s">
        <v>6062</v>
      </c>
      <c r="C118" t="s">
        <v>6117</v>
      </c>
      <c r="D118" t="s">
        <v>2127</v>
      </c>
      <c r="E118" t="s">
        <v>1751</v>
      </c>
      <c r="F118" t="s">
        <v>5717</v>
      </c>
      <c r="G118" t="s">
        <v>5718</v>
      </c>
      <c r="H118" s="606" t="s">
        <v>6118</v>
      </c>
      <c r="I118" s="605">
        <v>46121</v>
      </c>
      <c r="J118" s="605"/>
      <c r="K118" t="s">
        <v>6062</v>
      </c>
      <c r="L118" s="603">
        <v>2724</v>
      </c>
      <c r="M118" s="603">
        <v>750</v>
      </c>
      <c r="N118" s="603">
        <f t="shared" si="15"/>
        <v>1974</v>
      </c>
      <c r="O118" s="604">
        <f t="shared" si="16"/>
        <v>0.2753303964757709</v>
      </c>
      <c r="P118" s="603">
        <v>750</v>
      </c>
      <c r="R118" t="b">
        <v>0</v>
      </c>
      <c r="S118" t="b">
        <v>0</v>
      </c>
      <c r="T118">
        <f t="shared" si="17"/>
        <v>57</v>
      </c>
      <c r="U118" s="605">
        <v>46064</v>
      </c>
      <c r="V118" t="str">
        <f t="shared" si="18"/>
        <v>2026-02</v>
      </c>
      <c r="W118" s="603">
        <v>750</v>
      </c>
      <c r="X118" t="b">
        <v>0</v>
      </c>
      <c r="Z118" t="s">
        <v>6062</v>
      </c>
      <c r="AA118">
        <v>100139438</v>
      </c>
      <c r="AB118">
        <v>16801337</v>
      </c>
    </row>
    <row r="119" spans="1:28">
      <c r="A119" s="606" t="s">
        <v>6119</v>
      </c>
      <c r="B119" t="s">
        <v>6062</v>
      </c>
      <c r="C119" t="s">
        <v>6120</v>
      </c>
      <c r="D119" t="s">
        <v>2146</v>
      </c>
      <c r="E119" t="s">
        <v>1751</v>
      </c>
      <c r="F119" t="s">
        <v>5717</v>
      </c>
      <c r="G119" t="s">
        <v>5718</v>
      </c>
      <c r="H119" s="606" t="s">
        <v>6121</v>
      </c>
      <c r="I119" s="605">
        <v>46105</v>
      </c>
      <c r="J119" s="605"/>
      <c r="K119" t="s">
        <v>6062</v>
      </c>
      <c r="L119" s="603">
        <v>6191.77</v>
      </c>
      <c r="M119" s="603">
        <v>750</v>
      </c>
      <c r="N119" s="603">
        <f t="shared" si="15"/>
        <v>5441.77</v>
      </c>
      <c r="O119" s="604">
        <f t="shared" si="16"/>
        <v>0.12112853029101532</v>
      </c>
      <c r="P119" s="603">
        <v>750</v>
      </c>
      <c r="R119" t="b">
        <v>0</v>
      </c>
      <c r="S119" t="b">
        <v>0</v>
      </c>
      <c r="T119">
        <f t="shared" si="17"/>
        <v>60</v>
      </c>
      <c r="U119" s="605">
        <v>46045</v>
      </c>
      <c r="V119" t="str">
        <f t="shared" si="18"/>
        <v>2026-01</v>
      </c>
      <c r="W119" s="603">
        <v>750</v>
      </c>
      <c r="X119" t="b">
        <v>0</v>
      </c>
      <c r="Z119" t="s">
        <v>6062</v>
      </c>
      <c r="AA119">
        <v>100139438</v>
      </c>
      <c r="AB119">
        <v>16801340</v>
      </c>
    </row>
    <row r="120" spans="1:28">
      <c r="A120" s="606" t="s">
        <v>6122</v>
      </c>
      <c r="B120" t="s">
        <v>6062</v>
      </c>
      <c r="C120" t="s">
        <v>6123</v>
      </c>
      <c r="D120" t="s">
        <v>1965</v>
      </c>
      <c r="E120" t="s">
        <v>1751</v>
      </c>
      <c r="F120" t="s">
        <v>5717</v>
      </c>
      <c r="G120" t="s">
        <v>5718</v>
      </c>
      <c r="H120" s="606" t="s">
        <v>6124</v>
      </c>
      <c r="I120" s="605">
        <v>46122</v>
      </c>
      <c r="J120" s="605"/>
      <c r="K120" t="s">
        <v>6062</v>
      </c>
      <c r="L120" s="603">
        <v>3243</v>
      </c>
      <c r="M120" s="603">
        <v>750</v>
      </c>
      <c r="N120" s="603">
        <f t="shared" si="15"/>
        <v>2493</v>
      </c>
      <c r="O120" s="604">
        <f t="shared" si="16"/>
        <v>0.23126734505087881</v>
      </c>
      <c r="P120" s="603">
        <v>750</v>
      </c>
      <c r="R120" t="b">
        <v>0</v>
      </c>
      <c r="S120" t="b">
        <v>0</v>
      </c>
      <c r="T120">
        <f t="shared" si="17"/>
        <v>58</v>
      </c>
      <c r="U120" s="605">
        <v>46064</v>
      </c>
      <c r="V120" t="str">
        <f t="shared" si="18"/>
        <v>2026-02</v>
      </c>
      <c r="W120" s="603">
        <v>750</v>
      </c>
      <c r="X120" t="b">
        <v>0</v>
      </c>
      <c r="Z120" t="s">
        <v>6062</v>
      </c>
      <c r="AA120">
        <v>100139438</v>
      </c>
      <c r="AB120">
        <v>16801342</v>
      </c>
    </row>
    <row r="121" spans="1:28">
      <c r="A121" s="606" t="s">
        <v>6125</v>
      </c>
      <c r="B121" t="s">
        <v>6062</v>
      </c>
      <c r="C121" t="s">
        <v>6126</v>
      </c>
      <c r="D121" t="s">
        <v>6127</v>
      </c>
      <c r="E121" t="s">
        <v>1751</v>
      </c>
      <c r="F121" t="s">
        <v>5717</v>
      </c>
      <c r="G121" t="s">
        <v>5718</v>
      </c>
      <c r="H121" s="606" t="s">
        <v>6128</v>
      </c>
      <c r="I121" s="605">
        <v>46113</v>
      </c>
      <c r="J121" s="605"/>
      <c r="K121" t="s">
        <v>6062</v>
      </c>
      <c r="L121" s="603">
        <v>1272.22</v>
      </c>
      <c r="M121" s="603">
        <v>750</v>
      </c>
      <c r="N121" s="603">
        <f t="shared" si="15"/>
        <v>522.22</v>
      </c>
      <c r="O121" s="604">
        <f t="shared" si="16"/>
        <v>0.5895206803854679</v>
      </c>
      <c r="P121" s="603">
        <v>750</v>
      </c>
      <c r="R121" t="b">
        <v>0</v>
      </c>
      <c r="S121" t="b">
        <v>0</v>
      </c>
      <c r="T121">
        <f t="shared" si="17"/>
        <v>60</v>
      </c>
      <c r="U121" s="605">
        <v>46053</v>
      </c>
      <c r="V121" t="str">
        <f t="shared" si="18"/>
        <v>2026-01</v>
      </c>
      <c r="W121" s="603">
        <v>750</v>
      </c>
      <c r="X121" t="b">
        <v>0</v>
      </c>
      <c r="Z121" t="s">
        <v>6062</v>
      </c>
      <c r="AA121">
        <v>100139438</v>
      </c>
      <c r="AB121">
        <v>16801402</v>
      </c>
    </row>
    <row r="122" spans="1:28">
      <c r="A122" s="606" t="s">
        <v>6129</v>
      </c>
      <c r="B122" t="s">
        <v>6062</v>
      </c>
      <c r="C122" t="s">
        <v>11180</v>
      </c>
      <c r="D122" t="s">
        <v>2176</v>
      </c>
      <c r="E122" t="s">
        <v>1751</v>
      </c>
      <c r="F122" t="s">
        <v>5717</v>
      </c>
      <c r="G122" t="s">
        <v>5718</v>
      </c>
      <c r="H122" s="606" t="s">
        <v>6130</v>
      </c>
      <c r="I122" s="605">
        <v>46086</v>
      </c>
      <c r="J122" s="605"/>
      <c r="K122" t="s">
        <v>6062</v>
      </c>
      <c r="L122" s="603">
        <v>1372</v>
      </c>
      <c r="M122" s="603">
        <v>750</v>
      </c>
      <c r="N122" s="603">
        <f t="shared" si="15"/>
        <v>622</v>
      </c>
      <c r="O122" s="604">
        <f t="shared" si="16"/>
        <v>0.54664723032069973</v>
      </c>
      <c r="P122" s="603">
        <v>750</v>
      </c>
      <c r="R122" t="b">
        <v>0</v>
      </c>
      <c r="S122" t="b">
        <v>0</v>
      </c>
      <c r="T122">
        <f>I122-U122</f>
        <v>56</v>
      </c>
      <c r="U122" s="605">
        <v>46030</v>
      </c>
      <c r="V122" t="str">
        <f t="shared" si="18"/>
        <v>2026-01</v>
      </c>
      <c r="W122" s="603">
        <v>750</v>
      </c>
      <c r="X122" t="b">
        <v>0</v>
      </c>
      <c r="Z122" t="s">
        <v>6062</v>
      </c>
      <c r="AA122">
        <v>100139438</v>
      </c>
      <c r="AB122">
        <v>16801409</v>
      </c>
    </row>
    <row r="123" spans="1:28">
      <c r="A123" s="606" t="s">
        <v>6131</v>
      </c>
      <c r="B123" t="s">
        <v>6062</v>
      </c>
      <c r="C123" t="s">
        <v>6132</v>
      </c>
      <c r="D123" t="s">
        <v>1534</v>
      </c>
      <c r="E123" t="s">
        <v>1751</v>
      </c>
      <c r="F123" t="s">
        <v>5717</v>
      </c>
      <c r="G123" t="s">
        <v>5789</v>
      </c>
      <c r="H123" s="606" t="s">
        <v>6133</v>
      </c>
      <c r="I123" s="605">
        <v>46126</v>
      </c>
      <c r="J123" s="605"/>
      <c r="K123" t="s">
        <v>6062</v>
      </c>
      <c r="L123" s="603">
        <v>2311</v>
      </c>
      <c r="M123" s="603">
        <v>387</v>
      </c>
      <c r="N123" s="603">
        <f t="shared" si="15"/>
        <v>1924</v>
      </c>
      <c r="O123" s="604">
        <f t="shared" si="16"/>
        <v>0.16745997403721333</v>
      </c>
      <c r="P123" s="603">
        <v>750</v>
      </c>
      <c r="R123" t="b">
        <v>0</v>
      </c>
      <c r="S123" t="b">
        <v>1</v>
      </c>
      <c r="T123">
        <f t="shared" si="17"/>
        <v>57</v>
      </c>
      <c r="U123" s="605">
        <v>46069</v>
      </c>
      <c r="V123" t="str">
        <f t="shared" si="18"/>
        <v>2026-02</v>
      </c>
      <c r="W123" s="603">
        <v>750</v>
      </c>
      <c r="X123" t="b">
        <v>1</v>
      </c>
      <c r="Y123" t="s">
        <v>6134</v>
      </c>
      <c r="Z123" t="s">
        <v>6062</v>
      </c>
      <c r="AA123">
        <v>100139438</v>
      </c>
      <c r="AB123">
        <v>16801631</v>
      </c>
    </row>
    <row r="124" spans="1:28">
      <c r="A124" s="606" t="s">
        <v>6135</v>
      </c>
      <c r="B124" t="s">
        <v>6062</v>
      </c>
      <c r="C124" t="s">
        <v>6136</v>
      </c>
      <c r="D124" t="s">
        <v>2405</v>
      </c>
      <c r="E124" t="s">
        <v>1751</v>
      </c>
      <c r="F124" t="s">
        <v>5717</v>
      </c>
      <c r="G124" t="s">
        <v>5726</v>
      </c>
      <c r="H124" s="606" t="s">
        <v>6137</v>
      </c>
      <c r="I124" s="605">
        <v>46105</v>
      </c>
      <c r="J124" s="605"/>
      <c r="K124" t="s">
        <v>6062</v>
      </c>
      <c r="L124" s="603">
        <v>955</v>
      </c>
      <c r="M124" s="603">
        <v>0</v>
      </c>
      <c r="N124" s="603">
        <f t="shared" si="15"/>
        <v>955</v>
      </c>
      <c r="O124" s="604">
        <f t="shared" si="16"/>
        <v>0</v>
      </c>
      <c r="P124" s="603">
        <v>750</v>
      </c>
      <c r="R124" t="b">
        <v>0</v>
      </c>
      <c r="S124" t="b">
        <v>1</v>
      </c>
      <c r="T124">
        <f t="shared" si="17"/>
        <v>60</v>
      </c>
      <c r="U124" s="605">
        <v>46045</v>
      </c>
      <c r="V124" t="str">
        <f t="shared" si="18"/>
        <v>2026-01</v>
      </c>
      <c r="W124" s="603">
        <v>750</v>
      </c>
      <c r="X124" t="b">
        <v>1</v>
      </c>
      <c r="Y124" t="s">
        <v>6138</v>
      </c>
      <c r="Z124" t="s">
        <v>6062</v>
      </c>
      <c r="AA124">
        <v>100139438</v>
      </c>
      <c r="AB124">
        <v>16801281</v>
      </c>
    </row>
    <row r="125" spans="1:28">
      <c r="A125" s="606" t="s">
        <v>6139</v>
      </c>
      <c r="B125" t="s">
        <v>6062</v>
      </c>
      <c r="C125" t="s">
        <v>6140</v>
      </c>
      <c r="D125" t="s">
        <v>1529</v>
      </c>
      <c r="E125" t="s">
        <v>1751</v>
      </c>
      <c r="F125" t="s">
        <v>5743</v>
      </c>
      <c r="G125" t="s">
        <v>5743</v>
      </c>
      <c r="H125" s="606" t="s">
        <v>6141</v>
      </c>
      <c r="I125" s="605">
        <v>46126</v>
      </c>
      <c r="J125" s="605"/>
      <c r="K125" t="s">
        <v>6062</v>
      </c>
      <c r="L125" s="603">
        <v>4188</v>
      </c>
      <c r="M125" s="603">
        <v>0</v>
      </c>
      <c r="N125" s="603">
        <f t="shared" si="15"/>
        <v>4188</v>
      </c>
      <c r="O125" s="604">
        <f t="shared" si="16"/>
        <v>0</v>
      </c>
      <c r="P125" s="603">
        <v>750</v>
      </c>
      <c r="Q125" t="s">
        <v>5745</v>
      </c>
      <c r="R125" t="b">
        <v>0</v>
      </c>
      <c r="S125" t="b">
        <v>0</v>
      </c>
      <c r="T125">
        <f t="shared" si="17"/>
        <v>48</v>
      </c>
      <c r="U125" s="605">
        <v>46078</v>
      </c>
      <c r="V125" t="str">
        <f t="shared" si="18"/>
        <v>2026-02</v>
      </c>
      <c r="W125" s="603">
        <v>750</v>
      </c>
      <c r="X125" t="b">
        <v>0</v>
      </c>
      <c r="Z125" t="s">
        <v>6062</v>
      </c>
      <c r="AA125">
        <v>100139438</v>
      </c>
      <c r="AB125">
        <v>16801277</v>
      </c>
    </row>
    <row r="126" spans="1:28">
      <c r="A126" s="606" t="s">
        <v>6142</v>
      </c>
      <c r="B126" t="s">
        <v>6062</v>
      </c>
      <c r="C126" t="s">
        <v>11186</v>
      </c>
      <c r="D126" t="s">
        <v>1537</v>
      </c>
      <c r="E126" t="s">
        <v>1751</v>
      </c>
      <c r="F126" t="s">
        <v>5717</v>
      </c>
      <c r="G126" t="s">
        <v>5718</v>
      </c>
      <c r="H126" s="606" t="s">
        <v>6143</v>
      </c>
      <c r="I126" s="605">
        <v>46126</v>
      </c>
      <c r="J126" s="605"/>
      <c r="K126" t="s">
        <v>6062</v>
      </c>
      <c r="L126" s="603">
        <v>2032</v>
      </c>
      <c r="M126" s="603">
        <v>750</v>
      </c>
      <c r="N126" s="603">
        <f t="shared" si="15"/>
        <v>1282</v>
      </c>
      <c r="O126" s="604">
        <f t="shared" si="16"/>
        <v>0.36909448818897639</v>
      </c>
      <c r="P126" s="603">
        <v>750</v>
      </c>
      <c r="R126" t="b">
        <v>0</v>
      </c>
      <c r="S126" t="b">
        <v>0</v>
      </c>
      <c r="T126">
        <f>I126-U126</f>
        <v>55</v>
      </c>
      <c r="U126" s="605">
        <v>46071</v>
      </c>
      <c r="V126" t="str">
        <f t="shared" si="18"/>
        <v>2026-02</v>
      </c>
      <c r="W126" s="603">
        <v>750</v>
      </c>
      <c r="X126" t="b">
        <v>0</v>
      </c>
      <c r="Z126" t="s">
        <v>6062</v>
      </c>
      <c r="AA126">
        <v>100139438</v>
      </c>
      <c r="AB126">
        <v>16801223</v>
      </c>
    </row>
    <row r="127" spans="1:28">
      <c r="A127" s="606" t="s">
        <v>6144</v>
      </c>
      <c r="B127" t="s">
        <v>6062</v>
      </c>
      <c r="C127" t="s">
        <v>11190</v>
      </c>
      <c r="D127" t="s">
        <v>1527</v>
      </c>
      <c r="E127" t="s">
        <v>1751</v>
      </c>
      <c r="F127" t="s">
        <v>5743</v>
      </c>
      <c r="G127" t="s">
        <v>5743</v>
      </c>
      <c r="H127" s="606" t="s">
        <v>6145</v>
      </c>
      <c r="I127" s="605">
        <v>46126</v>
      </c>
      <c r="J127" s="605"/>
      <c r="K127" t="s">
        <v>6062</v>
      </c>
      <c r="L127" s="603">
        <v>3564.25</v>
      </c>
      <c r="M127" s="603">
        <v>0</v>
      </c>
      <c r="N127" s="603">
        <f t="shared" si="15"/>
        <v>3564.25</v>
      </c>
      <c r="O127" s="604">
        <f t="shared" si="16"/>
        <v>0</v>
      </c>
      <c r="P127" s="603">
        <v>750</v>
      </c>
      <c r="Q127" t="s">
        <v>5745</v>
      </c>
      <c r="R127" t="b">
        <v>0</v>
      </c>
      <c r="S127" t="b">
        <v>0</v>
      </c>
      <c r="T127">
        <f>I127-U127</f>
        <v>48</v>
      </c>
      <c r="U127" s="605">
        <v>46078</v>
      </c>
      <c r="V127" t="str">
        <f t="shared" si="18"/>
        <v>2026-02</v>
      </c>
      <c r="W127" s="603">
        <v>750</v>
      </c>
      <c r="X127" t="b">
        <v>0</v>
      </c>
      <c r="Z127" t="s">
        <v>6062</v>
      </c>
      <c r="AA127">
        <v>100139438</v>
      </c>
      <c r="AB127">
        <v>16801164</v>
      </c>
    </row>
    <row r="128" spans="1:28">
      <c r="A128" s="606" t="s">
        <v>6146</v>
      </c>
      <c r="B128" t="s">
        <v>6062</v>
      </c>
      <c r="C128" t="s">
        <v>11192</v>
      </c>
      <c r="D128" t="s">
        <v>1536</v>
      </c>
      <c r="E128" t="s">
        <v>1751</v>
      </c>
      <c r="F128" t="s">
        <v>5717</v>
      </c>
      <c r="G128" t="s">
        <v>5718</v>
      </c>
      <c r="H128" s="606" t="s">
        <v>6147</v>
      </c>
      <c r="I128" s="605">
        <v>46134</v>
      </c>
      <c r="J128" s="605"/>
      <c r="K128" t="s">
        <v>6062</v>
      </c>
      <c r="L128" s="603">
        <v>2384.71</v>
      </c>
      <c r="M128" s="603">
        <v>750</v>
      </c>
      <c r="N128" s="603">
        <f t="shared" si="15"/>
        <v>1634.71</v>
      </c>
      <c r="O128" s="604">
        <f t="shared" si="16"/>
        <v>0.31450365033903493</v>
      </c>
      <c r="P128" s="603">
        <v>750</v>
      </c>
      <c r="R128" t="b">
        <v>0</v>
      </c>
      <c r="S128" t="b">
        <v>0</v>
      </c>
      <c r="T128">
        <f t="shared" si="17"/>
        <v>53</v>
      </c>
      <c r="U128" s="605">
        <v>46081</v>
      </c>
      <c r="V128" t="str">
        <f t="shared" si="18"/>
        <v>2026-02</v>
      </c>
      <c r="W128" s="603">
        <v>750</v>
      </c>
      <c r="X128" t="b">
        <v>0</v>
      </c>
      <c r="Z128" t="s">
        <v>6062</v>
      </c>
      <c r="AA128">
        <v>100139438</v>
      </c>
      <c r="AB128">
        <v>16801115</v>
      </c>
    </row>
    <row r="129" spans="1:28">
      <c r="A129" s="606" t="s">
        <v>6148</v>
      </c>
      <c r="B129" t="s">
        <v>6062</v>
      </c>
      <c r="C129" t="s">
        <v>11194</v>
      </c>
      <c r="D129" t="s">
        <v>1541</v>
      </c>
      <c r="E129" t="s">
        <v>1751</v>
      </c>
      <c r="F129" t="s">
        <v>5717</v>
      </c>
      <c r="G129" t="s">
        <v>5718</v>
      </c>
      <c r="H129" s="606" t="s">
        <v>6149</v>
      </c>
      <c r="I129" s="605">
        <v>46126</v>
      </c>
      <c r="J129" s="605"/>
      <c r="K129" t="s">
        <v>6062</v>
      </c>
      <c r="L129" s="603">
        <v>1960</v>
      </c>
      <c r="M129" s="603">
        <v>750</v>
      </c>
      <c r="N129" s="603">
        <f t="shared" si="15"/>
        <v>1210</v>
      </c>
      <c r="O129" s="604">
        <f t="shared" si="16"/>
        <v>0.38265306122448978</v>
      </c>
      <c r="P129" s="603">
        <v>750</v>
      </c>
      <c r="R129" t="b">
        <v>0</v>
      </c>
      <c r="S129" t="b">
        <v>0</v>
      </c>
      <c r="T129">
        <f>I129-U129</f>
        <v>46</v>
      </c>
      <c r="U129" s="605">
        <v>46080</v>
      </c>
      <c r="V129" t="str">
        <f t="shared" si="18"/>
        <v>2026-02</v>
      </c>
      <c r="W129" s="603">
        <v>750</v>
      </c>
      <c r="X129" t="b">
        <v>0</v>
      </c>
      <c r="Z129" t="s">
        <v>6062</v>
      </c>
      <c r="AA129">
        <v>100139438</v>
      </c>
      <c r="AB129">
        <v>16801103</v>
      </c>
    </row>
    <row r="130" spans="1:28">
      <c r="A130" s="606" t="s">
        <v>6150</v>
      </c>
      <c r="B130" t="s">
        <v>6062</v>
      </c>
      <c r="C130" t="s">
        <v>6151</v>
      </c>
      <c r="D130" t="s">
        <v>1519</v>
      </c>
      <c r="E130" t="s">
        <v>1751</v>
      </c>
      <c r="F130" t="s">
        <v>5717</v>
      </c>
      <c r="G130" t="s">
        <v>5718</v>
      </c>
      <c r="H130" s="606" t="s">
        <v>6152</v>
      </c>
      <c r="I130" s="605">
        <v>46126</v>
      </c>
      <c r="J130" s="605"/>
      <c r="K130" t="s">
        <v>6062</v>
      </c>
      <c r="L130" s="603">
        <v>3142</v>
      </c>
      <c r="M130" s="603">
        <v>750</v>
      </c>
      <c r="N130" s="603">
        <f t="shared" si="15"/>
        <v>2392</v>
      </c>
      <c r="O130" s="604">
        <f t="shared" si="16"/>
        <v>0.23870146403564607</v>
      </c>
      <c r="P130" s="603">
        <v>750</v>
      </c>
      <c r="R130" t="b">
        <v>0</v>
      </c>
      <c r="S130" t="b">
        <v>0</v>
      </c>
      <c r="T130">
        <f t="shared" si="17"/>
        <v>60</v>
      </c>
      <c r="U130" s="605">
        <v>46066</v>
      </c>
      <c r="V130" t="str">
        <f t="shared" si="18"/>
        <v>2026-02</v>
      </c>
      <c r="W130" s="603">
        <v>750</v>
      </c>
      <c r="X130" t="b">
        <v>0</v>
      </c>
      <c r="Z130" t="s">
        <v>6062</v>
      </c>
      <c r="AA130">
        <v>100139438</v>
      </c>
      <c r="AB130">
        <v>16801096</v>
      </c>
    </row>
    <row r="131" spans="1:28">
      <c r="A131" s="606" t="s">
        <v>6153</v>
      </c>
      <c r="B131" t="s">
        <v>6062</v>
      </c>
      <c r="C131" t="s">
        <v>6154</v>
      </c>
      <c r="D131" t="s">
        <v>1538</v>
      </c>
      <c r="E131" t="s">
        <v>1751</v>
      </c>
      <c r="F131" t="s">
        <v>5717</v>
      </c>
      <c r="G131" t="s">
        <v>5718</v>
      </c>
      <c r="H131" s="606" t="s">
        <v>6155</v>
      </c>
      <c r="I131" s="605">
        <v>46126</v>
      </c>
      <c r="J131" s="605"/>
      <c r="K131" t="s">
        <v>6062</v>
      </c>
      <c r="L131" s="603">
        <v>1954</v>
      </c>
      <c r="M131" s="603">
        <v>750</v>
      </c>
      <c r="N131" s="603">
        <f t="shared" si="15"/>
        <v>1204</v>
      </c>
      <c r="O131" s="604">
        <f t="shared" si="16"/>
        <v>0.38382804503582396</v>
      </c>
      <c r="P131" s="603">
        <v>750</v>
      </c>
      <c r="R131" t="b">
        <v>0</v>
      </c>
      <c r="S131" t="b">
        <v>0</v>
      </c>
      <c r="T131">
        <f t="shared" si="17"/>
        <v>50</v>
      </c>
      <c r="U131" s="605">
        <v>46076</v>
      </c>
      <c r="V131" t="str">
        <f t="shared" si="18"/>
        <v>2026-02</v>
      </c>
      <c r="W131" s="603">
        <v>750</v>
      </c>
      <c r="X131" t="b">
        <v>0</v>
      </c>
      <c r="Z131" t="s">
        <v>6062</v>
      </c>
      <c r="AA131">
        <v>100139438</v>
      </c>
      <c r="AB131">
        <v>16801048</v>
      </c>
    </row>
    <row r="132" spans="1:28">
      <c r="A132" s="606" t="s">
        <v>6156</v>
      </c>
      <c r="B132" t="s">
        <v>6062</v>
      </c>
      <c r="C132" t="s">
        <v>6157</v>
      </c>
      <c r="D132" t="s">
        <v>2184</v>
      </c>
      <c r="E132" t="s">
        <v>1751</v>
      </c>
      <c r="F132" t="s">
        <v>5717</v>
      </c>
      <c r="H132" s="606" t="s">
        <v>6158</v>
      </c>
      <c r="I132" s="605">
        <v>46062</v>
      </c>
      <c r="J132" s="605"/>
      <c r="K132" t="s">
        <v>6062</v>
      </c>
      <c r="L132" s="603">
        <v>801</v>
      </c>
      <c r="M132" s="603">
        <v>602.71</v>
      </c>
      <c r="N132" s="603">
        <f t="shared" si="15"/>
        <v>198.28999999999996</v>
      </c>
      <c r="O132" s="604">
        <f t="shared" si="16"/>
        <v>0.75244694132334589</v>
      </c>
      <c r="P132" s="603">
        <v>750</v>
      </c>
      <c r="R132" t="b">
        <v>1</v>
      </c>
      <c r="S132" t="b">
        <v>0</v>
      </c>
      <c r="T132">
        <f t="shared" si="17"/>
        <v>53</v>
      </c>
      <c r="U132" s="605">
        <v>46009</v>
      </c>
      <c r="V132" t="str">
        <f t="shared" si="18"/>
        <v>2025-12</v>
      </c>
      <c r="W132" s="603">
        <v>750</v>
      </c>
      <c r="X132" t="b">
        <v>0</v>
      </c>
      <c r="Z132" t="s">
        <v>6062</v>
      </c>
      <c r="AA132">
        <v>100139438</v>
      </c>
      <c r="AB132">
        <v>16800950</v>
      </c>
    </row>
    <row r="133" spans="1:28">
      <c r="A133" s="606" t="s">
        <v>6159</v>
      </c>
      <c r="B133" t="s">
        <v>6062</v>
      </c>
      <c r="C133" t="s">
        <v>11199</v>
      </c>
      <c r="D133" t="s">
        <v>1547</v>
      </c>
      <c r="E133" t="s">
        <v>1751</v>
      </c>
      <c r="F133" t="s">
        <v>5717</v>
      </c>
      <c r="H133" s="606" t="s">
        <v>6160</v>
      </c>
      <c r="I133" s="605">
        <v>46114</v>
      </c>
      <c r="J133" s="605"/>
      <c r="K133" t="s">
        <v>6062</v>
      </c>
      <c r="L133" s="603">
        <v>313</v>
      </c>
      <c r="M133" s="603">
        <v>312.5</v>
      </c>
      <c r="N133" s="603">
        <f t="shared" ref="N133:N164" si="19">L133-M133</f>
        <v>0.5</v>
      </c>
      <c r="O133" s="604">
        <f t="shared" ref="O133:O164" si="20">IF(L133=0,"",M133/L133)</f>
        <v>0.99840255591054317</v>
      </c>
      <c r="P133" s="603">
        <v>750</v>
      </c>
      <c r="R133" t="b">
        <v>0</v>
      </c>
      <c r="S133" t="b">
        <v>0</v>
      </c>
      <c r="T133">
        <f t="shared" ref="T133:T164" si="21">I133-U133</f>
        <v>54</v>
      </c>
      <c r="U133" s="605">
        <v>46060</v>
      </c>
      <c r="V133" t="str">
        <f t="shared" ref="V133:V164" si="22">TEXT(U133,"YYYY-MM")</f>
        <v>2026-02</v>
      </c>
      <c r="W133" s="603">
        <v>313</v>
      </c>
      <c r="X133" t="b">
        <v>0</v>
      </c>
      <c r="Z133" t="s">
        <v>6062</v>
      </c>
      <c r="AA133">
        <v>100139438</v>
      </c>
      <c r="AB133">
        <v>16801042</v>
      </c>
    </row>
    <row r="134" spans="1:28">
      <c r="A134" s="606" t="s">
        <v>6161</v>
      </c>
      <c r="B134" t="s">
        <v>6062</v>
      </c>
      <c r="C134" t="s">
        <v>6162</v>
      </c>
      <c r="D134" t="s">
        <v>1220</v>
      </c>
      <c r="E134" t="s">
        <v>1751</v>
      </c>
      <c r="F134" t="s">
        <v>5717</v>
      </c>
      <c r="H134" s="606" t="s">
        <v>6163</v>
      </c>
      <c r="I134" s="605">
        <v>46113</v>
      </c>
      <c r="J134" s="605"/>
      <c r="K134" t="s">
        <v>6062</v>
      </c>
      <c r="L134" s="603">
        <v>90</v>
      </c>
      <c r="M134" s="603">
        <v>89.64</v>
      </c>
      <c r="N134" s="603">
        <f t="shared" si="19"/>
        <v>0.35999999999999943</v>
      </c>
      <c r="O134" s="604">
        <f t="shared" si="20"/>
        <v>0.996</v>
      </c>
      <c r="P134" s="603">
        <v>750</v>
      </c>
      <c r="R134" t="b">
        <v>0</v>
      </c>
      <c r="S134" t="b">
        <v>0</v>
      </c>
      <c r="T134">
        <f t="shared" si="21"/>
        <v>58</v>
      </c>
      <c r="U134" s="605">
        <v>46055</v>
      </c>
      <c r="V134" t="str">
        <f t="shared" si="22"/>
        <v>2026-02</v>
      </c>
      <c r="W134" s="603">
        <v>90</v>
      </c>
      <c r="X134" t="b">
        <v>0</v>
      </c>
      <c r="Z134" t="s">
        <v>6062</v>
      </c>
      <c r="AA134">
        <v>100139438</v>
      </c>
      <c r="AB134">
        <v>16801108</v>
      </c>
    </row>
    <row r="135" spans="1:28">
      <c r="A135" s="606" t="s">
        <v>6164</v>
      </c>
      <c r="B135" t="s">
        <v>6062</v>
      </c>
      <c r="C135" t="s">
        <v>11187</v>
      </c>
      <c r="D135" t="s">
        <v>1546</v>
      </c>
      <c r="E135" t="s">
        <v>1751</v>
      </c>
      <c r="F135" t="s">
        <v>5717</v>
      </c>
      <c r="H135" s="606" t="s">
        <v>6165</v>
      </c>
      <c r="I135" s="605">
        <v>46113</v>
      </c>
      <c r="J135" s="605"/>
      <c r="K135" t="s">
        <v>6062</v>
      </c>
      <c r="L135" s="603">
        <v>712.28</v>
      </c>
      <c r="M135" s="603">
        <v>712.28</v>
      </c>
      <c r="N135" s="603">
        <f t="shared" si="19"/>
        <v>0</v>
      </c>
      <c r="O135" s="604">
        <f t="shared" si="20"/>
        <v>1</v>
      </c>
      <c r="P135" s="603">
        <v>750</v>
      </c>
      <c r="R135" t="b">
        <v>0</v>
      </c>
      <c r="S135" t="b">
        <v>0</v>
      </c>
      <c r="T135">
        <f t="shared" si="21"/>
        <v>58</v>
      </c>
      <c r="U135" s="605">
        <v>46055</v>
      </c>
      <c r="V135" t="str">
        <f t="shared" si="22"/>
        <v>2026-02</v>
      </c>
      <c r="W135" s="603">
        <v>712.28</v>
      </c>
      <c r="X135" t="b">
        <v>0</v>
      </c>
      <c r="Z135" t="s">
        <v>6062</v>
      </c>
      <c r="AA135">
        <v>100139438</v>
      </c>
      <c r="AB135">
        <v>16801213</v>
      </c>
    </row>
    <row r="136" spans="1:28">
      <c r="A136" s="606" t="s">
        <v>6166</v>
      </c>
      <c r="B136" t="s">
        <v>6062</v>
      </c>
      <c r="C136" t="s">
        <v>6167</v>
      </c>
      <c r="D136" t="s">
        <v>3055</v>
      </c>
      <c r="E136" t="s">
        <v>1751</v>
      </c>
      <c r="F136" t="s">
        <v>5743</v>
      </c>
      <c r="H136" s="606" t="s">
        <v>6168</v>
      </c>
      <c r="I136" s="605">
        <v>46062</v>
      </c>
      <c r="K136" t="s">
        <v>6062</v>
      </c>
      <c r="L136" s="603">
        <v>424.91</v>
      </c>
      <c r="M136" s="603">
        <v>0</v>
      </c>
      <c r="N136" s="603">
        <f t="shared" si="19"/>
        <v>424.91</v>
      </c>
      <c r="O136" s="604">
        <f t="shared" si="20"/>
        <v>0</v>
      </c>
      <c r="P136">
        <v>750</v>
      </c>
      <c r="Q136" t="s">
        <v>6169</v>
      </c>
      <c r="R136" t="b">
        <v>0</v>
      </c>
      <c r="S136" t="b">
        <v>0</v>
      </c>
      <c r="T136">
        <f t="shared" si="21"/>
        <v>55</v>
      </c>
      <c r="U136" s="605">
        <v>46007</v>
      </c>
      <c r="V136" t="str">
        <f t="shared" si="22"/>
        <v>2025-12</v>
      </c>
      <c r="W136" s="603">
        <v>424.91</v>
      </c>
      <c r="X136" t="b">
        <v>0</v>
      </c>
      <c r="Z136" t="s">
        <v>6062</v>
      </c>
      <c r="AA136">
        <v>100139438</v>
      </c>
      <c r="AB136">
        <v>16800975</v>
      </c>
    </row>
    <row r="137" spans="1:28">
      <c r="A137" s="606" t="s">
        <v>6170</v>
      </c>
      <c r="B137" t="s">
        <v>6062</v>
      </c>
      <c r="C137" t="s">
        <v>6171</v>
      </c>
      <c r="D137" t="s">
        <v>1834</v>
      </c>
      <c r="E137" t="s">
        <v>1751</v>
      </c>
      <c r="F137" t="s">
        <v>5743</v>
      </c>
      <c r="H137" s="606" t="s">
        <v>6172</v>
      </c>
      <c r="I137" s="605">
        <v>46104</v>
      </c>
      <c r="K137" t="s">
        <v>6062</v>
      </c>
      <c r="L137" s="603">
        <v>1028.5</v>
      </c>
      <c r="M137" s="603">
        <v>0</v>
      </c>
      <c r="N137" s="603">
        <f t="shared" si="19"/>
        <v>1028.5</v>
      </c>
      <c r="O137" s="604">
        <f t="shared" si="20"/>
        <v>0</v>
      </c>
      <c r="P137">
        <v>1000</v>
      </c>
      <c r="Q137" t="s">
        <v>5745</v>
      </c>
      <c r="R137" t="b">
        <v>0</v>
      </c>
      <c r="S137" t="b">
        <v>0</v>
      </c>
      <c r="T137">
        <f t="shared" si="21"/>
        <v>59</v>
      </c>
      <c r="U137" s="605">
        <v>46045</v>
      </c>
      <c r="V137" t="str">
        <f t="shared" si="22"/>
        <v>2026-01</v>
      </c>
      <c r="W137" s="603">
        <v>1000</v>
      </c>
      <c r="X137" t="b">
        <v>0</v>
      </c>
      <c r="Z137" t="s">
        <v>6062</v>
      </c>
      <c r="AA137">
        <v>100139438</v>
      </c>
      <c r="AB137">
        <v>16800963</v>
      </c>
    </row>
    <row r="138" spans="1:28">
      <c r="A138" s="606" t="s">
        <v>6173</v>
      </c>
      <c r="B138" t="s">
        <v>6062</v>
      </c>
      <c r="C138" t="s">
        <v>6174</v>
      </c>
      <c r="D138" t="s">
        <v>2122</v>
      </c>
      <c r="E138" t="s">
        <v>1751</v>
      </c>
      <c r="F138" t="s">
        <v>5743</v>
      </c>
      <c r="H138" s="606" t="s">
        <v>6175</v>
      </c>
      <c r="I138" s="605">
        <v>46104</v>
      </c>
      <c r="K138" t="s">
        <v>6062</v>
      </c>
      <c r="L138" s="603">
        <v>15527.67</v>
      </c>
      <c r="M138" s="603">
        <v>0</v>
      </c>
      <c r="N138" s="603">
        <f t="shared" si="19"/>
        <v>15527.67</v>
      </c>
      <c r="O138" s="604">
        <f t="shared" si="20"/>
        <v>0</v>
      </c>
      <c r="P138">
        <v>750</v>
      </c>
      <c r="Q138" t="s">
        <v>5745</v>
      </c>
      <c r="R138" t="b">
        <v>0</v>
      </c>
      <c r="S138" t="b">
        <v>0</v>
      </c>
      <c r="T138">
        <f t="shared" si="21"/>
        <v>59</v>
      </c>
      <c r="U138" s="605">
        <v>46045</v>
      </c>
      <c r="V138" t="str">
        <f t="shared" si="22"/>
        <v>2026-01</v>
      </c>
      <c r="W138" s="603">
        <v>750</v>
      </c>
      <c r="X138" t="b">
        <v>0</v>
      </c>
      <c r="Z138" t="s">
        <v>6062</v>
      </c>
      <c r="AA138">
        <v>100139438</v>
      </c>
      <c r="AB138">
        <v>16800973</v>
      </c>
    </row>
    <row r="139" spans="1:28">
      <c r="A139" s="606" t="s">
        <v>6176</v>
      </c>
      <c r="B139" t="s">
        <v>6062</v>
      </c>
      <c r="C139" t="s">
        <v>6177</v>
      </c>
      <c r="D139" t="s">
        <v>1961</v>
      </c>
      <c r="E139" t="s">
        <v>1751</v>
      </c>
      <c r="F139" t="s">
        <v>5743</v>
      </c>
      <c r="H139" s="606" t="s">
        <v>6178</v>
      </c>
      <c r="I139" s="605">
        <v>46105</v>
      </c>
      <c r="K139" t="s">
        <v>6062</v>
      </c>
      <c r="L139" s="603">
        <v>1053</v>
      </c>
      <c r="M139" s="603">
        <v>0</v>
      </c>
      <c r="N139" s="603">
        <f t="shared" si="19"/>
        <v>1053</v>
      </c>
      <c r="O139" s="604">
        <f t="shared" si="20"/>
        <v>0</v>
      </c>
      <c r="P139">
        <v>750</v>
      </c>
      <c r="Q139" t="s">
        <v>5745</v>
      </c>
      <c r="R139" t="b">
        <v>0</v>
      </c>
      <c r="S139" t="b">
        <v>0</v>
      </c>
      <c r="T139">
        <f t="shared" si="21"/>
        <v>60</v>
      </c>
      <c r="U139" s="605">
        <v>46045</v>
      </c>
      <c r="V139" t="str">
        <f t="shared" si="22"/>
        <v>2026-01</v>
      </c>
      <c r="W139" s="603">
        <v>750</v>
      </c>
      <c r="X139" t="b">
        <v>0</v>
      </c>
      <c r="Z139" t="s">
        <v>6062</v>
      </c>
      <c r="AA139">
        <v>100139438</v>
      </c>
      <c r="AB139">
        <v>16801086</v>
      </c>
    </row>
    <row r="140" spans="1:28">
      <c r="A140" s="606" t="s">
        <v>6179</v>
      </c>
      <c r="B140" t="s">
        <v>6062</v>
      </c>
      <c r="C140" t="s">
        <v>6180</v>
      </c>
      <c r="D140" t="s">
        <v>2124</v>
      </c>
      <c r="E140" t="s">
        <v>1751</v>
      </c>
      <c r="F140" t="s">
        <v>5743</v>
      </c>
      <c r="H140" s="606" t="s">
        <v>6181</v>
      </c>
      <c r="I140" s="605">
        <v>46113</v>
      </c>
      <c r="K140" t="s">
        <v>6062</v>
      </c>
      <c r="L140" s="603">
        <v>10107.66</v>
      </c>
      <c r="M140" s="603">
        <v>0</v>
      </c>
      <c r="N140" s="603">
        <f t="shared" si="19"/>
        <v>10107.66</v>
      </c>
      <c r="O140" s="604">
        <f t="shared" si="20"/>
        <v>0</v>
      </c>
      <c r="P140">
        <v>750</v>
      </c>
      <c r="Q140" t="s">
        <v>6092</v>
      </c>
      <c r="R140" t="b">
        <v>0</v>
      </c>
      <c r="S140" t="b">
        <v>0</v>
      </c>
      <c r="T140">
        <f t="shared" si="21"/>
        <v>76</v>
      </c>
      <c r="U140" s="605">
        <v>46037</v>
      </c>
      <c r="V140" t="str">
        <f t="shared" si="22"/>
        <v>2026-01</v>
      </c>
      <c r="W140" s="603">
        <v>750</v>
      </c>
      <c r="X140" t="b">
        <v>0</v>
      </c>
      <c r="Z140" t="s">
        <v>6062</v>
      </c>
      <c r="AA140">
        <v>100139438</v>
      </c>
      <c r="AB140">
        <v>16801095</v>
      </c>
    </row>
    <row r="141" spans="1:28">
      <c r="A141" s="606" t="s">
        <v>6182</v>
      </c>
      <c r="B141" t="s">
        <v>6062</v>
      </c>
      <c r="C141" t="s">
        <v>6183</v>
      </c>
      <c r="D141" t="s">
        <v>3533</v>
      </c>
      <c r="E141" t="s">
        <v>1751</v>
      </c>
      <c r="F141" t="s">
        <v>5743</v>
      </c>
      <c r="H141" s="606" t="s">
        <v>6184</v>
      </c>
      <c r="I141" s="605">
        <v>46113</v>
      </c>
      <c r="K141" t="s">
        <v>6062</v>
      </c>
      <c r="L141" s="603">
        <v>426.83</v>
      </c>
      <c r="M141" s="603">
        <v>0</v>
      </c>
      <c r="N141" s="603">
        <f t="shared" si="19"/>
        <v>426.83</v>
      </c>
      <c r="O141" s="604">
        <f t="shared" si="20"/>
        <v>0</v>
      </c>
      <c r="P141">
        <v>750</v>
      </c>
      <c r="Q141" t="s">
        <v>6092</v>
      </c>
      <c r="R141" t="b">
        <v>0</v>
      </c>
      <c r="S141" t="b">
        <v>0</v>
      </c>
      <c r="T141">
        <f t="shared" si="21"/>
        <v>75</v>
      </c>
      <c r="U141" s="605">
        <v>46038</v>
      </c>
      <c r="V141" t="str">
        <f t="shared" si="22"/>
        <v>2026-01</v>
      </c>
      <c r="W141" s="603">
        <v>426.83</v>
      </c>
      <c r="X141" t="b">
        <v>0</v>
      </c>
      <c r="Z141" t="s">
        <v>6062</v>
      </c>
      <c r="AA141">
        <v>100139438</v>
      </c>
      <c r="AB141">
        <v>16801024</v>
      </c>
    </row>
    <row r="142" spans="1:28">
      <c r="A142" s="606" t="s">
        <v>6185</v>
      </c>
      <c r="B142" t="s">
        <v>6062</v>
      </c>
      <c r="C142" t="s">
        <v>6186</v>
      </c>
      <c r="D142" t="s">
        <v>1531</v>
      </c>
      <c r="E142" t="s">
        <v>1751</v>
      </c>
      <c r="F142" t="s">
        <v>5743</v>
      </c>
      <c r="H142" s="606" t="s">
        <v>6187</v>
      </c>
      <c r="I142" s="605">
        <v>46126</v>
      </c>
      <c r="K142" t="s">
        <v>6062</v>
      </c>
      <c r="L142" s="603">
        <v>2769</v>
      </c>
      <c r="M142" s="603">
        <v>0</v>
      </c>
      <c r="N142" s="603">
        <f t="shared" si="19"/>
        <v>2769</v>
      </c>
      <c r="O142" s="604">
        <f t="shared" si="20"/>
        <v>0</v>
      </c>
      <c r="P142">
        <v>750</v>
      </c>
      <c r="Q142" t="s">
        <v>5745</v>
      </c>
      <c r="R142" t="b">
        <v>0</v>
      </c>
      <c r="S142" t="b">
        <v>0</v>
      </c>
      <c r="T142">
        <f t="shared" si="21"/>
        <v>48</v>
      </c>
      <c r="U142" s="605">
        <v>46078</v>
      </c>
      <c r="V142" t="str">
        <f t="shared" si="22"/>
        <v>2026-02</v>
      </c>
      <c r="W142" s="603">
        <v>750</v>
      </c>
      <c r="X142" t="b">
        <v>0</v>
      </c>
      <c r="Z142" t="s">
        <v>6062</v>
      </c>
      <c r="AA142">
        <v>100139438</v>
      </c>
      <c r="AB142">
        <v>16801211</v>
      </c>
    </row>
    <row r="143" spans="1:28">
      <c r="A143" s="606" t="s">
        <v>6188</v>
      </c>
      <c r="B143" t="s">
        <v>6062</v>
      </c>
      <c r="C143" t="s">
        <v>6189</v>
      </c>
      <c r="D143" t="s">
        <v>1540</v>
      </c>
      <c r="E143" t="s">
        <v>1751</v>
      </c>
      <c r="F143" t="s">
        <v>5743</v>
      </c>
      <c r="G143" t="s">
        <v>5743</v>
      </c>
      <c r="H143" s="606" t="s">
        <v>6190</v>
      </c>
      <c r="I143" s="605">
        <v>46134</v>
      </c>
      <c r="K143" t="s">
        <v>6062</v>
      </c>
      <c r="L143" s="603">
        <v>1738</v>
      </c>
      <c r="M143" s="603">
        <v>0</v>
      </c>
      <c r="N143" s="603">
        <f t="shared" si="19"/>
        <v>1738</v>
      </c>
      <c r="O143" s="604">
        <f t="shared" si="20"/>
        <v>0</v>
      </c>
      <c r="P143">
        <v>750</v>
      </c>
      <c r="Q143" t="s">
        <v>5745</v>
      </c>
      <c r="R143" t="b">
        <v>0</v>
      </c>
      <c r="S143" t="b">
        <v>0</v>
      </c>
      <c r="T143">
        <f t="shared" si="21"/>
        <v>53</v>
      </c>
      <c r="U143" s="605">
        <v>46081</v>
      </c>
      <c r="V143" t="str">
        <f t="shared" si="22"/>
        <v>2026-02</v>
      </c>
      <c r="W143" s="603">
        <v>750</v>
      </c>
      <c r="X143" t="b">
        <v>0</v>
      </c>
      <c r="Z143" t="s">
        <v>6062</v>
      </c>
      <c r="AA143">
        <v>100139438</v>
      </c>
      <c r="AB143">
        <v>16800997</v>
      </c>
    </row>
    <row r="144" spans="1:28">
      <c r="A144" s="606" t="s">
        <v>6191</v>
      </c>
      <c r="B144" t="s">
        <v>6062</v>
      </c>
      <c r="C144" t="s">
        <v>6192</v>
      </c>
      <c r="D144" t="s">
        <v>1521</v>
      </c>
      <c r="E144" t="s">
        <v>1751</v>
      </c>
      <c r="F144" t="s">
        <v>5717</v>
      </c>
      <c r="G144" t="s">
        <v>5726</v>
      </c>
      <c r="H144" s="606" t="s">
        <v>6193</v>
      </c>
      <c r="I144" s="605">
        <v>46134</v>
      </c>
      <c r="K144" t="s">
        <v>6062</v>
      </c>
      <c r="L144" s="603">
        <v>3118</v>
      </c>
      <c r="M144" s="603">
        <v>0</v>
      </c>
      <c r="N144" s="603">
        <f t="shared" si="19"/>
        <v>3118</v>
      </c>
      <c r="O144" s="604">
        <f t="shared" si="20"/>
        <v>0</v>
      </c>
      <c r="P144">
        <v>750</v>
      </c>
      <c r="R144" t="b">
        <v>0</v>
      </c>
      <c r="S144" t="b">
        <v>1</v>
      </c>
      <c r="T144">
        <f t="shared" si="21"/>
        <v>48</v>
      </c>
      <c r="U144" s="605">
        <v>46086</v>
      </c>
      <c r="V144" t="str">
        <f t="shared" si="22"/>
        <v>2026-03</v>
      </c>
      <c r="W144" s="603">
        <v>750</v>
      </c>
      <c r="X144" t="b">
        <v>1</v>
      </c>
      <c r="Y144" t="s">
        <v>6194</v>
      </c>
      <c r="Z144" t="s">
        <v>6062</v>
      </c>
      <c r="AA144">
        <v>100139438</v>
      </c>
      <c r="AB144">
        <v>16801618</v>
      </c>
    </row>
    <row r="145" spans="1:28">
      <c r="A145" s="606" t="s">
        <v>6195</v>
      </c>
      <c r="B145" t="s">
        <v>6062</v>
      </c>
      <c r="C145" t="s">
        <v>6196</v>
      </c>
      <c r="D145" t="s">
        <v>1945</v>
      </c>
      <c r="E145" t="s">
        <v>1751</v>
      </c>
      <c r="F145" t="s">
        <v>5717</v>
      </c>
      <c r="G145" t="s">
        <v>5718</v>
      </c>
      <c r="H145" s="606" t="s">
        <v>6197</v>
      </c>
      <c r="I145" s="605">
        <v>46134</v>
      </c>
      <c r="K145" t="s">
        <v>6062</v>
      </c>
      <c r="L145" s="603">
        <v>3243</v>
      </c>
      <c r="M145" s="603">
        <v>750</v>
      </c>
      <c r="N145" s="603">
        <f t="shared" si="19"/>
        <v>2493</v>
      </c>
      <c r="O145" s="604">
        <f t="shared" si="20"/>
        <v>0.23126734505087881</v>
      </c>
      <c r="P145">
        <v>750</v>
      </c>
      <c r="R145" t="b">
        <v>0</v>
      </c>
      <c r="S145" t="b">
        <v>0</v>
      </c>
      <c r="T145">
        <f t="shared" si="21"/>
        <v>44</v>
      </c>
      <c r="U145" s="605">
        <v>46090</v>
      </c>
      <c r="V145" t="str">
        <f t="shared" si="22"/>
        <v>2026-03</v>
      </c>
      <c r="W145" s="603">
        <v>750</v>
      </c>
      <c r="X145" t="b">
        <v>0</v>
      </c>
      <c r="Z145" t="s">
        <v>6062</v>
      </c>
      <c r="AA145">
        <v>100139438</v>
      </c>
      <c r="AB145">
        <v>16801470</v>
      </c>
    </row>
    <row r="146" spans="1:28">
      <c r="A146" s="606" t="s">
        <v>6198</v>
      </c>
      <c r="B146" t="s">
        <v>6062</v>
      </c>
      <c r="C146" t="s">
        <v>6199</v>
      </c>
      <c r="D146" t="s">
        <v>1520</v>
      </c>
      <c r="E146" t="s">
        <v>1751</v>
      </c>
      <c r="F146" t="s">
        <v>5743</v>
      </c>
      <c r="H146" s="606" t="s">
        <v>6200</v>
      </c>
      <c r="I146" s="605">
        <v>46134</v>
      </c>
      <c r="K146" t="s">
        <v>6062</v>
      </c>
      <c r="L146" s="603">
        <v>3006</v>
      </c>
      <c r="M146" s="603">
        <v>0</v>
      </c>
      <c r="N146" s="603">
        <f t="shared" si="19"/>
        <v>3006</v>
      </c>
      <c r="O146" s="604">
        <f t="shared" si="20"/>
        <v>0</v>
      </c>
      <c r="P146">
        <v>750</v>
      </c>
      <c r="Q146" t="s">
        <v>5745</v>
      </c>
      <c r="R146" t="b">
        <v>0</v>
      </c>
      <c r="S146" t="b">
        <v>0</v>
      </c>
      <c r="T146">
        <f t="shared" si="21"/>
        <v>42</v>
      </c>
      <c r="U146" s="605">
        <v>46092</v>
      </c>
      <c r="V146" t="str">
        <f t="shared" si="22"/>
        <v>2026-03</v>
      </c>
      <c r="W146" s="603">
        <v>750</v>
      </c>
      <c r="X146" t="b">
        <v>0</v>
      </c>
      <c r="Z146" t="s">
        <v>6062</v>
      </c>
      <c r="AA146">
        <v>100139438</v>
      </c>
      <c r="AB146">
        <v>16801529</v>
      </c>
    </row>
    <row r="147" spans="1:28">
      <c r="A147" s="606" t="s">
        <v>6201</v>
      </c>
      <c r="B147" t="s">
        <v>6062</v>
      </c>
      <c r="C147" t="s">
        <v>11178</v>
      </c>
      <c r="D147" t="s">
        <v>1522</v>
      </c>
      <c r="E147" t="s">
        <v>1751</v>
      </c>
      <c r="F147" t="s">
        <v>5743</v>
      </c>
      <c r="G147" t="s">
        <v>5743</v>
      </c>
      <c r="H147" s="606" t="s">
        <v>6202</v>
      </c>
      <c r="I147" s="605">
        <v>46149</v>
      </c>
      <c r="K147" t="s">
        <v>6062</v>
      </c>
      <c r="L147" s="603">
        <v>4957</v>
      </c>
      <c r="M147" s="603">
        <v>0</v>
      </c>
      <c r="N147" s="603">
        <f t="shared" si="19"/>
        <v>4957</v>
      </c>
      <c r="O147" s="604">
        <f t="shared" si="20"/>
        <v>0</v>
      </c>
      <c r="P147">
        <v>750</v>
      </c>
      <c r="Q147" t="s">
        <v>5745</v>
      </c>
      <c r="R147" t="b">
        <v>0</v>
      </c>
      <c r="S147" t="b">
        <v>0</v>
      </c>
      <c r="T147">
        <f>I147-U147</f>
        <v>57</v>
      </c>
      <c r="U147" s="605">
        <v>46092</v>
      </c>
      <c r="V147" t="str">
        <f t="shared" si="22"/>
        <v>2026-03</v>
      </c>
      <c r="W147" s="603">
        <v>750</v>
      </c>
      <c r="X147" t="b">
        <v>0</v>
      </c>
      <c r="Z147" t="s">
        <v>6062</v>
      </c>
      <c r="AA147">
        <v>100139438</v>
      </c>
      <c r="AB147">
        <v>16801524</v>
      </c>
    </row>
    <row r="148" spans="1:28">
      <c r="A148" s="606" t="s">
        <v>6203</v>
      </c>
      <c r="B148" t="s">
        <v>6062</v>
      </c>
      <c r="C148" t="s">
        <v>11177</v>
      </c>
      <c r="D148" t="s">
        <v>1532</v>
      </c>
      <c r="E148" t="s">
        <v>1751</v>
      </c>
      <c r="F148" t="s">
        <v>5717</v>
      </c>
      <c r="G148" t="s">
        <v>5718</v>
      </c>
      <c r="H148" s="606" t="s">
        <v>6204</v>
      </c>
      <c r="I148" s="605">
        <v>46156</v>
      </c>
      <c r="K148" t="s">
        <v>6062</v>
      </c>
      <c r="L148" s="603">
        <v>1813</v>
      </c>
      <c r="M148" s="603">
        <v>750</v>
      </c>
      <c r="N148" s="603">
        <f t="shared" si="19"/>
        <v>1063</v>
      </c>
      <c r="O148" s="604">
        <f t="shared" si="20"/>
        <v>0.41367898510755652</v>
      </c>
      <c r="P148">
        <v>750</v>
      </c>
      <c r="R148" t="b">
        <v>0</v>
      </c>
      <c r="S148" t="b">
        <v>0</v>
      </c>
      <c r="T148">
        <f t="shared" si="21"/>
        <v>59</v>
      </c>
      <c r="U148" s="605">
        <v>46097</v>
      </c>
      <c r="V148" t="str">
        <f t="shared" si="22"/>
        <v>2026-03</v>
      </c>
      <c r="W148" s="603">
        <v>750</v>
      </c>
      <c r="X148" t="b">
        <v>0</v>
      </c>
      <c r="Z148" t="s">
        <v>6062</v>
      </c>
      <c r="AA148">
        <v>100139438</v>
      </c>
      <c r="AB148">
        <v>16801586</v>
      </c>
    </row>
    <row r="149" spans="1:28">
      <c r="A149" s="606" t="s">
        <v>6205</v>
      </c>
      <c r="B149" t="s">
        <v>6062</v>
      </c>
      <c r="C149" t="s">
        <v>6206</v>
      </c>
      <c r="D149" t="s">
        <v>1525</v>
      </c>
      <c r="E149" t="s">
        <v>1751</v>
      </c>
      <c r="F149" t="s">
        <v>5717</v>
      </c>
      <c r="G149" t="s">
        <v>5718</v>
      </c>
      <c r="H149" s="606" t="s">
        <v>6207</v>
      </c>
      <c r="I149" s="605">
        <v>46156</v>
      </c>
      <c r="K149" t="s">
        <v>6062</v>
      </c>
      <c r="L149" s="603">
        <v>6425.29</v>
      </c>
      <c r="M149" s="603">
        <v>750</v>
      </c>
      <c r="N149" s="603">
        <f t="shared" si="19"/>
        <v>5675.29</v>
      </c>
      <c r="O149" s="604">
        <f t="shared" si="20"/>
        <v>0.11672624893195482</v>
      </c>
      <c r="P149">
        <v>750</v>
      </c>
      <c r="R149" t="b">
        <v>0</v>
      </c>
      <c r="S149" t="b">
        <v>0</v>
      </c>
      <c r="T149">
        <f t="shared" si="21"/>
        <v>59</v>
      </c>
      <c r="U149" s="605">
        <v>46097</v>
      </c>
      <c r="V149" t="str">
        <f t="shared" si="22"/>
        <v>2026-03</v>
      </c>
      <c r="W149" s="603">
        <v>750</v>
      </c>
      <c r="X149" t="b">
        <v>0</v>
      </c>
      <c r="Z149" t="s">
        <v>6062</v>
      </c>
      <c r="AA149">
        <v>100139438</v>
      </c>
      <c r="AB149">
        <v>16801372</v>
      </c>
    </row>
    <row r="150" spans="1:28">
      <c r="A150" s="1108" t="s">
        <v>6208</v>
      </c>
      <c r="B150" s="1109" t="s">
        <v>6062</v>
      </c>
      <c r="C150" s="1109" t="s">
        <v>6209</v>
      </c>
      <c r="D150" s="1109" t="s">
        <v>1576</v>
      </c>
      <c r="E150" s="1109" t="s">
        <v>1751</v>
      </c>
      <c r="F150" s="1109" t="s">
        <v>5717</v>
      </c>
      <c r="G150" s="1109" t="s">
        <v>5726</v>
      </c>
      <c r="H150" s="1108" t="s">
        <v>6210</v>
      </c>
      <c r="I150" s="1110">
        <v>46164</v>
      </c>
      <c r="K150" s="1109" t="s">
        <v>6062</v>
      </c>
      <c r="L150" s="1111">
        <v>4620</v>
      </c>
      <c r="M150" s="1111">
        <v>0</v>
      </c>
      <c r="N150" s="1111">
        <f t="shared" si="19"/>
        <v>4620</v>
      </c>
      <c r="O150" s="1112">
        <f t="shared" si="20"/>
        <v>0</v>
      </c>
      <c r="P150">
        <v>750</v>
      </c>
      <c r="Q150" s="1109"/>
      <c r="R150" t="b">
        <v>0</v>
      </c>
      <c r="S150" t="b">
        <v>1</v>
      </c>
      <c r="T150">
        <f t="shared" si="21"/>
        <v>58</v>
      </c>
      <c r="U150" s="1110">
        <v>46106</v>
      </c>
      <c r="V150" s="1109" t="str">
        <f t="shared" si="22"/>
        <v>2026-03</v>
      </c>
      <c r="W150" s="1111">
        <v>750</v>
      </c>
      <c r="X150" t="b">
        <v>1</v>
      </c>
      <c r="Y150" t="s">
        <v>6194</v>
      </c>
      <c r="Z150" s="1109" t="s">
        <v>6062</v>
      </c>
      <c r="AA150" s="1109">
        <v>100139438</v>
      </c>
      <c r="AB150" s="1109">
        <v>16801151</v>
      </c>
    </row>
    <row r="151" spans="1:28">
      <c r="A151" s="1108" t="s">
        <v>6211</v>
      </c>
      <c r="B151" s="1109" t="s">
        <v>6062</v>
      </c>
      <c r="C151" s="1109" t="s">
        <v>6212</v>
      </c>
      <c r="D151" s="1109" t="s">
        <v>1578</v>
      </c>
      <c r="E151" s="1109" t="s">
        <v>1751</v>
      </c>
      <c r="F151" s="1109" t="s">
        <v>5717</v>
      </c>
      <c r="G151" s="1109" t="s">
        <v>5718</v>
      </c>
      <c r="H151" s="1108" t="s">
        <v>6213</v>
      </c>
      <c r="I151" s="1110">
        <v>46164</v>
      </c>
      <c r="K151" s="1109" t="s">
        <v>6062</v>
      </c>
      <c r="L151" s="1111">
        <v>1203</v>
      </c>
      <c r="M151" s="1111">
        <v>750</v>
      </c>
      <c r="N151" s="1111">
        <f t="shared" si="19"/>
        <v>453</v>
      </c>
      <c r="O151" s="1112">
        <f t="shared" si="20"/>
        <v>0.62344139650872821</v>
      </c>
      <c r="P151">
        <v>750</v>
      </c>
      <c r="R151" t="b">
        <v>0</v>
      </c>
      <c r="S151" t="b">
        <v>0</v>
      </c>
      <c r="T151">
        <f t="shared" si="21"/>
        <v>58</v>
      </c>
      <c r="U151" s="1110">
        <v>46106</v>
      </c>
      <c r="V151" s="1109" t="str">
        <f t="shared" si="22"/>
        <v>2026-03</v>
      </c>
      <c r="W151" s="1111">
        <v>750</v>
      </c>
      <c r="X151" t="b">
        <v>0</v>
      </c>
      <c r="Z151" s="1109" t="s">
        <v>6062</v>
      </c>
      <c r="AA151" s="1109">
        <v>100139438</v>
      </c>
      <c r="AB151" s="1109">
        <v>16801099</v>
      </c>
    </row>
    <row r="152" spans="1:28">
      <c r="A152" s="1108" t="s">
        <v>6214</v>
      </c>
      <c r="B152" s="1109" t="s">
        <v>6062</v>
      </c>
      <c r="C152" s="1109" t="s">
        <v>11196</v>
      </c>
      <c r="D152" s="1109" t="s">
        <v>1582</v>
      </c>
      <c r="E152" s="1109" t="s">
        <v>1751</v>
      </c>
      <c r="F152" s="1109" t="s">
        <v>5717</v>
      </c>
      <c r="G152" s="1109" t="s">
        <v>5718</v>
      </c>
      <c r="H152" s="1108" t="s">
        <v>6215</v>
      </c>
      <c r="I152" s="1110">
        <v>46164</v>
      </c>
      <c r="K152" s="1109" t="s">
        <v>6062</v>
      </c>
      <c r="L152" s="1111">
        <v>1500</v>
      </c>
      <c r="M152" s="1111">
        <v>750</v>
      </c>
      <c r="N152" s="1111">
        <f t="shared" si="19"/>
        <v>750</v>
      </c>
      <c r="O152" s="1112">
        <f t="shared" si="20"/>
        <v>0.5</v>
      </c>
      <c r="P152">
        <v>750</v>
      </c>
      <c r="R152" t="b">
        <v>0</v>
      </c>
      <c r="S152" t="b">
        <v>0</v>
      </c>
      <c r="T152">
        <f t="shared" si="21"/>
        <v>55</v>
      </c>
      <c r="U152" s="1110">
        <v>46109</v>
      </c>
      <c r="V152" s="1109" t="str">
        <f t="shared" si="22"/>
        <v>2026-03</v>
      </c>
      <c r="W152" s="1111">
        <v>750</v>
      </c>
      <c r="X152" t="b">
        <v>0</v>
      </c>
      <c r="Z152" s="1109" t="s">
        <v>6062</v>
      </c>
      <c r="AA152" s="1109">
        <v>100139438</v>
      </c>
      <c r="AB152" s="1109">
        <v>16801076</v>
      </c>
    </row>
    <row r="153" spans="1:28">
      <c r="A153" s="1108" t="s">
        <v>6216</v>
      </c>
      <c r="B153" s="1109" t="s">
        <v>6062</v>
      </c>
      <c r="C153" s="1109" t="s">
        <v>6217</v>
      </c>
      <c r="D153" s="1109" t="s">
        <v>1584</v>
      </c>
      <c r="E153" s="1109" t="s">
        <v>1751</v>
      </c>
      <c r="F153" s="1109" t="s">
        <v>5717</v>
      </c>
      <c r="G153" s="1109" t="s">
        <v>5718</v>
      </c>
      <c r="H153" s="1108" t="s">
        <v>6218</v>
      </c>
      <c r="I153" s="1110">
        <v>46164</v>
      </c>
      <c r="K153" s="1109" t="s">
        <v>6062</v>
      </c>
      <c r="L153" s="1111">
        <v>1035</v>
      </c>
      <c r="M153" s="1111">
        <v>750</v>
      </c>
      <c r="N153" s="1111">
        <f t="shared" si="19"/>
        <v>285</v>
      </c>
      <c r="O153" s="1112">
        <f t="shared" si="20"/>
        <v>0.72463768115942029</v>
      </c>
      <c r="P153">
        <v>750</v>
      </c>
      <c r="R153" t="b">
        <v>0</v>
      </c>
      <c r="S153" t="b">
        <v>0</v>
      </c>
      <c r="T153">
        <f t="shared" si="21"/>
        <v>55</v>
      </c>
      <c r="U153" s="1110">
        <v>46109</v>
      </c>
      <c r="V153" s="1109" t="str">
        <f t="shared" si="22"/>
        <v>2026-03</v>
      </c>
      <c r="W153" s="1111">
        <v>750</v>
      </c>
      <c r="X153" t="b">
        <v>0</v>
      </c>
      <c r="Z153" s="1109" t="s">
        <v>6062</v>
      </c>
      <c r="AA153" s="1109">
        <v>100139438</v>
      </c>
      <c r="AB153" s="1109">
        <v>16801159</v>
      </c>
    </row>
    <row r="154" spans="1:28">
      <c r="A154" s="1108" t="s">
        <v>6219</v>
      </c>
      <c r="B154" s="1109" t="s">
        <v>6062</v>
      </c>
      <c r="C154" s="1109" t="s">
        <v>6220</v>
      </c>
      <c r="D154" s="1109" t="s">
        <v>1566</v>
      </c>
      <c r="E154" s="1109" t="s">
        <v>1751</v>
      </c>
      <c r="F154" s="1109" t="s">
        <v>5743</v>
      </c>
      <c r="G154" s="1109"/>
      <c r="H154" s="1108" t="s">
        <v>6221</v>
      </c>
      <c r="I154" s="1110">
        <v>46174</v>
      </c>
      <c r="K154" s="1109" t="s">
        <v>6062</v>
      </c>
      <c r="L154" s="1111">
        <v>4882.2</v>
      </c>
      <c r="M154" s="1111">
        <v>0</v>
      </c>
      <c r="N154" s="1111">
        <f t="shared" si="19"/>
        <v>4882.2</v>
      </c>
      <c r="O154" s="1112">
        <f t="shared" si="20"/>
        <v>0</v>
      </c>
      <c r="P154">
        <v>750</v>
      </c>
      <c r="Q154" t="s">
        <v>5745</v>
      </c>
      <c r="R154" t="b">
        <v>0</v>
      </c>
      <c r="S154" t="b">
        <v>0</v>
      </c>
      <c r="T154">
        <f t="shared" si="21"/>
        <v>56</v>
      </c>
      <c r="U154" s="1110">
        <v>46118</v>
      </c>
      <c r="V154" s="1109" t="str">
        <f t="shared" si="22"/>
        <v>2026-04</v>
      </c>
      <c r="W154" s="1111">
        <v>750</v>
      </c>
      <c r="X154" t="b">
        <v>0</v>
      </c>
      <c r="Z154" s="1109" t="s">
        <v>6062</v>
      </c>
      <c r="AA154" s="1109">
        <v>100139438</v>
      </c>
      <c r="AB154" s="1109">
        <v>16801511</v>
      </c>
    </row>
    <row r="155" spans="1:28">
      <c r="A155" s="1108" t="s">
        <v>6222</v>
      </c>
      <c r="B155" s="1109" t="s">
        <v>6062</v>
      </c>
      <c r="C155" s="1109" t="s">
        <v>6223</v>
      </c>
      <c r="D155" s="1109" t="s">
        <v>1565</v>
      </c>
      <c r="E155" s="1109" t="s">
        <v>1751</v>
      </c>
      <c r="F155" s="1109" t="s">
        <v>5717</v>
      </c>
      <c r="G155" s="1109" t="s">
        <v>5718</v>
      </c>
      <c r="H155" s="1108" t="s">
        <v>6224</v>
      </c>
      <c r="I155" s="1110">
        <v>46174</v>
      </c>
      <c r="K155" s="1109" t="s">
        <v>6062</v>
      </c>
      <c r="L155" s="1111">
        <v>3652</v>
      </c>
      <c r="M155" s="1111">
        <v>750</v>
      </c>
      <c r="N155" s="1111">
        <f t="shared" si="19"/>
        <v>2902</v>
      </c>
      <c r="O155" s="1112">
        <f t="shared" si="20"/>
        <v>0.20536692223439212</v>
      </c>
      <c r="P155">
        <v>750</v>
      </c>
      <c r="R155" t="b">
        <v>0</v>
      </c>
      <c r="S155" t="b">
        <v>0</v>
      </c>
      <c r="T155">
        <f t="shared" si="21"/>
        <v>60</v>
      </c>
      <c r="U155" s="1110">
        <v>46114</v>
      </c>
      <c r="V155" s="1109" t="str">
        <f t="shared" si="22"/>
        <v>2026-04</v>
      </c>
      <c r="W155" s="1111">
        <v>750</v>
      </c>
      <c r="X155" t="b">
        <v>0</v>
      </c>
      <c r="Z155" s="1109" t="s">
        <v>6062</v>
      </c>
      <c r="AA155" s="1109">
        <v>100139438</v>
      </c>
      <c r="AB155" s="1109">
        <v>16801334</v>
      </c>
    </row>
    <row r="156" spans="1:28">
      <c r="A156" s="1108" t="s">
        <v>6225</v>
      </c>
      <c r="B156" s="1109" t="s">
        <v>6062</v>
      </c>
      <c r="C156" s="1109" t="s">
        <v>6226</v>
      </c>
      <c r="D156" s="1109" t="s">
        <v>1570</v>
      </c>
      <c r="E156" s="1109" t="s">
        <v>1751</v>
      </c>
      <c r="F156" s="1109" t="s">
        <v>5717</v>
      </c>
      <c r="G156" s="1109" t="s">
        <v>5718</v>
      </c>
      <c r="H156" s="1108" t="s">
        <v>6227</v>
      </c>
      <c r="I156" s="1110">
        <v>46174</v>
      </c>
      <c r="K156" s="1109" t="s">
        <v>6062</v>
      </c>
      <c r="L156" s="1111">
        <v>5392.04</v>
      </c>
      <c r="M156" s="1111">
        <v>750</v>
      </c>
      <c r="N156" s="1111">
        <f t="shared" si="19"/>
        <v>4642.04</v>
      </c>
      <c r="O156" s="1112">
        <f t="shared" si="20"/>
        <v>0.13909392363558135</v>
      </c>
      <c r="P156">
        <v>750</v>
      </c>
      <c r="R156" t="b">
        <v>0</v>
      </c>
      <c r="S156" t="b">
        <v>0</v>
      </c>
      <c r="T156">
        <f t="shared" si="21"/>
        <v>60</v>
      </c>
      <c r="U156" s="1110">
        <v>46114</v>
      </c>
      <c r="V156" s="1109" t="str">
        <f t="shared" si="22"/>
        <v>2026-04</v>
      </c>
      <c r="W156" s="1111">
        <v>750</v>
      </c>
      <c r="X156" t="b">
        <v>0</v>
      </c>
      <c r="Z156" s="1109" t="s">
        <v>6062</v>
      </c>
      <c r="AA156" s="1109">
        <v>100139438</v>
      </c>
      <c r="AB156" s="1109">
        <v>16801284</v>
      </c>
    </row>
    <row r="157" spans="1:28">
      <c r="A157" s="1108" t="s">
        <v>6228</v>
      </c>
      <c r="B157" s="1109" t="s">
        <v>6062</v>
      </c>
      <c r="C157" s="1109" t="s">
        <v>6229</v>
      </c>
      <c r="D157" s="1109" t="s">
        <v>1568</v>
      </c>
      <c r="E157" s="1109" t="s">
        <v>1751</v>
      </c>
      <c r="F157" s="1109" t="s">
        <v>5717</v>
      </c>
      <c r="G157" s="1109" t="s">
        <v>5718</v>
      </c>
      <c r="H157" s="1108" t="s">
        <v>6230</v>
      </c>
      <c r="I157" s="1110">
        <v>46174</v>
      </c>
      <c r="K157" s="1109" t="s">
        <v>6062</v>
      </c>
      <c r="L157" s="1111">
        <v>3070.5</v>
      </c>
      <c r="M157" s="1111">
        <v>750</v>
      </c>
      <c r="N157" s="1111">
        <f t="shared" si="19"/>
        <v>2320.5</v>
      </c>
      <c r="O157" s="1112">
        <f t="shared" si="20"/>
        <v>0.24425989252564728</v>
      </c>
      <c r="P157">
        <v>750</v>
      </c>
      <c r="R157" t="b">
        <v>0</v>
      </c>
      <c r="S157" t="b">
        <v>0</v>
      </c>
      <c r="T157">
        <f t="shared" si="21"/>
        <v>60</v>
      </c>
      <c r="U157" s="1110">
        <v>46114</v>
      </c>
      <c r="V157" s="1109" t="str">
        <f t="shared" si="22"/>
        <v>2026-04</v>
      </c>
      <c r="W157" s="1111">
        <v>750</v>
      </c>
      <c r="X157" t="b">
        <v>0</v>
      </c>
      <c r="Z157" s="1109" t="s">
        <v>6062</v>
      </c>
      <c r="AA157" s="1109">
        <v>100139438</v>
      </c>
      <c r="AB157" s="1109">
        <v>16801216</v>
      </c>
    </row>
    <row r="158" spans="1:28">
      <c r="A158" s="1108" t="s">
        <v>6231</v>
      </c>
      <c r="B158" s="1109" t="s">
        <v>6062</v>
      </c>
      <c r="C158" s="1109" t="s">
        <v>6232</v>
      </c>
      <c r="D158" s="1109" t="s">
        <v>1567</v>
      </c>
      <c r="E158" s="1109" t="s">
        <v>1751</v>
      </c>
      <c r="F158" s="1109" t="s">
        <v>5743</v>
      </c>
      <c r="G158" s="1109"/>
      <c r="H158" s="1108" t="s">
        <v>6233</v>
      </c>
      <c r="I158" s="1110">
        <v>46171</v>
      </c>
      <c r="K158" s="1109" t="s">
        <v>6062</v>
      </c>
      <c r="L158" s="1111">
        <v>6527</v>
      </c>
      <c r="M158" s="1111">
        <v>0</v>
      </c>
      <c r="N158" s="1111">
        <f t="shared" si="19"/>
        <v>6527</v>
      </c>
      <c r="O158" s="1112">
        <f t="shared" si="20"/>
        <v>0</v>
      </c>
      <c r="P158">
        <v>750</v>
      </c>
      <c r="Q158" t="s">
        <v>5745</v>
      </c>
      <c r="R158" t="b">
        <v>0</v>
      </c>
      <c r="S158" t="b">
        <v>0</v>
      </c>
      <c r="T158">
        <f t="shared" si="21"/>
        <v>59</v>
      </c>
      <c r="U158" s="1110">
        <v>46112</v>
      </c>
      <c r="V158" s="1109" t="str">
        <f t="shared" si="22"/>
        <v>2026-03</v>
      </c>
      <c r="W158" s="1111">
        <v>750</v>
      </c>
      <c r="X158" t="b">
        <v>0</v>
      </c>
      <c r="Z158" s="1109" t="s">
        <v>6062</v>
      </c>
      <c r="AA158" s="1109">
        <v>100139438</v>
      </c>
      <c r="AB158" s="1109">
        <v>16801203</v>
      </c>
    </row>
    <row r="159" spans="1:28">
      <c r="A159" s="1108" t="s">
        <v>6234</v>
      </c>
      <c r="B159" s="1109" t="s">
        <v>6062</v>
      </c>
      <c r="C159" s="1109" t="s">
        <v>6235</v>
      </c>
      <c r="D159" s="1109" t="s">
        <v>1597</v>
      </c>
      <c r="E159" s="1109" t="s">
        <v>1751</v>
      </c>
      <c r="F159" s="1109" t="s">
        <v>5717</v>
      </c>
      <c r="G159" s="1109"/>
      <c r="H159" s="1108" t="s">
        <v>6236</v>
      </c>
      <c r="I159" s="1110">
        <v>46171</v>
      </c>
      <c r="K159" s="1109" t="s">
        <v>6062</v>
      </c>
      <c r="L159" s="1111">
        <v>290</v>
      </c>
      <c r="M159" s="1111">
        <v>290</v>
      </c>
      <c r="N159" s="1111">
        <f t="shared" si="19"/>
        <v>0</v>
      </c>
      <c r="O159" s="1112">
        <f t="shared" si="20"/>
        <v>1</v>
      </c>
      <c r="P159">
        <v>750</v>
      </c>
      <c r="R159" t="b">
        <v>0</v>
      </c>
      <c r="S159" t="b">
        <v>0</v>
      </c>
      <c r="T159">
        <f t="shared" si="21"/>
        <v>59</v>
      </c>
      <c r="U159" s="1110">
        <v>46112</v>
      </c>
      <c r="V159" s="1109" t="str">
        <f t="shared" si="22"/>
        <v>2026-03</v>
      </c>
      <c r="W159" s="1111">
        <v>290</v>
      </c>
      <c r="X159" t="b">
        <v>0</v>
      </c>
      <c r="Z159" s="1109" t="s">
        <v>6062</v>
      </c>
      <c r="AA159" s="1109">
        <v>100139438</v>
      </c>
      <c r="AB159" s="1109">
        <v>16801168</v>
      </c>
    </row>
    <row r="160" spans="1:28">
      <c r="A160" s="1108" t="s">
        <v>6237</v>
      </c>
      <c r="B160" s="1109" t="s">
        <v>6062</v>
      </c>
      <c r="C160" s="1109" t="s">
        <v>6238</v>
      </c>
      <c r="D160" s="1109" t="s">
        <v>1588</v>
      </c>
      <c r="E160" s="1109" t="s">
        <v>1751</v>
      </c>
      <c r="F160" s="1109" t="s">
        <v>5717</v>
      </c>
      <c r="G160" s="1109"/>
      <c r="H160" s="1108" t="s">
        <v>6239</v>
      </c>
      <c r="I160" s="1110">
        <v>46174</v>
      </c>
      <c r="K160" s="1109" t="s">
        <v>6062</v>
      </c>
      <c r="L160" s="1111">
        <v>481</v>
      </c>
      <c r="M160" s="1111">
        <v>480.33</v>
      </c>
      <c r="N160" s="1111">
        <f t="shared" si="19"/>
        <v>0.67000000000001592</v>
      </c>
      <c r="O160" s="1112">
        <f t="shared" si="20"/>
        <v>0.9986070686070686</v>
      </c>
      <c r="P160">
        <v>750</v>
      </c>
      <c r="R160" t="b">
        <v>0</v>
      </c>
      <c r="S160" t="b">
        <v>0</v>
      </c>
      <c r="T160">
        <f t="shared" si="21"/>
        <v>58</v>
      </c>
      <c r="U160" s="1110">
        <v>46116</v>
      </c>
      <c r="V160" s="1109" t="str">
        <f t="shared" si="22"/>
        <v>2026-04</v>
      </c>
      <c r="W160" s="1111">
        <v>481</v>
      </c>
      <c r="X160" t="b">
        <v>0</v>
      </c>
      <c r="Z160" s="1109" t="s">
        <v>6062</v>
      </c>
      <c r="AA160" s="1109">
        <v>100139438</v>
      </c>
      <c r="AB160" s="1109">
        <v>16801022</v>
      </c>
    </row>
    <row r="161" spans="1:28">
      <c r="A161" s="1108" t="s">
        <v>6240</v>
      </c>
      <c r="B161" s="1109" t="s">
        <v>6062</v>
      </c>
      <c r="C161" s="1109" t="s">
        <v>6241</v>
      </c>
      <c r="D161" s="1109" t="s">
        <v>1591</v>
      </c>
      <c r="E161" s="1109" t="s">
        <v>1751</v>
      </c>
      <c r="F161" s="1109" t="s">
        <v>5717</v>
      </c>
      <c r="G161" s="1109"/>
      <c r="H161" s="1108" t="s">
        <v>6242</v>
      </c>
      <c r="I161" s="1110">
        <v>46171</v>
      </c>
      <c r="K161" s="1109" t="s">
        <v>6062</v>
      </c>
      <c r="L161" s="1111">
        <v>560</v>
      </c>
      <c r="M161" s="1111">
        <v>560</v>
      </c>
      <c r="N161" s="1111">
        <f t="shared" si="19"/>
        <v>0</v>
      </c>
      <c r="O161" s="1112">
        <f t="shared" si="20"/>
        <v>1</v>
      </c>
      <c r="P161">
        <v>750</v>
      </c>
      <c r="R161" t="b">
        <v>0</v>
      </c>
      <c r="S161" t="b">
        <v>0</v>
      </c>
      <c r="T161">
        <f t="shared" si="21"/>
        <v>58</v>
      </c>
      <c r="U161" s="1110">
        <v>46113</v>
      </c>
      <c r="V161" s="1109" t="str">
        <f t="shared" si="22"/>
        <v>2026-04</v>
      </c>
      <c r="W161" s="1111">
        <v>560</v>
      </c>
      <c r="X161" t="b">
        <v>0</v>
      </c>
      <c r="Z161" s="1109" t="s">
        <v>6062</v>
      </c>
      <c r="AA161" s="1109">
        <v>100139438</v>
      </c>
      <c r="AB161" s="1109">
        <v>16800994</v>
      </c>
    </row>
    <row r="162" spans="1:28">
      <c r="A162" s="1108" t="s">
        <v>6243</v>
      </c>
      <c r="B162" s="1109" t="s">
        <v>6062</v>
      </c>
      <c r="C162" s="1109" t="s">
        <v>6244</v>
      </c>
      <c r="D162" s="1109" t="s">
        <v>1583</v>
      </c>
      <c r="E162" s="1109" t="s">
        <v>1751</v>
      </c>
      <c r="F162" s="1109" t="s">
        <v>5717</v>
      </c>
      <c r="G162" s="1109" t="s">
        <v>5789</v>
      </c>
      <c r="H162" s="1108" t="s">
        <v>6245</v>
      </c>
      <c r="I162" s="1110">
        <v>46171</v>
      </c>
      <c r="K162" s="1109" t="s">
        <v>6062</v>
      </c>
      <c r="L162" s="1111">
        <v>600</v>
      </c>
      <c r="M162" s="1111">
        <v>500</v>
      </c>
      <c r="N162" s="1111">
        <f t="shared" si="19"/>
        <v>100</v>
      </c>
      <c r="O162" s="1112">
        <f t="shared" si="20"/>
        <v>0.83333333333333337</v>
      </c>
      <c r="P162">
        <v>750</v>
      </c>
      <c r="R162" t="b">
        <v>0</v>
      </c>
      <c r="S162" t="b">
        <v>1</v>
      </c>
      <c r="T162">
        <f>I162-U162</f>
        <v>59</v>
      </c>
      <c r="U162" s="1110">
        <v>46112</v>
      </c>
      <c r="V162" s="1109" t="str">
        <f t="shared" si="22"/>
        <v>2026-03</v>
      </c>
      <c r="W162" s="1111">
        <v>600</v>
      </c>
      <c r="X162" t="b">
        <v>0</v>
      </c>
      <c r="Z162" s="1109" t="s">
        <v>6062</v>
      </c>
      <c r="AA162" s="1109">
        <v>100139438</v>
      </c>
      <c r="AB162" s="1109">
        <v>16800987</v>
      </c>
    </row>
    <row r="163" spans="1:28">
      <c r="A163" s="1108" t="s">
        <v>6246</v>
      </c>
      <c r="B163" s="1109" t="s">
        <v>6062</v>
      </c>
      <c r="C163" s="1109" t="s">
        <v>6247</v>
      </c>
      <c r="D163" s="1109" t="s">
        <v>1569</v>
      </c>
      <c r="E163" s="1109" t="s">
        <v>1751</v>
      </c>
      <c r="F163" s="1109" t="s">
        <v>5743</v>
      </c>
      <c r="G163" s="1109" t="s">
        <v>5743</v>
      </c>
      <c r="H163" s="1108" t="s">
        <v>6248</v>
      </c>
      <c r="I163" s="1110">
        <v>46174</v>
      </c>
      <c r="K163" s="1109" t="s">
        <v>6062</v>
      </c>
      <c r="L163" s="1111">
        <v>4437</v>
      </c>
      <c r="M163" s="1111">
        <v>0</v>
      </c>
      <c r="N163" s="1111">
        <f t="shared" si="19"/>
        <v>4437</v>
      </c>
      <c r="O163" s="1112">
        <f t="shared" si="20"/>
        <v>0</v>
      </c>
      <c r="P163">
        <v>750</v>
      </c>
      <c r="Q163" t="s">
        <v>5745</v>
      </c>
      <c r="R163" t="b">
        <v>0</v>
      </c>
      <c r="S163" t="b">
        <v>0</v>
      </c>
      <c r="T163">
        <f t="shared" si="21"/>
        <v>60</v>
      </c>
      <c r="U163" s="1110">
        <v>46114</v>
      </c>
      <c r="V163" s="1109" t="str">
        <f t="shared" si="22"/>
        <v>2026-04</v>
      </c>
      <c r="W163" s="1111">
        <v>750</v>
      </c>
      <c r="X163" t="b">
        <v>0</v>
      </c>
      <c r="Z163" s="1109" t="s">
        <v>6062</v>
      </c>
      <c r="AA163" s="1109">
        <v>100139438</v>
      </c>
      <c r="AB163" s="1109">
        <v>16800979</v>
      </c>
    </row>
    <row r="164" spans="1:28">
      <c r="A164" s="1108" t="s">
        <v>6249</v>
      </c>
      <c r="B164" s="1109" t="s">
        <v>6062</v>
      </c>
      <c r="C164" s="1109" t="s">
        <v>6250</v>
      </c>
      <c r="D164" s="1109" t="s">
        <v>1593</v>
      </c>
      <c r="E164" s="1109" t="s">
        <v>1751</v>
      </c>
      <c r="F164" s="1109" t="s">
        <v>5717</v>
      </c>
      <c r="G164" s="1109"/>
      <c r="H164" s="1108" t="s">
        <v>6251</v>
      </c>
      <c r="I164" s="1110">
        <v>46181</v>
      </c>
      <c r="K164" s="1109" t="s">
        <v>6062</v>
      </c>
      <c r="L164" s="1111">
        <v>1000.72</v>
      </c>
      <c r="M164" s="1111">
        <v>932.5</v>
      </c>
      <c r="N164" s="1111">
        <f t="shared" si="19"/>
        <v>68.220000000000027</v>
      </c>
      <c r="O164" s="1112">
        <f t="shared" si="20"/>
        <v>0.93182908306019663</v>
      </c>
      <c r="P164">
        <v>1500</v>
      </c>
      <c r="R164" t="b">
        <v>0</v>
      </c>
      <c r="S164" t="b">
        <v>0</v>
      </c>
      <c r="T164">
        <f t="shared" si="21"/>
        <v>54</v>
      </c>
      <c r="U164" s="1110">
        <v>46127</v>
      </c>
      <c r="V164" s="1109" t="str">
        <f t="shared" si="22"/>
        <v>2026-04</v>
      </c>
      <c r="W164" s="1111">
        <v>1000.72</v>
      </c>
      <c r="X164" t="b">
        <v>0</v>
      </c>
      <c r="Z164" s="1109" t="s">
        <v>6062</v>
      </c>
      <c r="AA164" s="1109">
        <v>100139438</v>
      </c>
      <c r="AB164" s="1109">
        <v>16801222</v>
      </c>
    </row>
    <row r="165" spans="1:28">
      <c r="A165" s="1108" t="s">
        <v>6252</v>
      </c>
      <c r="B165" s="1109" t="s">
        <v>6062</v>
      </c>
      <c r="C165" s="1109" t="s">
        <v>6253</v>
      </c>
      <c r="D165" s="1109" t="s">
        <v>1587</v>
      </c>
      <c r="E165" s="1109" t="s">
        <v>1751</v>
      </c>
      <c r="F165" s="1109" t="s">
        <v>5717</v>
      </c>
      <c r="G165" s="1109" t="s">
        <v>5718</v>
      </c>
      <c r="H165" s="1108" t="s">
        <v>6254</v>
      </c>
      <c r="I165" s="1110">
        <v>46191</v>
      </c>
      <c r="K165" s="1109" t="s">
        <v>6062</v>
      </c>
      <c r="L165" s="1111">
        <v>1383</v>
      </c>
      <c r="M165" s="1111">
        <v>750</v>
      </c>
      <c r="N165" s="1111">
        <f t="shared" ref="N165:N178" si="23">L165-M165</f>
        <v>633</v>
      </c>
      <c r="O165" s="1112">
        <f t="shared" ref="O165:O178" si="24">IF(L165=0,"",M165/L165)</f>
        <v>0.54229934924078094</v>
      </c>
      <c r="P165">
        <v>750</v>
      </c>
      <c r="R165" t="b">
        <v>0</v>
      </c>
      <c r="S165" t="b">
        <v>0</v>
      </c>
      <c r="T165">
        <f t="shared" ref="T165:T178" si="25">I165-U165</f>
        <v>59</v>
      </c>
      <c r="U165" s="1110">
        <v>46132</v>
      </c>
      <c r="V165" s="1109" t="str">
        <f t="shared" ref="V165:V178" si="26">TEXT(U165,"YYYY-MM")</f>
        <v>2026-04</v>
      </c>
      <c r="W165" s="1111">
        <f t="shared" ref="W165:W178" si="27">MIN(L165,P165)</f>
        <v>750</v>
      </c>
      <c r="X165" t="b">
        <v>0</v>
      </c>
      <c r="Z165" s="1109" t="s">
        <v>6062</v>
      </c>
      <c r="AA165" s="1108" t="s">
        <v>6066</v>
      </c>
      <c r="AB165" s="1108" t="s">
        <v>6255</v>
      </c>
    </row>
    <row r="166" spans="1:28">
      <c r="A166" s="1108" t="s">
        <v>6256</v>
      </c>
      <c r="B166" s="1109" t="s">
        <v>6062</v>
      </c>
      <c r="C166" s="1109" t="s">
        <v>6257</v>
      </c>
      <c r="D166" s="1109" t="s">
        <v>2131</v>
      </c>
      <c r="E166" s="1109" t="s">
        <v>1751</v>
      </c>
      <c r="F166" s="1109" t="s">
        <v>5743</v>
      </c>
      <c r="G166" s="1109" t="s">
        <v>5743</v>
      </c>
      <c r="H166" s="1108" t="s">
        <v>6258</v>
      </c>
      <c r="I166" s="1110">
        <v>46191</v>
      </c>
      <c r="K166" s="1109" t="s">
        <v>6062</v>
      </c>
      <c r="L166" s="1111">
        <v>6983</v>
      </c>
      <c r="M166" s="1111">
        <v>0</v>
      </c>
      <c r="N166" s="1111">
        <f t="shared" si="23"/>
        <v>6983</v>
      </c>
      <c r="O166" s="1112">
        <f t="shared" si="24"/>
        <v>0</v>
      </c>
      <c r="P166">
        <v>750</v>
      </c>
      <c r="Q166" t="s">
        <v>5745</v>
      </c>
      <c r="R166" t="b">
        <v>0</v>
      </c>
      <c r="S166" t="b">
        <v>0</v>
      </c>
      <c r="T166">
        <f t="shared" si="25"/>
        <v>58</v>
      </c>
      <c r="U166" s="1110">
        <v>46133</v>
      </c>
      <c r="V166" s="1109" t="str">
        <f t="shared" si="26"/>
        <v>2026-04</v>
      </c>
      <c r="W166" s="1111">
        <f t="shared" si="27"/>
        <v>750</v>
      </c>
      <c r="X166" t="b">
        <v>0</v>
      </c>
      <c r="Z166" s="1109" t="s">
        <v>6062</v>
      </c>
      <c r="AA166" s="1108" t="s">
        <v>6066</v>
      </c>
      <c r="AB166" s="1108" t="s">
        <v>6259</v>
      </c>
    </row>
    <row r="167" spans="1:28">
      <c r="A167" s="1108" t="s">
        <v>6260</v>
      </c>
      <c r="B167" s="1109" t="s">
        <v>6062</v>
      </c>
      <c r="C167" s="1109" t="s">
        <v>6261</v>
      </c>
      <c r="D167" s="1109" t="s">
        <v>3426</v>
      </c>
      <c r="E167" s="1109" t="s">
        <v>1751</v>
      </c>
      <c r="F167" s="1109" t="s">
        <v>5717</v>
      </c>
      <c r="G167" s="1109" t="s">
        <v>5718</v>
      </c>
      <c r="H167" s="1108" t="s">
        <v>6262</v>
      </c>
      <c r="I167" s="1110">
        <v>46195</v>
      </c>
      <c r="K167" s="1109" t="s">
        <v>6062</v>
      </c>
      <c r="L167" s="1111">
        <v>5469</v>
      </c>
      <c r="M167" s="1111">
        <v>750</v>
      </c>
      <c r="N167" s="1111">
        <f t="shared" si="23"/>
        <v>4719</v>
      </c>
      <c r="O167" s="1112">
        <f t="shared" si="24"/>
        <v>0.13713658804168952</v>
      </c>
      <c r="P167">
        <v>750</v>
      </c>
      <c r="R167" t="b">
        <v>0</v>
      </c>
      <c r="S167" t="b">
        <v>0</v>
      </c>
      <c r="T167">
        <f t="shared" si="25"/>
        <v>56</v>
      </c>
      <c r="U167" s="1110">
        <v>46139</v>
      </c>
      <c r="V167" s="1109" t="str">
        <f t="shared" si="26"/>
        <v>2026-04</v>
      </c>
      <c r="W167" s="1111">
        <f t="shared" si="27"/>
        <v>750</v>
      </c>
      <c r="X167" t="b">
        <v>0</v>
      </c>
      <c r="Z167" s="1109" t="s">
        <v>6062</v>
      </c>
      <c r="AA167" s="1108" t="s">
        <v>6066</v>
      </c>
      <c r="AB167" s="1108" t="s">
        <v>6263</v>
      </c>
    </row>
    <row r="168" spans="1:28">
      <c r="A168" s="1108" t="s">
        <v>6264</v>
      </c>
      <c r="B168" s="1109" t="s">
        <v>6062</v>
      </c>
      <c r="C168" s="1109" t="s">
        <v>11185</v>
      </c>
      <c r="D168" s="1109" t="s">
        <v>1596</v>
      </c>
      <c r="E168" s="1109" t="s">
        <v>1751</v>
      </c>
      <c r="F168" s="1109" t="s">
        <v>5717</v>
      </c>
      <c r="G168" s="1109"/>
      <c r="H168" s="1108" t="s">
        <v>6265</v>
      </c>
      <c r="I168" s="1110">
        <v>46195</v>
      </c>
      <c r="K168" s="1109" t="s">
        <v>6062</v>
      </c>
      <c r="L168" s="1111">
        <v>355</v>
      </c>
      <c r="M168" s="1111">
        <v>29.29</v>
      </c>
      <c r="N168" s="1111">
        <f t="shared" si="23"/>
        <v>325.70999999999998</v>
      </c>
      <c r="O168" s="1112">
        <f t="shared" si="24"/>
        <v>8.2507042253521123E-2</v>
      </c>
      <c r="P168">
        <v>750</v>
      </c>
      <c r="R168" t="b">
        <v>0</v>
      </c>
      <c r="S168" t="b">
        <v>0</v>
      </c>
      <c r="T168">
        <f t="shared" si="25"/>
        <v>55</v>
      </c>
      <c r="U168" s="1110">
        <v>46140</v>
      </c>
      <c r="V168" s="1109" t="str">
        <f t="shared" si="26"/>
        <v>2026-04</v>
      </c>
      <c r="W168" s="1111">
        <f t="shared" si="27"/>
        <v>355</v>
      </c>
      <c r="X168" t="b">
        <v>0</v>
      </c>
      <c r="Z168" s="1109" t="s">
        <v>6062</v>
      </c>
      <c r="AA168" s="1108" t="s">
        <v>6066</v>
      </c>
      <c r="AB168" s="1108" t="s">
        <v>6266</v>
      </c>
    </row>
    <row r="169" spans="1:28">
      <c r="A169" s="1108" t="s">
        <v>6267</v>
      </c>
      <c r="B169" s="1109" t="s">
        <v>6062</v>
      </c>
      <c r="C169" s="1109" t="s">
        <v>6268</v>
      </c>
      <c r="D169" s="1109" t="s">
        <v>1573</v>
      </c>
      <c r="E169" s="1109" t="s">
        <v>1751</v>
      </c>
      <c r="F169" s="1109" t="s">
        <v>5717</v>
      </c>
      <c r="G169" s="1109" t="s">
        <v>5838</v>
      </c>
      <c r="H169" s="1108" t="s">
        <v>6269</v>
      </c>
      <c r="I169" s="1110">
        <v>46195</v>
      </c>
      <c r="K169" s="1109" t="s">
        <v>6062</v>
      </c>
      <c r="L169" s="1111">
        <v>3911</v>
      </c>
      <c r="M169" s="1111">
        <v>0</v>
      </c>
      <c r="N169" s="1111">
        <f t="shared" si="23"/>
        <v>3911</v>
      </c>
      <c r="O169" s="1112">
        <f t="shared" si="24"/>
        <v>0</v>
      </c>
      <c r="P169">
        <v>750</v>
      </c>
      <c r="R169" t="b">
        <v>0</v>
      </c>
      <c r="S169" t="b">
        <v>1</v>
      </c>
      <c r="T169">
        <f t="shared" si="25"/>
        <v>59</v>
      </c>
      <c r="U169" s="1110">
        <v>46136</v>
      </c>
      <c r="V169" s="1109" t="str">
        <f t="shared" si="26"/>
        <v>2026-04</v>
      </c>
      <c r="W169" s="1111">
        <f t="shared" si="27"/>
        <v>750</v>
      </c>
      <c r="X169" t="b">
        <v>1</v>
      </c>
      <c r="Y169" t="s">
        <v>6106</v>
      </c>
      <c r="Z169" s="1109" t="s">
        <v>6062</v>
      </c>
      <c r="AA169" s="1108" t="s">
        <v>6066</v>
      </c>
      <c r="AB169" s="1108" t="s">
        <v>6270</v>
      </c>
    </row>
    <row r="170" spans="1:28">
      <c r="A170" s="606" t="s">
        <v>6271</v>
      </c>
      <c r="B170" t="s">
        <v>6062</v>
      </c>
      <c r="C170" t="s">
        <v>6272</v>
      </c>
      <c r="D170" t="s">
        <v>5954</v>
      </c>
      <c r="E170" t="s">
        <v>1751</v>
      </c>
      <c r="F170" t="s">
        <v>5717</v>
      </c>
      <c r="H170" s="606" t="s">
        <v>6273</v>
      </c>
      <c r="I170" s="605">
        <v>46202</v>
      </c>
      <c r="J170" s="605"/>
      <c r="K170" t="s">
        <v>6062</v>
      </c>
      <c r="L170" s="603">
        <v>280</v>
      </c>
      <c r="M170" s="603">
        <v>280</v>
      </c>
      <c r="N170" s="603">
        <f t="shared" si="23"/>
        <v>0</v>
      </c>
      <c r="O170" s="604">
        <f t="shared" si="24"/>
        <v>1</v>
      </c>
      <c r="P170" s="603">
        <v>750</v>
      </c>
      <c r="R170" t="b">
        <v>0</v>
      </c>
      <c r="S170" t="b">
        <v>0</v>
      </c>
      <c r="T170">
        <f t="shared" si="25"/>
        <v>56</v>
      </c>
      <c r="U170" s="605">
        <v>46146</v>
      </c>
      <c r="V170" s="1109" t="str">
        <f t="shared" si="26"/>
        <v>2026-05</v>
      </c>
      <c r="W170" s="603">
        <f t="shared" si="27"/>
        <v>280</v>
      </c>
      <c r="X170" t="b">
        <v>0</v>
      </c>
      <c r="Z170" t="s">
        <v>6062</v>
      </c>
      <c r="AA170" s="606" t="s">
        <v>6066</v>
      </c>
      <c r="AB170">
        <v>16801609</v>
      </c>
    </row>
    <row r="171" spans="1:28">
      <c r="A171" s="606" t="s">
        <v>6274</v>
      </c>
      <c r="B171" t="s">
        <v>6062</v>
      </c>
      <c r="C171" t="s">
        <v>6275</v>
      </c>
      <c r="D171" t="s">
        <v>2550</v>
      </c>
      <c r="E171" t="s">
        <v>1751</v>
      </c>
      <c r="F171" t="s">
        <v>2724</v>
      </c>
      <c r="G171" t="s">
        <v>5789</v>
      </c>
      <c r="H171" s="606" t="s">
        <v>6276</v>
      </c>
      <c r="I171" s="605">
        <v>46202</v>
      </c>
      <c r="J171" s="605"/>
      <c r="K171" t="s">
        <v>6062</v>
      </c>
      <c r="L171" s="603">
        <v>5966</v>
      </c>
      <c r="M171" s="603">
        <v>0</v>
      </c>
      <c r="N171" s="603">
        <f t="shared" si="23"/>
        <v>5966</v>
      </c>
      <c r="O171" s="604">
        <f t="shared" si="24"/>
        <v>0</v>
      </c>
      <c r="P171" s="603">
        <v>750</v>
      </c>
      <c r="R171" t="b">
        <v>0</v>
      </c>
      <c r="S171" t="b">
        <v>1</v>
      </c>
      <c r="T171">
        <f t="shared" si="25"/>
        <v>56</v>
      </c>
      <c r="U171" s="605">
        <v>46146</v>
      </c>
      <c r="V171" s="1109" t="str">
        <f t="shared" si="26"/>
        <v>2026-05</v>
      </c>
      <c r="W171" s="603">
        <f t="shared" si="27"/>
        <v>750</v>
      </c>
      <c r="X171" t="b">
        <v>1</v>
      </c>
      <c r="Y171" t="s">
        <v>6194</v>
      </c>
      <c r="Z171" t="s">
        <v>6062</v>
      </c>
      <c r="AA171" s="606" t="s">
        <v>6066</v>
      </c>
      <c r="AB171">
        <v>16801295</v>
      </c>
    </row>
    <row r="172" spans="1:28">
      <c r="A172" s="606" t="s">
        <v>6277</v>
      </c>
      <c r="B172" t="s">
        <v>6062</v>
      </c>
      <c r="C172" t="s">
        <v>6278</v>
      </c>
      <c r="D172" t="s">
        <v>2952</v>
      </c>
      <c r="E172" t="s">
        <v>1751</v>
      </c>
      <c r="F172" t="s">
        <v>5717</v>
      </c>
      <c r="G172" t="s">
        <v>5789</v>
      </c>
      <c r="H172" s="606" t="s">
        <v>6279</v>
      </c>
      <c r="I172" s="605">
        <v>46202</v>
      </c>
      <c r="J172" s="605"/>
      <c r="K172" t="s">
        <v>6062</v>
      </c>
      <c r="L172" s="603">
        <v>330</v>
      </c>
      <c r="M172" s="603">
        <v>229.13</v>
      </c>
      <c r="N172" s="603">
        <f t="shared" si="23"/>
        <v>100.87</v>
      </c>
      <c r="O172" s="604">
        <f t="shared" si="24"/>
        <v>0.69433333333333336</v>
      </c>
      <c r="P172" s="603">
        <v>750</v>
      </c>
      <c r="R172" t="b">
        <v>0</v>
      </c>
      <c r="S172" t="b">
        <v>1</v>
      </c>
      <c r="T172">
        <f>I172-U172</f>
        <v>58</v>
      </c>
      <c r="U172" s="605">
        <v>46144</v>
      </c>
      <c r="V172" s="1109" t="str">
        <f t="shared" si="26"/>
        <v>2026-05</v>
      </c>
      <c r="W172" s="603">
        <f t="shared" si="27"/>
        <v>330</v>
      </c>
      <c r="X172" t="b">
        <v>0</v>
      </c>
      <c r="Z172" t="s">
        <v>6062</v>
      </c>
      <c r="AA172" s="606" t="s">
        <v>6066</v>
      </c>
      <c r="AB172">
        <v>16801279</v>
      </c>
    </row>
    <row r="173" spans="1:28">
      <c r="A173" s="606" t="s">
        <v>6280</v>
      </c>
      <c r="B173" t="s">
        <v>6062</v>
      </c>
      <c r="C173" t="s">
        <v>11182</v>
      </c>
      <c r="D173" t="s">
        <v>6281</v>
      </c>
      <c r="E173" t="s">
        <v>1751</v>
      </c>
      <c r="F173" t="s">
        <v>5717</v>
      </c>
      <c r="H173" s="606" t="s">
        <v>6282</v>
      </c>
      <c r="I173" s="605">
        <v>46198</v>
      </c>
      <c r="J173" s="605"/>
      <c r="K173" t="s">
        <v>6062</v>
      </c>
      <c r="L173" s="603">
        <v>385</v>
      </c>
      <c r="M173" s="603">
        <v>385</v>
      </c>
      <c r="N173" s="603">
        <f t="shared" si="23"/>
        <v>0</v>
      </c>
      <c r="O173" s="604">
        <f t="shared" si="24"/>
        <v>1</v>
      </c>
      <c r="P173" s="603">
        <v>750</v>
      </c>
      <c r="R173" t="b">
        <v>0</v>
      </c>
      <c r="S173" t="b">
        <v>0</v>
      </c>
      <c r="T173">
        <f t="shared" si="25"/>
        <v>56</v>
      </c>
      <c r="U173" s="605">
        <v>46142</v>
      </c>
      <c r="V173" s="1109" t="str">
        <f t="shared" si="26"/>
        <v>2026-04</v>
      </c>
      <c r="W173" s="603">
        <f t="shared" si="27"/>
        <v>385</v>
      </c>
      <c r="X173" t="b">
        <v>0</v>
      </c>
      <c r="Z173" t="s">
        <v>6062</v>
      </c>
      <c r="AA173" s="606" t="s">
        <v>6066</v>
      </c>
      <c r="AB173">
        <v>16801274</v>
      </c>
    </row>
    <row r="174" spans="1:28">
      <c r="A174" s="606" t="s">
        <v>6283</v>
      </c>
      <c r="B174" t="s">
        <v>6062</v>
      </c>
      <c r="C174" t="s">
        <v>6284</v>
      </c>
      <c r="D174" t="s">
        <v>1958</v>
      </c>
      <c r="E174" t="s">
        <v>1751</v>
      </c>
      <c r="F174" t="s">
        <v>5717</v>
      </c>
      <c r="G174" t="s">
        <v>5789</v>
      </c>
      <c r="H174" s="606" t="s">
        <v>6285</v>
      </c>
      <c r="I174" s="605">
        <v>46202</v>
      </c>
      <c r="J174" s="605"/>
      <c r="K174" t="s">
        <v>6062</v>
      </c>
      <c r="L174" s="603">
        <v>379</v>
      </c>
      <c r="M174" s="603">
        <v>279</v>
      </c>
      <c r="N174" s="603">
        <f t="shared" si="23"/>
        <v>100</v>
      </c>
      <c r="O174" s="604">
        <f t="shared" si="24"/>
        <v>0.73614775725593673</v>
      </c>
      <c r="P174" s="603">
        <v>750</v>
      </c>
      <c r="R174" t="b">
        <v>0</v>
      </c>
      <c r="S174" t="b">
        <v>1</v>
      </c>
      <c r="T174">
        <f>I174-U174</f>
        <v>58</v>
      </c>
      <c r="U174" s="605">
        <v>46144</v>
      </c>
      <c r="V174" s="1109" t="str">
        <f t="shared" si="26"/>
        <v>2026-05</v>
      </c>
      <c r="W174" s="603">
        <f t="shared" si="27"/>
        <v>379</v>
      </c>
      <c r="X174" t="b">
        <v>0</v>
      </c>
      <c r="Z174" t="s">
        <v>6062</v>
      </c>
      <c r="AA174" s="606" t="s">
        <v>6066</v>
      </c>
      <c r="AB174">
        <v>16801269</v>
      </c>
    </row>
    <row r="175" spans="1:28">
      <c r="A175" s="606" t="s">
        <v>6286</v>
      </c>
      <c r="B175" t="s">
        <v>6062</v>
      </c>
      <c r="C175" t="s">
        <v>6287</v>
      </c>
      <c r="D175" t="s">
        <v>6288</v>
      </c>
      <c r="E175" t="s">
        <v>1751</v>
      </c>
      <c r="F175" t="s">
        <v>5717</v>
      </c>
      <c r="H175" s="606" t="s">
        <v>6289</v>
      </c>
      <c r="I175" s="605">
        <v>46198</v>
      </c>
      <c r="J175" s="605"/>
      <c r="K175" t="s">
        <v>6062</v>
      </c>
      <c r="L175" s="603">
        <v>240</v>
      </c>
      <c r="M175" s="603">
        <v>240</v>
      </c>
      <c r="N175" s="603">
        <f t="shared" si="23"/>
        <v>0</v>
      </c>
      <c r="O175" s="604">
        <f t="shared" si="24"/>
        <v>1</v>
      </c>
      <c r="P175" s="603">
        <v>750</v>
      </c>
      <c r="R175" t="b">
        <v>0</v>
      </c>
      <c r="S175" t="b">
        <v>0</v>
      </c>
      <c r="T175">
        <f t="shared" si="25"/>
        <v>56</v>
      </c>
      <c r="U175" s="605">
        <v>46142</v>
      </c>
      <c r="V175" s="1109" t="str">
        <f t="shared" si="26"/>
        <v>2026-04</v>
      </c>
      <c r="W175" s="603">
        <f t="shared" si="27"/>
        <v>240</v>
      </c>
      <c r="X175" t="b">
        <v>0</v>
      </c>
      <c r="Z175" t="s">
        <v>6062</v>
      </c>
      <c r="AA175" s="606" t="s">
        <v>6066</v>
      </c>
      <c r="AB175">
        <v>16801195</v>
      </c>
    </row>
    <row r="176" spans="1:28">
      <c r="A176" s="606" t="s">
        <v>6290</v>
      </c>
      <c r="B176" t="s">
        <v>6062</v>
      </c>
      <c r="C176" t="s">
        <v>6291</v>
      </c>
      <c r="D176" t="s">
        <v>6292</v>
      </c>
      <c r="E176" t="s">
        <v>1751</v>
      </c>
      <c r="F176" t="s">
        <v>5717</v>
      </c>
      <c r="H176" s="606" t="s">
        <v>6293</v>
      </c>
      <c r="I176" s="605">
        <v>46202</v>
      </c>
      <c r="J176" s="605"/>
      <c r="K176" t="s">
        <v>6062</v>
      </c>
      <c r="L176" s="603">
        <v>240</v>
      </c>
      <c r="M176" s="603">
        <v>240</v>
      </c>
      <c r="N176" s="603">
        <f t="shared" si="23"/>
        <v>0</v>
      </c>
      <c r="O176" s="604">
        <f t="shared" si="24"/>
        <v>1</v>
      </c>
      <c r="P176" s="603">
        <v>750</v>
      </c>
      <c r="R176" t="b">
        <v>0</v>
      </c>
      <c r="S176" t="b">
        <v>0</v>
      </c>
      <c r="T176">
        <f t="shared" si="25"/>
        <v>56</v>
      </c>
      <c r="U176" s="605">
        <v>46146</v>
      </c>
      <c r="V176" s="1109" t="str">
        <f t="shared" si="26"/>
        <v>2026-05</v>
      </c>
      <c r="W176" s="603">
        <f t="shared" si="27"/>
        <v>240</v>
      </c>
      <c r="X176" t="b">
        <v>0</v>
      </c>
      <c r="Z176" t="s">
        <v>6062</v>
      </c>
      <c r="AA176" s="606" t="s">
        <v>6066</v>
      </c>
      <c r="AB176">
        <v>16801155</v>
      </c>
    </row>
    <row r="177" spans="1:28">
      <c r="A177" s="606" t="s">
        <v>6294</v>
      </c>
      <c r="B177" t="s">
        <v>6062</v>
      </c>
      <c r="C177" t="s">
        <v>11193</v>
      </c>
      <c r="D177" t="s">
        <v>2599</v>
      </c>
      <c r="E177" t="s">
        <v>1751</v>
      </c>
      <c r="F177" t="s">
        <v>5717</v>
      </c>
      <c r="G177" t="s">
        <v>5718</v>
      </c>
      <c r="H177" s="606" t="s">
        <v>6295</v>
      </c>
      <c r="I177" s="605">
        <v>46202</v>
      </c>
      <c r="J177" s="605"/>
      <c r="K177" t="s">
        <v>6062</v>
      </c>
      <c r="L177" s="603">
        <v>6428</v>
      </c>
      <c r="M177" s="603">
        <v>750</v>
      </c>
      <c r="N177" s="603">
        <f t="shared" si="23"/>
        <v>5678</v>
      </c>
      <c r="O177" s="604">
        <f t="shared" si="24"/>
        <v>0.11667703795892968</v>
      </c>
      <c r="P177" s="603">
        <v>750</v>
      </c>
      <c r="R177" t="b">
        <v>0</v>
      </c>
      <c r="S177" t="b">
        <v>0</v>
      </c>
      <c r="T177">
        <f t="shared" si="25"/>
        <v>59</v>
      </c>
      <c r="U177" s="605">
        <v>46143</v>
      </c>
      <c r="V177" s="1109" t="str">
        <f t="shared" si="26"/>
        <v>2026-05</v>
      </c>
      <c r="W177" s="603">
        <f t="shared" si="27"/>
        <v>750</v>
      </c>
      <c r="X177" t="b">
        <v>0</v>
      </c>
      <c r="Z177" t="s">
        <v>6062</v>
      </c>
      <c r="AA177" s="606" t="s">
        <v>6066</v>
      </c>
      <c r="AB177">
        <v>16801113</v>
      </c>
    </row>
    <row r="178" spans="1:28">
      <c r="A178" s="606" t="s">
        <v>6296</v>
      </c>
      <c r="B178" t="s">
        <v>6062</v>
      </c>
      <c r="C178" t="s">
        <v>6297</v>
      </c>
      <c r="D178" t="s">
        <v>6298</v>
      </c>
      <c r="E178" t="s">
        <v>1751</v>
      </c>
      <c r="F178" t="s">
        <v>5743</v>
      </c>
      <c r="G178" t="s">
        <v>5743</v>
      </c>
      <c r="H178" s="606" t="s">
        <v>6299</v>
      </c>
      <c r="I178" s="605">
        <v>46202</v>
      </c>
      <c r="J178" s="605"/>
      <c r="K178" t="s">
        <v>6062</v>
      </c>
      <c r="L178" s="603">
        <v>5293</v>
      </c>
      <c r="M178" s="603">
        <v>0</v>
      </c>
      <c r="N178" s="603">
        <f t="shared" si="23"/>
        <v>5293</v>
      </c>
      <c r="O178" s="604">
        <f t="shared" si="24"/>
        <v>0</v>
      </c>
      <c r="P178" s="603">
        <v>750</v>
      </c>
      <c r="Q178" t="s">
        <v>5745</v>
      </c>
      <c r="R178" t="b">
        <v>0</v>
      </c>
      <c r="S178" t="b">
        <v>0</v>
      </c>
      <c r="T178">
        <f t="shared" si="25"/>
        <v>59</v>
      </c>
      <c r="U178" s="605">
        <v>46143</v>
      </c>
      <c r="V178" s="1109" t="str">
        <f t="shared" si="26"/>
        <v>2026-05</v>
      </c>
      <c r="W178" s="603">
        <f t="shared" si="27"/>
        <v>750</v>
      </c>
      <c r="X178" t="b">
        <v>0</v>
      </c>
      <c r="Z178" t="s">
        <v>6062</v>
      </c>
      <c r="AA178" s="606" t="s">
        <v>6066</v>
      </c>
      <c r="AB178">
        <v>16800992</v>
      </c>
    </row>
    <row r="179" spans="1:28">
      <c r="A179" s="606" t="s">
        <v>6300</v>
      </c>
      <c r="B179" t="s">
        <v>6062</v>
      </c>
      <c r="C179" t="s">
        <v>6301</v>
      </c>
      <c r="D179" t="s">
        <v>3752</v>
      </c>
      <c r="E179" t="s">
        <v>1751</v>
      </c>
      <c r="F179" t="s">
        <v>5717</v>
      </c>
      <c r="H179" s="606" t="s">
        <v>6302</v>
      </c>
      <c r="I179" s="605">
        <v>46210</v>
      </c>
      <c r="J179" s="605"/>
      <c r="K179" t="s">
        <v>6062</v>
      </c>
      <c r="L179" s="603">
        <v>233</v>
      </c>
      <c r="M179" s="603">
        <v>231.39</v>
      </c>
      <c r="N179" s="603">
        <f t="shared" ref="N179:N184" si="28">L179-M179</f>
        <v>1.6100000000000136</v>
      </c>
      <c r="O179" s="604">
        <f t="shared" ref="O179:O184" si="29">IF(L179=0,"",M179/L179)</f>
        <v>0.99309012875536473</v>
      </c>
      <c r="P179" s="603">
        <v>1500</v>
      </c>
      <c r="R179" t="b">
        <v>0</v>
      </c>
      <c r="S179" t="b">
        <v>0</v>
      </c>
      <c r="T179">
        <f t="shared" ref="T179:T183" si="30">I179-U179</f>
        <v>59</v>
      </c>
      <c r="U179" s="605">
        <v>46151</v>
      </c>
      <c r="V179" s="1109" t="str">
        <f t="shared" ref="V179:V184" si="31">TEXT(U179,"YYYY-MM")</f>
        <v>2026-05</v>
      </c>
      <c r="W179" s="603">
        <f t="shared" ref="W179:W184" si="32">MIN(L179,P179)</f>
        <v>233</v>
      </c>
      <c r="X179" t="b">
        <v>0</v>
      </c>
      <c r="Z179" t="s">
        <v>6062</v>
      </c>
      <c r="AA179" s="606" t="s">
        <v>6066</v>
      </c>
      <c r="AB179">
        <v>16837906</v>
      </c>
    </row>
    <row r="180" spans="1:28">
      <c r="A180" s="606" t="s">
        <v>6303</v>
      </c>
      <c r="B180" t="s">
        <v>6062</v>
      </c>
      <c r="C180" t="s">
        <v>6304</v>
      </c>
      <c r="D180" t="s">
        <v>6305</v>
      </c>
      <c r="E180" t="s">
        <v>1751</v>
      </c>
      <c r="F180" t="s">
        <v>5717</v>
      </c>
      <c r="H180" s="606" t="s">
        <v>6306</v>
      </c>
      <c r="I180" s="605">
        <v>46209</v>
      </c>
      <c r="J180" s="605"/>
      <c r="K180" t="s">
        <v>6062</v>
      </c>
      <c r="L180" s="603">
        <v>551</v>
      </c>
      <c r="M180" s="603">
        <v>550.16</v>
      </c>
      <c r="N180" s="603">
        <f t="shared" si="28"/>
        <v>0.84000000000003183</v>
      </c>
      <c r="O180" s="604">
        <f t="shared" si="29"/>
        <v>0.99847549909255895</v>
      </c>
      <c r="P180" s="603">
        <v>750</v>
      </c>
      <c r="R180" t="b">
        <v>0</v>
      </c>
      <c r="S180" t="b">
        <v>0</v>
      </c>
      <c r="T180">
        <f t="shared" si="30"/>
        <v>60</v>
      </c>
      <c r="U180" s="605">
        <v>46149</v>
      </c>
      <c r="V180" s="1109" t="str">
        <f t="shared" si="31"/>
        <v>2026-05</v>
      </c>
      <c r="W180" s="603">
        <f t="shared" si="32"/>
        <v>551</v>
      </c>
      <c r="X180" t="b">
        <v>0</v>
      </c>
      <c r="Z180" t="s">
        <v>6062</v>
      </c>
      <c r="AA180" s="606" t="s">
        <v>6066</v>
      </c>
      <c r="AB180">
        <v>16801354</v>
      </c>
    </row>
    <row r="181" spans="1:28">
      <c r="A181" s="606" t="s">
        <v>6307</v>
      </c>
      <c r="B181" t="s">
        <v>6062</v>
      </c>
      <c r="C181" t="s">
        <v>11195</v>
      </c>
      <c r="D181" t="s">
        <v>6308</v>
      </c>
      <c r="E181" t="s">
        <v>1751</v>
      </c>
      <c r="F181" t="s">
        <v>5717</v>
      </c>
      <c r="H181" s="606" t="s">
        <v>6309</v>
      </c>
      <c r="I181" s="605">
        <v>46210</v>
      </c>
      <c r="J181" s="605"/>
      <c r="K181" t="s">
        <v>6062</v>
      </c>
      <c r="L181" s="603">
        <v>533</v>
      </c>
      <c r="M181" s="603">
        <v>533</v>
      </c>
      <c r="N181" s="603">
        <f t="shared" si="28"/>
        <v>0</v>
      </c>
      <c r="O181" s="604">
        <f t="shared" si="29"/>
        <v>1</v>
      </c>
      <c r="P181" s="603">
        <v>750</v>
      </c>
      <c r="R181" t="b">
        <v>0</v>
      </c>
      <c r="S181" t="b">
        <v>0</v>
      </c>
      <c r="T181">
        <f>I181-U181</f>
        <v>60</v>
      </c>
      <c r="U181" s="605">
        <v>46150</v>
      </c>
      <c r="V181" s="1109" t="str">
        <f t="shared" si="31"/>
        <v>2026-05</v>
      </c>
      <c r="W181" s="603">
        <f t="shared" si="32"/>
        <v>533</v>
      </c>
      <c r="X181" t="b">
        <v>0</v>
      </c>
      <c r="Z181" t="s">
        <v>6062</v>
      </c>
      <c r="AA181" s="606" t="s">
        <v>6066</v>
      </c>
      <c r="AB181">
        <v>16801098</v>
      </c>
    </row>
    <row r="182" spans="1:28">
      <c r="A182" s="606" t="s">
        <v>6310</v>
      </c>
      <c r="B182" t="s">
        <v>6062</v>
      </c>
      <c r="C182" t="s">
        <v>6311</v>
      </c>
      <c r="D182" t="s">
        <v>4191</v>
      </c>
      <c r="E182" t="s">
        <v>1751</v>
      </c>
      <c r="F182" t="s">
        <v>5717</v>
      </c>
      <c r="H182" s="606" t="s">
        <v>6312</v>
      </c>
      <c r="I182" s="605">
        <v>46209</v>
      </c>
      <c r="J182" s="605"/>
      <c r="K182" t="s">
        <v>6062</v>
      </c>
      <c r="L182" s="603">
        <v>584</v>
      </c>
      <c r="M182" s="603">
        <v>583.26</v>
      </c>
      <c r="N182" s="603">
        <f t="shared" si="28"/>
        <v>0.74000000000000909</v>
      </c>
      <c r="O182" s="604">
        <f t="shared" si="29"/>
        <v>0.9987328767123288</v>
      </c>
      <c r="P182" s="603">
        <v>750</v>
      </c>
      <c r="R182" t="b">
        <v>0</v>
      </c>
      <c r="S182" t="b">
        <v>0</v>
      </c>
      <c r="T182">
        <f t="shared" si="30"/>
        <v>60</v>
      </c>
      <c r="U182" s="605">
        <v>46149</v>
      </c>
      <c r="V182" s="1109" t="str">
        <f t="shared" si="31"/>
        <v>2026-05</v>
      </c>
      <c r="W182" s="603">
        <f t="shared" si="32"/>
        <v>584</v>
      </c>
      <c r="X182" t="b">
        <v>0</v>
      </c>
      <c r="Z182" t="s">
        <v>6062</v>
      </c>
      <c r="AA182" s="606" t="s">
        <v>6066</v>
      </c>
      <c r="AB182">
        <v>16801025</v>
      </c>
    </row>
    <row r="183" spans="1:28">
      <c r="A183" s="606" t="s">
        <v>6313</v>
      </c>
      <c r="B183" t="s">
        <v>6062</v>
      </c>
      <c r="C183" t="s">
        <v>6314</v>
      </c>
      <c r="D183" t="s">
        <v>2941</v>
      </c>
      <c r="E183" t="s">
        <v>1751</v>
      </c>
      <c r="F183" t="s">
        <v>5717</v>
      </c>
      <c r="G183" t="s">
        <v>5718</v>
      </c>
      <c r="H183" s="606" t="s">
        <v>6315</v>
      </c>
      <c r="I183" s="605">
        <v>46211</v>
      </c>
      <c r="J183" s="605"/>
      <c r="K183" t="s">
        <v>6062</v>
      </c>
      <c r="L183" s="603">
        <v>3741</v>
      </c>
      <c r="M183" s="603">
        <v>750</v>
      </c>
      <c r="N183" s="603">
        <f t="shared" si="28"/>
        <v>2991</v>
      </c>
      <c r="O183" s="604">
        <f t="shared" si="29"/>
        <v>0.20048115477145148</v>
      </c>
      <c r="P183" s="603">
        <v>750</v>
      </c>
      <c r="R183" t="b">
        <v>0</v>
      </c>
      <c r="S183" t="b">
        <v>0</v>
      </c>
      <c r="T183">
        <f t="shared" si="30"/>
        <v>56</v>
      </c>
      <c r="U183" s="605">
        <v>46155</v>
      </c>
      <c r="V183" s="1109" t="str">
        <f t="shared" si="31"/>
        <v>2026-05</v>
      </c>
      <c r="W183" s="603">
        <f t="shared" si="32"/>
        <v>750</v>
      </c>
      <c r="X183" t="b">
        <v>0</v>
      </c>
      <c r="Z183" t="s">
        <v>6062</v>
      </c>
      <c r="AA183" s="606" t="s">
        <v>6066</v>
      </c>
      <c r="AB183">
        <v>16801446</v>
      </c>
    </row>
    <row r="184" spans="1:28">
      <c r="A184" s="606" t="s">
        <v>6316</v>
      </c>
      <c r="B184" t="s">
        <v>6062</v>
      </c>
      <c r="C184" t="s">
        <v>11188</v>
      </c>
      <c r="D184" t="s">
        <v>6317</v>
      </c>
      <c r="E184" t="s">
        <v>1751</v>
      </c>
      <c r="F184" t="s">
        <v>5717</v>
      </c>
      <c r="H184" s="606" t="s">
        <v>6318</v>
      </c>
      <c r="I184" s="605">
        <v>46216</v>
      </c>
      <c r="J184" s="605"/>
      <c r="K184" t="s">
        <v>6062</v>
      </c>
      <c r="L184" s="603">
        <v>455</v>
      </c>
      <c r="M184" s="603">
        <v>455</v>
      </c>
      <c r="N184" s="603">
        <f t="shared" si="28"/>
        <v>0</v>
      </c>
      <c r="O184" s="604">
        <f t="shared" si="29"/>
        <v>1</v>
      </c>
      <c r="P184" s="603">
        <v>750</v>
      </c>
      <c r="R184" t="b">
        <v>0</v>
      </c>
      <c r="S184" t="b">
        <v>0</v>
      </c>
      <c r="T184">
        <f>I184-U184</f>
        <v>59</v>
      </c>
      <c r="U184" s="605">
        <v>46157</v>
      </c>
      <c r="V184" s="1109" t="str">
        <f t="shared" si="31"/>
        <v>2026-05</v>
      </c>
      <c r="W184" s="603">
        <f t="shared" si="32"/>
        <v>455</v>
      </c>
      <c r="X184" t="b">
        <v>0</v>
      </c>
      <c r="Z184" t="s">
        <v>6062</v>
      </c>
      <c r="AA184" s="606" t="s">
        <v>6066</v>
      </c>
      <c r="AB184">
        <v>16801173</v>
      </c>
    </row>
    <row r="185" spans="1:28">
      <c r="A185" s="606" t="s">
        <v>6319</v>
      </c>
      <c r="B185" t="s">
        <v>6062</v>
      </c>
      <c r="C185" t="s">
        <v>6320</v>
      </c>
      <c r="D185" t="s">
        <v>2646</v>
      </c>
      <c r="E185" t="s">
        <v>1751</v>
      </c>
      <c r="F185" t="s">
        <v>5743</v>
      </c>
      <c r="G185" t="s">
        <v>5743</v>
      </c>
      <c r="H185" s="606" t="s">
        <v>6321</v>
      </c>
      <c r="I185" s="605">
        <v>46225</v>
      </c>
      <c r="J185" s="605"/>
      <c r="K185" t="s">
        <v>6062</v>
      </c>
      <c r="L185" s="603">
        <v>2455</v>
      </c>
      <c r="M185" s="603">
        <v>0</v>
      </c>
      <c r="N185" s="603">
        <f t="shared" ref="N185:N191" si="33">L185-M185</f>
        <v>2455</v>
      </c>
      <c r="O185" s="604">
        <f t="shared" ref="O185:O191" si="34">IF(L185=0,"",M185/L185)</f>
        <v>0</v>
      </c>
      <c r="P185" s="603">
        <v>750</v>
      </c>
      <c r="Q185" t="s">
        <v>5745</v>
      </c>
      <c r="R185" t="b">
        <v>0</v>
      </c>
      <c r="S185" t="b">
        <v>0</v>
      </c>
      <c r="T185">
        <f t="shared" ref="T185:T191" si="35">I185-U185</f>
        <v>56</v>
      </c>
      <c r="U185" s="605">
        <v>46169</v>
      </c>
      <c r="V185" s="1109" t="str">
        <f t="shared" ref="V185:V191" si="36">TEXT(U185,"YYYY-MM")</f>
        <v>2026-05</v>
      </c>
      <c r="W185" s="603">
        <f t="shared" ref="W185:W191" si="37">MIN(L185,P185)</f>
        <v>750</v>
      </c>
      <c r="X185" t="b">
        <v>0</v>
      </c>
      <c r="Z185" t="s">
        <v>6062</v>
      </c>
      <c r="AA185" s="606" t="s">
        <v>6066</v>
      </c>
      <c r="AB185">
        <v>16801475</v>
      </c>
    </row>
    <row r="186" spans="1:28">
      <c r="A186" s="606" t="s">
        <v>6322</v>
      </c>
      <c r="B186" t="s">
        <v>6062</v>
      </c>
      <c r="C186" t="s">
        <v>6323</v>
      </c>
      <c r="D186" t="s">
        <v>2676</v>
      </c>
      <c r="E186" t="s">
        <v>1751</v>
      </c>
      <c r="F186" t="s">
        <v>2724</v>
      </c>
      <c r="G186" t="s">
        <v>5789</v>
      </c>
      <c r="H186" s="606" t="s">
        <v>6324</v>
      </c>
      <c r="I186" s="605">
        <v>46225</v>
      </c>
      <c r="J186" s="605"/>
      <c r="K186" t="s">
        <v>6062</v>
      </c>
      <c r="L186" s="603">
        <v>10234.719999999999</v>
      </c>
      <c r="M186" s="603">
        <v>0</v>
      </c>
      <c r="N186" s="603">
        <f t="shared" si="33"/>
        <v>10234.719999999999</v>
      </c>
      <c r="O186" s="604">
        <f t="shared" si="34"/>
        <v>0</v>
      </c>
      <c r="P186" s="603">
        <v>750</v>
      </c>
      <c r="R186" t="b">
        <v>0</v>
      </c>
      <c r="S186" t="b">
        <v>1</v>
      </c>
      <c r="T186">
        <f t="shared" si="35"/>
        <v>56</v>
      </c>
      <c r="U186" s="605">
        <v>46169</v>
      </c>
      <c r="V186" s="1109" t="str">
        <f t="shared" si="36"/>
        <v>2026-05</v>
      </c>
      <c r="W186" s="603">
        <f t="shared" si="37"/>
        <v>750</v>
      </c>
      <c r="X186" t="b">
        <v>1</v>
      </c>
      <c r="Y186" t="s">
        <v>6325</v>
      </c>
      <c r="Z186" t="s">
        <v>6062</v>
      </c>
      <c r="AA186" s="606" t="s">
        <v>6066</v>
      </c>
      <c r="AB186">
        <v>16801335</v>
      </c>
    </row>
    <row r="187" spans="1:28">
      <c r="A187" s="606" t="s">
        <v>6326</v>
      </c>
      <c r="B187" t="s">
        <v>6062</v>
      </c>
      <c r="C187" t="s">
        <v>6327</v>
      </c>
      <c r="D187" t="s">
        <v>2654</v>
      </c>
      <c r="E187" t="s">
        <v>1751</v>
      </c>
      <c r="F187" t="s">
        <v>5717</v>
      </c>
      <c r="G187" t="s">
        <v>5718</v>
      </c>
      <c r="H187" s="606" t="s">
        <v>6328</v>
      </c>
      <c r="I187" s="605">
        <v>46225</v>
      </c>
      <c r="J187" s="605"/>
      <c r="K187" t="s">
        <v>6062</v>
      </c>
      <c r="L187" s="603">
        <v>2732.06</v>
      </c>
      <c r="M187" s="603">
        <v>750</v>
      </c>
      <c r="N187" s="603">
        <f t="shared" si="33"/>
        <v>1982.06</v>
      </c>
      <c r="O187" s="604">
        <f t="shared" si="34"/>
        <v>0.27451812917725088</v>
      </c>
      <c r="P187" s="603">
        <v>750</v>
      </c>
      <c r="R187" t="b">
        <v>0</v>
      </c>
      <c r="S187" t="b">
        <v>0</v>
      </c>
      <c r="T187">
        <f t="shared" si="35"/>
        <v>56</v>
      </c>
      <c r="U187" s="605">
        <v>46169</v>
      </c>
      <c r="V187" s="1109" t="str">
        <f t="shared" si="36"/>
        <v>2026-05</v>
      </c>
      <c r="W187" s="603">
        <f t="shared" si="37"/>
        <v>750</v>
      </c>
      <c r="X187" t="b">
        <v>0</v>
      </c>
      <c r="Z187" t="s">
        <v>6062</v>
      </c>
      <c r="AA187" s="606" t="s">
        <v>6066</v>
      </c>
      <c r="AB187">
        <v>16801165</v>
      </c>
    </row>
    <row r="188" spans="1:28">
      <c r="A188" s="606" t="s">
        <v>6329</v>
      </c>
      <c r="B188" t="s">
        <v>6062</v>
      </c>
      <c r="C188" t="s">
        <v>11197</v>
      </c>
      <c r="D188" t="s">
        <v>2466</v>
      </c>
      <c r="E188" t="s">
        <v>1751</v>
      </c>
      <c r="F188" t="s">
        <v>5717</v>
      </c>
      <c r="G188" t="s">
        <v>5718</v>
      </c>
      <c r="H188" s="606" t="s">
        <v>6330</v>
      </c>
      <c r="I188" s="605">
        <v>46225</v>
      </c>
      <c r="J188" s="605"/>
      <c r="K188" t="s">
        <v>6062</v>
      </c>
      <c r="L188" s="603">
        <v>4267</v>
      </c>
      <c r="M188" s="603">
        <v>750</v>
      </c>
      <c r="N188" s="603">
        <f t="shared" si="33"/>
        <v>3517</v>
      </c>
      <c r="O188" s="604">
        <f t="shared" si="34"/>
        <v>0.17576751816264355</v>
      </c>
      <c r="P188" s="603">
        <v>750</v>
      </c>
      <c r="R188" t="b">
        <v>0</v>
      </c>
      <c r="S188" t="b">
        <v>0</v>
      </c>
      <c r="T188">
        <f t="shared" si="35"/>
        <v>55</v>
      </c>
      <c r="U188" s="605">
        <v>46170</v>
      </c>
      <c r="V188" s="1109" t="str">
        <f t="shared" si="36"/>
        <v>2026-05</v>
      </c>
      <c r="W188" s="603">
        <f t="shared" si="37"/>
        <v>750</v>
      </c>
      <c r="X188" t="b">
        <v>0</v>
      </c>
      <c r="Z188" t="s">
        <v>6062</v>
      </c>
      <c r="AA188" s="606" t="s">
        <v>6066</v>
      </c>
      <c r="AB188">
        <v>16801060</v>
      </c>
    </row>
    <row r="189" spans="1:28">
      <c r="A189" s="606" t="s">
        <v>6331</v>
      </c>
      <c r="B189" t="s">
        <v>6062</v>
      </c>
      <c r="C189" t="s">
        <v>11198</v>
      </c>
      <c r="D189" t="s">
        <v>2700</v>
      </c>
      <c r="E189" t="s">
        <v>1751</v>
      </c>
      <c r="F189" t="s">
        <v>5743</v>
      </c>
      <c r="G189" t="s">
        <v>5743</v>
      </c>
      <c r="H189" s="606" t="s">
        <v>6332</v>
      </c>
      <c r="I189" s="605">
        <v>46225</v>
      </c>
      <c r="J189" s="605"/>
      <c r="K189" t="s">
        <v>6062</v>
      </c>
      <c r="L189" s="603">
        <v>5246</v>
      </c>
      <c r="M189" s="603">
        <v>0</v>
      </c>
      <c r="N189" s="603">
        <f t="shared" si="33"/>
        <v>5246</v>
      </c>
      <c r="O189" s="604">
        <f t="shared" si="34"/>
        <v>0</v>
      </c>
      <c r="P189" s="603">
        <v>750</v>
      </c>
      <c r="Q189" t="s">
        <v>5745</v>
      </c>
      <c r="R189" t="b">
        <v>0</v>
      </c>
      <c r="S189" t="b">
        <v>0</v>
      </c>
      <c r="T189">
        <f t="shared" si="35"/>
        <v>56</v>
      </c>
      <c r="U189" s="605">
        <v>46169</v>
      </c>
      <c r="V189" s="1109" t="str">
        <f t="shared" si="36"/>
        <v>2026-05</v>
      </c>
      <c r="W189" s="603">
        <f t="shared" si="37"/>
        <v>750</v>
      </c>
      <c r="X189" t="b">
        <v>0</v>
      </c>
      <c r="Z189" t="s">
        <v>6062</v>
      </c>
      <c r="AA189" s="606" t="s">
        <v>6066</v>
      </c>
      <c r="AB189">
        <v>16801057</v>
      </c>
    </row>
    <row r="190" spans="1:28">
      <c r="A190" s="606" t="s">
        <v>6333</v>
      </c>
      <c r="B190" t="s">
        <v>6062</v>
      </c>
      <c r="C190" t="s">
        <v>6334</v>
      </c>
      <c r="D190" t="s">
        <v>2658</v>
      </c>
      <c r="E190" t="s">
        <v>1751</v>
      </c>
      <c r="F190" t="s">
        <v>5743</v>
      </c>
      <c r="G190" t="s">
        <v>5743</v>
      </c>
      <c r="H190" s="606" t="s">
        <v>6335</v>
      </c>
      <c r="I190" s="605">
        <v>46225</v>
      </c>
      <c r="J190" s="605"/>
      <c r="K190" t="s">
        <v>6062</v>
      </c>
      <c r="L190" s="603">
        <v>8380.7199999999993</v>
      </c>
      <c r="M190" s="603">
        <v>0</v>
      </c>
      <c r="N190" s="603">
        <f t="shared" si="33"/>
        <v>8380.7199999999993</v>
      </c>
      <c r="O190" s="604">
        <f t="shared" si="34"/>
        <v>0</v>
      </c>
      <c r="P190" s="603">
        <v>750</v>
      </c>
      <c r="Q190" t="s">
        <v>5745</v>
      </c>
      <c r="R190" t="b">
        <v>0</v>
      </c>
      <c r="S190" t="b">
        <v>0</v>
      </c>
      <c r="T190">
        <f t="shared" si="35"/>
        <v>56</v>
      </c>
      <c r="U190" s="605">
        <v>46169</v>
      </c>
      <c r="V190" s="1109" t="str">
        <f t="shared" si="36"/>
        <v>2026-05</v>
      </c>
      <c r="W190" s="603">
        <f t="shared" si="37"/>
        <v>750</v>
      </c>
      <c r="X190" t="b">
        <v>0</v>
      </c>
      <c r="Z190" t="s">
        <v>6062</v>
      </c>
      <c r="AA190" s="606" t="s">
        <v>6066</v>
      </c>
      <c r="AB190">
        <v>16801028</v>
      </c>
    </row>
    <row r="191" spans="1:28">
      <c r="A191" s="606" t="s">
        <v>6336</v>
      </c>
      <c r="B191" t="s">
        <v>6062</v>
      </c>
      <c r="C191" t="s">
        <v>6337</v>
      </c>
      <c r="D191" t="s">
        <v>2627</v>
      </c>
      <c r="E191" t="s">
        <v>1751</v>
      </c>
      <c r="F191" t="s">
        <v>5743</v>
      </c>
      <c r="H191" s="606" t="s">
        <v>6338</v>
      </c>
      <c r="I191" s="605">
        <v>46225</v>
      </c>
      <c r="J191" s="605"/>
      <c r="K191" t="s">
        <v>6062</v>
      </c>
      <c r="L191" s="603">
        <v>11635.72</v>
      </c>
      <c r="M191" s="603">
        <v>0</v>
      </c>
      <c r="N191" s="603">
        <f t="shared" si="33"/>
        <v>11635.72</v>
      </c>
      <c r="O191" s="604">
        <f t="shared" si="34"/>
        <v>0</v>
      </c>
      <c r="P191" s="603">
        <v>750</v>
      </c>
      <c r="Q191" t="s">
        <v>5745</v>
      </c>
      <c r="R191" t="b">
        <v>0</v>
      </c>
      <c r="S191" t="b">
        <v>0</v>
      </c>
      <c r="T191">
        <f t="shared" si="35"/>
        <v>56</v>
      </c>
      <c r="U191" s="605">
        <v>46169</v>
      </c>
      <c r="V191" s="1109" t="str">
        <f t="shared" si="36"/>
        <v>2026-05</v>
      </c>
      <c r="W191" s="603">
        <f t="shared" si="37"/>
        <v>750</v>
      </c>
      <c r="X191" t="b">
        <v>0</v>
      </c>
      <c r="Z191" t="s">
        <v>6062</v>
      </c>
      <c r="AA191" s="606" t="s">
        <v>6066</v>
      </c>
      <c r="AB191">
        <v>16800970</v>
      </c>
    </row>
    <row r="192" spans="1:28">
      <c r="A192" s="606" t="s">
        <v>6339</v>
      </c>
      <c r="B192" t="s">
        <v>6062</v>
      </c>
      <c r="C192" t="s">
        <v>6340</v>
      </c>
      <c r="D192" t="s">
        <v>2545</v>
      </c>
      <c r="E192" t="s">
        <v>1751</v>
      </c>
      <c r="F192" t="s">
        <v>5717</v>
      </c>
      <c r="H192" s="606" t="s">
        <v>6341</v>
      </c>
      <c r="I192" s="605">
        <v>46232</v>
      </c>
      <c r="J192" s="605"/>
      <c r="K192" t="s">
        <v>6062</v>
      </c>
      <c r="L192" s="603">
        <v>208</v>
      </c>
      <c r="M192" s="603">
        <v>208</v>
      </c>
      <c r="N192" s="603">
        <f t="shared" ref="N192:N205" si="38">L192-M192</f>
        <v>0</v>
      </c>
      <c r="O192" s="604">
        <f t="shared" ref="O192:O205" si="39">IF(L192=0,"",M192/L192)</f>
        <v>1</v>
      </c>
      <c r="P192" s="603">
        <v>1500</v>
      </c>
      <c r="R192" t="b">
        <v>0</v>
      </c>
      <c r="S192" t="b">
        <v>0</v>
      </c>
      <c r="T192">
        <f t="shared" ref="T192:T205" si="40">I192-U192</f>
        <v>54</v>
      </c>
      <c r="U192" s="605">
        <v>46178</v>
      </c>
      <c r="V192" s="1109" t="str">
        <f t="shared" ref="V192:V205" si="41">TEXT(U192,"YYYY-MM")</f>
        <v>2026-06</v>
      </c>
      <c r="W192" s="603">
        <f t="shared" ref="W192:W205" si="42">MIN(L192,P192)</f>
        <v>208</v>
      </c>
      <c r="X192" t="b">
        <v>0</v>
      </c>
      <c r="Z192" t="s">
        <v>6062</v>
      </c>
      <c r="AA192" s="606" t="s">
        <v>6066</v>
      </c>
      <c r="AB192">
        <v>16801235</v>
      </c>
    </row>
    <row r="193" spans="1:28">
      <c r="A193" s="606" t="s">
        <v>6342</v>
      </c>
      <c r="B193" t="s">
        <v>6062</v>
      </c>
      <c r="C193" t="s">
        <v>6343</v>
      </c>
      <c r="D193" t="s">
        <v>2698</v>
      </c>
      <c r="E193" t="s">
        <v>1751</v>
      </c>
      <c r="F193" t="s">
        <v>5717</v>
      </c>
      <c r="G193" t="s">
        <v>5718</v>
      </c>
      <c r="H193" s="606" t="s">
        <v>6344</v>
      </c>
      <c r="I193" s="605">
        <v>46232</v>
      </c>
      <c r="J193" s="605"/>
      <c r="K193" t="s">
        <v>6062</v>
      </c>
      <c r="L193" s="603">
        <v>4976.72</v>
      </c>
      <c r="M193" s="603">
        <v>750</v>
      </c>
      <c r="N193" s="603">
        <f t="shared" si="38"/>
        <v>4226.72</v>
      </c>
      <c r="O193" s="604">
        <f t="shared" si="39"/>
        <v>0.15070166696137213</v>
      </c>
      <c r="P193" s="603">
        <v>750</v>
      </c>
      <c r="R193" t="b">
        <v>0</v>
      </c>
      <c r="S193" t="b">
        <v>0</v>
      </c>
      <c r="T193">
        <f t="shared" si="40"/>
        <v>49</v>
      </c>
      <c r="U193" s="605">
        <v>46183</v>
      </c>
      <c r="V193" s="1109" t="str">
        <f t="shared" si="41"/>
        <v>2026-06</v>
      </c>
      <c r="W193" s="603">
        <f t="shared" si="42"/>
        <v>750</v>
      </c>
      <c r="X193" t="b">
        <v>0</v>
      </c>
      <c r="Z193" t="s">
        <v>6062</v>
      </c>
      <c r="AA193" s="606" t="s">
        <v>6066</v>
      </c>
      <c r="AB193">
        <v>16801604</v>
      </c>
    </row>
    <row r="194" spans="1:28">
      <c r="A194" s="606" t="s">
        <v>6345</v>
      </c>
      <c r="B194" t="s">
        <v>6062</v>
      </c>
      <c r="C194" t="s">
        <v>6346</v>
      </c>
      <c r="D194" t="s">
        <v>2692</v>
      </c>
      <c r="E194" t="s">
        <v>1751</v>
      </c>
      <c r="F194" t="s">
        <v>2724</v>
      </c>
      <c r="H194" s="606" t="s">
        <v>6347</v>
      </c>
      <c r="I194" s="605">
        <v>46230</v>
      </c>
      <c r="J194" s="605"/>
      <c r="K194" t="s">
        <v>6062</v>
      </c>
      <c r="L194" s="603">
        <v>8197.66</v>
      </c>
      <c r="M194" s="603">
        <v>0</v>
      </c>
      <c r="N194" s="603">
        <f t="shared" si="38"/>
        <v>8197.66</v>
      </c>
      <c r="O194" s="604">
        <f t="shared" si="39"/>
        <v>0</v>
      </c>
      <c r="P194" s="603">
        <v>750</v>
      </c>
      <c r="R194" t="b">
        <v>0</v>
      </c>
      <c r="S194" t="b">
        <v>1</v>
      </c>
      <c r="T194">
        <f t="shared" si="40"/>
        <v>60</v>
      </c>
      <c r="U194" s="605">
        <v>46170</v>
      </c>
      <c r="V194" s="1109" t="str">
        <f t="shared" si="41"/>
        <v>2026-05</v>
      </c>
      <c r="W194" s="603">
        <f t="shared" si="42"/>
        <v>750</v>
      </c>
      <c r="X194" t="b">
        <v>1</v>
      </c>
      <c r="Y194" t="s">
        <v>6194</v>
      </c>
      <c r="Z194" t="s">
        <v>6062</v>
      </c>
      <c r="AA194" s="606" t="s">
        <v>6066</v>
      </c>
      <c r="AB194">
        <v>16801573</v>
      </c>
    </row>
    <row r="195" spans="1:28">
      <c r="A195" s="606" t="s">
        <v>6348</v>
      </c>
      <c r="B195" t="s">
        <v>6062</v>
      </c>
      <c r="C195" t="s">
        <v>6349</v>
      </c>
      <c r="D195" t="s">
        <v>2493</v>
      </c>
      <c r="E195" t="s">
        <v>1751</v>
      </c>
      <c r="F195" t="s">
        <v>5743</v>
      </c>
      <c r="H195" s="606" t="s">
        <v>6350</v>
      </c>
      <c r="I195" s="605">
        <v>46232</v>
      </c>
      <c r="J195" s="605"/>
      <c r="K195" t="s">
        <v>6062</v>
      </c>
      <c r="L195" s="603">
        <v>9288</v>
      </c>
      <c r="M195" s="603">
        <v>0</v>
      </c>
      <c r="N195" s="603">
        <f t="shared" si="38"/>
        <v>9288</v>
      </c>
      <c r="O195" s="604">
        <f t="shared" si="39"/>
        <v>0</v>
      </c>
      <c r="P195" s="603">
        <v>750</v>
      </c>
      <c r="Q195" t="s">
        <v>5745</v>
      </c>
      <c r="R195" t="b">
        <v>0</v>
      </c>
      <c r="S195" t="b">
        <v>0</v>
      </c>
      <c r="T195">
        <f t="shared" si="40"/>
        <v>57</v>
      </c>
      <c r="U195" s="605">
        <v>46175</v>
      </c>
      <c r="V195" s="1109" t="str">
        <f t="shared" si="41"/>
        <v>2026-06</v>
      </c>
      <c r="W195" s="603">
        <f t="shared" si="42"/>
        <v>750</v>
      </c>
      <c r="X195" t="b">
        <v>0</v>
      </c>
      <c r="Z195" t="s">
        <v>6062</v>
      </c>
      <c r="AA195" s="606" t="s">
        <v>6066</v>
      </c>
      <c r="AB195">
        <v>16801467</v>
      </c>
    </row>
    <row r="196" spans="1:28">
      <c r="A196" s="606" t="s">
        <v>6351</v>
      </c>
      <c r="B196" t="s">
        <v>6062</v>
      </c>
      <c r="C196" t="s">
        <v>6352</v>
      </c>
      <c r="D196" t="s">
        <v>2488</v>
      </c>
      <c r="E196" t="s">
        <v>1751</v>
      </c>
      <c r="F196" t="s">
        <v>2724</v>
      </c>
      <c r="G196" t="s">
        <v>5789</v>
      </c>
      <c r="H196" s="606" t="s">
        <v>6353</v>
      </c>
      <c r="I196" s="605">
        <v>46230</v>
      </c>
      <c r="J196" s="605"/>
      <c r="K196" t="s">
        <v>6062</v>
      </c>
      <c r="L196" s="603">
        <v>1501</v>
      </c>
      <c r="M196" s="603">
        <v>0</v>
      </c>
      <c r="N196" s="603">
        <f t="shared" si="38"/>
        <v>1501</v>
      </c>
      <c r="O196" s="604">
        <f t="shared" si="39"/>
        <v>0</v>
      </c>
      <c r="P196" s="603">
        <v>750</v>
      </c>
      <c r="R196" t="b">
        <v>0</v>
      </c>
      <c r="S196" t="b">
        <v>1</v>
      </c>
      <c r="T196">
        <f t="shared" si="40"/>
        <v>60</v>
      </c>
      <c r="U196" s="605">
        <v>46170</v>
      </c>
      <c r="V196" s="1109" t="str">
        <f t="shared" si="41"/>
        <v>2026-05</v>
      </c>
      <c r="W196" s="603">
        <f t="shared" si="42"/>
        <v>750</v>
      </c>
      <c r="X196" t="b">
        <v>1</v>
      </c>
      <c r="Y196" t="s">
        <v>6194</v>
      </c>
      <c r="Z196" t="s">
        <v>6062</v>
      </c>
      <c r="AA196" s="606" t="s">
        <v>6066</v>
      </c>
      <c r="AB196">
        <v>16801457</v>
      </c>
    </row>
    <row r="197" spans="1:28">
      <c r="A197" s="606" t="s">
        <v>6354</v>
      </c>
      <c r="B197" t="s">
        <v>6062</v>
      </c>
      <c r="C197" t="s">
        <v>11179</v>
      </c>
      <c r="D197" t="s">
        <v>2407</v>
      </c>
      <c r="E197" t="s">
        <v>1751</v>
      </c>
      <c r="F197" t="s">
        <v>5717</v>
      </c>
      <c r="G197" t="s">
        <v>5718</v>
      </c>
      <c r="H197" s="606" t="s">
        <v>6355</v>
      </c>
      <c r="I197" s="605">
        <v>46232</v>
      </c>
      <c r="J197" s="605"/>
      <c r="K197" t="s">
        <v>6062</v>
      </c>
      <c r="L197" s="603">
        <v>2358.9</v>
      </c>
      <c r="M197" s="603">
        <v>750</v>
      </c>
      <c r="N197" s="603">
        <f t="shared" si="38"/>
        <v>1608.9</v>
      </c>
      <c r="O197" s="604">
        <f t="shared" si="39"/>
        <v>0.31794480478188986</v>
      </c>
      <c r="P197" s="603">
        <v>750</v>
      </c>
      <c r="R197" t="b">
        <v>0</v>
      </c>
      <c r="S197" t="b">
        <v>0</v>
      </c>
      <c r="T197">
        <f t="shared" si="40"/>
        <v>50</v>
      </c>
      <c r="U197" s="605">
        <v>46182</v>
      </c>
      <c r="V197" s="1109" t="str">
        <f t="shared" si="41"/>
        <v>2026-06</v>
      </c>
      <c r="W197" s="603">
        <f t="shared" si="42"/>
        <v>750</v>
      </c>
      <c r="X197" t="b">
        <v>0</v>
      </c>
      <c r="Z197" t="s">
        <v>6062</v>
      </c>
      <c r="AA197" s="606" t="s">
        <v>6066</v>
      </c>
      <c r="AB197">
        <v>16801442</v>
      </c>
    </row>
    <row r="198" spans="1:28">
      <c r="A198" s="606" t="s">
        <v>6356</v>
      </c>
      <c r="B198" t="s">
        <v>6062</v>
      </c>
      <c r="C198" t="s">
        <v>6357</v>
      </c>
      <c r="D198" t="s">
        <v>2455</v>
      </c>
      <c r="E198" t="s">
        <v>1751</v>
      </c>
      <c r="F198" t="s">
        <v>2724</v>
      </c>
      <c r="H198" s="606" t="s">
        <v>6358</v>
      </c>
      <c r="I198" s="605">
        <v>46231</v>
      </c>
      <c r="J198" s="605"/>
      <c r="K198" t="s">
        <v>6062</v>
      </c>
      <c r="L198" s="603">
        <v>2360</v>
      </c>
      <c r="M198" s="603">
        <v>0</v>
      </c>
      <c r="N198" s="603">
        <f t="shared" si="38"/>
        <v>2360</v>
      </c>
      <c r="O198" s="604">
        <f t="shared" si="39"/>
        <v>0</v>
      </c>
      <c r="P198" s="603">
        <v>750</v>
      </c>
      <c r="R198" t="b">
        <v>0</v>
      </c>
      <c r="S198" t="b">
        <v>1</v>
      </c>
      <c r="T198">
        <f t="shared" si="40"/>
        <v>60</v>
      </c>
      <c r="U198" s="605">
        <v>46171</v>
      </c>
      <c r="V198" s="1109" t="str">
        <f t="shared" si="41"/>
        <v>2026-05</v>
      </c>
      <c r="W198" s="603">
        <f t="shared" si="42"/>
        <v>750</v>
      </c>
      <c r="X198" t="b">
        <v>1</v>
      </c>
      <c r="Y198" t="s">
        <v>6359</v>
      </c>
      <c r="Z198" t="s">
        <v>6062</v>
      </c>
      <c r="AA198" s="606" t="s">
        <v>6066</v>
      </c>
      <c r="AB198">
        <v>16801389</v>
      </c>
    </row>
    <row r="199" spans="1:28">
      <c r="A199" s="606" t="s">
        <v>6360</v>
      </c>
      <c r="B199" t="s">
        <v>6062</v>
      </c>
      <c r="C199" t="s">
        <v>11181</v>
      </c>
      <c r="D199" t="s">
        <v>2652</v>
      </c>
      <c r="E199" t="s">
        <v>1751</v>
      </c>
      <c r="F199" t="s">
        <v>5717</v>
      </c>
      <c r="G199" t="s">
        <v>5718</v>
      </c>
      <c r="H199" s="606" t="s">
        <v>6361</v>
      </c>
      <c r="I199" s="605">
        <v>46231</v>
      </c>
      <c r="J199" s="605"/>
      <c r="K199" t="s">
        <v>6062</v>
      </c>
      <c r="L199" s="603">
        <v>2423.9</v>
      </c>
      <c r="M199" s="603">
        <v>750</v>
      </c>
      <c r="N199" s="603">
        <f t="shared" si="38"/>
        <v>1673.9</v>
      </c>
      <c r="O199" s="604">
        <f t="shared" si="39"/>
        <v>0.30941870539213662</v>
      </c>
      <c r="P199" s="603">
        <v>750</v>
      </c>
      <c r="R199" t="b">
        <v>0</v>
      </c>
      <c r="S199" t="b">
        <v>0</v>
      </c>
      <c r="T199">
        <f t="shared" si="40"/>
        <v>60</v>
      </c>
      <c r="U199" s="605">
        <v>46171</v>
      </c>
      <c r="V199" s="1109" t="str">
        <f t="shared" si="41"/>
        <v>2026-05</v>
      </c>
      <c r="W199" s="603">
        <f t="shared" si="42"/>
        <v>750</v>
      </c>
      <c r="X199" t="b">
        <v>0</v>
      </c>
      <c r="Z199" t="s">
        <v>6062</v>
      </c>
      <c r="AA199" s="606" t="s">
        <v>6066</v>
      </c>
      <c r="AB199">
        <v>16801371</v>
      </c>
    </row>
    <row r="200" spans="1:28">
      <c r="A200" s="606" t="s">
        <v>6362</v>
      </c>
      <c r="B200" t="s">
        <v>6062</v>
      </c>
      <c r="C200" t="s">
        <v>11183</v>
      </c>
      <c r="D200" t="s">
        <v>2609</v>
      </c>
      <c r="E200" t="s">
        <v>1751</v>
      </c>
      <c r="F200" t="s">
        <v>5717</v>
      </c>
      <c r="G200" t="s">
        <v>5718</v>
      </c>
      <c r="H200" s="606" t="s">
        <v>6363</v>
      </c>
      <c r="I200" s="605">
        <v>46232</v>
      </c>
      <c r="J200" s="605"/>
      <c r="K200" t="s">
        <v>6062</v>
      </c>
      <c r="L200" s="603">
        <v>1119</v>
      </c>
      <c r="M200" s="603">
        <v>750</v>
      </c>
      <c r="N200" s="603">
        <f t="shared" si="38"/>
        <v>369</v>
      </c>
      <c r="O200" s="604">
        <f t="shared" si="39"/>
        <v>0.67024128686327078</v>
      </c>
      <c r="P200" s="603">
        <v>750</v>
      </c>
      <c r="R200" t="b">
        <v>0</v>
      </c>
      <c r="S200" t="b">
        <v>0</v>
      </c>
      <c r="T200">
        <f t="shared" si="40"/>
        <v>57</v>
      </c>
      <c r="U200" s="605">
        <v>46175</v>
      </c>
      <c r="V200" s="1109" t="str">
        <f t="shared" si="41"/>
        <v>2026-06</v>
      </c>
      <c r="W200" s="603">
        <f t="shared" si="42"/>
        <v>750</v>
      </c>
      <c r="X200" t="b">
        <v>0</v>
      </c>
      <c r="Z200" t="s">
        <v>6062</v>
      </c>
      <c r="AA200" s="606" t="s">
        <v>6066</v>
      </c>
      <c r="AB200">
        <v>16801272</v>
      </c>
    </row>
    <row r="201" spans="1:28">
      <c r="A201" s="606" t="s">
        <v>6364</v>
      </c>
      <c r="B201" t="s">
        <v>6062</v>
      </c>
      <c r="C201" t="s">
        <v>11184</v>
      </c>
      <c r="D201" t="s">
        <v>2529</v>
      </c>
      <c r="E201" t="s">
        <v>1751</v>
      </c>
      <c r="F201" t="s">
        <v>5717</v>
      </c>
      <c r="H201" s="606" t="s">
        <v>6365</v>
      </c>
      <c r="I201" s="605">
        <v>46232</v>
      </c>
      <c r="J201" s="605"/>
      <c r="K201" t="s">
        <v>6062</v>
      </c>
      <c r="L201" s="603">
        <v>675</v>
      </c>
      <c r="M201" s="603">
        <v>675</v>
      </c>
      <c r="N201" s="603">
        <f t="shared" si="38"/>
        <v>0</v>
      </c>
      <c r="O201" s="604">
        <f t="shared" si="39"/>
        <v>1</v>
      </c>
      <c r="P201" s="603">
        <v>750</v>
      </c>
      <c r="R201" t="b">
        <v>0</v>
      </c>
      <c r="S201" t="b">
        <v>0</v>
      </c>
      <c r="T201">
        <f t="shared" si="40"/>
        <v>60</v>
      </c>
      <c r="U201" s="605">
        <v>46172</v>
      </c>
      <c r="V201" s="1109" t="str">
        <f t="shared" si="41"/>
        <v>2026-05</v>
      </c>
      <c r="W201" s="603">
        <f t="shared" si="42"/>
        <v>675</v>
      </c>
      <c r="X201" t="b">
        <v>0</v>
      </c>
      <c r="Z201" t="s">
        <v>6062</v>
      </c>
      <c r="AA201" s="606" t="s">
        <v>6066</v>
      </c>
      <c r="AB201">
        <v>16801270</v>
      </c>
    </row>
    <row r="202" spans="1:28">
      <c r="A202" s="606" t="s">
        <v>6366</v>
      </c>
      <c r="B202" t="s">
        <v>6062</v>
      </c>
      <c r="C202" t="s">
        <v>6367</v>
      </c>
      <c r="D202" t="s">
        <v>2617</v>
      </c>
      <c r="E202" t="s">
        <v>1751</v>
      </c>
      <c r="F202" t="s">
        <v>2724</v>
      </c>
      <c r="G202" t="s">
        <v>5789</v>
      </c>
      <c r="H202" s="606" t="s">
        <v>6368</v>
      </c>
      <c r="I202" s="605">
        <v>46230</v>
      </c>
      <c r="J202" s="605"/>
      <c r="K202" t="s">
        <v>6062</v>
      </c>
      <c r="L202" s="603">
        <v>5417</v>
      </c>
      <c r="M202" s="603">
        <v>0</v>
      </c>
      <c r="N202" s="603">
        <f t="shared" si="38"/>
        <v>5417</v>
      </c>
      <c r="O202" s="604">
        <f t="shared" si="39"/>
        <v>0</v>
      </c>
      <c r="P202" s="603">
        <v>750</v>
      </c>
      <c r="R202" t="b">
        <v>0</v>
      </c>
      <c r="S202" t="b">
        <v>1</v>
      </c>
      <c r="T202">
        <f t="shared" si="40"/>
        <v>60</v>
      </c>
      <c r="U202" s="605">
        <v>46170</v>
      </c>
      <c r="V202" s="1109" t="str">
        <f t="shared" si="41"/>
        <v>2026-05</v>
      </c>
      <c r="W202" s="603">
        <f t="shared" si="42"/>
        <v>750</v>
      </c>
      <c r="X202" t="b">
        <v>1</v>
      </c>
      <c r="Y202" t="s">
        <v>2009</v>
      </c>
      <c r="Z202" t="s">
        <v>6062</v>
      </c>
      <c r="AA202" s="606" t="s">
        <v>6066</v>
      </c>
      <c r="AB202">
        <v>16801227</v>
      </c>
    </row>
    <row r="203" spans="1:28">
      <c r="A203" s="606" t="s">
        <v>6369</v>
      </c>
      <c r="B203" t="s">
        <v>6062</v>
      </c>
      <c r="C203" t="s">
        <v>11189</v>
      </c>
      <c r="D203" t="s">
        <v>2583</v>
      </c>
      <c r="E203" t="s">
        <v>1751</v>
      </c>
      <c r="F203" t="s">
        <v>5717</v>
      </c>
      <c r="H203" s="606" t="s">
        <v>6370</v>
      </c>
      <c r="I203" s="605">
        <v>46232</v>
      </c>
      <c r="J203" s="605"/>
      <c r="K203" t="s">
        <v>6062</v>
      </c>
      <c r="L203" s="603">
        <v>491.75</v>
      </c>
      <c r="M203" s="603">
        <v>491.75</v>
      </c>
      <c r="N203" s="603">
        <f t="shared" si="38"/>
        <v>0</v>
      </c>
      <c r="O203" s="604">
        <f t="shared" si="39"/>
        <v>1</v>
      </c>
      <c r="P203" s="603">
        <v>750</v>
      </c>
      <c r="R203" t="b">
        <v>0</v>
      </c>
      <c r="S203" t="b">
        <v>0</v>
      </c>
      <c r="T203">
        <f t="shared" si="40"/>
        <v>54</v>
      </c>
      <c r="U203" s="605">
        <v>46178</v>
      </c>
      <c r="V203" s="1109" t="str">
        <f t="shared" si="41"/>
        <v>2026-06</v>
      </c>
      <c r="W203" s="603">
        <f t="shared" si="42"/>
        <v>491.75</v>
      </c>
      <c r="X203" t="b">
        <v>0</v>
      </c>
      <c r="Z203" t="s">
        <v>6062</v>
      </c>
      <c r="AA203" s="606" t="s">
        <v>6066</v>
      </c>
      <c r="AB203">
        <v>16801171</v>
      </c>
    </row>
    <row r="204" spans="1:28">
      <c r="A204" s="606" t="s">
        <v>6371</v>
      </c>
      <c r="B204" t="s">
        <v>6062</v>
      </c>
      <c r="C204" t="s">
        <v>6372</v>
      </c>
      <c r="D204" t="s">
        <v>2409</v>
      </c>
      <c r="E204" t="s">
        <v>1751</v>
      </c>
      <c r="F204" t="s">
        <v>2724</v>
      </c>
      <c r="G204" t="s">
        <v>5789</v>
      </c>
      <c r="H204" s="606" t="s">
        <v>6373</v>
      </c>
      <c r="I204" s="605">
        <v>46231</v>
      </c>
      <c r="J204" s="605"/>
      <c r="K204" t="s">
        <v>6062</v>
      </c>
      <c r="L204" s="603">
        <v>2830.72</v>
      </c>
      <c r="M204" s="603">
        <v>0</v>
      </c>
      <c r="N204" s="603">
        <f t="shared" si="38"/>
        <v>2830.72</v>
      </c>
      <c r="O204" s="604">
        <f t="shared" si="39"/>
        <v>0</v>
      </c>
      <c r="P204" s="603">
        <v>750</v>
      </c>
      <c r="R204" t="b">
        <v>0</v>
      </c>
      <c r="S204" t="b">
        <v>1</v>
      </c>
      <c r="T204">
        <f t="shared" si="40"/>
        <v>60</v>
      </c>
      <c r="U204" s="605">
        <v>46171</v>
      </c>
      <c r="V204" s="1109" t="str">
        <f t="shared" si="41"/>
        <v>2026-05</v>
      </c>
      <c r="W204" s="603">
        <f t="shared" si="42"/>
        <v>750</v>
      </c>
      <c r="X204" t="b">
        <v>1</v>
      </c>
      <c r="Y204" t="s">
        <v>6359</v>
      </c>
      <c r="Z204" t="s">
        <v>6062</v>
      </c>
      <c r="AA204" s="606" t="s">
        <v>6066</v>
      </c>
      <c r="AB204">
        <v>16801019</v>
      </c>
    </row>
    <row r="205" spans="1:28">
      <c r="A205" s="606" t="s">
        <v>6374</v>
      </c>
      <c r="B205" t="s">
        <v>6062</v>
      </c>
      <c r="C205" t="s">
        <v>6375</v>
      </c>
      <c r="D205" t="s">
        <v>2706</v>
      </c>
      <c r="E205" t="s">
        <v>1751</v>
      </c>
      <c r="F205" t="s">
        <v>2724</v>
      </c>
      <c r="H205" s="606" t="s">
        <v>6376</v>
      </c>
      <c r="I205" s="605">
        <v>46230</v>
      </c>
      <c r="J205" s="605"/>
      <c r="K205" t="s">
        <v>6062</v>
      </c>
      <c r="L205" s="603">
        <v>8769</v>
      </c>
      <c r="M205" s="603">
        <v>0</v>
      </c>
      <c r="N205" s="603">
        <f t="shared" si="38"/>
        <v>8769</v>
      </c>
      <c r="O205" s="604">
        <f t="shared" si="39"/>
        <v>0</v>
      </c>
      <c r="P205" s="603">
        <v>750</v>
      </c>
      <c r="R205" t="b">
        <v>0</v>
      </c>
      <c r="S205" t="b">
        <v>1</v>
      </c>
      <c r="T205">
        <f t="shared" si="40"/>
        <v>60</v>
      </c>
      <c r="U205" s="605">
        <v>46170</v>
      </c>
      <c r="V205" s="1109" t="str">
        <f t="shared" si="41"/>
        <v>2026-05</v>
      </c>
      <c r="W205" s="603">
        <f t="shared" si="42"/>
        <v>750</v>
      </c>
      <c r="X205" t="b">
        <v>1</v>
      </c>
      <c r="Y205" t="s">
        <v>6194</v>
      </c>
      <c r="Z205" t="s">
        <v>6062</v>
      </c>
      <c r="AA205" s="606" t="s">
        <v>6066</v>
      </c>
      <c r="AB205">
        <v>16800980</v>
      </c>
    </row>
    <row r="206" spans="1:28">
      <c r="A206" s="606" t="s">
        <v>11204</v>
      </c>
      <c r="B206" t="s">
        <v>6062</v>
      </c>
      <c r="C206" t="s">
        <v>11205</v>
      </c>
      <c r="D206" t="s">
        <v>2517</v>
      </c>
      <c r="E206" t="s">
        <v>1751</v>
      </c>
      <c r="F206" t="s">
        <v>8234</v>
      </c>
      <c r="H206" s="606" t="s">
        <v>11206</v>
      </c>
      <c r="I206" s="605">
        <v>46245</v>
      </c>
      <c r="J206" s="605"/>
      <c r="K206" t="s">
        <v>6062</v>
      </c>
      <c r="L206" s="603">
        <v>1135</v>
      </c>
      <c r="M206" s="603">
        <v>0</v>
      </c>
      <c r="N206" s="603">
        <f>L206-M206</f>
        <v>1135</v>
      </c>
      <c r="O206" s="604">
        <f>IF(L206=0,"",M206/L206)</f>
        <v>0</v>
      </c>
      <c r="P206" s="603">
        <v>750</v>
      </c>
      <c r="R206" t="b">
        <v>0</v>
      </c>
      <c r="S206" t="b">
        <v>0</v>
      </c>
      <c r="T206">
        <f>I206-U206</f>
        <v>60</v>
      </c>
      <c r="U206" s="605">
        <v>46185</v>
      </c>
      <c r="V206" s="1109" t="str">
        <f>TEXT(U206,"YYYY-MM")</f>
        <v>2026-06</v>
      </c>
      <c r="W206" s="603">
        <f>MIN(L206,P206)</f>
        <v>750</v>
      </c>
      <c r="X206" t="b">
        <v>0</v>
      </c>
      <c r="Z206" t="s">
        <v>6062</v>
      </c>
      <c r="AA206" s="606" t="s">
        <v>6066</v>
      </c>
      <c r="AB206">
        <v>16801331</v>
      </c>
    </row>
    <row r="207" spans="1:28">
      <c r="A207" s="606" t="s">
        <v>11207</v>
      </c>
      <c r="B207" t="s">
        <v>6062</v>
      </c>
      <c r="C207" t="s">
        <v>11208</v>
      </c>
      <c r="D207" t="s">
        <v>2640</v>
      </c>
      <c r="E207" t="s">
        <v>1751</v>
      </c>
      <c r="F207" t="s">
        <v>8234</v>
      </c>
      <c r="H207" s="606" t="s">
        <v>11209</v>
      </c>
      <c r="I207" s="605">
        <v>46245</v>
      </c>
      <c r="J207" s="605"/>
      <c r="K207" t="s">
        <v>6062</v>
      </c>
      <c r="L207" s="603">
        <v>1872.25</v>
      </c>
      <c r="M207" s="603">
        <v>0</v>
      </c>
      <c r="N207" s="603">
        <f>L207-M207</f>
        <v>1872.25</v>
      </c>
      <c r="O207" s="604">
        <f>IF(L207=0,"",M207/L207)</f>
        <v>0</v>
      </c>
      <c r="P207" s="603">
        <v>750</v>
      </c>
      <c r="R207" t="b">
        <v>0</v>
      </c>
      <c r="S207" t="b">
        <v>0</v>
      </c>
      <c r="T207">
        <f>I207-U207</f>
        <v>59</v>
      </c>
      <c r="U207" s="605">
        <v>46186</v>
      </c>
      <c r="V207" s="1109" t="str">
        <f>TEXT(U207,"YYYY-MM")</f>
        <v>2026-06</v>
      </c>
      <c r="W207" s="603">
        <f>MIN(L207,P207)</f>
        <v>750</v>
      </c>
      <c r="X207" t="b">
        <v>0</v>
      </c>
      <c r="Z207" t="s">
        <v>6062</v>
      </c>
      <c r="AA207" s="606" t="s">
        <v>6066</v>
      </c>
      <c r="AB207">
        <v>16801265</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8E37CE-276B-43E7-95D9-A8028BEBB15E}">
  <sheetPr>
    <tabColor theme="6" tint="-0.499984740745262"/>
  </sheetPr>
  <dimension ref="A1:N881"/>
  <sheetViews>
    <sheetView workbookViewId="0">
      <selection sqref="A1:XFD1048576"/>
    </sheetView>
  </sheetViews>
  <sheetFormatPr defaultRowHeight="14.4"/>
  <sheetData>
    <row r="1" spans="1:14">
      <c r="A1" t="s">
        <v>1760</v>
      </c>
      <c r="B1" t="s">
        <v>2231</v>
      </c>
      <c r="C1" t="s">
        <v>2912</v>
      </c>
      <c r="D1" t="s">
        <v>6377</v>
      </c>
      <c r="E1" t="s">
        <v>1138</v>
      </c>
      <c r="F1" t="s">
        <v>2383</v>
      </c>
      <c r="G1" t="s">
        <v>2384</v>
      </c>
      <c r="H1" t="s">
        <v>2385</v>
      </c>
      <c r="I1" t="s">
        <v>6378</v>
      </c>
      <c r="J1" t="s">
        <v>2740</v>
      </c>
      <c r="K1" t="s">
        <v>6379</v>
      </c>
      <c r="L1" t="s">
        <v>6380</v>
      </c>
      <c r="M1" t="s">
        <v>6381</v>
      </c>
      <c r="N1" t="s">
        <v>6382</v>
      </c>
    </row>
    <row r="2" spans="1:14">
      <c r="A2" t="s">
        <v>4598</v>
      </c>
      <c r="B2" t="s">
        <v>1023</v>
      </c>
      <c r="C2">
        <v>420</v>
      </c>
      <c r="D2" t="s">
        <v>6383</v>
      </c>
      <c r="E2" t="s">
        <v>6384</v>
      </c>
      <c r="J2">
        <v>863</v>
      </c>
      <c r="K2">
        <v>0</v>
      </c>
      <c r="L2">
        <v>0</v>
      </c>
      <c r="N2">
        <v>0</v>
      </c>
    </row>
    <row r="3" spans="1:14">
      <c r="A3" t="s">
        <v>2574</v>
      </c>
      <c r="B3" t="s">
        <v>1023</v>
      </c>
      <c r="C3">
        <v>420</v>
      </c>
      <c r="D3" t="s">
        <v>2252</v>
      </c>
      <c r="E3" t="s">
        <v>2575</v>
      </c>
      <c r="F3" s="455">
        <v>44302</v>
      </c>
      <c r="G3" s="455">
        <v>46113</v>
      </c>
      <c r="H3" s="455">
        <v>46477</v>
      </c>
      <c r="J3">
        <v>743</v>
      </c>
      <c r="K3" s="456">
        <v>1162.23</v>
      </c>
      <c r="L3">
        <v>944</v>
      </c>
      <c r="M3">
        <v>612.23</v>
      </c>
      <c r="N3">
        <v>0</v>
      </c>
    </row>
    <row r="4" spans="1:14">
      <c r="A4" t="s">
        <v>1578</v>
      </c>
      <c r="B4" t="s">
        <v>1023</v>
      </c>
      <c r="C4">
        <v>420</v>
      </c>
      <c r="D4" t="s">
        <v>2252</v>
      </c>
      <c r="E4" t="s">
        <v>3795</v>
      </c>
      <c r="F4" s="455">
        <v>46200</v>
      </c>
      <c r="G4" s="455">
        <v>46200</v>
      </c>
      <c r="H4" s="455">
        <v>46564</v>
      </c>
      <c r="J4">
        <v>798</v>
      </c>
      <c r="K4">
        <v>876.6</v>
      </c>
      <c r="L4">
        <v>872</v>
      </c>
      <c r="M4">
        <v>0</v>
      </c>
      <c r="N4">
        <v>0</v>
      </c>
    </row>
    <row r="5" spans="1:14">
      <c r="A5" t="s">
        <v>2576</v>
      </c>
      <c r="B5" t="s">
        <v>1023</v>
      </c>
      <c r="C5">
        <v>420</v>
      </c>
      <c r="D5" t="s">
        <v>6383</v>
      </c>
      <c r="E5" t="s">
        <v>6384</v>
      </c>
      <c r="J5">
        <v>863</v>
      </c>
      <c r="K5">
        <v>0</v>
      </c>
      <c r="L5">
        <v>0</v>
      </c>
      <c r="N5">
        <v>0</v>
      </c>
    </row>
    <row r="6" spans="1:14">
      <c r="A6" t="s">
        <v>6385</v>
      </c>
      <c r="B6" t="s">
        <v>1023</v>
      </c>
      <c r="C6">
        <v>420</v>
      </c>
      <c r="D6" t="s">
        <v>2252</v>
      </c>
      <c r="E6" t="s">
        <v>6386</v>
      </c>
      <c r="F6" s="455">
        <v>45172</v>
      </c>
      <c r="G6" s="455">
        <v>45901</v>
      </c>
      <c r="H6" s="455">
        <v>46265</v>
      </c>
      <c r="J6">
        <v>743</v>
      </c>
      <c r="K6">
        <v>817.93</v>
      </c>
      <c r="L6">
        <v>950.5</v>
      </c>
      <c r="M6">
        <v>0</v>
      </c>
      <c r="N6">
        <v>0</v>
      </c>
    </row>
    <row r="7" spans="1:14">
      <c r="A7" t="s">
        <v>6387</v>
      </c>
      <c r="B7" t="s">
        <v>1023</v>
      </c>
      <c r="C7">
        <v>420</v>
      </c>
      <c r="D7" t="s">
        <v>2252</v>
      </c>
      <c r="E7" t="s">
        <v>6388</v>
      </c>
      <c r="F7" s="455">
        <v>44348</v>
      </c>
      <c r="G7" s="455">
        <v>46174</v>
      </c>
      <c r="H7" s="455">
        <v>46538</v>
      </c>
      <c r="J7">
        <v>848</v>
      </c>
      <c r="K7" s="456">
        <v>1278.28</v>
      </c>
      <c r="L7" s="456">
        <v>1062</v>
      </c>
      <c r="M7">
        <v>0</v>
      </c>
      <c r="N7">
        <v>0</v>
      </c>
    </row>
    <row r="8" spans="1:14">
      <c r="A8" t="s">
        <v>1544</v>
      </c>
      <c r="B8" t="s">
        <v>1023</v>
      </c>
      <c r="C8">
        <v>420</v>
      </c>
      <c r="D8" t="s">
        <v>6389</v>
      </c>
      <c r="E8" t="s">
        <v>6384</v>
      </c>
      <c r="J8">
        <v>768</v>
      </c>
      <c r="K8">
        <v>0</v>
      </c>
      <c r="L8">
        <v>0</v>
      </c>
      <c r="N8">
        <v>0</v>
      </c>
    </row>
    <row r="9" spans="1:14">
      <c r="A9" t="s">
        <v>6390</v>
      </c>
      <c r="B9" t="s">
        <v>1023</v>
      </c>
      <c r="C9">
        <v>420</v>
      </c>
      <c r="D9" t="s">
        <v>2252</v>
      </c>
      <c r="E9" t="s">
        <v>6391</v>
      </c>
      <c r="F9" s="455">
        <v>41891</v>
      </c>
      <c r="G9" s="455">
        <v>45931</v>
      </c>
      <c r="H9" s="455">
        <v>46295</v>
      </c>
      <c r="J9">
        <v>743</v>
      </c>
      <c r="K9">
        <v>956.93</v>
      </c>
      <c r="L9">
        <v>840</v>
      </c>
      <c r="M9">
        <v>0</v>
      </c>
      <c r="N9">
        <v>200</v>
      </c>
    </row>
    <row r="10" spans="1:14">
      <c r="A10" t="s">
        <v>1575</v>
      </c>
      <c r="B10" t="s">
        <v>1023</v>
      </c>
      <c r="C10">
        <v>420</v>
      </c>
      <c r="D10" t="s">
        <v>6383</v>
      </c>
      <c r="E10" t="s">
        <v>6384</v>
      </c>
      <c r="J10">
        <v>753</v>
      </c>
      <c r="K10">
        <v>0</v>
      </c>
      <c r="L10">
        <v>0</v>
      </c>
    </row>
    <row r="11" spans="1:14">
      <c r="A11" t="s">
        <v>5984</v>
      </c>
      <c r="B11" t="s">
        <v>1023</v>
      </c>
      <c r="C11">
        <v>420</v>
      </c>
      <c r="D11" t="s">
        <v>6389</v>
      </c>
      <c r="E11" t="s">
        <v>6384</v>
      </c>
      <c r="J11">
        <v>813</v>
      </c>
      <c r="K11">
        <v>0</v>
      </c>
      <c r="L11">
        <v>0</v>
      </c>
      <c r="N11">
        <v>0</v>
      </c>
    </row>
    <row r="12" spans="1:14">
      <c r="A12" t="s">
        <v>6392</v>
      </c>
      <c r="B12" t="s">
        <v>1023</v>
      </c>
      <c r="C12">
        <v>420</v>
      </c>
      <c r="D12" t="s">
        <v>2252</v>
      </c>
      <c r="E12" t="s">
        <v>6393</v>
      </c>
      <c r="F12" s="455">
        <v>45078</v>
      </c>
      <c r="G12" s="455">
        <v>46174</v>
      </c>
      <c r="H12" s="455">
        <v>46538</v>
      </c>
      <c r="J12">
        <v>788</v>
      </c>
      <c r="K12" s="456">
        <v>1171.28</v>
      </c>
      <c r="L12" s="456">
        <v>1084</v>
      </c>
      <c r="M12">
        <v>0</v>
      </c>
      <c r="N12">
        <v>0</v>
      </c>
    </row>
    <row r="13" spans="1:14">
      <c r="A13" t="s">
        <v>6394</v>
      </c>
      <c r="B13" t="s">
        <v>1023</v>
      </c>
      <c r="C13">
        <v>420</v>
      </c>
      <c r="D13" t="s">
        <v>6389</v>
      </c>
      <c r="E13" t="s">
        <v>6384</v>
      </c>
      <c r="J13">
        <v>753</v>
      </c>
      <c r="K13">
        <v>0</v>
      </c>
      <c r="L13">
        <v>0</v>
      </c>
      <c r="N13">
        <v>0</v>
      </c>
    </row>
    <row r="14" spans="1:14">
      <c r="A14" t="s">
        <v>1591</v>
      </c>
      <c r="B14" t="s">
        <v>1023</v>
      </c>
      <c r="C14">
        <v>420</v>
      </c>
      <c r="D14" t="s">
        <v>6389</v>
      </c>
      <c r="E14" t="s">
        <v>6384</v>
      </c>
      <c r="J14">
        <v>798</v>
      </c>
      <c r="K14">
        <v>0</v>
      </c>
      <c r="L14">
        <v>0</v>
      </c>
      <c r="N14">
        <v>0</v>
      </c>
    </row>
    <row r="15" spans="1:14">
      <c r="A15" t="s">
        <v>6395</v>
      </c>
      <c r="B15" t="s">
        <v>1023</v>
      </c>
      <c r="C15">
        <v>420</v>
      </c>
      <c r="D15" t="s">
        <v>2252</v>
      </c>
      <c r="E15" t="s">
        <v>6396</v>
      </c>
      <c r="F15" s="455">
        <v>38078</v>
      </c>
      <c r="G15" s="455">
        <v>46073</v>
      </c>
      <c r="H15" s="455">
        <v>46437</v>
      </c>
      <c r="J15">
        <v>743</v>
      </c>
      <c r="K15">
        <v>838.23</v>
      </c>
      <c r="L15">
        <v>742</v>
      </c>
      <c r="M15">
        <v>-21.77</v>
      </c>
      <c r="N15">
        <v>150</v>
      </c>
    </row>
    <row r="16" spans="1:14">
      <c r="A16" t="s">
        <v>5943</v>
      </c>
      <c r="B16" t="s">
        <v>1023</v>
      </c>
      <c r="C16">
        <v>420</v>
      </c>
      <c r="D16" t="s">
        <v>2252</v>
      </c>
      <c r="E16" t="s">
        <v>6397</v>
      </c>
      <c r="F16" s="455">
        <v>46165</v>
      </c>
      <c r="G16" s="455">
        <v>46165</v>
      </c>
      <c r="H16" s="455">
        <v>46529</v>
      </c>
      <c r="J16">
        <v>798</v>
      </c>
      <c r="K16">
        <v>895.95</v>
      </c>
      <c r="L16">
        <v>872</v>
      </c>
      <c r="M16">
        <v>0</v>
      </c>
      <c r="N16">
        <v>0</v>
      </c>
    </row>
    <row r="17" spans="1:14">
      <c r="A17" t="s">
        <v>6398</v>
      </c>
      <c r="B17" t="s">
        <v>1023</v>
      </c>
      <c r="C17">
        <v>420</v>
      </c>
      <c r="D17" t="s">
        <v>2252</v>
      </c>
      <c r="E17" t="s">
        <v>6399</v>
      </c>
      <c r="F17" s="455">
        <v>45535</v>
      </c>
      <c r="G17" s="455">
        <v>45901</v>
      </c>
      <c r="H17" s="455">
        <v>46265</v>
      </c>
      <c r="J17">
        <v>768</v>
      </c>
      <c r="K17">
        <v>968.28</v>
      </c>
      <c r="L17">
        <v>880.5</v>
      </c>
      <c r="M17">
        <v>0</v>
      </c>
      <c r="N17">
        <v>750</v>
      </c>
    </row>
    <row r="18" spans="1:14">
      <c r="A18" t="s">
        <v>2587</v>
      </c>
      <c r="B18" t="s">
        <v>1023</v>
      </c>
      <c r="C18">
        <v>420</v>
      </c>
      <c r="D18" t="s">
        <v>6389</v>
      </c>
      <c r="E18" t="s">
        <v>6384</v>
      </c>
      <c r="J18">
        <v>743</v>
      </c>
      <c r="K18">
        <v>0</v>
      </c>
      <c r="L18">
        <v>0</v>
      </c>
      <c r="N18">
        <v>0</v>
      </c>
    </row>
    <row r="19" spans="1:14">
      <c r="A19" t="s">
        <v>6400</v>
      </c>
      <c r="B19" t="s">
        <v>1023</v>
      </c>
      <c r="C19">
        <v>420</v>
      </c>
      <c r="D19" t="s">
        <v>2252</v>
      </c>
      <c r="E19" t="s">
        <v>6401</v>
      </c>
      <c r="F19" s="455">
        <v>44036</v>
      </c>
      <c r="G19" s="455">
        <v>45870</v>
      </c>
      <c r="J19">
        <v>848</v>
      </c>
      <c r="K19" s="456">
        <v>1509.28</v>
      </c>
      <c r="L19" s="456">
        <v>1421.49</v>
      </c>
      <c r="M19">
        <v>0</v>
      </c>
      <c r="N19">
        <v>150</v>
      </c>
    </row>
    <row r="20" spans="1:14">
      <c r="A20" t="s">
        <v>1533</v>
      </c>
      <c r="B20" t="s">
        <v>1023</v>
      </c>
      <c r="C20">
        <v>420</v>
      </c>
      <c r="D20" t="s">
        <v>6383</v>
      </c>
      <c r="E20" t="s">
        <v>6384</v>
      </c>
      <c r="J20">
        <v>768</v>
      </c>
      <c r="K20">
        <v>0</v>
      </c>
      <c r="L20">
        <v>0</v>
      </c>
      <c r="N20">
        <v>0</v>
      </c>
    </row>
    <row r="21" spans="1:14">
      <c r="A21" t="s">
        <v>1582</v>
      </c>
      <c r="B21" t="s">
        <v>1023</v>
      </c>
      <c r="C21">
        <v>420</v>
      </c>
      <c r="D21" t="s">
        <v>2252</v>
      </c>
      <c r="E21" t="s">
        <v>3103</v>
      </c>
      <c r="F21" s="455">
        <v>46241</v>
      </c>
      <c r="G21" s="455">
        <v>46241</v>
      </c>
      <c r="H21" s="455">
        <v>46605</v>
      </c>
      <c r="J21">
        <v>743</v>
      </c>
      <c r="K21">
        <v>661</v>
      </c>
      <c r="L21">
        <v>817</v>
      </c>
      <c r="M21">
        <v>-9</v>
      </c>
      <c r="N21">
        <v>0</v>
      </c>
    </row>
    <row r="22" spans="1:14">
      <c r="A22" t="s">
        <v>6402</v>
      </c>
      <c r="B22" t="s">
        <v>1023</v>
      </c>
      <c r="C22">
        <v>420</v>
      </c>
      <c r="D22" t="s">
        <v>2252</v>
      </c>
      <c r="E22" t="s">
        <v>6403</v>
      </c>
      <c r="F22" s="455">
        <v>42795</v>
      </c>
      <c r="G22" s="455">
        <v>45901</v>
      </c>
      <c r="H22" s="455">
        <v>46265</v>
      </c>
      <c r="J22">
        <v>753</v>
      </c>
      <c r="K22">
        <v>962.28</v>
      </c>
      <c r="L22">
        <v>874.5</v>
      </c>
      <c r="M22">
        <v>0</v>
      </c>
      <c r="N22">
        <v>250</v>
      </c>
    </row>
    <row r="23" spans="1:14">
      <c r="A23" t="s">
        <v>2595</v>
      </c>
      <c r="B23" t="s">
        <v>1023</v>
      </c>
      <c r="C23">
        <v>420</v>
      </c>
      <c r="D23" t="s">
        <v>2252</v>
      </c>
      <c r="E23" t="s">
        <v>2596</v>
      </c>
      <c r="F23" s="455">
        <v>44232</v>
      </c>
      <c r="G23" s="455">
        <v>46082</v>
      </c>
      <c r="H23" s="455">
        <v>46445</v>
      </c>
      <c r="J23">
        <v>768</v>
      </c>
      <c r="K23">
        <v>900.23</v>
      </c>
      <c r="L23">
        <v>804</v>
      </c>
      <c r="M23">
        <v>8.9499999999999993</v>
      </c>
      <c r="N23">
        <v>0</v>
      </c>
    </row>
    <row r="24" spans="1:14">
      <c r="A24" t="s">
        <v>3307</v>
      </c>
      <c r="B24" t="s">
        <v>1023</v>
      </c>
      <c r="C24">
        <v>420</v>
      </c>
      <c r="D24" t="s">
        <v>2252</v>
      </c>
      <c r="E24" t="s">
        <v>4639</v>
      </c>
      <c r="F24" s="455">
        <v>46227</v>
      </c>
      <c r="G24" s="455">
        <v>46227</v>
      </c>
      <c r="H24" s="455">
        <v>46591</v>
      </c>
      <c r="J24">
        <v>743</v>
      </c>
      <c r="K24">
        <v>74</v>
      </c>
      <c r="L24">
        <v>817</v>
      </c>
      <c r="M24">
        <v>0</v>
      </c>
      <c r="N24">
        <v>0</v>
      </c>
    </row>
    <row r="25" spans="1:14">
      <c r="A25" t="s">
        <v>1539</v>
      </c>
      <c r="B25" t="s">
        <v>1023</v>
      </c>
      <c r="C25">
        <v>420</v>
      </c>
      <c r="D25" t="s">
        <v>6389</v>
      </c>
      <c r="E25" t="s">
        <v>6384</v>
      </c>
      <c r="J25">
        <v>753</v>
      </c>
      <c r="K25">
        <v>0</v>
      </c>
      <c r="L25">
        <v>0</v>
      </c>
      <c r="N25">
        <v>0</v>
      </c>
    </row>
    <row r="26" spans="1:14">
      <c r="A26" t="s">
        <v>6404</v>
      </c>
      <c r="B26" t="s">
        <v>1023</v>
      </c>
      <c r="C26">
        <v>420</v>
      </c>
      <c r="D26" t="s">
        <v>2252</v>
      </c>
      <c r="E26" t="s">
        <v>6405</v>
      </c>
      <c r="F26" s="455">
        <v>45854</v>
      </c>
      <c r="G26" s="455">
        <v>46219</v>
      </c>
      <c r="H26" s="455">
        <v>46583</v>
      </c>
      <c r="J26">
        <v>863</v>
      </c>
      <c r="K26">
        <v>975.28</v>
      </c>
      <c r="L26">
        <v>888</v>
      </c>
      <c r="M26">
        <v>0</v>
      </c>
      <c r="N26">
        <v>750</v>
      </c>
    </row>
    <row r="27" spans="1:14">
      <c r="A27" t="s">
        <v>6406</v>
      </c>
      <c r="B27" t="s">
        <v>1023</v>
      </c>
      <c r="C27">
        <v>420</v>
      </c>
      <c r="D27" t="s">
        <v>2252</v>
      </c>
      <c r="E27" t="s">
        <v>6407</v>
      </c>
      <c r="F27" s="455">
        <v>46102</v>
      </c>
      <c r="G27" s="455">
        <v>46102</v>
      </c>
      <c r="H27" s="455">
        <v>46466</v>
      </c>
      <c r="J27">
        <v>838</v>
      </c>
      <c r="K27" s="456">
        <v>1090.98</v>
      </c>
      <c r="L27">
        <v>997</v>
      </c>
      <c r="M27">
        <v>0</v>
      </c>
      <c r="N27">
        <v>500</v>
      </c>
    </row>
    <row r="28" spans="1:14">
      <c r="A28" t="s">
        <v>1941</v>
      </c>
      <c r="B28" t="s">
        <v>1023</v>
      </c>
      <c r="C28">
        <v>420</v>
      </c>
      <c r="D28" t="s">
        <v>2252</v>
      </c>
      <c r="E28" t="s">
        <v>1942</v>
      </c>
      <c r="F28" s="455">
        <v>46093</v>
      </c>
      <c r="G28" s="455">
        <v>46093</v>
      </c>
      <c r="H28" s="455">
        <v>46457</v>
      </c>
      <c r="J28">
        <v>753</v>
      </c>
      <c r="K28">
        <v>953.23</v>
      </c>
      <c r="L28">
        <v>857</v>
      </c>
      <c r="M28">
        <v>0</v>
      </c>
      <c r="N28">
        <v>500</v>
      </c>
    </row>
    <row r="29" spans="1:14">
      <c r="A29" t="s">
        <v>4819</v>
      </c>
      <c r="B29" t="s">
        <v>1023</v>
      </c>
      <c r="C29">
        <v>420</v>
      </c>
      <c r="D29" t="s">
        <v>2252</v>
      </c>
      <c r="E29" t="s">
        <v>4818</v>
      </c>
      <c r="F29" s="455">
        <v>46234</v>
      </c>
      <c r="G29" s="455">
        <v>46234</v>
      </c>
      <c r="H29" s="455">
        <v>46598</v>
      </c>
      <c r="J29">
        <v>813</v>
      </c>
      <c r="K29">
        <v>74</v>
      </c>
      <c r="L29">
        <v>887</v>
      </c>
      <c r="M29">
        <v>0</v>
      </c>
      <c r="N29">
        <v>0</v>
      </c>
    </row>
    <row r="30" spans="1:14">
      <c r="A30" t="s">
        <v>1540</v>
      </c>
      <c r="B30" t="s">
        <v>1023</v>
      </c>
      <c r="C30">
        <v>420</v>
      </c>
      <c r="D30" t="s">
        <v>2252</v>
      </c>
      <c r="E30" t="s">
        <v>3104</v>
      </c>
      <c r="F30" s="455">
        <v>46227</v>
      </c>
      <c r="G30" s="455">
        <v>46227</v>
      </c>
      <c r="H30" s="455">
        <v>46591</v>
      </c>
      <c r="J30">
        <v>743</v>
      </c>
      <c r="K30">
        <v>74</v>
      </c>
      <c r="L30">
        <v>817</v>
      </c>
      <c r="M30">
        <v>0</v>
      </c>
      <c r="N30">
        <v>0</v>
      </c>
    </row>
    <row r="31" spans="1:14">
      <c r="A31" t="s">
        <v>3105</v>
      </c>
      <c r="B31" t="s">
        <v>1023</v>
      </c>
      <c r="C31">
        <v>420</v>
      </c>
      <c r="D31" t="s">
        <v>2252</v>
      </c>
      <c r="E31" t="s">
        <v>3107</v>
      </c>
      <c r="F31" s="455">
        <v>46212</v>
      </c>
      <c r="G31" s="455">
        <v>46212</v>
      </c>
      <c r="H31" s="455">
        <v>46576</v>
      </c>
      <c r="J31">
        <v>798</v>
      </c>
      <c r="K31">
        <v>74</v>
      </c>
      <c r="L31">
        <v>872</v>
      </c>
      <c r="M31">
        <v>0</v>
      </c>
      <c r="N31">
        <v>0</v>
      </c>
    </row>
    <row r="32" spans="1:14">
      <c r="A32" t="s">
        <v>1588</v>
      </c>
      <c r="B32" t="s">
        <v>1023</v>
      </c>
      <c r="C32">
        <v>420</v>
      </c>
      <c r="D32" t="s">
        <v>2252</v>
      </c>
      <c r="E32" t="s">
        <v>3109</v>
      </c>
      <c r="F32" s="455">
        <v>46228</v>
      </c>
      <c r="G32" s="455">
        <v>46228</v>
      </c>
      <c r="H32" s="455">
        <v>46592</v>
      </c>
      <c r="J32">
        <v>863</v>
      </c>
      <c r="K32">
        <v>129</v>
      </c>
      <c r="L32">
        <v>992</v>
      </c>
      <c r="M32">
        <v>0</v>
      </c>
      <c r="N32">
        <v>0</v>
      </c>
    </row>
    <row r="33" spans="1:14">
      <c r="A33" t="s">
        <v>6408</v>
      </c>
      <c r="B33" t="s">
        <v>1023</v>
      </c>
      <c r="C33">
        <v>420</v>
      </c>
      <c r="D33" t="s">
        <v>2252</v>
      </c>
      <c r="E33" t="s">
        <v>6409</v>
      </c>
      <c r="F33" s="455">
        <v>42305</v>
      </c>
      <c r="G33" s="455">
        <v>46174</v>
      </c>
      <c r="H33" s="455">
        <v>46538</v>
      </c>
      <c r="J33">
        <v>743</v>
      </c>
      <c r="K33" s="456">
        <v>1005.93</v>
      </c>
      <c r="L33">
        <v>889</v>
      </c>
      <c r="M33">
        <v>-4.07</v>
      </c>
      <c r="N33">
        <v>200</v>
      </c>
    </row>
    <row r="34" spans="1:14">
      <c r="A34" t="s">
        <v>6288</v>
      </c>
      <c r="B34" t="s">
        <v>1023</v>
      </c>
      <c r="C34">
        <v>420</v>
      </c>
      <c r="D34" t="s">
        <v>6389</v>
      </c>
      <c r="E34" t="s">
        <v>6384</v>
      </c>
      <c r="J34">
        <v>798</v>
      </c>
      <c r="K34">
        <v>0</v>
      </c>
      <c r="L34">
        <v>0</v>
      </c>
      <c r="N34">
        <v>0</v>
      </c>
    </row>
    <row r="35" spans="1:14">
      <c r="A35" t="s">
        <v>2636</v>
      </c>
      <c r="B35" t="s">
        <v>1023</v>
      </c>
      <c r="C35">
        <v>420</v>
      </c>
      <c r="D35" t="s">
        <v>2252</v>
      </c>
      <c r="E35" t="s">
        <v>2637</v>
      </c>
      <c r="F35" s="455">
        <v>42613</v>
      </c>
      <c r="G35" s="455">
        <v>45992</v>
      </c>
      <c r="H35" s="455">
        <v>46356</v>
      </c>
      <c r="J35">
        <v>768</v>
      </c>
      <c r="K35" s="456">
        <v>1018.28</v>
      </c>
      <c r="L35">
        <v>880.5</v>
      </c>
      <c r="M35">
        <v>153.28</v>
      </c>
      <c r="N35">
        <v>150</v>
      </c>
    </row>
    <row r="36" spans="1:14">
      <c r="A36" t="s">
        <v>6410</v>
      </c>
      <c r="B36" t="s">
        <v>1023</v>
      </c>
      <c r="C36">
        <v>420</v>
      </c>
      <c r="D36" t="s">
        <v>2252</v>
      </c>
      <c r="E36" t="s">
        <v>6411</v>
      </c>
      <c r="F36" s="455">
        <v>40558</v>
      </c>
      <c r="G36" s="455">
        <v>46113</v>
      </c>
      <c r="H36" s="455">
        <v>46477</v>
      </c>
      <c r="J36">
        <v>743</v>
      </c>
      <c r="K36" s="456">
        <v>1042.8800000000001</v>
      </c>
      <c r="L36">
        <v>911</v>
      </c>
      <c r="M36">
        <v>0</v>
      </c>
      <c r="N36">
        <v>100</v>
      </c>
    </row>
    <row r="37" spans="1:14">
      <c r="A37" t="s">
        <v>2638</v>
      </c>
      <c r="B37" t="s">
        <v>1023</v>
      </c>
      <c r="C37">
        <v>420</v>
      </c>
      <c r="D37" t="s">
        <v>6389</v>
      </c>
      <c r="E37" t="s">
        <v>6384</v>
      </c>
      <c r="J37">
        <v>753</v>
      </c>
      <c r="K37">
        <v>0</v>
      </c>
      <c r="L37">
        <v>0</v>
      </c>
      <c r="N37">
        <v>0</v>
      </c>
    </row>
    <row r="38" spans="1:14">
      <c r="A38" t="s">
        <v>1831</v>
      </c>
      <c r="B38" t="s">
        <v>2258</v>
      </c>
      <c r="C38">
        <v>505</v>
      </c>
      <c r="D38" t="s">
        <v>2252</v>
      </c>
      <c r="E38" t="s">
        <v>6412</v>
      </c>
      <c r="F38" s="455">
        <v>46125</v>
      </c>
      <c r="G38" s="455">
        <v>46125</v>
      </c>
      <c r="H38" s="455">
        <v>46489</v>
      </c>
      <c r="J38">
        <v>797</v>
      </c>
      <c r="K38">
        <v>907.37</v>
      </c>
      <c r="L38">
        <v>838</v>
      </c>
      <c r="M38">
        <v>0</v>
      </c>
      <c r="N38">
        <v>500</v>
      </c>
    </row>
    <row r="39" spans="1:14">
      <c r="A39" t="s">
        <v>3752</v>
      </c>
      <c r="B39" t="s">
        <v>2258</v>
      </c>
      <c r="C39">
        <v>505</v>
      </c>
      <c r="D39" t="s">
        <v>6389</v>
      </c>
      <c r="E39" t="s">
        <v>6384</v>
      </c>
      <c r="J39">
        <v>797</v>
      </c>
      <c r="K39">
        <v>0</v>
      </c>
      <c r="L39">
        <v>0</v>
      </c>
      <c r="N39">
        <v>0</v>
      </c>
    </row>
    <row r="40" spans="1:14">
      <c r="A40" t="s">
        <v>2388</v>
      </c>
      <c r="B40" t="s">
        <v>2258</v>
      </c>
      <c r="C40">
        <v>505</v>
      </c>
      <c r="D40" t="s">
        <v>2252</v>
      </c>
      <c r="E40" t="s">
        <v>2391</v>
      </c>
      <c r="F40" s="455">
        <v>46097</v>
      </c>
      <c r="G40" s="455">
        <v>46097</v>
      </c>
      <c r="H40" s="455">
        <v>46461</v>
      </c>
      <c r="J40">
        <v>842</v>
      </c>
      <c r="K40" s="456">
        <v>1141.75</v>
      </c>
      <c r="L40">
        <v>916</v>
      </c>
      <c r="M40" s="456">
        <v>1141.75</v>
      </c>
      <c r="N40">
        <v>0</v>
      </c>
    </row>
    <row r="41" spans="1:14">
      <c r="A41" t="s">
        <v>2393</v>
      </c>
      <c r="B41" t="s">
        <v>2258</v>
      </c>
      <c r="C41">
        <v>505</v>
      </c>
      <c r="D41" t="s">
        <v>6389</v>
      </c>
      <c r="E41" t="s">
        <v>6384</v>
      </c>
      <c r="J41">
        <v>842</v>
      </c>
      <c r="K41">
        <v>0</v>
      </c>
      <c r="L41">
        <v>0</v>
      </c>
      <c r="N41">
        <v>0</v>
      </c>
    </row>
    <row r="42" spans="1:14">
      <c r="A42" t="s">
        <v>2395</v>
      </c>
      <c r="B42" t="s">
        <v>2258</v>
      </c>
      <c r="C42">
        <v>505</v>
      </c>
      <c r="D42" t="s">
        <v>6389</v>
      </c>
      <c r="E42" t="s">
        <v>6384</v>
      </c>
      <c r="J42" s="456">
        <v>7857</v>
      </c>
      <c r="K42">
        <v>0</v>
      </c>
      <c r="L42">
        <v>0</v>
      </c>
      <c r="N42">
        <v>0</v>
      </c>
    </row>
    <row r="43" spans="1:14">
      <c r="A43" t="s">
        <v>2397</v>
      </c>
      <c r="B43" t="s">
        <v>2258</v>
      </c>
      <c r="C43">
        <v>505</v>
      </c>
      <c r="D43" t="s">
        <v>6383</v>
      </c>
      <c r="E43" t="s">
        <v>6384</v>
      </c>
      <c r="J43">
        <v>817</v>
      </c>
      <c r="K43">
        <v>0</v>
      </c>
      <c r="L43">
        <v>0</v>
      </c>
    </row>
    <row r="44" spans="1:14">
      <c r="A44" t="s">
        <v>4191</v>
      </c>
      <c r="B44" t="s">
        <v>2258</v>
      </c>
      <c r="C44">
        <v>505</v>
      </c>
      <c r="D44" t="s">
        <v>6389</v>
      </c>
      <c r="E44" t="s">
        <v>6384</v>
      </c>
      <c r="J44">
        <v>817</v>
      </c>
      <c r="K44">
        <v>0</v>
      </c>
      <c r="L44">
        <v>0</v>
      </c>
      <c r="N44">
        <v>0</v>
      </c>
    </row>
    <row r="45" spans="1:14">
      <c r="A45" t="s">
        <v>6413</v>
      </c>
      <c r="B45" t="s">
        <v>2258</v>
      </c>
      <c r="C45">
        <v>505</v>
      </c>
      <c r="D45" t="s">
        <v>2252</v>
      </c>
      <c r="E45" t="s">
        <v>6414</v>
      </c>
      <c r="F45" s="455">
        <v>45868</v>
      </c>
      <c r="G45" s="455">
        <v>46233</v>
      </c>
      <c r="H45" s="455">
        <v>46597</v>
      </c>
      <c r="J45">
        <v>772</v>
      </c>
      <c r="K45" s="456">
        <v>1068.02</v>
      </c>
      <c r="L45">
        <v>0</v>
      </c>
      <c r="M45">
        <v>0</v>
      </c>
      <c r="N45">
        <v>0</v>
      </c>
    </row>
    <row r="46" spans="1:14">
      <c r="A46" t="s">
        <v>6415</v>
      </c>
      <c r="B46" t="s">
        <v>2258</v>
      </c>
      <c r="C46">
        <v>505</v>
      </c>
      <c r="D46" t="s">
        <v>2252</v>
      </c>
      <c r="E46" t="s">
        <v>6416</v>
      </c>
      <c r="F46" s="455">
        <v>45169</v>
      </c>
      <c r="G46" s="455">
        <v>45931</v>
      </c>
      <c r="H46" s="455">
        <v>46295</v>
      </c>
      <c r="J46">
        <v>877</v>
      </c>
      <c r="K46" s="456">
        <v>1385.02</v>
      </c>
      <c r="L46" s="456">
        <v>1126.5</v>
      </c>
      <c r="M46">
        <v>0</v>
      </c>
      <c r="N46">
        <v>0</v>
      </c>
    </row>
    <row r="47" spans="1:14">
      <c r="A47" t="s">
        <v>6417</v>
      </c>
      <c r="B47" t="s">
        <v>2258</v>
      </c>
      <c r="C47">
        <v>505</v>
      </c>
      <c r="D47" t="s">
        <v>2252</v>
      </c>
      <c r="E47" t="s">
        <v>6418</v>
      </c>
      <c r="F47" s="455">
        <v>45958</v>
      </c>
      <c r="G47" s="455">
        <v>45958</v>
      </c>
      <c r="H47" s="455">
        <v>46315</v>
      </c>
      <c r="J47">
        <v>782</v>
      </c>
      <c r="K47">
        <v>477.7</v>
      </c>
      <c r="L47">
        <v>879.5</v>
      </c>
      <c r="M47">
        <v>-471.32</v>
      </c>
      <c r="N47">
        <v>0</v>
      </c>
    </row>
    <row r="48" spans="1:14">
      <c r="A48" t="s">
        <v>3258</v>
      </c>
      <c r="B48" t="s">
        <v>2258</v>
      </c>
      <c r="C48">
        <v>505</v>
      </c>
      <c r="D48" t="s">
        <v>6389</v>
      </c>
      <c r="E48" t="s">
        <v>6384</v>
      </c>
      <c r="J48">
        <v>827</v>
      </c>
      <c r="K48">
        <v>0</v>
      </c>
      <c r="L48">
        <v>0</v>
      </c>
      <c r="N48">
        <v>0</v>
      </c>
    </row>
    <row r="49" spans="1:14">
      <c r="A49" t="s">
        <v>1952</v>
      </c>
      <c r="B49" t="s">
        <v>2258</v>
      </c>
      <c r="C49">
        <v>505</v>
      </c>
      <c r="D49" t="s">
        <v>2252</v>
      </c>
      <c r="E49" t="s">
        <v>4034</v>
      </c>
      <c r="F49" s="455">
        <v>46169</v>
      </c>
      <c r="G49" s="455">
        <v>46169</v>
      </c>
      <c r="H49" s="455">
        <v>46533</v>
      </c>
      <c r="J49">
        <v>827</v>
      </c>
      <c r="K49">
        <v>924.95</v>
      </c>
      <c r="L49">
        <v>901</v>
      </c>
      <c r="M49">
        <v>0</v>
      </c>
      <c r="N49">
        <v>0</v>
      </c>
    </row>
    <row r="50" spans="1:14">
      <c r="A50" t="s">
        <v>6419</v>
      </c>
      <c r="B50" t="s">
        <v>2258</v>
      </c>
      <c r="C50">
        <v>505</v>
      </c>
      <c r="D50" t="s">
        <v>2252</v>
      </c>
      <c r="E50" t="s">
        <v>6420</v>
      </c>
      <c r="F50" s="455">
        <v>45611</v>
      </c>
      <c r="G50" s="455">
        <v>45976</v>
      </c>
      <c r="H50" s="455">
        <v>46340</v>
      </c>
      <c r="J50">
        <v>842</v>
      </c>
      <c r="K50" s="456">
        <v>1008.47</v>
      </c>
      <c r="L50">
        <v>885.5</v>
      </c>
      <c r="M50">
        <v>0</v>
      </c>
      <c r="N50">
        <v>0</v>
      </c>
    </row>
    <row r="51" spans="1:14">
      <c r="A51" t="s">
        <v>6064</v>
      </c>
      <c r="B51" t="s">
        <v>2258</v>
      </c>
      <c r="C51">
        <v>505</v>
      </c>
      <c r="D51" t="s">
        <v>2251</v>
      </c>
      <c r="E51" t="s">
        <v>6421</v>
      </c>
      <c r="F51" s="455">
        <v>46088</v>
      </c>
      <c r="G51" s="455">
        <v>46119</v>
      </c>
      <c r="H51" s="455">
        <v>46273</v>
      </c>
      <c r="I51" s="455">
        <v>46273</v>
      </c>
      <c r="J51">
        <v>797</v>
      </c>
      <c r="K51">
        <v>729.42</v>
      </c>
      <c r="L51">
        <v>598.9</v>
      </c>
      <c r="M51">
        <v>0</v>
      </c>
      <c r="N51">
        <v>0</v>
      </c>
    </row>
    <row r="52" spans="1:14">
      <c r="A52" t="s">
        <v>6422</v>
      </c>
      <c r="B52" t="s">
        <v>2258</v>
      </c>
      <c r="C52">
        <v>505</v>
      </c>
      <c r="D52" t="s">
        <v>2252</v>
      </c>
      <c r="E52" t="s">
        <v>6423</v>
      </c>
      <c r="F52" s="455">
        <v>45493</v>
      </c>
      <c r="G52" s="455">
        <v>46073</v>
      </c>
      <c r="H52" s="455">
        <v>46437</v>
      </c>
      <c r="J52">
        <v>892</v>
      </c>
      <c r="K52" s="456">
        <v>1425.42</v>
      </c>
      <c r="L52" s="456">
        <v>1294</v>
      </c>
      <c r="M52">
        <v>0</v>
      </c>
      <c r="N52">
        <v>0</v>
      </c>
    </row>
    <row r="53" spans="1:14">
      <c r="A53" t="s">
        <v>2415</v>
      </c>
      <c r="B53" t="s">
        <v>2258</v>
      </c>
      <c r="C53">
        <v>505</v>
      </c>
      <c r="D53" t="s">
        <v>6389</v>
      </c>
      <c r="E53" t="s">
        <v>6384</v>
      </c>
      <c r="J53">
        <v>827</v>
      </c>
      <c r="K53">
        <v>0</v>
      </c>
      <c r="L53">
        <v>0</v>
      </c>
      <c r="N53">
        <v>0</v>
      </c>
    </row>
    <row r="54" spans="1:14">
      <c r="A54" t="s">
        <v>1903</v>
      </c>
      <c r="B54" t="s">
        <v>2258</v>
      </c>
      <c r="C54">
        <v>505</v>
      </c>
      <c r="D54" t="s">
        <v>6389</v>
      </c>
      <c r="E54" t="s">
        <v>6384</v>
      </c>
      <c r="J54">
        <v>817</v>
      </c>
      <c r="K54">
        <v>0</v>
      </c>
      <c r="L54">
        <v>0</v>
      </c>
      <c r="N54">
        <v>0</v>
      </c>
    </row>
    <row r="55" spans="1:14">
      <c r="A55" t="s">
        <v>6424</v>
      </c>
      <c r="B55" t="s">
        <v>2258</v>
      </c>
      <c r="C55">
        <v>505</v>
      </c>
      <c r="D55" t="s">
        <v>2252</v>
      </c>
      <c r="E55" t="s">
        <v>6425</v>
      </c>
      <c r="F55" s="455">
        <v>42552</v>
      </c>
      <c r="G55" s="455">
        <v>46204</v>
      </c>
      <c r="H55" s="455">
        <v>46568</v>
      </c>
      <c r="J55">
        <v>817</v>
      </c>
      <c r="K55">
        <v>980.47</v>
      </c>
      <c r="L55">
        <v>858</v>
      </c>
      <c r="M55">
        <v>0</v>
      </c>
      <c r="N55">
        <v>0</v>
      </c>
    </row>
    <row r="56" spans="1:14">
      <c r="A56" t="s">
        <v>2936</v>
      </c>
      <c r="B56" t="s">
        <v>2258</v>
      </c>
      <c r="C56">
        <v>505</v>
      </c>
      <c r="D56" t="s">
        <v>2252</v>
      </c>
      <c r="E56" t="s">
        <v>2937</v>
      </c>
      <c r="F56" s="455">
        <v>44160</v>
      </c>
      <c r="G56" s="455">
        <v>46204</v>
      </c>
      <c r="H56" s="455">
        <v>46568</v>
      </c>
      <c r="J56">
        <v>772</v>
      </c>
      <c r="K56">
        <v>906.47</v>
      </c>
      <c r="L56">
        <v>784</v>
      </c>
      <c r="M56">
        <v>0</v>
      </c>
      <c r="N56">
        <v>750</v>
      </c>
    </row>
    <row r="57" spans="1:14">
      <c r="A57" t="s">
        <v>2417</v>
      </c>
      <c r="B57" t="s">
        <v>2258</v>
      </c>
      <c r="C57">
        <v>505</v>
      </c>
      <c r="D57" t="s">
        <v>6383</v>
      </c>
      <c r="E57" t="s">
        <v>6384</v>
      </c>
      <c r="J57">
        <v>772</v>
      </c>
      <c r="K57">
        <v>0</v>
      </c>
      <c r="L57">
        <v>0</v>
      </c>
    </row>
    <row r="58" spans="1:14">
      <c r="A58" t="s">
        <v>1917</v>
      </c>
      <c r="B58" t="s">
        <v>2258</v>
      </c>
      <c r="C58">
        <v>505</v>
      </c>
      <c r="D58" t="s">
        <v>2252</v>
      </c>
      <c r="E58" t="s">
        <v>5028</v>
      </c>
      <c r="F58" s="455">
        <v>46234</v>
      </c>
      <c r="G58" s="455">
        <v>46234</v>
      </c>
      <c r="H58" s="455">
        <v>46598</v>
      </c>
      <c r="J58">
        <v>842</v>
      </c>
      <c r="K58">
        <v>74</v>
      </c>
      <c r="L58">
        <v>916</v>
      </c>
      <c r="M58">
        <v>0</v>
      </c>
      <c r="N58">
        <v>0</v>
      </c>
    </row>
    <row r="59" spans="1:14">
      <c r="A59" t="s">
        <v>6426</v>
      </c>
      <c r="B59" t="s">
        <v>2258</v>
      </c>
      <c r="C59">
        <v>505</v>
      </c>
      <c r="D59" t="s">
        <v>2252</v>
      </c>
      <c r="E59" t="s">
        <v>6427</v>
      </c>
      <c r="F59" s="455">
        <v>45047</v>
      </c>
      <c r="G59" s="455">
        <v>46143</v>
      </c>
      <c r="H59" s="455">
        <v>46507</v>
      </c>
      <c r="J59">
        <v>797</v>
      </c>
      <c r="K59" s="456">
        <v>1156.97</v>
      </c>
      <c r="L59" s="456">
        <v>1028</v>
      </c>
      <c r="M59">
        <v>0</v>
      </c>
      <c r="N59">
        <v>0</v>
      </c>
    </row>
    <row r="60" spans="1:14">
      <c r="A60" t="s">
        <v>6428</v>
      </c>
      <c r="B60" t="s">
        <v>2258</v>
      </c>
      <c r="C60">
        <v>505</v>
      </c>
      <c r="D60" t="s">
        <v>2252</v>
      </c>
      <c r="E60" t="s">
        <v>6429</v>
      </c>
      <c r="F60" s="455">
        <v>45688</v>
      </c>
      <c r="G60" s="455">
        <v>46185</v>
      </c>
      <c r="H60" s="455">
        <v>46549</v>
      </c>
      <c r="J60">
        <v>827</v>
      </c>
      <c r="K60">
        <v>970.7</v>
      </c>
      <c r="L60">
        <v>873</v>
      </c>
      <c r="M60">
        <v>0</v>
      </c>
      <c r="N60">
        <v>750</v>
      </c>
    </row>
    <row r="61" spans="1:14">
      <c r="A61" t="s">
        <v>1821</v>
      </c>
      <c r="B61" t="s">
        <v>2258</v>
      </c>
      <c r="C61">
        <v>505</v>
      </c>
      <c r="D61" t="s">
        <v>2252</v>
      </c>
      <c r="E61" t="s">
        <v>1822</v>
      </c>
      <c r="F61" s="455">
        <v>46114</v>
      </c>
      <c r="G61" s="455">
        <v>46114</v>
      </c>
      <c r="H61" s="455">
        <v>46478</v>
      </c>
      <c r="J61">
        <v>842</v>
      </c>
      <c r="K61" s="456">
        <v>1051.67</v>
      </c>
      <c r="L61">
        <v>916</v>
      </c>
      <c r="M61">
        <v>211.69</v>
      </c>
      <c r="N61">
        <v>0</v>
      </c>
    </row>
    <row r="62" spans="1:14">
      <c r="A62" t="s">
        <v>2419</v>
      </c>
      <c r="B62" t="s">
        <v>2258</v>
      </c>
      <c r="C62">
        <v>505</v>
      </c>
      <c r="D62" t="s">
        <v>2251</v>
      </c>
      <c r="E62" t="s">
        <v>2420</v>
      </c>
      <c r="F62" s="455">
        <v>45709</v>
      </c>
      <c r="G62" s="455">
        <v>46133</v>
      </c>
      <c r="H62" s="455">
        <v>46265</v>
      </c>
      <c r="I62" s="455">
        <v>46265</v>
      </c>
      <c r="J62">
        <v>772</v>
      </c>
      <c r="K62" s="456">
        <v>1354.7</v>
      </c>
      <c r="L62" s="456">
        <v>1145.3499999999999</v>
      </c>
      <c r="M62" s="456">
        <v>15200.91</v>
      </c>
      <c r="N62">
        <v>0</v>
      </c>
    </row>
    <row r="63" spans="1:14">
      <c r="A63" t="s">
        <v>6430</v>
      </c>
      <c r="B63" t="s">
        <v>2258</v>
      </c>
      <c r="C63">
        <v>505</v>
      </c>
      <c r="D63" t="s">
        <v>6389</v>
      </c>
      <c r="E63" t="s">
        <v>6384</v>
      </c>
      <c r="J63">
        <v>817</v>
      </c>
      <c r="K63">
        <v>0</v>
      </c>
      <c r="L63">
        <v>0</v>
      </c>
      <c r="N63">
        <v>0</v>
      </c>
    </row>
    <row r="64" spans="1:14">
      <c r="A64" t="s">
        <v>6431</v>
      </c>
      <c r="B64" t="s">
        <v>2258</v>
      </c>
      <c r="C64">
        <v>505</v>
      </c>
      <c r="D64" t="s">
        <v>2252</v>
      </c>
      <c r="E64" t="s">
        <v>4517</v>
      </c>
      <c r="F64" s="455">
        <v>46097</v>
      </c>
      <c r="G64" s="455">
        <v>46097</v>
      </c>
      <c r="H64" s="455">
        <v>46461</v>
      </c>
      <c r="J64">
        <v>867</v>
      </c>
      <c r="K64" s="456">
        <v>1101.75</v>
      </c>
      <c r="L64">
        <v>996</v>
      </c>
      <c r="M64">
        <v>0</v>
      </c>
      <c r="N64">
        <v>0</v>
      </c>
    </row>
    <row r="65" spans="1:14">
      <c r="A65" t="s">
        <v>2422</v>
      </c>
      <c r="B65" t="s">
        <v>2258</v>
      </c>
      <c r="C65">
        <v>505</v>
      </c>
      <c r="D65" t="s">
        <v>2252</v>
      </c>
      <c r="E65" t="s">
        <v>2423</v>
      </c>
      <c r="F65" s="455">
        <v>45622</v>
      </c>
      <c r="G65" s="455">
        <v>45987</v>
      </c>
      <c r="H65" s="455">
        <v>46351</v>
      </c>
      <c r="J65">
        <v>817</v>
      </c>
      <c r="K65" s="456">
        <v>1078.7</v>
      </c>
      <c r="L65">
        <v>863.5</v>
      </c>
      <c r="M65" s="456">
        <v>1071.68</v>
      </c>
      <c r="N65">
        <v>0</v>
      </c>
    </row>
    <row r="66" spans="1:14">
      <c r="A66" t="s">
        <v>1925</v>
      </c>
      <c r="B66" t="s">
        <v>2258</v>
      </c>
      <c r="C66">
        <v>505</v>
      </c>
      <c r="D66" t="s">
        <v>2252</v>
      </c>
      <c r="E66" t="s">
        <v>1926</v>
      </c>
      <c r="F66" s="455">
        <v>46094</v>
      </c>
      <c r="G66" s="455">
        <v>46094</v>
      </c>
      <c r="H66" s="455">
        <v>46458</v>
      </c>
      <c r="J66">
        <v>877</v>
      </c>
      <c r="K66" s="456">
        <v>1112.6500000000001</v>
      </c>
      <c r="L66" s="456">
        <v>1006</v>
      </c>
      <c r="M66">
        <v>0</v>
      </c>
      <c r="N66">
        <v>0</v>
      </c>
    </row>
    <row r="67" spans="1:14">
      <c r="A67" t="s">
        <v>6432</v>
      </c>
      <c r="B67" t="s">
        <v>2258</v>
      </c>
      <c r="C67">
        <v>505</v>
      </c>
      <c r="D67" t="s">
        <v>2252</v>
      </c>
      <c r="E67" t="s">
        <v>6433</v>
      </c>
      <c r="F67" s="455">
        <v>42423</v>
      </c>
      <c r="G67" s="455">
        <v>45901</v>
      </c>
      <c r="H67" s="455">
        <v>46265</v>
      </c>
      <c r="J67">
        <v>782</v>
      </c>
      <c r="K67">
        <v>935.7</v>
      </c>
      <c r="L67">
        <v>838</v>
      </c>
      <c r="M67">
        <v>0</v>
      </c>
      <c r="N67">
        <v>0</v>
      </c>
    </row>
    <row r="68" spans="1:14">
      <c r="A68" t="s">
        <v>1571</v>
      </c>
      <c r="B68" t="s">
        <v>2258</v>
      </c>
      <c r="C68">
        <v>505</v>
      </c>
      <c r="D68" t="s">
        <v>6389</v>
      </c>
      <c r="E68" t="s">
        <v>6384</v>
      </c>
      <c r="J68">
        <v>877</v>
      </c>
      <c r="K68">
        <v>0</v>
      </c>
      <c r="L68">
        <v>0</v>
      </c>
      <c r="N68">
        <v>0</v>
      </c>
    </row>
    <row r="69" spans="1:14">
      <c r="A69" t="s">
        <v>1947</v>
      </c>
      <c r="B69" t="s">
        <v>2258</v>
      </c>
      <c r="C69">
        <v>505</v>
      </c>
      <c r="D69" t="s">
        <v>2252</v>
      </c>
      <c r="E69" t="s">
        <v>2424</v>
      </c>
      <c r="F69" s="455">
        <v>46182</v>
      </c>
      <c r="G69" s="455">
        <v>46182</v>
      </c>
      <c r="H69" s="455">
        <v>46546</v>
      </c>
      <c r="J69">
        <v>877</v>
      </c>
      <c r="K69" s="456">
        <v>1140.8</v>
      </c>
      <c r="L69" s="456">
        <v>1006</v>
      </c>
      <c r="M69" s="456">
        <v>1140.8</v>
      </c>
      <c r="N69">
        <v>0</v>
      </c>
    </row>
    <row r="70" spans="1:14">
      <c r="A70" t="s">
        <v>6434</v>
      </c>
      <c r="B70" t="s">
        <v>2258</v>
      </c>
      <c r="C70">
        <v>505</v>
      </c>
      <c r="D70" t="s">
        <v>2252</v>
      </c>
      <c r="E70" t="s">
        <v>6435</v>
      </c>
      <c r="F70" s="455">
        <v>44316</v>
      </c>
      <c r="G70" s="455">
        <v>46143</v>
      </c>
      <c r="H70" s="455">
        <v>46507</v>
      </c>
      <c r="J70">
        <v>797</v>
      </c>
      <c r="K70" s="456">
        <v>1075.6500000000001</v>
      </c>
      <c r="L70">
        <v>969</v>
      </c>
      <c r="M70">
        <v>0</v>
      </c>
      <c r="N70">
        <v>0</v>
      </c>
    </row>
    <row r="71" spans="1:14">
      <c r="A71" t="s">
        <v>6436</v>
      </c>
      <c r="B71" t="s">
        <v>2258</v>
      </c>
      <c r="C71">
        <v>505</v>
      </c>
      <c r="D71" t="s">
        <v>2252</v>
      </c>
      <c r="E71" t="s">
        <v>6437</v>
      </c>
      <c r="F71" s="455">
        <v>43531</v>
      </c>
      <c r="G71" s="455">
        <v>45931</v>
      </c>
      <c r="H71" s="455">
        <v>46295</v>
      </c>
      <c r="J71">
        <v>842</v>
      </c>
      <c r="K71" s="456">
        <v>1061.7</v>
      </c>
      <c r="L71">
        <v>963.5</v>
      </c>
      <c r="M71">
        <v>0</v>
      </c>
      <c r="N71">
        <v>150</v>
      </c>
    </row>
    <row r="72" spans="1:14">
      <c r="A72" t="s">
        <v>6438</v>
      </c>
      <c r="B72" t="s">
        <v>2258</v>
      </c>
      <c r="C72">
        <v>505</v>
      </c>
      <c r="D72" t="s">
        <v>2252</v>
      </c>
      <c r="E72" t="s">
        <v>6439</v>
      </c>
      <c r="F72" s="455">
        <v>45551</v>
      </c>
      <c r="G72" s="455">
        <v>45916</v>
      </c>
      <c r="H72" s="455">
        <v>46280</v>
      </c>
      <c r="J72">
        <v>842</v>
      </c>
      <c r="K72" s="456">
        <v>1068.7</v>
      </c>
      <c r="L72">
        <v>970.99</v>
      </c>
      <c r="M72">
        <v>0</v>
      </c>
      <c r="N72">
        <v>150</v>
      </c>
    </row>
    <row r="73" spans="1:14">
      <c r="A73" t="s">
        <v>1545</v>
      </c>
      <c r="B73" t="s">
        <v>2258</v>
      </c>
      <c r="C73">
        <v>505</v>
      </c>
      <c r="D73" t="s">
        <v>6389</v>
      </c>
      <c r="E73" t="s">
        <v>6384</v>
      </c>
      <c r="J73">
        <v>842</v>
      </c>
      <c r="K73">
        <v>0</v>
      </c>
      <c r="L73">
        <v>0</v>
      </c>
      <c r="N73">
        <v>0</v>
      </c>
    </row>
    <row r="74" spans="1:14">
      <c r="A74" t="s">
        <v>2427</v>
      </c>
      <c r="B74" t="s">
        <v>2258</v>
      </c>
      <c r="C74">
        <v>505</v>
      </c>
      <c r="D74" t="s">
        <v>2252</v>
      </c>
      <c r="E74" t="s">
        <v>2428</v>
      </c>
      <c r="F74" s="455">
        <v>44682</v>
      </c>
      <c r="G74" s="455">
        <v>45962</v>
      </c>
      <c r="H74" s="455">
        <v>46326</v>
      </c>
      <c r="J74">
        <v>772</v>
      </c>
      <c r="K74" s="456">
        <v>1178.7</v>
      </c>
      <c r="L74">
        <v>954.5</v>
      </c>
      <c r="M74">
        <v>630.70000000000005</v>
      </c>
      <c r="N74">
        <v>0</v>
      </c>
    </row>
    <row r="75" spans="1:14">
      <c r="A75" t="s">
        <v>1954</v>
      </c>
      <c r="B75" t="s">
        <v>2258</v>
      </c>
      <c r="C75">
        <v>505</v>
      </c>
      <c r="D75" t="s">
        <v>6389</v>
      </c>
      <c r="E75" t="s">
        <v>6384</v>
      </c>
      <c r="J75">
        <v>817</v>
      </c>
      <c r="K75">
        <v>0</v>
      </c>
      <c r="L75">
        <v>0</v>
      </c>
      <c r="N75">
        <v>0</v>
      </c>
    </row>
    <row r="76" spans="1:14">
      <c r="A76" t="s">
        <v>2429</v>
      </c>
      <c r="B76" t="s">
        <v>2258</v>
      </c>
      <c r="C76">
        <v>505</v>
      </c>
      <c r="D76" t="s">
        <v>2252</v>
      </c>
      <c r="E76" t="s">
        <v>2430</v>
      </c>
      <c r="F76" s="455">
        <v>46095</v>
      </c>
      <c r="G76" s="455">
        <v>46095</v>
      </c>
      <c r="H76" s="455">
        <v>46459</v>
      </c>
      <c r="J76">
        <v>867</v>
      </c>
      <c r="K76" s="456">
        <v>1239.76</v>
      </c>
      <c r="L76">
        <v>963</v>
      </c>
      <c r="M76">
        <v>0</v>
      </c>
      <c r="N76">
        <v>500</v>
      </c>
    </row>
    <row r="77" spans="1:14">
      <c r="A77" t="s">
        <v>1599</v>
      </c>
      <c r="B77" t="s">
        <v>2258</v>
      </c>
      <c r="C77">
        <v>505</v>
      </c>
      <c r="D77" t="s">
        <v>6389</v>
      </c>
      <c r="E77" t="s">
        <v>6384</v>
      </c>
      <c r="J77">
        <v>817</v>
      </c>
      <c r="K77">
        <v>0</v>
      </c>
      <c r="L77">
        <v>0</v>
      </c>
      <c r="N77">
        <v>0</v>
      </c>
    </row>
    <row r="78" spans="1:14">
      <c r="A78" t="s">
        <v>2431</v>
      </c>
      <c r="B78" t="s">
        <v>2258</v>
      </c>
      <c r="C78">
        <v>505</v>
      </c>
      <c r="D78" t="s">
        <v>2251</v>
      </c>
      <c r="E78" t="s">
        <v>2432</v>
      </c>
      <c r="F78" s="455">
        <v>45926</v>
      </c>
      <c r="G78" s="455">
        <v>45926</v>
      </c>
      <c r="H78" s="455">
        <v>46290</v>
      </c>
      <c r="I78" s="455">
        <v>46265</v>
      </c>
      <c r="J78">
        <v>827</v>
      </c>
      <c r="K78" s="456">
        <v>1060.7</v>
      </c>
      <c r="L78">
        <v>878.5</v>
      </c>
      <c r="M78" s="456">
        <v>8803.7900000000009</v>
      </c>
      <c r="N78">
        <v>0</v>
      </c>
    </row>
    <row r="79" spans="1:14">
      <c r="A79" t="s">
        <v>6440</v>
      </c>
      <c r="B79" t="s">
        <v>2258</v>
      </c>
      <c r="C79">
        <v>505</v>
      </c>
      <c r="D79" t="s">
        <v>2252</v>
      </c>
      <c r="E79" t="s">
        <v>6441</v>
      </c>
      <c r="F79" s="455">
        <v>45642</v>
      </c>
      <c r="G79" s="455">
        <v>46016</v>
      </c>
      <c r="H79" s="455">
        <v>46379</v>
      </c>
      <c r="J79">
        <v>827</v>
      </c>
      <c r="K79">
        <v>948.7</v>
      </c>
      <c r="L79">
        <v>851</v>
      </c>
      <c r="M79">
        <v>0</v>
      </c>
      <c r="N79">
        <v>0</v>
      </c>
    </row>
    <row r="80" spans="1:14">
      <c r="A80" t="s">
        <v>5742</v>
      </c>
      <c r="B80" t="s">
        <v>2258</v>
      </c>
      <c r="C80">
        <v>505</v>
      </c>
      <c r="D80" t="s">
        <v>6389</v>
      </c>
      <c r="E80" t="s">
        <v>6384</v>
      </c>
      <c r="J80">
        <v>827</v>
      </c>
      <c r="K80">
        <v>0</v>
      </c>
      <c r="L80">
        <v>0</v>
      </c>
      <c r="N80">
        <v>0</v>
      </c>
    </row>
    <row r="81" spans="1:14">
      <c r="A81" t="s">
        <v>6442</v>
      </c>
      <c r="B81" t="s">
        <v>2258</v>
      </c>
      <c r="C81">
        <v>505</v>
      </c>
      <c r="D81" t="s">
        <v>6383</v>
      </c>
      <c r="E81" t="s">
        <v>6384</v>
      </c>
      <c r="J81">
        <v>827</v>
      </c>
      <c r="K81">
        <v>0</v>
      </c>
      <c r="L81">
        <v>0</v>
      </c>
      <c r="N81">
        <v>0</v>
      </c>
    </row>
    <row r="82" spans="1:14">
      <c r="A82" t="s">
        <v>6443</v>
      </c>
      <c r="B82" t="s">
        <v>2258</v>
      </c>
      <c r="C82">
        <v>505</v>
      </c>
      <c r="D82" t="s">
        <v>2252</v>
      </c>
      <c r="E82" t="s">
        <v>6444</v>
      </c>
      <c r="F82" s="455">
        <v>45078</v>
      </c>
      <c r="G82" s="455">
        <v>46165</v>
      </c>
      <c r="H82" s="455">
        <v>46529</v>
      </c>
      <c r="J82">
        <v>797</v>
      </c>
      <c r="K82" s="456">
        <v>1160.6500000000001</v>
      </c>
      <c r="L82" s="456">
        <v>1054</v>
      </c>
      <c r="M82">
        <v>0</v>
      </c>
      <c r="N82">
        <v>0</v>
      </c>
    </row>
    <row r="83" spans="1:14">
      <c r="A83" t="s">
        <v>6308</v>
      </c>
      <c r="B83" t="s">
        <v>2258</v>
      </c>
      <c r="C83">
        <v>505</v>
      </c>
      <c r="D83" t="s">
        <v>6389</v>
      </c>
      <c r="E83" t="s">
        <v>6384</v>
      </c>
      <c r="J83">
        <v>827</v>
      </c>
      <c r="K83">
        <v>0</v>
      </c>
      <c r="L83">
        <v>0</v>
      </c>
      <c r="N83">
        <v>0</v>
      </c>
    </row>
    <row r="84" spans="1:14">
      <c r="A84" t="s">
        <v>4070</v>
      </c>
      <c r="B84" t="s">
        <v>2258</v>
      </c>
      <c r="C84">
        <v>505</v>
      </c>
      <c r="D84" t="s">
        <v>6389</v>
      </c>
      <c r="E84" t="s">
        <v>6384</v>
      </c>
      <c r="J84">
        <v>797</v>
      </c>
      <c r="K84">
        <v>0</v>
      </c>
      <c r="L84">
        <v>0</v>
      </c>
      <c r="N84">
        <v>0</v>
      </c>
    </row>
    <row r="85" spans="1:14">
      <c r="A85" t="s">
        <v>1827</v>
      </c>
      <c r="B85" t="s">
        <v>2258</v>
      </c>
      <c r="C85">
        <v>505</v>
      </c>
      <c r="D85" t="s">
        <v>2252</v>
      </c>
      <c r="E85" t="s">
        <v>1099</v>
      </c>
      <c r="F85" s="455">
        <v>46149</v>
      </c>
      <c r="G85" s="455">
        <v>46148</v>
      </c>
      <c r="H85" s="455">
        <v>46513</v>
      </c>
      <c r="J85">
        <v>797</v>
      </c>
      <c r="K85" s="456">
        <v>1019.37</v>
      </c>
      <c r="L85">
        <v>871</v>
      </c>
      <c r="M85">
        <v>0</v>
      </c>
      <c r="N85">
        <v>0</v>
      </c>
    </row>
    <row r="86" spans="1:14">
      <c r="A86" t="s">
        <v>6445</v>
      </c>
      <c r="B86" t="s">
        <v>2258</v>
      </c>
      <c r="C86">
        <v>505</v>
      </c>
      <c r="D86" t="s">
        <v>2252</v>
      </c>
      <c r="E86" t="s">
        <v>6446</v>
      </c>
      <c r="F86" s="455">
        <v>42399</v>
      </c>
      <c r="G86" s="455">
        <v>46054</v>
      </c>
      <c r="H86" s="455">
        <v>46417</v>
      </c>
      <c r="J86">
        <v>772</v>
      </c>
      <c r="K86">
        <v>987.7</v>
      </c>
      <c r="L86">
        <v>890</v>
      </c>
      <c r="M86">
        <v>0</v>
      </c>
      <c r="N86">
        <v>0</v>
      </c>
    </row>
    <row r="87" spans="1:14">
      <c r="A87" t="s">
        <v>2941</v>
      </c>
      <c r="B87" t="s">
        <v>2258</v>
      </c>
      <c r="C87">
        <v>505</v>
      </c>
      <c r="D87" t="s">
        <v>6383</v>
      </c>
      <c r="E87" t="s">
        <v>6384</v>
      </c>
      <c r="J87">
        <v>772</v>
      </c>
      <c r="K87">
        <v>0</v>
      </c>
      <c r="L87">
        <v>0</v>
      </c>
      <c r="N87">
        <v>0</v>
      </c>
    </row>
    <row r="88" spans="1:14">
      <c r="A88" t="s">
        <v>2439</v>
      </c>
      <c r="B88" t="s">
        <v>2258</v>
      </c>
      <c r="C88">
        <v>505</v>
      </c>
      <c r="D88" t="s">
        <v>2252</v>
      </c>
      <c r="E88" t="s">
        <v>2440</v>
      </c>
      <c r="F88" s="455">
        <v>45899</v>
      </c>
      <c r="G88" s="455">
        <v>45899</v>
      </c>
      <c r="H88" s="455">
        <v>46263</v>
      </c>
      <c r="J88">
        <v>817</v>
      </c>
      <c r="K88" s="456">
        <v>1218.7</v>
      </c>
      <c r="L88">
        <v>984.5</v>
      </c>
      <c r="M88">
        <v>600.65</v>
      </c>
      <c r="N88">
        <v>0</v>
      </c>
    </row>
    <row r="89" spans="1:14">
      <c r="A89" t="s">
        <v>6447</v>
      </c>
      <c r="B89" t="s">
        <v>2258</v>
      </c>
      <c r="C89">
        <v>505</v>
      </c>
      <c r="D89" t="s">
        <v>2252</v>
      </c>
      <c r="E89" t="s">
        <v>6448</v>
      </c>
      <c r="F89" s="455">
        <v>42850</v>
      </c>
      <c r="G89" s="455">
        <v>46082</v>
      </c>
      <c r="H89" s="455">
        <v>46445</v>
      </c>
      <c r="J89">
        <v>772</v>
      </c>
      <c r="K89" s="456">
        <v>1042.02</v>
      </c>
      <c r="L89">
        <v>928</v>
      </c>
      <c r="M89">
        <v>-652.98</v>
      </c>
      <c r="N89">
        <v>0</v>
      </c>
    </row>
    <row r="90" spans="1:14">
      <c r="A90" t="s">
        <v>2944</v>
      </c>
      <c r="B90" t="s">
        <v>2258</v>
      </c>
      <c r="C90">
        <v>505</v>
      </c>
      <c r="D90" t="s">
        <v>2252</v>
      </c>
      <c r="E90" t="s">
        <v>2946</v>
      </c>
      <c r="F90" s="455">
        <v>46234</v>
      </c>
      <c r="G90" s="455">
        <v>46234</v>
      </c>
      <c r="H90" s="455">
        <v>46598</v>
      </c>
      <c r="J90">
        <v>877</v>
      </c>
      <c r="K90">
        <v>129</v>
      </c>
      <c r="L90" s="456">
        <v>1006</v>
      </c>
      <c r="M90">
        <v>0</v>
      </c>
      <c r="N90">
        <v>0</v>
      </c>
    </row>
    <row r="91" spans="1:14">
      <c r="A91" t="s">
        <v>6449</v>
      </c>
      <c r="B91" t="s">
        <v>2258</v>
      </c>
      <c r="C91">
        <v>505</v>
      </c>
      <c r="D91" t="s">
        <v>2252</v>
      </c>
      <c r="E91" t="s">
        <v>6450</v>
      </c>
      <c r="F91" s="455">
        <v>43987</v>
      </c>
      <c r="G91" s="455">
        <v>45992</v>
      </c>
      <c r="H91" s="455">
        <v>46356</v>
      </c>
      <c r="J91">
        <v>782</v>
      </c>
      <c r="K91" s="456">
        <v>1002.7</v>
      </c>
      <c r="L91">
        <v>905</v>
      </c>
      <c r="M91">
        <v>0</v>
      </c>
      <c r="N91">
        <v>150</v>
      </c>
    </row>
    <row r="92" spans="1:14">
      <c r="A92" t="s">
        <v>3332</v>
      </c>
      <c r="B92" t="s">
        <v>2258</v>
      </c>
      <c r="C92">
        <v>505</v>
      </c>
      <c r="D92" t="s">
        <v>2252</v>
      </c>
      <c r="E92" t="s">
        <v>6451</v>
      </c>
      <c r="F92" s="455">
        <v>46188</v>
      </c>
      <c r="G92" s="455">
        <v>46188</v>
      </c>
      <c r="H92" s="455">
        <v>46552</v>
      </c>
      <c r="J92">
        <v>782</v>
      </c>
      <c r="K92">
        <v>865.4</v>
      </c>
      <c r="L92">
        <v>856</v>
      </c>
      <c r="M92">
        <v>0</v>
      </c>
      <c r="N92">
        <v>0</v>
      </c>
    </row>
    <row r="93" spans="1:14">
      <c r="A93" t="s">
        <v>1579</v>
      </c>
      <c r="B93" t="s">
        <v>2258</v>
      </c>
      <c r="C93">
        <v>505</v>
      </c>
      <c r="D93" t="s">
        <v>6389</v>
      </c>
      <c r="E93" t="s">
        <v>6384</v>
      </c>
      <c r="J93">
        <v>877</v>
      </c>
      <c r="K93">
        <v>0</v>
      </c>
      <c r="L93">
        <v>0</v>
      </c>
      <c r="N93">
        <v>0</v>
      </c>
    </row>
    <row r="94" spans="1:14">
      <c r="A94" t="s">
        <v>2682</v>
      </c>
      <c r="B94" t="s">
        <v>2259</v>
      </c>
      <c r="C94">
        <v>560</v>
      </c>
      <c r="D94" t="s">
        <v>6389</v>
      </c>
      <c r="E94" t="s">
        <v>6384</v>
      </c>
      <c r="J94">
        <v>813</v>
      </c>
      <c r="K94">
        <v>0</v>
      </c>
      <c r="L94">
        <v>0</v>
      </c>
      <c r="N94">
        <v>0</v>
      </c>
    </row>
    <row r="95" spans="1:14">
      <c r="A95" t="s">
        <v>6452</v>
      </c>
      <c r="B95" t="s">
        <v>2259</v>
      </c>
      <c r="C95">
        <v>560</v>
      </c>
      <c r="D95" t="s">
        <v>2251</v>
      </c>
      <c r="E95" t="s">
        <v>6453</v>
      </c>
      <c r="F95" s="455">
        <v>45912</v>
      </c>
      <c r="G95" s="455">
        <v>45912</v>
      </c>
      <c r="H95" s="455">
        <v>46276</v>
      </c>
      <c r="I95" s="455">
        <v>46276</v>
      </c>
      <c r="J95">
        <v>858</v>
      </c>
      <c r="K95" s="456">
        <v>1235.19</v>
      </c>
      <c r="L95" s="456">
        <v>1016.5</v>
      </c>
      <c r="M95">
        <v>0</v>
      </c>
      <c r="N95">
        <v>0</v>
      </c>
    </row>
    <row r="96" spans="1:14">
      <c r="A96" t="s">
        <v>3202</v>
      </c>
      <c r="B96" t="s">
        <v>2259</v>
      </c>
      <c r="C96">
        <v>560</v>
      </c>
      <c r="D96" t="s">
        <v>6389</v>
      </c>
      <c r="E96" t="s">
        <v>6384</v>
      </c>
      <c r="J96">
        <v>858</v>
      </c>
      <c r="K96">
        <v>0</v>
      </c>
      <c r="L96">
        <v>0</v>
      </c>
      <c r="N96">
        <v>0</v>
      </c>
    </row>
    <row r="97" spans="1:14">
      <c r="A97" t="s">
        <v>6454</v>
      </c>
      <c r="B97" t="s">
        <v>2259</v>
      </c>
      <c r="C97">
        <v>560</v>
      </c>
      <c r="D97" t="s">
        <v>2252</v>
      </c>
      <c r="E97" t="s">
        <v>6455</v>
      </c>
      <c r="F97" s="455">
        <v>45625</v>
      </c>
      <c r="G97" s="455">
        <v>46077</v>
      </c>
      <c r="H97" s="455">
        <v>46441</v>
      </c>
      <c r="J97">
        <v>813</v>
      </c>
      <c r="K97" s="456">
        <v>1085.19</v>
      </c>
      <c r="L97">
        <v>999</v>
      </c>
      <c r="M97">
        <v>0</v>
      </c>
      <c r="N97">
        <v>0</v>
      </c>
    </row>
    <row r="98" spans="1:14">
      <c r="A98" t="s">
        <v>2684</v>
      </c>
      <c r="B98" t="s">
        <v>2259</v>
      </c>
      <c r="C98">
        <v>560</v>
      </c>
      <c r="D98" t="s">
        <v>2251</v>
      </c>
      <c r="E98" t="s">
        <v>2685</v>
      </c>
      <c r="F98" s="455">
        <v>44107</v>
      </c>
      <c r="G98" s="455">
        <v>45931</v>
      </c>
      <c r="H98" s="455">
        <v>46295</v>
      </c>
      <c r="I98" s="455">
        <v>46295</v>
      </c>
      <c r="J98">
        <v>858</v>
      </c>
      <c r="K98" s="456">
        <v>1182.19</v>
      </c>
      <c r="L98">
        <v>999</v>
      </c>
      <c r="M98" s="456">
        <v>2749.5</v>
      </c>
      <c r="N98">
        <v>0</v>
      </c>
    </row>
    <row r="99" spans="1:14">
      <c r="A99" t="s">
        <v>6456</v>
      </c>
      <c r="B99" t="s">
        <v>2259</v>
      </c>
      <c r="C99">
        <v>560</v>
      </c>
      <c r="D99" t="s">
        <v>2252</v>
      </c>
      <c r="E99" t="s">
        <v>6457</v>
      </c>
      <c r="F99" s="455">
        <v>44459</v>
      </c>
      <c r="G99" s="455">
        <v>45994</v>
      </c>
      <c r="H99" s="455">
        <v>46358</v>
      </c>
      <c r="J99">
        <v>813</v>
      </c>
      <c r="K99" s="456">
        <v>1088.19</v>
      </c>
      <c r="L99" s="456">
        <v>1001.5</v>
      </c>
      <c r="M99">
        <v>0</v>
      </c>
      <c r="N99">
        <v>0</v>
      </c>
    </row>
    <row r="100" spans="1:14">
      <c r="A100" t="s">
        <v>2686</v>
      </c>
      <c r="B100" t="s">
        <v>2259</v>
      </c>
      <c r="C100">
        <v>560</v>
      </c>
      <c r="D100" t="s">
        <v>6389</v>
      </c>
      <c r="E100" t="s">
        <v>6384</v>
      </c>
      <c r="J100">
        <v>813</v>
      </c>
      <c r="K100">
        <v>0</v>
      </c>
      <c r="L100">
        <v>0</v>
      </c>
      <c r="N100">
        <v>0</v>
      </c>
    </row>
    <row r="101" spans="1:14">
      <c r="A101" t="s">
        <v>2688</v>
      </c>
      <c r="B101" t="s">
        <v>2259</v>
      </c>
      <c r="C101">
        <v>560</v>
      </c>
      <c r="D101" t="s">
        <v>2252</v>
      </c>
      <c r="E101" t="s">
        <v>2689</v>
      </c>
      <c r="F101" s="455">
        <v>45856</v>
      </c>
      <c r="G101" s="455">
        <v>46221</v>
      </c>
      <c r="H101" s="455">
        <v>46585</v>
      </c>
      <c r="J101">
        <v>813</v>
      </c>
      <c r="K101" s="456">
        <v>1213.19</v>
      </c>
      <c r="L101">
        <v>999</v>
      </c>
      <c r="M101" s="456">
        <v>1378.78</v>
      </c>
      <c r="N101">
        <v>0</v>
      </c>
    </row>
    <row r="102" spans="1:14">
      <c r="A102" t="s">
        <v>6458</v>
      </c>
      <c r="B102" t="s">
        <v>2259</v>
      </c>
      <c r="C102">
        <v>560</v>
      </c>
      <c r="D102" t="s">
        <v>2252</v>
      </c>
      <c r="E102" t="s">
        <v>6459</v>
      </c>
      <c r="F102" s="455">
        <v>46039</v>
      </c>
      <c r="G102" s="455">
        <v>46039</v>
      </c>
      <c r="H102" s="455">
        <v>46403</v>
      </c>
      <c r="J102">
        <v>813</v>
      </c>
      <c r="K102">
        <v>967.19</v>
      </c>
      <c r="L102">
        <v>881</v>
      </c>
      <c r="M102">
        <v>0</v>
      </c>
      <c r="N102">
        <v>500</v>
      </c>
    </row>
    <row r="103" spans="1:14">
      <c r="A103" t="s">
        <v>2690</v>
      </c>
      <c r="B103" t="s">
        <v>2259</v>
      </c>
      <c r="C103">
        <v>560</v>
      </c>
      <c r="D103" t="s">
        <v>2252</v>
      </c>
      <c r="E103" t="s">
        <v>2691</v>
      </c>
      <c r="F103" s="455">
        <v>45710</v>
      </c>
      <c r="G103" s="455">
        <v>46134</v>
      </c>
      <c r="H103" s="455">
        <v>46498</v>
      </c>
      <c r="J103">
        <v>908</v>
      </c>
      <c r="K103" s="456">
        <v>1381.14</v>
      </c>
      <c r="L103" s="456">
        <v>1149</v>
      </c>
      <c r="M103">
        <v>481.14</v>
      </c>
      <c r="N103">
        <v>0</v>
      </c>
    </row>
    <row r="104" spans="1:14">
      <c r="A104" t="s">
        <v>3616</v>
      </c>
      <c r="B104" t="s">
        <v>2259</v>
      </c>
      <c r="C104">
        <v>560</v>
      </c>
      <c r="D104" t="s">
        <v>6389</v>
      </c>
      <c r="E104" t="s">
        <v>6384</v>
      </c>
      <c r="J104">
        <v>833</v>
      </c>
      <c r="K104">
        <v>0</v>
      </c>
      <c r="L104">
        <v>0</v>
      </c>
      <c r="N104">
        <v>0</v>
      </c>
    </row>
    <row r="105" spans="1:14">
      <c r="A105" t="s">
        <v>1950</v>
      </c>
      <c r="B105" t="s">
        <v>2259</v>
      </c>
      <c r="C105">
        <v>560</v>
      </c>
      <c r="D105" t="s">
        <v>2252</v>
      </c>
      <c r="E105" t="s">
        <v>3899</v>
      </c>
      <c r="F105" s="455">
        <v>46188</v>
      </c>
      <c r="G105" s="455">
        <v>46188</v>
      </c>
      <c r="H105" s="455">
        <v>46552</v>
      </c>
      <c r="J105">
        <v>883</v>
      </c>
      <c r="K105">
        <v>895.4</v>
      </c>
      <c r="L105" s="456">
        <v>1012</v>
      </c>
      <c r="M105">
        <v>-126</v>
      </c>
      <c r="N105">
        <v>0</v>
      </c>
    </row>
    <row r="106" spans="1:14">
      <c r="A106" t="s">
        <v>6460</v>
      </c>
      <c r="B106" t="s">
        <v>2259</v>
      </c>
      <c r="C106">
        <v>560</v>
      </c>
      <c r="D106" t="s">
        <v>2252</v>
      </c>
      <c r="E106" t="s">
        <v>6461</v>
      </c>
      <c r="F106" s="455">
        <v>43189</v>
      </c>
      <c r="G106" s="455">
        <v>46142</v>
      </c>
      <c r="H106" s="455">
        <v>46506</v>
      </c>
      <c r="J106">
        <v>833</v>
      </c>
      <c r="K106" s="456">
        <v>1056.1400000000001</v>
      </c>
      <c r="L106">
        <v>961</v>
      </c>
      <c r="M106">
        <v>0</v>
      </c>
      <c r="N106">
        <v>150</v>
      </c>
    </row>
    <row r="107" spans="1:14">
      <c r="A107" t="s">
        <v>6462</v>
      </c>
      <c r="B107" t="s">
        <v>2259</v>
      </c>
      <c r="C107">
        <v>560</v>
      </c>
      <c r="D107" t="s">
        <v>2252</v>
      </c>
      <c r="E107" t="s">
        <v>6463</v>
      </c>
      <c r="F107" s="455">
        <v>45202</v>
      </c>
      <c r="G107" s="455">
        <v>46073</v>
      </c>
      <c r="H107" s="455">
        <v>46437</v>
      </c>
      <c r="J107">
        <v>833</v>
      </c>
      <c r="K107" s="456">
        <v>1168.1600000000001</v>
      </c>
      <c r="L107" s="456">
        <v>1039</v>
      </c>
      <c r="M107">
        <v>0</v>
      </c>
      <c r="N107">
        <v>0</v>
      </c>
    </row>
    <row r="108" spans="1:14">
      <c r="A108" t="s">
        <v>6464</v>
      </c>
      <c r="B108" t="s">
        <v>2259</v>
      </c>
      <c r="C108">
        <v>560</v>
      </c>
      <c r="D108" t="s">
        <v>2252</v>
      </c>
      <c r="E108" t="s">
        <v>6465</v>
      </c>
      <c r="F108" s="455">
        <v>41969</v>
      </c>
      <c r="G108" s="455">
        <v>46073</v>
      </c>
      <c r="H108" s="455">
        <v>46437</v>
      </c>
      <c r="J108">
        <v>788</v>
      </c>
      <c r="K108">
        <v>895.14</v>
      </c>
      <c r="L108">
        <v>800</v>
      </c>
      <c r="M108">
        <v>0</v>
      </c>
      <c r="N108">
        <v>150</v>
      </c>
    </row>
    <row r="109" spans="1:14">
      <c r="A109" t="s">
        <v>1587</v>
      </c>
      <c r="B109" t="s">
        <v>2259</v>
      </c>
      <c r="C109">
        <v>560</v>
      </c>
      <c r="D109" t="s">
        <v>2252</v>
      </c>
      <c r="E109" t="s">
        <v>2969</v>
      </c>
      <c r="F109" s="455">
        <v>46234</v>
      </c>
      <c r="G109" s="455">
        <v>46234</v>
      </c>
      <c r="H109" s="455">
        <v>46598</v>
      </c>
      <c r="J109">
        <v>833</v>
      </c>
      <c r="K109">
        <v>74</v>
      </c>
      <c r="L109">
        <v>907</v>
      </c>
      <c r="M109">
        <v>0</v>
      </c>
      <c r="N109">
        <v>0</v>
      </c>
    </row>
    <row r="110" spans="1:14">
      <c r="A110" t="s">
        <v>1538</v>
      </c>
      <c r="B110" t="s">
        <v>2259</v>
      </c>
      <c r="C110">
        <v>560</v>
      </c>
      <c r="D110" t="s">
        <v>2252</v>
      </c>
      <c r="E110" t="s">
        <v>3367</v>
      </c>
      <c r="F110" s="455">
        <v>46172</v>
      </c>
      <c r="G110" s="455">
        <v>46172</v>
      </c>
      <c r="H110" s="455">
        <v>46536</v>
      </c>
      <c r="J110">
        <v>883</v>
      </c>
      <c r="K110" s="456">
        <v>1027</v>
      </c>
      <c r="L110" s="456">
        <v>1012</v>
      </c>
      <c r="M110">
        <v>0</v>
      </c>
      <c r="N110">
        <v>0</v>
      </c>
    </row>
    <row r="111" spans="1:14">
      <c r="A111" t="s">
        <v>1929</v>
      </c>
      <c r="B111" t="s">
        <v>2259</v>
      </c>
      <c r="C111">
        <v>560</v>
      </c>
      <c r="D111" t="s">
        <v>2252</v>
      </c>
      <c r="E111" t="s">
        <v>6466</v>
      </c>
      <c r="F111" s="455">
        <v>46163</v>
      </c>
      <c r="G111" s="455">
        <v>46163</v>
      </c>
      <c r="H111" s="455">
        <v>46527</v>
      </c>
      <c r="J111">
        <v>833</v>
      </c>
      <c r="K111">
        <v>897.95</v>
      </c>
      <c r="L111">
        <v>874</v>
      </c>
      <c r="M111">
        <v>0</v>
      </c>
      <c r="N111">
        <v>500</v>
      </c>
    </row>
    <row r="112" spans="1:14">
      <c r="A112" t="s">
        <v>6467</v>
      </c>
      <c r="B112" t="s">
        <v>2259</v>
      </c>
      <c r="C112">
        <v>560</v>
      </c>
      <c r="D112" t="s">
        <v>2252</v>
      </c>
      <c r="E112" t="s">
        <v>6468</v>
      </c>
      <c r="F112" s="455">
        <v>45689</v>
      </c>
      <c r="G112" s="455">
        <v>46054</v>
      </c>
      <c r="J112">
        <v>788</v>
      </c>
      <c r="K112" s="456">
        <v>1169.19</v>
      </c>
      <c r="L112" s="456">
        <v>1082.5</v>
      </c>
      <c r="M112">
        <v>0</v>
      </c>
      <c r="N112">
        <v>0</v>
      </c>
    </row>
    <row r="113" spans="1:14">
      <c r="A113" t="s">
        <v>6469</v>
      </c>
      <c r="B113" t="s">
        <v>2259</v>
      </c>
      <c r="C113">
        <v>560</v>
      </c>
      <c r="D113" t="s">
        <v>2252</v>
      </c>
      <c r="E113" t="s">
        <v>6470</v>
      </c>
      <c r="F113" s="455">
        <v>44328</v>
      </c>
      <c r="G113" s="455">
        <v>45627</v>
      </c>
      <c r="J113">
        <v>883</v>
      </c>
      <c r="K113" s="456">
        <v>1636.19</v>
      </c>
      <c r="L113" s="456">
        <v>1550</v>
      </c>
      <c r="M113">
        <v>0</v>
      </c>
      <c r="N113">
        <v>750</v>
      </c>
    </row>
    <row r="114" spans="1:14">
      <c r="A114" t="s">
        <v>2970</v>
      </c>
      <c r="B114" t="s">
        <v>2260</v>
      </c>
      <c r="C114">
        <v>594</v>
      </c>
      <c r="D114" t="s">
        <v>2252</v>
      </c>
      <c r="E114" t="s">
        <v>2971</v>
      </c>
      <c r="F114" s="455">
        <v>45882</v>
      </c>
      <c r="G114" s="455">
        <v>45882</v>
      </c>
      <c r="H114" s="455">
        <v>46246</v>
      </c>
      <c r="J114">
        <v>846</v>
      </c>
      <c r="K114" s="456">
        <v>1221.45</v>
      </c>
      <c r="L114" s="456">
        <v>1004.5</v>
      </c>
      <c r="M114">
        <v>100</v>
      </c>
      <c r="N114">
        <v>0</v>
      </c>
    </row>
    <row r="115" spans="1:14">
      <c r="A115" t="s">
        <v>5788</v>
      </c>
      <c r="B115" t="s">
        <v>2260</v>
      </c>
      <c r="C115">
        <v>594</v>
      </c>
      <c r="D115" t="s">
        <v>2252</v>
      </c>
      <c r="E115" t="s">
        <v>6471</v>
      </c>
      <c r="F115" s="455">
        <v>45960</v>
      </c>
      <c r="G115" s="455">
        <v>45960</v>
      </c>
      <c r="H115" s="455">
        <v>46324</v>
      </c>
      <c r="J115">
        <v>791</v>
      </c>
      <c r="K115">
        <v>904.1</v>
      </c>
      <c r="L115">
        <v>780.5</v>
      </c>
      <c r="M115">
        <v>0</v>
      </c>
      <c r="N115">
        <v>750</v>
      </c>
    </row>
    <row r="116" spans="1:14">
      <c r="A116" t="s">
        <v>5825</v>
      </c>
      <c r="B116" t="s">
        <v>2260</v>
      </c>
      <c r="C116">
        <v>594</v>
      </c>
      <c r="D116" t="s">
        <v>2252</v>
      </c>
      <c r="E116" t="s">
        <v>6472</v>
      </c>
      <c r="F116" s="455">
        <v>45962</v>
      </c>
      <c r="G116" s="455">
        <v>45962</v>
      </c>
      <c r="H116" s="455">
        <v>46326</v>
      </c>
      <c r="J116">
        <v>896</v>
      </c>
      <c r="K116" s="456">
        <v>1034.45</v>
      </c>
      <c r="L116">
        <v>940.5</v>
      </c>
      <c r="M116">
        <v>0</v>
      </c>
      <c r="N116">
        <v>750</v>
      </c>
    </row>
    <row r="117" spans="1:14">
      <c r="A117" t="s">
        <v>1963</v>
      </c>
      <c r="B117" t="s">
        <v>2260</v>
      </c>
      <c r="C117">
        <v>594</v>
      </c>
      <c r="D117" t="s">
        <v>2252</v>
      </c>
      <c r="E117" t="s">
        <v>2972</v>
      </c>
      <c r="F117" s="455">
        <v>46211</v>
      </c>
      <c r="G117" s="455">
        <v>46211</v>
      </c>
      <c r="H117" s="455">
        <v>46575</v>
      </c>
      <c r="J117">
        <v>861</v>
      </c>
      <c r="K117">
        <v>74</v>
      </c>
      <c r="L117">
        <v>935</v>
      </c>
      <c r="M117">
        <v>0</v>
      </c>
      <c r="N117">
        <v>0</v>
      </c>
    </row>
    <row r="118" spans="1:14">
      <c r="A118" t="s">
        <v>2560</v>
      </c>
      <c r="B118" t="s">
        <v>2260</v>
      </c>
      <c r="C118">
        <v>594</v>
      </c>
      <c r="D118" t="s">
        <v>6389</v>
      </c>
      <c r="E118" t="s">
        <v>6384</v>
      </c>
      <c r="J118">
        <v>886</v>
      </c>
      <c r="K118">
        <v>0</v>
      </c>
      <c r="L118">
        <v>0</v>
      </c>
      <c r="N118">
        <v>0</v>
      </c>
    </row>
    <row r="119" spans="1:14">
      <c r="A119" t="s">
        <v>6473</v>
      </c>
      <c r="B119" t="s">
        <v>2260</v>
      </c>
      <c r="C119">
        <v>594</v>
      </c>
      <c r="D119" t="s">
        <v>2252</v>
      </c>
      <c r="E119" t="s">
        <v>6474</v>
      </c>
      <c r="F119" s="455">
        <v>45997</v>
      </c>
      <c r="G119" s="455">
        <v>45997</v>
      </c>
      <c r="H119" s="455">
        <v>46361</v>
      </c>
      <c r="J119">
        <v>896</v>
      </c>
      <c r="K119" s="456">
        <v>1034.45</v>
      </c>
      <c r="L119">
        <v>940.5</v>
      </c>
      <c r="M119">
        <v>0</v>
      </c>
      <c r="N119">
        <v>750</v>
      </c>
    </row>
    <row r="120" spans="1:14">
      <c r="A120" t="s">
        <v>6475</v>
      </c>
      <c r="B120" t="s">
        <v>2260</v>
      </c>
      <c r="C120">
        <v>594</v>
      </c>
      <c r="D120" t="s">
        <v>2252</v>
      </c>
      <c r="E120" t="s">
        <v>6476</v>
      </c>
      <c r="F120" s="455">
        <v>44652</v>
      </c>
      <c r="G120" s="455">
        <v>45931</v>
      </c>
      <c r="H120" s="455">
        <v>46295</v>
      </c>
      <c r="J120">
        <v>861</v>
      </c>
      <c r="K120" s="456">
        <v>1140.0999999999999</v>
      </c>
      <c r="L120" s="456">
        <v>1016.5</v>
      </c>
      <c r="M120">
        <v>0</v>
      </c>
      <c r="N120">
        <v>0</v>
      </c>
    </row>
    <row r="121" spans="1:14">
      <c r="A121" t="s">
        <v>6477</v>
      </c>
      <c r="B121" t="s">
        <v>2260</v>
      </c>
      <c r="C121">
        <v>594</v>
      </c>
      <c r="D121" t="s">
        <v>2252</v>
      </c>
      <c r="E121" t="s">
        <v>6478</v>
      </c>
      <c r="F121" s="455">
        <v>44621</v>
      </c>
      <c r="G121" s="455">
        <v>46113</v>
      </c>
      <c r="H121" s="455">
        <v>46477</v>
      </c>
      <c r="J121">
        <v>836</v>
      </c>
      <c r="K121" s="456">
        <v>1112.05</v>
      </c>
      <c r="L121">
        <v>974</v>
      </c>
      <c r="M121">
        <v>0</v>
      </c>
      <c r="N121">
        <v>150</v>
      </c>
    </row>
    <row r="122" spans="1:14">
      <c r="A122" t="s">
        <v>2973</v>
      </c>
      <c r="B122" t="s">
        <v>2260</v>
      </c>
      <c r="C122">
        <v>594</v>
      </c>
      <c r="D122" t="s">
        <v>2252</v>
      </c>
      <c r="E122" t="s">
        <v>2974</v>
      </c>
      <c r="F122" s="455">
        <v>45878</v>
      </c>
      <c r="G122" s="455">
        <v>46243</v>
      </c>
      <c r="H122" s="455">
        <v>46606</v>
      </c>
      <c r="J122">
        <v>846</v>
      </c>
      <c r="K122" s="456">
        <v>1123.45</v>
      </c>
      <c r="L122" s="456">
        <v>1034</v>
      </c>
      <c r="M122">
        <v>0</v>
      </c>
      <c r="N122">
        <v>0</v>
      </c>
    </row>
    <row r="123" spans="1:14">
      <c r="A123" t="s">
        <v>6479</v>
      </c>
      <c r="B123" t="s">
        <v>2260</v>
      </c>
      <c r="C123">
        <v>594</v>
      </c>
      <c r="D123" t="s">
        <v>2252</v>
      </c>
      <c r="E123" t="s">
        <v>6480</v>
      </c>
      <c r="F123" s="455">
        <v>43091</v>
      </c>
      <c r="G123" s="455">
        <v>46204</v>
      </c>
      <c r="H123" s="455">
        <v>46568</v>
      </c>
      <c r="J123">
        <v>816</v>
      </c>
      <c r="K123" s="456">
        <v>1035.45</v>
      </c>
      <c r="L123">
        <v>942</v>
      </c>
      <c r="M123">
        <v>0</v>
      </c>
      <c r="N123">
        <v>150</v>
      </c>
    </row>
    <row r="124" spans="1:14">
      <c r="A124" t="s">
        <v>6481</v>
      </c>
      <c r="B124" t="s">
        <v>2260</v>
      </c>
      <c r="C124">
        <v>594</v>
      </c>
      <c r="D124" t="s">
        <v>2252</v>
      </c>
      <c r="E124" t="s">
        <v>6482</v>
      </c>
      <c r="F124" s="455">
        <v>43435</v>
      </c>
      <c r="G124" s="455">
        <v>45992</v>
      </c>
      <c r="H124" s="455">
        <v>46356</v>
      </c>
      <c r="J124">
        <v>836</v>
      </c>
      <c r="K124" s="456">
        <v>1090.45</v>
      </c>
      <c r="L124">
        <v>996.49</v>
      </c>
      <c r="M124">
        <v>0</v>
      </c>
      <c r="N124">
        <v>150</v>
      </c>
    </row>
    <row r="125" spans="1:14">
      <c r="A125" t="s">
        <v>6483</v>
      </c>
      <c r="B125" t="s">
        <v>2260</v>
      </c>
      <c r="C125">
        <v>594</v>
      </c>
      <c r="D125" t="s">
        <v>2252</v>
      </c>
      <c r="E125" t="s">
        <v>6484</v>
      </c>
      <c r="F125" s="455">
        <v>45535</v>
      </c>
      <c r="G125" s="455">
        <v>46143</v>
      </c>
      <c r="H125" s="455">
        <v>46507</v>
      </c>
      <c r="J125">
        <v>896</v>
      </c>
      <c r="K125" s="456">
        <v>1335.4</v>
      </c>
      <c r="L125" s="456">
        <v>1233</v>
      </c>
      <c r="M125">
        <v>0</v>
      </c>
      <c r="N125">
        <v>0</v>
      </c>
    </row>
    <row r="126" spans="1:14">
      <c r="A126" t="s">
        <v>6485</v>
      </c>
      <c r="B126" t="s">
        <v>2260</v>
      </c>
      <c r="C126">
        <v>594</v>
      </c>
      <c r="D126" t="s">
        <v>2252</v>
      </c>
      <c r="E126" t="s">
        <v>6486</v>
      </c>
      <c r="F126" s="455">
        <v>45412</v>
      </c>
      <c r="G126" s="455">
        <v>46203</v>
      </c>
      <c r="H126" s="455">
        <v>46567</v>
      </c>
      <c r="J126">
        <v>861</v>
      </c>
      <c r="K126" s="456">
        <v>1152.45</v>
      </c>
      <c r="L126" s="456">
        <v>1059</v>
      </c>
      <c r="M126">
        <v>0</v>
      </c>
      <c r="N126">
        <v>0</v>
      </c>
    </row>
    <row r="127" spans="1:14">
      <c r="A127" t="s">
        <v>2578</v>
      </c>
      <c r="B127" t="s">
        <v>2260</v>
      </c>
      <c r="C127">
        <v>594</v>
      </c>
      <c r="D127" t="s">
        <v>2251</v>
      </c>
      <c r="E127" t="s">
        <v>2579</v>
      </c>
      <c r="F127" s="455">
        <v>44705</v>
      </c>
      <c r="G127" s="455">
        <v>45992</v>
      </c>
      <c r="H127" s="455">
        <v>46356</v>
      </c>
      <c r="I127" s="455">
        <v>46356</v>
      </c>
      <c r="J127">
        <v>836</v>
      </c>
      <c r="K127" s="456">
        <v>1220.45</v>
      </c>
      <c r="L127">
        <v>996.5</v>
      </c>
      <c r="M127">
        <v>320.45</v>
      </c>
      <c r="N127">
        <v>0</v>
      </c>
    </row>
    <row r="128" spans="1:14">
      <c r="A128" t="s">
        <v>6487</v>
      </c>
      <c r="B128" t="s">
        <v>2260</v>
      </c>
      <c r="C128">
        <v>594</v>
      </c>
      <c r="D128" t="s">
        <v>2252</v>
      </c>
      <c r="E128" t="s">
        <v>6488</v>
      </c>
      <c r="F128" s="455">
        <v>45628</v>
      </c>
      <c r="G128" s="455">
        <v>45993</v>
      </c>
      <c r="H128" s="455">
        <v>46357</v>
      </c>
      <c r="J128">
        <v>846</v>
      </c>
      <c r="K128">
        <v>950.45</v>
      </c>
      <c r="L128">
        <v>856.49</v>
      </c>
      <c r="M128">
        <v>0</v>
      </c>
      <c r="N128">
        <v>750</v>
      </c>
    </row>
    <row r="129" spans="1:14">
      <c r="A129" t="s">
        <v>1560</v>
      </c>
      <c r="B129" t="s">
        <v>2260</v>
      </c>
      <c r="C129">
        <v>594</v>
      </c>
      <c r="D129" t="s">
        <v>6389</v>
      </c>
      <c r="E129" t="s">
        <v>6384</v>
      </c>
      <c r="J129">
        <v>861</v>
      </c>
      <c r="K129">
        <v>0</v>
      </c>
      <c r="L129">
        <v>0</v>
      </c>
      <c r="N129">
        <v>0</v>
      </c>
    </row>
    <row r="130" spans="1:14">
      <c r="A130" t="s">
        <v>6489</v>
      </c>
      <c r="B130" t="s">
        <v>2260</v>
      </c>
      <c r="C130">
        <v>594</v>
      </c>
      <c r="D130" t="s">
        <v>2252</v>
      </c>
      <c r="E130" t="s">
        <v>6490</v>
      </c>
      <c r="F130" s="455">
        <v>45702</v>
      </c>
      <c r="G130" s="455">
        <v>46126</v>
      </c>
      <c r="H130" s="455">
        <v>46490</v>
      </c>
      <c r="J130">
        <v>836</v>
      </c>
      <c r="K130" s="456">
        <v>1292.05</v>
      </c>
      <c r="L130" s="456">
        <v>1024</v>
      </c>
      <c r="M130">
        <v>0</v>
      </c>
      <c r="N130">
        <v>0</v>
      </c>
    </row>
    <row r="131" spans="1:14">
      <c r="A131" t="s">
        <v>6491</v>
      </c>
      <c r="B131" t="s">
        <v>2260</v>
      </c>
      <c r="C131">
        <v>594</v>
      </c>
      <c r="D131" t="s">
        <v>2252</v>
      </c>
      <c r="E131" t="s">
        <v>6492</v>
      </c>
      <c r="F131" s="455">
        <v>45611</v>
      </c>
      <c r="G131" s="455">
        <v>45976</v>
      </c>
      <c r="H131" s="455">
        <v>46340</v>
      </c>
      <c r="J131">
        <v>846</v>
      </c>
      <c r="K131">
        <v>979.45</v>
      </c>
      <c r="L131">
        <v>885.5</v>
      </c>
      <c r="M131">
        <v>0</v>
      </c>
      <c r="N131">
        <v>750</v>
      </c>
    </row>
    <row r="132" spans="1:14">
      <c r="A132" t="s">
        <v>6493</v>
      </c>
      <c r="B132" t="s">
        <v>2260</v>
      </c>
      <c r="C132">
        <v>594</v>
      </c>
      <c r="D132" t="s">
        <v>2252</v>
      </c>
      <c r="E132" t="s">
        <v>6494</v>
      </c>
      <c r="F132" s="455">
        <v>41432</v>
      </c>
      <c r="G132" s="455">
        <v>46204</v>
      </c>
      <c r="H132" s="455">
        <v>46568</v>
      </c>
      <c r="J132">
        <v>816</v>
      </c>
      <c r="K132" s="456">
        <v>1041.45</v>
      </c>
      <c r="L132">
        <v>948</v>
      </c>
      <c r="M132">
        <v>0</v>
      </c>
      <c r="N132">
        <v>200</v>
      </c>
    </row>
    <row r="133" spans="1:14">
      <c r="A133" t="s">
        <v>1805</v>
      </c>
      <c r="B133" t="s">
        <v>2260</v>
      </c>
      <c r="C133">
        <v>594</v>
      </c>
      <c r="D133" t="s">
        <v>2252</v>
      </c>
      <c r="E133" t="s">
        <v>1806</v>
      </c>
      <c r="F133" s="455">
        <v>46109</v>
      </c>
      <c r="G133" s="455">
        <v>46109</v>
      </c>
      <c r="H133" s="455">
        <v>46473</v>
      </c>
      <c r="J133">
        <v>836</v>
      </c>
      <c r="K133" s="456">
        <v>1007.63</v>
      </c>
      <c r="L133">
        <v>910</v>
      </c>
      <c r="M133">
        <v>0</v>
      </c>
      <c r="N133">
        <v>0</v>
      </c>
    </row>
    <row r="134" spans="1:14">
      <c r="A134" t="s">
        <v>6495</v>
      </c>
      <c r="B134" t="s">
        <v>2260</v>
      </c>
      <c r="C134">
        <v>594</v>
      </c>
      <c r="D134" t="s">
        <v>2252</v>
      </c>
      <c r="E134" t="s">
        <v>6496</v>
      </c>
      <c r="F134" s="455">
        <v>42940</v>
      </c>
      <c r="G134" s="455">
        <v>46113</v>
      </c>
      <c r="H134" s="455">
        <v>46477</v>
      </c>
      <c r="J134">
        <v>801</v>
      </c>
      <c r="K134">
        <v>978.4</v>
      </c>
      <c r="L134">
        <v>876</v>
      </c>
      <c r="M134">
        <v>-950.2</v>
      </c>
      <c r="N134">
        <v>150</v>
      </c>
    </row>
    <row r="135" spans="1:14">
      <c r="A135" t="s">
        <v>2581</v>
      </c>
      <c r="B135" t="s">
        <v>2260</v>
      </c>
      <c r="C135">
        <v>594</v>
      </c>
      <c r="D135" t="s">
        <v>6383</v>
      </c>
      <c r="E135" t="s">
        <v>6384</v>
      </c>
      <c r="J135">
        <v>911</v>
      </c>
      <c r="K135">
        <v>0</v>
      </c>
      <c r="L135">
        <v>0</v>
      </c>
    </row>
    <row r="136" spans="1:14">
      <c r="A136" t="s">
        <v>2975</v>
      </c>
      <c r="B136" t="s">
        <v>2260</v>
      </c>
      <c r="C136">
        <v>594</v>
      </c>
      <c r="D136" t="s">
        <v>2252</v>
      </c>
      <c r="E136" t="s">
        <v>2976</v>
      </c>
      <c r="F136" s="455">
        <v>44776</v>
      </c>
      <c r="G136" s="455">
        <v>46235</v>
      </c>
      <c r="H136" s="455">
        <v>46599</v>
      </c>
      <c r="J136">
        <v>791</v>
      </c>
      <c r="K136" s="456">
        <v>1180.45</v>
      </c>
      <c r="L136" s="456">
        <v>1087</v>
      </c>
      <c r="M136">
        <v>0</v>
      </c>
      <c r="N136">
        <v>0</v>
      </c>
    </row>
    <row r="137" spans="1:14">
      <c r="A137" t="s">
        <v>3200</v>
      </c>
      <c r="B137" t="s">
        <v>2260</v>
      </c>
      <c r="C137">
        <v>594</v>
      </c>
      <c r="D137" t="s">
        <v>2252</v>
      </c>
      <c r="E137" t="s">
        <v>3199</v>
      </c>
      <c r="F137" s="455">
        <v>46221</v>
      </c>
      <c r="G137" s="455">
        <v>46221</v>
      </c>
      <c r="H137" s="455">
        <v>46585</v>
      </c>
      <c r="J137">
        <v>846</v>
      </c>
      <c r="K137">
        <v>41</v>
      </c>
      <c r="L137">
        <v>887</v>
      </c>
      <c r="M137">
        <v>0</v>
      </c>
      <c r="N137">
        <v>500</v>
      </c>
    </row>
    <row r="138" spans="1:14">
      <c r="A138" t="s">
        <v>2589</v>
      </c>
      <c r="B138" t="s">
        <v>2260</v>
      </c>
      <c r="C138">
        <v>594</v>
      </c>
      <c r="D138" t="s">
        <v>6389</v>
      </c>
      <c r="E138" t="s">
        <v>6384</v>
      </c>
      <c r="J138">
        <v>816</v>
      </c>
      <c r="K138">
        <v>0</v>
      </c>
      <c r="L138">
        <v>0</v>
      </c>
      <c r="N138">
        <v>0</v>
      </c>
    </row>
    <row r="139" spans="1:14">
      <c r="A139" t="s">
        <v>1223</v>
      </c>
      <c r="B139" t="s">
        <v>2260</v>
      </c>
      <c r="C139">
        <v>594</v>
      </c>
      <c r="D139" t="s">
        <v>2252</v>
      </c>
      <c r="E139" t="s">
        <v>1795</v>
      </c>
      <c r="F139" s="455">
        <v>46109</v>
      </c>
      <c r="G139" s="455">
        <v>46109</v>
      </c>
      <c r="H139" s="455">
        <v>46473</v>
      </c>
      <c r="J139">
        <v>821</v>
      </c>
      <c r="K139">
        <v>992.63</v>
      </c>
      <c r="L139">
        <v>895</v>
      </c>
      <c r="M139">
        <v>0</v>
      </c>
      <c r="N139">
        <v>0</v>
      </c>
    </row>
    <row r="140" spans="1:14">
      <c r="A140" t="s">
        <v>6497</v>
      </c>
      <c r="B140" t="s">
        <v>2260</v>
      </c>
      <c r="C140">
        <v>594</v>
      </c>
      <c r="D140" t="s">
        <v>2252</v>
      </c>
      <c r="E140" t="s">
        <v>6498</v>
      </c>
      <c r="F140" s="455">
        <v>43580</v>
      </c>
      <c r="G140" s="455">
        <v>46204</v>
      </c>
      <c r="H140" s="455">
        <v>46568</v>
      </c>
      <c r="J140">
        <v>846</v>
      </c>
      <c r="K140" s="456">
        <v>1028.45</v>
      </c>
      <c r="L140">
        <v>935</v>
      </c>
      <c r="M140">
        <v>0</v>
      </c>
      <c r="N140">
        <v>150</v>
      </c>
    </row>
    <row r="141" spans="1:14">
      <c r="A141" t="s">
        <v>5733</v>
      </c>
      <c r="B141" t="s">
        <v>2260</v>
      </c>
      <c r="C141">
        <v>594</v>
      </c>
      <c r="D141" t="s">
        <v>2252</v>
      </c>
      <c r="E141" t="s">
        <v>5025</v>
      </c>
      <c r="F141" s="455">
        <v>45967</v>
      </c>
      <c r="G141" s="455">
        <v>45967</v>
      </c>
      <c r="H141" s="455">
        <v>46331</v>
      </c>
      <c r="J141">
        <v>911</v>
      </c>
      <c r="K141" s="456">
        <v>1122.0999999999999</v>
      </c>
      <c r="L141">
        <v>998.48</v>
      </c>
      <c r="M141">
        <v>0</v>
      </c>
      <c r="N141">
        <v>0</v>
      </c>
    </row>
    <row r="142" spans="1:14">
      <c r="A142" t="s">
        <v>2977</v>
      </c>
      <c r="B142" t="s">
        <v>2260</v>
      </c>
      <c r="C142">
        <v>594</v>
      </c>
      <c r="D142" t="s">
        <v>2252</v>
      </c>
      <c r="E142" t="s">
        <v>2978</v>
      </c>
      <c r="F142" s="455">
        <v>45103</v>
      </c>
      <c r="G142" s="455">
        <v>46235</v>
      </c>
      <c r="H142" s="455">
        <v>46599</v>
      </c>
      <c r="J142">
        <v>886</v>
      </c>
      <c r="K142" s="456">
        <v>1347.45</v>
      </c>
      <c r="L142" s="456">
        <v>1254</v>
      </c>
      <c r="M142">
        <v>0</v>
      </c>
      <c r="N142">
        <v>0</v>
      </c>
    </row>
    <row r="143" spans="1:14">
      <c r="A143" t="s">
        <v>2590</v>
      </c>
      <c r="B143" t="s">
        <v>2260</v>
      </c>
      <c r="C143">
        <v>594</v>
      </c>
      <c r="D143" t="s">
        <v>2252</v>
      </c>
      <c r="E143" t="s">
        <v>2591</v>
      </c>
      <c r="F143" s="455">
        <v>41992</v>
      </c>
      <c r="G143" s="455">
        <v>45170</v>
      </c>
      <c r="J143">
        <v>801</v>
      </c>
      <c r="K143" s="456">
        <v>1624.45</v>
      </c>
      <c r="L143" s="456">
        <v>1360.5</v>
      </c>
      <c r="M143">
        <v>670</v>
      </c>
      <c r="N143">
        <v>200</v>
      </c>
    </row>
    <row r="144" spans="1:14">
      <c r="A144" t="s">
        <v>6499</v>
      </c>
      <c r="B144" t="s">
        <v>2260</v>
      </c>
      <c r="C144">
        <v>594</v>
      </c>
      <c r="D144" t="s">
        <v>2252</v>
      </c>
      <c r="E144" t="s">
        <v>6500</v>
      </c>
      <c r="F144" s="455">
        <v>45555</v>
      </c>
      <c r="G144" s="455">
        <v>45981</v>
      </c>
      <c r="H144" s="455">
        <v>46345</v>
      </c>
      <c r="J144">
        <v>861</v>
      </c>
      <c r="K144" s="456">
        <v>1121.45</v>
      </c>
      <c r="L144" s="456">
        <v>1027.49</v>
      </c>
      <c r="M144">
        <v>-70.48</v>
      </c>
      <c r="N144">
        <v>0</v>
      </c>
    </row>
    <row r="145" spans="1:14">
      <c r="A145" t="s">
        <v>4865</v>
      </c>
      <c r="B145" t="s">
        <v>2260</v>
      </c>
      <c r="C145">
        <v>594</v>
      </c>
      <c r="D145" t="s">
        <v>2251</v>
      </c>
      <c r="E145" t="s">
        <v>6501</v>
      </c>
      <c r="F145" s="455">
        <v>45899</v>
      </c>
      <c r="G145" s="455">
        <v>45899</v>
      </c>
      <c r="H145" s="455">
        <v>46263</v>
      </c>
      <c r="I145" s="455">
        <v>46263</v>
      </c>
      <c r="J145">
        <v>836</v>
      </c>
      <c r="K145" s="456">
        <v>1025.45</v>
      </c>
      <c r="L145">
        <v>994.5</v>
      </c>
      <c r="M145">
        <v>0</v>
      </c>
      <c r="N145">
        <v>0</v>
      </c>
    </row>
    <row r="146" spans="1:14">
      <c r="A146" t="s">
        <v>1566</v>
      </c>
      <c r="B146" t="s">
        <v>2260</v>
      </c>
      <c r="C146">
        <v>594</v>
      </c>
      <c r="D146" t="s">
        <v>6389</v>
      </c>
      <c r="E146" t="s">
        <v>6384</v>
      </c>
      <c r="J146">
        <v>896</v>
      </c>
      <c r="K146">
        <v>0</v>
      </c>
      <c r="L146">
        <v>0</v>
      </c>
      <c r="N146">
        <v>0</v>
      </c>
    </row>
    <row r="147" spans="1:14">
      <c r="A147" t="s">
        <v>2593</v>
      </c>
      <c r="B147" t="s">
        <v>2260</v>
      </c>
      <c r="C147">
        <v>594</v>
      </c>
      <c r="D147" t="s">
        <v>2252</v>
      </c>
      <c r="E147" t="s">
        <v>2594</v>
      </c>
      <c r="F147" s="455">
        <v>45535</v>
      </c>
      <c r="G147" s="455">
        <v>46143</v>
      </c>
      <c r="H147" s="455">
        <v>46507</v>
      </c>
      <c r="J147">
        <v>911</v>
      </c>
      <c r="K147" s="456">
        <v>1371.4</v>
      </c>
      <c r="L147" s="456">
        <v>1133</v>
      </c>
      <c r="M147" s="456">
        <v>1371.4</v>
      </c>
      <c r="N147">
        <v>0</v>
      </c>
    </row>
    <row r="148" spans="1:14">
      <c r="A148" t="s">
        <v>1537</v>
      </c>
      <c r="B148" t="s">
        <v>2260</v>
      </c>
      <c r="C148">
        <v>594</v>
      </c>
      <c r="D148" t="s">
        <v>2252</v>
      </c>
      <c r="E148" t="s">
        <v>1837</v>
      </c>
      <c r="F148" s="455">
        <v>46129</v>
      </c>
      <c r="G148" s="455">
        <v>46129</v>
      </c>
      <c r="H148" s="455">
        <v>46493</v>
      </c>
      <c r="J148">
        <v>791</v>
      </c>
      <c r="K148">
        <v>885.91</v>
      </c>
      <c r="L148">
        <v>832</v>
      </c>
      <c r="M148">
        <v>0</v>
      </c>
      <c r="N148">
        <v>500</v>
      </c>
    </row>
    <row r="149" spans="1:14">
      <c r="A149" t="s">
        <v>6502</v>
      </c>
      <c r="B149" t="s">
        <v>2260</v>
      </c>
      <c r="C149">
        <v>594</v>
      </c>
      <c r="D149" t="s">
        <v>2252</v>
      </c>
      <c r="E149" t="s">
        <v>6503</v>
      </c>
      <c r="F149" s="455">
        <v>45992</v>
      </c>
      <c r="G149" s="455">
        <v>45992</v>
      </c>
      <c r="H149" s="455">
        <v>46356</v>
      </c>
      <c r="J149">
        <v>801</v>
      </c>
      <c r="K149">
        <v>915.45</v>
      </c>
      <c r="L149">
        <v>821.5</v>
      </c>
      <c r="M149">
        <v>0</v>
      </c>
      <c r="N149">
        <v>0</v>
      </c>
    </row>
    <row r="150" spans="1:14">
      <c r="A150" t="s">
        <v>6504</v>
      </c>
      <c r="B150" t="s">
        <v>2260</v>
      </c>
      <c r="C150">
        <v>594</v>
      </c>
      <c r="D150" t="s">
        <v>2252</v>
      </c>
      <c r="E150" t="s">
        <v>6505</v>
      </c>
      <c r="F150" s="455">
        <v>42861</v>
      </c>
      <c r="G150" s="455">
        <v>45962</v>
      </c>
      <c r="H150" s="455">
        <v>46326</v>
      </c>
      <c r="J150">
        <v>861</v>
      </c>
      <c r="K150" s="456">
        <v>1084.45</v>
      </c>
      <c r="L150">
        <v>990.5</v>
      </c>
      <c r="M150">
        <v>0</v>
      </c>
      <c r="N150">
        <v>150</v>
      </c>
    </row>
    <row r="151" spans="1:14">
      <c r="A151" t="s">
        <v>6506</v>
      </c>
      <c r="B151" t="s">
        <v>2260</v>
      </c>
      <c r="C151">
        <v>594</v>
      </c>
      <c r="D151" t="s">
        <v>2252</v>
      </c>
      <c r="E151" t="s">
        <v>6507</v>
      </c>
      <c r="F151" s="455">
        <v>45686</v>
      </c>
      <c r="G151" s="455">
        <v>46051</v>
      </c>
      <c r="J151">
        <v>886</v>
      </c>
      <c r="K151" s="456">
        <v>1229.0999999999999</v>
      </c>
      <c r="L151" s="456">
        <v>1105.49</v>
      </c>
      <c r="M151">
        <v>0</v>
      </c>
      <c r="N151">
        <v>0</v>
      </c>
    </row>
    <row r="152" spans="1:14">
      <c r="A152" t="s">
        <v>1580</v>
      </c>
      <c r="B152" t="s">
        <v>2260</v>
      </c>
      <c r="C152">
        <v>594</v>
      </c>
      <c r="D152" t="s">
        <v>2252</v>
      </c>
      <c r="E152" t="s">
        <v>2980</v>
      </c>
      <c r="F152" s="455">
        <v>46246</v>
      </c>
      <c r="G152" s="455">
        <v>46246</v>
      </c>
      <c r="H152" s="455">
        <v>46610</v>
      </c>
      <c r="J152">
        <v>846</v>
      </c>
      <c r="K152" s="456">
        <v>1271</v>
      </c>
      <c r="L152">
        <v>920</v>
      </c>
      <c r="M152">
        <v>0</v>
      </c>
      <c r="N152">
        <v>0</v>
      </c>
    </row>
    <row r="153" spans="1:14">
      <c r="A153" t="s">
        <v>6509</v>
      </c>
      <c r="B153" t="s">
        <v>2260</v>
      </c>
      <c r="C153">
        <v>594</v>
      </c>
      <c r="D153" t="s">
        <v>2252</v>
      </c>
      <c r="E153" t="s">
        <v>6510</v>
      </c>
      <c r="F153" s="455">
        <v>45047</v>
      </c>
      <c r="G153" s="455">
        <v>46143</v>
      </c>
      <c r="H153" s="455">
        <v>46507</v>
      </c>
      <c r="J153">
        <v>816</v>
      </c>
      <c r="K153" s="456">
        <v>1186.4000000000001</v>
      </c>
      <c r="L153" s="456">
        <v>1084</v>
      </c>
      <c r="M153">
        <v>0</v>
      </c>
      <c r="N153">
        <v>0</v>
      </c>
    </row>
    <row r="154" spans="1:14">
      <c r="A154" t="s">
        <v>2630</v>
      </c>
      <c r="B154" t="s">
        <v>2260</v>
      </c>
      <c r="C154">
        <v>594</v>
      </c>
      <c r="D154" t="s">
        <v>2252</v>
      </c>
      <c r="E154" t="s">
        <v>2631</v>
      </c>
      <c r="F154" s="455">
        <v>45628</v>
      </c>
      <c r="G154" s="455">
        <v>45993</v>
      </c>
      <c r="H154" s="455">
        <v>46357</v>
      </c>
      <c r="J154">
        <v>821</v>
      </c>
      <c r="K154" s="456">
        <v>1068.45</v>
      </c>
      <c r="L154">
        <v>889.5</v>
      </c>
      <c r="M154" s="456">
        <v>2499.42</v>
      </c>
      <c r="N154">
        <v>0</v>
      </c>
    </row>
    <row r="155" spans="1:14">
      <c r="A155" t="s">
        <v>6511</v>
      </c>
      <c r="B155" t="s">
        <v>2260</v>
      </c>
      <c r="C155">
        <v>594</v>
      </c>
      <c r="D155" t="s">
        <v>2252</v>
      </c>
      <c r="E155" t="s">
        <v>6512</v>
      </c>
      <c r="F155" s="455">
        <v>45731</v>
      </c>
      <c r="G155" s="455">
        <v>46157</v>
      </c>
      <c r="H155" s="455">
        <v>46521</v>
      </c>
      <c r="J155">
        <v>801</v>
      </c>
      <c r="K155" s="456">
        <v>1091.4000000000001</v>
      </c>
      <c r="L155">
        <v>989</v>
      </c>
      <c r="M155">
        <v>0</v>
      </c>
      <c r="N155">
        <v>0</v>
      </c>
    </row>
    <row r="156" spans="1:14">
      <c r="A156" t="s">
        <v>5105</v>
      </c>
      <c r="B156" t="s">
        <v>2260</v>
      </c>
      <c r="C156">
        <v>594</v>
      </c>
      <c r="D156" t="s">
        <v>6513</v>
      </c>
      <c r="E156" t="s">
        <v>6384</v>
      </c>
      <c r="J156">
        <v>861</v>
      </c>
      <c r="K156">
        <v>0</v>
      </c>
      <c r="L156">
        <v>0</v>
      </c>
      <c r="N156">
        <v>0</v>
      </c>
    </row>
    <row r="157" spans="1:14">
      <c r="A157" t="s">
        <v>6514</v>
      </c>
      <c r="B157" t="s">
        <v>2260</v>
      </c>
      <c r="C157">
        <v>594</v>
      </c>
      <c r="D157" t="s">
        <v>2252</v>
      </c>
      <c r="E157" t="s">
        <v>4680</v>
      </c>
      <c r="F157" s="455">
        <v>45616</v>
      </c>
      <c r="G157" s="455">
        <v>45981</v>
      </c>
      <c r="H157" s="455">
        <v>46345</v>
      </c>
      <c r="J157">
        <v>836</v>
      </c>
      <c r="K157" s="456">
        <v>1039.0999999999999</v>
      </c>
      <c r="L157">
        <v>916</v>
      </c>
      <c r="M157">
        <v>0</v>
      </c>
      <c r="N157">
        <v>0</v>
      </c>
    </row>
    <row r="158" spans="1:14">
      <c r="A158" t="s">
        <v>6515</v>
      </c>
      <c r="B158" t="s">
        <v>2260</v>
      </c>
      <c r="C158">
        <v>594</v>
      </c>
      <c r="D158" t="s">
        <v>2252</v>
      </c>
      <c r="E158" t="s">
        <v>6516</v>
      </c>
      <c r="F158" s="455">
        <v>45535</v>
      </c>
      <c r="G158" s="455">
        <v>45992</v>
      </c>
      <c r="H158" s="455">
        <v>46356</v>
      </c>
      <c r="J158">
        <v>896</v>
      </c>
      <c r="K158" s="456">
        <v>1180.45</v>
      </c>
      <c r="L158" s="456">
        <v>1086.5</v>
      </c>
      <c r="M158">
        <v>0</v>
      </c>
      <c r="N158">
        <v>0</v>
      </c>
    </row>
    <row r="159" spans="1:14">
      <c r="A159" t="s">
        <v>6517</v>
      </c>
      <c r="B159" t="s">
        <v>2260</v>
      </c>
      <c r="C159">
        <v>594</v>
      </c>
      <c r="D159" t="s">
        <v>2252</v>
      </c>
      <c r="E159" t="s">
        <v>6518</v>
      </c>
      <c r="F159" s="455">
        <v>45764</v>
      </c>
      <c r="G159" s="455">
        <v>46129</v>
      </c>
      <c r="H159" s="455">
        <v>46493</v>
      </c>
      <c r="J159">
        <v>861</v>
      </c>
      <c r="K159" s="456">
        <v>1118.4000000000001</v>
      </c>
      <c r="L159" s="456">
        <v>1016</v>
      </c>
      <c r="M159">
        <v>0</v>
      </c>
      <c r="N159">
        <v>750</v>
      </c>
    </row>
    <row r="160" spans="1:14">
      <c r="A160" t="s">
        <v>6519</v>
      </c>
      <c r="B160" t="s">
        <v>2260</v>
      </c>
      <c r="C160">
        <v>594</v>
      </c>
      <c r="D160" t="s">
        <v>2252</v>
      </c>
      <c r="E160" t="s">
        <v>6520</v>
      </c>
      <c r="F160" s="455">
        <v>44453</v>
      </c>
      <c r="G160" s="455">
        <v>45901</v>
      </c>
      <c r="H160" s="455">
        <v>46265</v>
      </c>
      <c r="J160">
        <v>836</v>
      </c>
      <c r="K160" s="456">
        <v>1141.45</v>
      </c>
      <c r="L160" s="456">
        <v>1048</v>
      </c>
      <c r="M160">
        <v>0</v>
      </c>
      <c r="N160">
        <v>0</v>
      </c>
    </row>
    <row r="161" spans="1:14">
      <c r="A161" t="s">
        <v>3114</v>
      </c>
      <c r="B161" t="s">
        <v>2260</v>
      </c>
      <c r="C161">
        <v>594</v>
      </c>
      <c r="D161" t="s">
        <v>2252</v>
      </c>
      <c r="E161" t="s">
        <v>3115</v>
      </c>
      <c r="F161" s="455">
        <v>44678</v>
      </c>
      <c r="G161" s="455">
        <v>46143</v>
      </c>
      <c r="H161" s="455">
        <v>46507</v>
      </c>
      <c r="J161">
        <v>846</v>
      </c>
      <c r="K161" s="456">
        <v>1329.4</v>
      </c>
      <c r="L161" s="456">
        <v>1076</v>
      </c>
      <c r="M161">
        <v>0</v>
      </c>
      <c r="N161">
        <v>0</v>
      </c>
    </row>
    <row r="162" spans="1:14">
      <c r="A162" t="s">
        <v>6521</v>
      </c>
      <c r="B162" t="s">
        <v>2260</v>
      </c>
      <c r="C162">
        <v>594</v>
      </c>
      <c r="D162" t="s">
        <v>2252</v>
      </c>
      <c r="E162" t="s">
        <v>6522</v>
      </c>
      <c r="F162" s="455">
        <v>45409</v>
      </c>
      <c r="G162" s="455">
        <v>46200</v>
      </c>
      <c r="H162" s="455">
        <v>46564</v>
      </c>
      <c r="J162">
        <v>846</v>
      </c>
      <c r="K162" s="456">
        <v>1237.45</v>
      </c>
      <c r="L162" s="456">
        <v>1144</v>
      </c>
      <c r="M162">
        <v>0</v>
      </c>
      <c r="N162">
        <v>0</v>
      </c>
    </row>
    <row r="163" spans="1:14">
      <c r="A163" t="s">
        <v>2632</v>
      </c>
      <c r="B163" t="s">
        <v>2260</v>
      </c>
      <c r="C163">
        <v>594</v>
      </c>
      <c r="D163" t="s">
        <v>6389</v>
      </c>
      <c r="E163" t="s">
        <v>6384</v>
      </c>
      <c r="J163">
        <v>836</v>
      </c>
      <c r="K163">
        <v>0</v>
      </c>
      <c r="L163">
        <v>0</v>
      </c>
      <c r="N163">
        <v>0</v>
      </c>
    </row>
    <row r="164" spans="1:14">
      <c r="A164" t="s">
        <v>2634</v>
      </c>
      <c r="B164" t="s">
        <v>2260</v>
      </c>
      <c r="C164">
        <v>594</v>
      </c>
      <c r="D164" t="s">
        <v>2252</v>
      </c>
      <c r="E164" t="s">
        <v>2635</v>
      </c>
      <c r="F164" s="455">
        <v>45570</v>
      </c>
      <c r="G164" s="455">
        <v>45996</v>
      </c>
      <c r="H164" s="455">
        <v>46360</v>
      </c>
      <c r="J164">
        <v>846</v>
      </c>
      <c r="K164" s="456">
        <v>1130.0999999999999</v>
      </c>
      <c r="L164" s="456">
        <v>1006.5</v>
      </c>
      <c r="M164">
        <v>0.1</v>
      </c>
      <c r="N164">
        <v>0</v>
      </c>
    </row>
    <row r="165" spans="1:14">
      <c r="A165" t="s">
        <v>6523</v>
      </c>
      <c r="B165" t="s">
        <v>2260</v>
      </c>
      <c r="C165">
        <v>594</v>
      </c>
      <c r="D165" t="s">
        <v>2252</v>
      </c>
      <c r="E165" t="s">
        <v>6524</v>
      </c>
      <c r="F165" s="455">
        <v>41884</v>
      </c>
      <c r="G165" s="455">
        <v>45901</v>
      </c>
      <c r="H165" s="455">
        <v>46265</v>
      </c>
      <c r="J165">
        <v>816</v>
      </c>
      <c r="K165">
        <v>981.45</v>
      </c>
      <c r="L165">
        <v>888</v>
      </c>
      <c r="M165">
        <v>0</v>
      </c>
      <c r="N165">
        <v>200</v>
      </c>
    </row>
    <row r="166" spans="1:14">
      <c r="A166" t="s">
        <v>1532</v>
      </c>
      <c r="B166" t="s">
        <v>2260</v>
      </c>
      <c r="C166">
        <v>594</v>
      </c>
      <c r="D166" t="s">
        <v>2252</v>
      </c>
      <c r="E166" t="s">
        <v>3156</v>
      </c>
      <c r="F166" s="455">
        <v>46200</v>
      </c>
      <c r="G166" s="455">
        <v>46200</v>
      </c>
      <c r="H166" s="455">
        <v>46564</v>
      </c>
      <c r="J166">
        <v>791</v>
      </c>
      <c r="K166">
        <v>869.6</v>
      </c>
      <c r="L166">
        <v>865</v>
      </c>
      <c r="M166">
        <v>0</v>
      </c>
      <c r="N166">
        <v>0</v>
      </c>
    </row>
    <row r="167" spans="1:14">
      <c r="A167" t="s">
        <v>6525</v>
      </c>
      <c r="B167" t="s">
        <v>2260</v>
      </c>
      <c r="C167">
        <v>594</v>
      </c>
      <c r="D167" t="s">
        <v>2252</v>
      </c>
      <c r="E167" t="s">
        <v>6526</v>
      </c>
      <c r="F167" s="455">
        <v>44357</v>
      </c>
      <c r="G167" s="455">
        <v>46204</v>
      </c>
      <c r="H167" s="455">
        <v>46568</v>
      </c>
      <c r="J167">
        <v>896</v>
      </c>
      <c r="K167" s="456">
        <v>1254.45</v>
      </c>
      <c r="L167" s="456">
        <v>1161</v>
      </c>
      <c r="M167">
        <v>0</v>
      </c>
      <c r="N167">
        <v>0</v>
      </c>
    </row>
    <row r="168" spans="1:14">
      <c r="A168" t="s">
        <v>6527</v>
      </c>
      <c r="B168" t="s">
        <v>2260</v>
      </c>
      <c r="C168">
        <v>594</v>
      </c>
      <c r="D168" t="s">
        <v>2252</v>
      </c>
      <c r="E168" t="s">
        <v>6528</v>
      </c>
      <c r="F168" s="455">
        <v>45660</v>
      </c>
      <c r="G168" s="455">
        <v>46073</v>
      </c>
      <c r="H168" s="455">
        <v>46437</v>
      </c>
      <c r="J168">
        <v>846</v>
      </c>
      <c r="K168" s="456">
        <v>1016.4</v>
      </c>
      <c r="L168">
        <v>914</v>
      </c>
      <c r="M168">
        <v>0</v>
      </c>
      <c r="N168">
        <v>0</v>
      </c>
    </row>
    <row r="169" spans="1:14">
      <c r="A169" t="s">
        <v>6529</v>
      </c>
      <c r="B169" t="s">
        <v>2260</v>
      </c>
      <c r="C169">
        <v>594</v>
      </c>
      <c r="D169" t="s">
        <v>2252</v>
      </c>
      <c r="E169" t="s">
        <v>6530</v>
      </c>
      <c r="F169" s="455">
        <v>43800</v>
      </c>
      <c r="G169" s="455">
        <v>45992</v>
      </c>
      <c r="H169" s="455">
        <v>46356</v>
      </c>
      <c r="J169">
        <v>836</v>
      </c>
      <c r="K169" s="456">
        <v>1056.45</v>
      </c>
      <c r="L169">
        <v>962.5</v>
      </c>
      <c r="M169">
        <v>0</v>
      </c>
      <c r="N169">
        <v>150</v>
      </c>
    </row>
    <row r="170" spans="1:14">
      <c r="A170" t="s">
        <v>6531</v>
      </c>
      <c r="B170" t="s">
        <v>2260</v>
      </c>
      <c r="C170">
        <v>594</v>
      </c>
      <c r="D170" t="s">
        <v>2252</v>
      </c>
      <c r="E170" t="s">
        <v>6532</v>
      </c>
      <c r="F170" s="455">
        <v>46039</v>
      </c>
      <c r="G170" s="455">
        <v>46039</v>
      </c>
      <c r="H170" s="455">
        <v>46403</v>
      </c>
      <c r="J170">
        <v>896</v>
      </c>
      <c r="K170" s="456">
        <v>1177.0999999999999</v>
      </c>
      <c r="L170" s="456">
        <v>1054</v>
      </c>
      <c r="M170">
        <v>0</v>
      </c>
      <c r="N170">
        <v>0</v>
      </c>
    </row>
    <row r="171" spans="1:14">
      <c r="A171" t="s">
        <v>6533</v>
      </c>
      <c r="B171" t="s">
        <v>2260</v>
      </c>
      <c r="C171">
        <v>594</v>
      </c>
      <c r="D171" t="s">
        <v>2252</v>
      </c>
      <c r="E171" t="s">
        <v>6534</v>
      </c>
      <c r="F171" s="455">
        <v>45682</v>
      </c>
      <c r="G171" s="455">
        <v>46047</v>
      </c>
      <c r="H171" s="455">
        <v>46410</v>
      </c>
      <c r="J171">
        <v>861</v>
      </c>
      <c r="K171">
        <v>962.45</v>
      </c>
      <c r="L171">
        <v>868.5</v>
      </c>
      <c r="M171">
        <v>0</v>
      </c>
      <c r="N171">
        <v>750</v>
      </c>
    </row>
    <row r="172" spans="1:14">
      <c r="A172" t="s">
        <v>2981</v>
      </c>
      <c r="B172" t="s">
        <v>2260</v>
      </c>
      <c r="C172">
        <v>594</v>
      </c>
      <c r="D172" t="s">
        <v>2252</v>
      </c>
      <c r="E172" t="s">
        <v>2982</v>
      </c>
      <c r="F172" s="455">
        <v>44258</v>
      </c>
      <c r="G172" s="455">
        <v>46235</v>
      </c>
      <c r="H172" s="455">
        <v>46599</v>
      </c>
      <c r="J172">
        <v>791</v>
      </c>
      <c r="K172" s="456">
        <v>1007.45</v>
      </c>
      <c r="L172">
        <v>914</v>
      </c>
      <c r="M172">
        <v>0</v>
      </c>
      <c r="N172">
        <v>75</v>
      </c>
    </row>
    <row r="173" spans="1:14">
      <c r="A173" t="s">
        <v>1811</v>
      </c>
      <c r="B173" t="s">
        <v>2260</v>
      </c>
      <c r="C173">
        <v>594</v>
      </c>
      <c r="D173" t="s">
        <v>6389</v>
      </c>
      <c r="E173" t="s">
        <v>6384</v>
      </c>
      <c r="J173">
        <v>846</v>
      </c>
      <c r="K173">
        <v>0</v>
      </c>
      <c r="L173">
        <v>0</v>
      </c>
      <c r="N173">
        <v>0</v>
      </c>
    </row>
    <row r="174" spans="1:14">
      <c r="A174" t="s">
        <v>6535</v>
      </c>
      <c r="B174" t="s">
        <v>2260</v>
      </c>
      <c r="C174">
        <v>594</v>
      </c>
      <c r="D174" t="s">
        <v>2252</v>
      </c>
      <c r="E174" t="s">
        <v>6536</v>
      </c>
      <c r="F174" s="455">
        <v>45033</v>
      </c>
      <c r="G174" s="455">
        <v>46143</v>
      </c>
      <c r="H174" s="455">
        <v>46507</v>
      </c>
      <c r="J174">
        <v>861</v>
      </c>
      <c r="K174" s="456">
        <v>1241.4000000000001</v>
      </c>
      <c r="L174" s="456">
        <v>1139</v>
      </c>
      <c r="M174">
        <v>0</v>
      </c>
      <c r="N174">
        <v>0</v>
      </c>
    </row>
    <row r="175" spans="1:14">
      <c r="A175" t="s">
        <v>6537</v>
      </c>
      <c r="B175" t="s">
        <v>2260</v>
      </c>
      <c r="C175">
        <v>594</v>
      </c>
      <c r="D175" t="s">
        <v>2252</v>
      </c>
      <c r="E175" t="s">
        <v>6538</v>
      </c>
      <c r="F175" s="455">
        <v>45682</v>
      </c>
      <c r="G175" s="455">
        <v>46106</v>
      </c>
      <c r="H175" s="455">
        <v>46470</v>
      </c>
      <c r="J175">
        <v>836</v>
      </c>
      <c r="K175" s="456">
        <v>1126.4000000000001</v>
      </c>
      <c r="L175" s="456">
        <v>1024</v>
      </c>
      <c r="M175">
        <v>0</v>
      </c>
      <c r="N175">
        <v>0</v>
      </c>
    </row>
    <row r="176" spans="1:14">
      <c r="A176" t="s">
        <v>2642</v>
      </c>
      <c r="B176" t="s">
        <v>2260</v>
      </c>
      <c r="C176">
        <v>594</v>
      </c>
      <c r="D176" t="s">
        <v>6389</v>
      </c>
      <c r="E176" t="s">
        <v>6384</v>
      </c>
      <c r="J176">
        <v>846</v>
      </c>
      <c r="K176">
        <v>0</v>
      </c>
      <c r="L176">
        <v>0</v>
      </c>
      <c r="N176">
        <v>0</v>
      </c>
    </row>
    <row r="177" spans="1:14">
      <c r="A177" t="s">
        <v>6539</v>
      </c>
      <c r="B177" t="s">
        <v>2260</v>
      </c>
      <c r="C177">
        <v>594</v>
      </c>
      <c r="D177" t="s">
        <v>2252</v>
      </c>
      <c r="E177" t="s">
        <v>6540</v>
      </c>
      <c r="F177" s="455">
        <v>45723</v>
      </c>
      <c r="G177" s="455">
        <v>46088</v>
      </c>
      <c r="H177" s="455">
        <v>46452</v>
      </c>
      <c r="J177">
        <v>861</v>
      </c>
      <c r="K177" s="456">
        <v>1029.4000000000001</v>
      </c>
      <c r="L177">
        <v>927</v>
      </c>
      <c r="M177">
        <v>0</v>
      </c>
      <c r="N177">
        <v>0</v>
      </c>
    </row>
    <row r="178" spans="1:14">
      <c r="A178" t="s">
        <v>1577</v>
      </c>
      <c r="B178" t="s">
        <v>2260</v>
      </c>
      <c r="C178">
        <v>594</v>
      </c>
      <c r="D178" t="s">
        <v>2252</v>
      </c>
      <c r="E178" t="s">
        <v>2644</v>
      </c>
      <c r="F178" s="455">
        <v>46234</v>
      </c>
      <c r="G178" s="455">
        <v>46234</v>
      </c>
      <c r="H178" s="455">
        <v>46598</v>
      </c>
      <c r="J178">
        <v>836</v>
      </c>
      <c r="K178">
        <v>74</v>
      </c>
      <c r="L178">
        <v>910</v>
      </c>
      <c r="M178">
        <v>0</v>
      </c>
      <c r="N178">
        <v>0</v>
      </c>
    </row>
    <row r="179" spans="1:14">
      <c r="A179" t="s">
        <v>6541</v>
      </c>
      <c r="B179" t="s">
        <v>2260</v>
      </c>
      <c r="C179">
        <v>594</v>
      </c>
      <c r="D179" t="s">
        <v>2251</v>
      </c>
      <c r="E179" t="s">
        <v>6542</v>
      </c>
      <c r="F179" s="455">
        <v>42641</v>
      </c>
      <c r="G179" s="455">
        <v>46143</v>
      </c>
      <c r="H179" s="455">
        <v>46326</v>
      </c>
      <c r="I179" s="455">
        <v>46326</v>
      </c>
      <c r="J179">
        <v>846</v>
      </c>
      <c r="K179" s="456">
        <v>1093.4000000000001</v>
      </c>
      <c r="L179">
        <v>991</v>
      </c>
      <c r="M179">
        <v>0</v>
      </c>
      <c r="N179">
        <v>150</v>
      </c>
    </row>
    <row r="180" spans="1:14">
      <c r="A180" t="s">
        <v>6543</v>
      </c>
      <c r="B180" t="s">
        <v>2260</v>
      </c>
      <c r="C180">
        <v>594</v>
      </c>
      <c r="D180" t="s">
        <v>2252</v>
      </c>
      <c r="E180" t="s">
        <v>6544</v>
      </c>
      <c r="F180" s="455">
        <v>46052</v>
      </c>
      <c r="G180" s="455">
        <v>46052</v>
      </c>
      <c r="H180" s="455">
        <v>46416</v>
      </c>
      <c r="J180">
        <v>861</v>
      </c>
      <c r="K180" s="456">
        <v>1024.45</v>
      </c>
      <c r="L180">
        <v>931</v>
      </c>
      <c r="M180">
        <v>0</v>
      </c>
      <c r="N180">
        <v>500</v>
      </c>
    </row>
    <row r="181" spans="1:14">
      <c r="A181" t="s">
        <v>6545</v>
      </c>
      <c r="B181" t="s">
        <v>2260</v>
      </c>
      <c r="C181">
        <v>594</v>
      </c>
      <c r="D181" t="s">
        <v>2252</v>
      </c>
      <c r="E181" t="s">
        <v>6546</v>
      </c>
      <c r="F181" s="455">
        <v>45751</v>
      </c>
      <c r="G181" s="455">
        <v>46116</v>
      </c>
      <c r="H181" s="455">
        <v>46480</v>
      </c>
      <c r="J181">
        <v>791</v>
      </c>
      <c r="K181" s="456">
        <v>1081.4000000000001</v>
      </c>
      <c r="L181">
        <v>979</v>
      </c>
      <c r="M181">
        <v>0</v>
      </c>
      <c r="N181">
        <v>0</v>
      </c>
    </row>
    <row r="182" spans="1:14">
      <c r="A182" t="s">
        <v>6547</v>
      </c>
      <c r="B182" t="s">
        <v>2260</v>
      </c>
      <c r="C182">
        <v>594</v>
      </c>
      <c r="D182" t="s">
        <v>2251</v>
      </c>
      <c r="E182" t="s">
        <v>6548</v>
      </c>
      <c r="F182" s="455">
        <v>45197</v>
      </c>
      <c r="G182" s="455">
        <v>45931</v>
      </c>
      <c r="H182" s="455">
        <v>46295</v>
      </c>
      <c r="I182" s="455">
        <v>46295</v>
      </c>
      <c r="J182">
        <v>896</v>
      </c>
      <c r="K182" s="456">
        <v>1246.45</v>
      </c>
      <c r="L182" s="456">
        <v>1152.49</v>
      </c>
      <c r="M182">
        <v>0</v>
      </c>
      <c r="N182">
        <v>0</v>
      </c>
    </row>
    <row r="183" spans="1:14">
      <c r="A183" t="s">
        <v>2645</v>
      </c>
      <c r="B183" t="s">
        <v>2260</v>
      </c>
      <c r="C183">
        <v>594</v>
      </c>
      <c r="D183" t="s">
        <v>2252</v>
      </c>
      <c r="E183" t="s">
        <v>2983</v>
      </c>
      <c r="F183" s="455">
        <v>46242</v>
      </c>
      <c r="G183" s="455">
        <v>46242</v>
      </c>
      <c r="H183" s="455">
        <v>46606</v>
      </c>
      <c r="J183">
        <v>861</v>
      </c>
      <c r="K183">
        <v>727</v>
      </c>
      <c r="L183">
        <v>935</v>
      </c>
      <c r="M183">
        <v>-500</v>
      </c>
      <c r="N183">
        <v>0</v>
      </c>
    </row>
    <row r="184" spans="1:14">
      <c r="A184" t="s">
        <v>2646</v>
      </c>
      <c r="B184" t="s">
        <v>2260</v>
      </c>
      <c r="C184">
        <v>594</v>
      </c>
      <c r="D184" t="s">
        <v>6389</v>
      </c>
      <c r="E184" t="s">
        <v>6384</v>
      </c>
      <c r="J184">
        <v>836</v>
      </c>
      <c r="K184">
        <v>0</v>
      </c>
      <c r="L184">
        <v>0</v>
      </c>
      <c r="N184">
        <v>0</v>
      </c>
    </row>
    <row r="185" spans="1:14">
      <c r="A185" t="s">
        <v>6549</v>
      </c>
      <c r="B185" t="s">
        <v>2260</v>
      </c>
      <c r="C185">
        <v>594</v>
      </c>
      <c r="D185" t="s">
        <v>2252</v>
      </c>
      <c r="E185" t="s">
        <v>6550</v>
      </c>
      <c r="F185" s="455">
        <v>44620</v>
      </c>
      <c r="G185" s="455">
        <v>45992</v>
      </c>
      <c r="H185" s="455">
        <v>46356</v>
      </c>
      <c r="J185">
        <v>846</v>
      </c>
      <c r="K185" s="456">
        <v>1192.45</v>
      </c>
      <c r="L185" s="456">
        <v>1098.49</v>
      </c>
      <c r="M185">
        <v>0</v>
      </c>
      <c r="N185">
        <v>0</v>
      </c>
    </row>
    <row r="186" spans="1:14">
      <c r="A186" t="s">
        <v>6551</v>
      </c>
      <c r="B186" t="s">
        <v>2261</v>
      </c>
      <c r="C186">
        <v>650</v>
      </c>
      <c r="D186" t="s">
        <v>2252</v>
      </c>
      <c r="E186" t="s">
        <v>6552</v>
      </c>
      <c r="F186" s="455">
        <v>46179</v>
      </c>
      <c r="G186" s="455">
        <v>46179</v>
      </c>
      <c r="H186" s="455">
        <v>46543</v>
      </c>
      <c r="J186">
        <v>880</v>
      </c>
      <c r="K186" s="456">
        <v>1085.6300000000001</v>
      </c>
      <c r="L186">
        <v>976</v>
      </c>
      <c r="M186">
        <v>0</v>
      </c>
      <c r="N186">
        <v>500</v>
      </c>
    </row>
    <row r="187" spans="1:14">
      <c r="A187" t="s">
        <v>2984</v>
      </c>
      <c r="B187" t="s">
        <v>2261</v>
      </c>
      <c r="C187">
        <v>650</v>
      </c>
      <c r="D187" t="s">
        <v>2252</v>
      </c>
      <c r="E187" t="s">
        <v>2985</v>
      </c>
      <c r="F187" s="455">
        <v>45471</v>
      </c>
      <c r="G187" s="455">
        <v>45897</v>
      </c>
      <c r="H187" s="455">
        <v>46261</v>
      </c>
      <c r="J187">
        <v>830</v>
      </c>
      <c r="K187" s="456">
        <v>1072.8800000000001</v>
      </c>
      <c r="L187">
        <v>988</v>
      </c>
      <c r="M187">
        <v>0</v>
      </c>
      <c r="N187">
        <v>750</v>
      </c>
    </row>
    <row r="188" spans="1:14">
      <c r="A188" t="s">
        <v>2986</v>
      </c>
      <c r="B188" t="s">
        <v>2261</v>
      </c>
      <c r="C188">
        <v>650</v>
      </c>
      <c r="D188" t="s">
        <v>2252</v>
      </c>
      <c r="E188" t="s">
        <v>2988</v>
      </c>
      <c r="F188" s="455">
        <v>46230</v>
      </c>
      <c r="G188" s="455">
        <v>46230</v>
      </c>
      <c r="H188" s="455">
        <v>46594</v>
      </c>
      <c r="J188">
        <v>785</v>
      </c>
      <c r="K188">
        <v>41</v>
      </c>
      <c r="L188">
        <v>826</v>
      </c>
      <c r="M188">
        <v>-13</v>
      </c>
      <c r="N188">
        <v>500</v>
      </c>
    </row>
    <row r="189" spans="1:14">
      <c r="A189" t="s">
        <v>6553</v>
      </c>
      <c r="B189" t="s">
        <v>2261</v>
      </c>
      <c r="C189">
        <v>650</v>
      </c>
      <c r="D189" t="s">
        <v>2252</v>
      </c>
      <c r="E189" t="s">
        <v>6554</v>
      </c>
      <c r="F189" s="455">
        <v>45941</v>
      </c>
      <c r="G189" s="455">
        <v>45941</v>
      </c>
      <c r="H189" s="455">
        <v>46305</v>
      </c>
      <c r="J189">
        <v>880</v>
      </c>
      <c r="K189" s="456">
        <v>1071.8800000000001</v>
      </c>
      <c r="L189">
        <v>995.99</v>
      </c>
      <c r="M189">
        <v>0</v>
      </c>
      <c r="N189">
        <v>0</v>
      </c>
    </row>
    <row r="190" spans="1:14">
      <c r="A190" t="s">
        <v>3262</v>
      </c>
      <c r="B190" t="s">
        <v>2261</v>
      </c>
      <c r="C190">
        <v>650</v>
      </c>
      <c r="D190" t="s">
        <v>2252</v>
      </c>
      <c r="E190" t="s">
        <v>6555</v>
      </c>
      <c r="F190" s="455">
        <v>46157</v>
      </c>
      <c r="G190" s="455">
        <v>46157</v>
      </c>
      <c r="H190" s="455">
        <v>46521</v>
      </c>
      <c r="J190">
        <v>830</v>
      </c>
      <c r="K190">
        <v>894.95</v>
      </c>
      <c r="L190">
        <v>871</v>
      </c>
      <c r="M190">
        <v>0</v>
      </c>
      <c r="N190">
        <v>500</v>
      </c>
    </row>
    <row r="191" spans="1:14">
      <c r="A191" t="s">
        <v>4831</v>
      </c>
      <c r="B191" t="s">
        <v>2261</v>
      </c>
      <c r="C191">
        <v>650</v>
      </c>
      <c r="D191" t="s">
        <v>2252</v>
      </c>
      <c r="E191" t="s">
        <v>4830</v>
      </c>
      <c r="F191" s="455">
        <v>46235</v>
      </c>
      <c r="G191" s="455">
        <v>46235</v>
      </c>
      <c r="H191" s="455">
        <v>46599</v>
      </c>
      <c r="J191">
        <v>830</v>
      </c>
      <c r="K191">
        <v>41</v>
      </c>
      <c r="L191">
        <v>871</v>
      </c>
      <c r="M191">
        <v>-33</v>
      </c>
      <c r="N191">
        <v>500</v>
      </c>
    </row>
    <row r="192" spans="1:14">
      <c r="A192" t="s">
        <v>1834</v>
      </c>
      <c r="B192" t="s">
        <v>2261</v>
      </c>
      <c r="C192">
        <v>650</v>
      </c>
      <c r="D192" t="s">
        <v>6389</v>
      </c>
      <c r="E192" t="s">
        <v>6384</v>
      </c>
      <c r="J192">
        <v>785</v>
      </c>
      <c r="K192">
        <v>0</v>
      </c>
      <c r="L192">
        <v>0</v>
      </c>
      <c r="N192">
        <v>0</v>
      </c>
    </row>
    <row r="193" spans="1:14">
      <c r="A193" t="s">
        <v>6556</v>
      </c>
      <c r="B193" t="s">
        <v>2261</v>
      </c>
      <c r="C193">
        <v>650</v>
      </c>
      <c r="D193" t="s">
        <v>2252</v>
      </c>
      <c r="E193" t="s">
        <v>6557</v>
      </c>
      <c r="F193" s="455">
        <v>45849</v>
      </c>
      <c r="G193" s="455">
        <v>46214</v>
      </c>
      <c r="H193" s="455">
        <v>46578</v>
      </c>
      <c r="J193">
        <v>880</v>
      </c>
      <c r="K193" s="456">
        <v>1160.8800000000001</v>
      </c>
      <c r="L193" s="456">
        <v>1085</v>
      </c>
      <c r="M193">
        <v>0</v>
      </c>
      <c r="N193">
        <v>0</v>
      </c>
    </row>
    <row r="194" spans="1:14">
      <c r="A194" t="s">
        <v>2403</v>
      </c>
      <c r="B194" t="s">
        <v>2261</v>
      </c>
      <c r="C194">
        <v>650</v>
      </c>
      <c r="D194" t="s">
        <v>2252</v>
      </c>
      <c r="E194" t="s">
        <v>2404</v>
      </c>
      <c r="F194" s="455">
        <v>46171</v>
      </c>
      <c r="G194" s="455">
        <v>46171</v>
      </c>
      <c r="H194" s="455">
        <v>46535</v>
      </c>
      <c r="J194">
        <v>805</v>
      </c>
      <c r="K194" s="456">
        <v>1024.95</v>
      </c>
      <c r="L194">
        <v>879</v>
      </c>
      <c r="M194" s="456">
        <v>1024.95</v>
      </c>
      <c r="N194">
        <v>0</v>
      </c>
    </row>
    <row r="195" spans="1:14">
      <c r="A195" t="s">
        <v>6558</v>
      </c>
      <c r="B195" t="s">
        <v>2261</v>
      </c>
      <c r="C195">
        <v>650</v>
      </c>
      <c r="D195" t="s">
        <v>2252</v>
      </c>
      <c r="E195" t="s">
        <v>6559</v>
      </c>
      <c r="F195" s="455">
        <v>43943</v>
      </c>
      <c r="G195" s="455">
        <v>46181</v>
      </c>
      <c r="H195" s="455">
        <v>46545</v>
      </c>
      <c r="J195">
        <v>805</v>
      </c>
      <c r="K195">
        <v>767.88</v>
      </c>
      <c r="L195" s="456">
        <v>1049</v>
      </c>
      <c r="M195">
        <v>-107</v>
      </c>
      <c r="N195">
        <v>150</v>
      </c>
    </row>
    <row r="196" spans="1:14">
      <c r="A196" t="s">
        <v>6560</v>
      </c>
      <c r="B196" t="s">
        <v>2261</v>
      </c>
      <c r="C196">
        <v>650</v>
      </c>
      <c r="D196" t="s">
        <v>2252</v>
      </c>
      <c r="E196" t="s">
        <v>6561</v>
      </c>
      <c r="F196" s="455">
        <v>44151</v>
      </c>
      <c r="G196" s="455">
        <v>46174</v>
      </c>
      <c r="H196" s="455">
        <v>46538</v>
      </c>
      <c r="J196">
        <v>805</v>
      </c>
      <c r="K196" s="456">
        <v>1270.8800000000001</v>
      </c>
      <c r="L196" s="456">
        <v>1195</v>
      </c>
      <c r="M196">
        <v>0</v>
      </c>
      <c r="N196">
        <v>0</v>
      </c>
    </row>
    <row r="197" spans="1:14">
      <c r="A197" t="s">
        <v>6562</v>
      </c>
      <c r="B197" t="s">
        <v>2261</v>
      </c>
      <c r="C197">
        <v>650</v>
      </c>
      <c r="D197" t="s">
        <v>2252</v>
      </c>
      <c r="E197" t="s">
        <v>6563</v>
      </c>
      <c r="F197" s="455">
        <v>45504</v>
      </c>
      <c r="G197" s="455">
        <v>45931</v>
      </c>
      <c r="H197" s="455">
        <v>46295</v>
      </c>
      <c r="J197">
        <v>805</v>
      </c>
      <c r="K197">
        <v>831.88</v>
      </c>
      <c r="L197" s="456">
        <v>1005.49</v>
      </c>
      <c r="M197">
        <v>0</v>
      </c>
      <c r="N197">
        <v>0</v>
      </c>
    </row>
    <row r="198" spans="1:14">
      <c r="A198" t="s">
        <v>2137</v>
      </c>
      <c r="B198" t="s">
        <v>2261</v>
      </c>
      <c r="C198">
        <v>650</v>
      </c>
      <c r="D198" t="s">
        <v>2252</v>
      </c>
      <c r="E198" t="s">
        <v>6564</v>
      </c>
      <c r="F198" s="455">
        <v>46165</v>
      </c>
      <c r="G198" s="455">
        <v>46165</v>
      </c>
      <c r="H198" s="455">
        <v>46529</v>
      </c>
      <c r="J198">
        <v>855</v>
      </c>
      <c r="K198" s="456">
        <v>1007.95</v>
      </c>
      <c r="L198">
        <v>984</v>
      </c>
      <c r="M198">
        <v>0</v>
      </c>
      <c r="N198">
        <v>0</v>
      </c>
    </row>
    <row r="199" spans="1:14">
      <c r="A199" t="s">
        <v>2990</v>
      </c>
      <c r="B199" t="s">
        <v>2261</v>
      </c>
      <c r="C199">
        <v>650</v>
      </c>
      <c r="D199" t="s">
        <v>2252</v>
      </c>
      <c r="E199" t="s">
        <v>2991</v>
      </c>
      <c r="F199" s="455">
        <v>45474</v>
      </c>
      <c r="G199" s="455">
        <v>46232</v>
      </c>
      <c r="H199" s="455">
        <v>46596</v>
      </c>
      <c r="J199">
        <v>805</v>
      </c>
      <c r="K199" s="456">
        <v>1137.8800000000001</v>
      </c>
      <c r="L199" s="456">
        <v>1062</v>
      </c>
      <c r="M199">
        <v>0</v>
      </c>
      <c r="N199">
        <v>0</v>
      </c>
    </row>
    <row r="200" spans="1:14">
      <c r="A200" t="s">
        <v>2405</v>
      </c>
      <c r="B200" t="s">
        <v>2261</v>
      </c>
      <c r="C200">
        <v>650</v>
      </c>
      <c r="D200" t="s">
        <v>2252</v>
      </c>
      <c r="E200" t="s">
        <v>2406</v>
      </c>
      <c r="F200" s="455">
        <v>46234</v>
      </c>
      <c r="G200" s="455">
        <v>46234</v>
      </c>
      <c r="H200" s="455">
        <v>46598</v>
      </c>
      <c r="J200">
        <v>805</v>
      </c>
      <c r="K200">
        <v>41</v>
      </c>
      <c r="L200">
        <v>846</v>
      </c>
      <c r="M200">
        <v>2.71</v>
      </c>
      <c r="N200">
        <v>500</v>
      </c>
    </row>
    <row r="201" spans="1:14">
      <c r="A201" t="s">
        <v>1565</v>
      </c>
      <c r="B201" t="s">
        <v>2261</v>
      </c>
      <c r="C201">
        <v>650</v>
      </c>
      <c r="D201" t="s">
        <v>2252</v>
      </c>
      <c r="E201" t="s">
        <v>2993</v>
      </c>
      <c r="F201" s="455">
        <v>46219</v>
      </c>
      <c r="G201" s="455">
        <v>46219</v>
      </c>
      <c r="H201" s="455">
        <v>46583</v>
      </c>
      <c r="J201">
        <v>760</v>
      </c>
      <c r="K201">
        <v>41</v>
      </c>
      <c r="L201">
        <v>801</v>
      </c>
      <c r="M201">
        <v>0</v>
      </c>
      <c r="N201">
        <v>500</v>
      </c>
    </row>
    <row r="202" spans="1:14">
      <c r="A202" t="s">
        <v>6565</v>
      </c>
      <c r="B202" t="s">
        <v>2261</v>
      </c>
      <c r="C202">
        <v>650</v>
      </c>
      <c r="D202" t="s">
        <v>6389</v>
      </c>
      <c r="E202" t="s">
        <v>6384</v>
      </c>
      <c r="J202">
        <v>815</v>
      </c>
      <c r="K202">
        <v>0</v>
      </c>
      <c r="L202">
        <v>0</v>
      </c>
      <c r="N202">
        <v>0</v>
      </c>
    </row>
    <row r="203" spans="1:14">
      <c r="A203" t="s">
        <v>6566</v>
      </c>
      <c r="B203" t="s">
        <v>2261</v>
      </c>
      <c r="C203">
        <v>650</v>
      </c>
      <c r="D203" t="s">
        <v>2252</v>
      </c>
      <c r="E203" t="s">
        <v>6567</v>
      </c>
      <c r="F203" s="455">
        <v>42716</v>
      </c>
      <c r="G203" s="455">
        <v>45901</v>
      </c>
      <c r="H203" s="455">
        <v>46265</v>
      </c>
      <c r="J203">
        <v>770</v>
      </c>
      <c r="K203" s="456">
        <v>1185.21</v>
      </c>
      <c r="L203" s="456">
        <v>1092.5</v>
      </c>
      <c r="M203">
        <v>0</v>
      </c>
      <c r="N203">
        <v>0</v>
      </c>
    </row>
    <row r="204" spans="1:14">
      <c r="A204" t="s">
        <v>2407</v>
      </c>
      <c r="B204" t="s">
        <v>2261</v>
      </c>
      <c r="C204">
        <v>650</v>
      </c>
      <c r="D204" t="s">
        <v>6389</v>
      </c>
      <c r="E204" t="s">
        <v>6384</v>
      </c>
      <c r="J204">
        <v>815</v>
      </c>
      <c r="K204">
        <v>0</v>
      </c>
      <c r="L204">
        <v>0</v>
      </c>
      <c r="N204">
        <v>0</v>
      </c>
    </row>
    <row r="205" spans="1:14">
      <c r="A205" t="s">
        <v>2409</v>
      </c>
      <c r="B205" t="s">
        <v>2261</v>
      </c>
      <c r="C205">
        <v>650</v>
      </c>
      <c r="D205" t="s">
        <v>6389</v>
      </c>
      <c r="E205" t="s">
        <v>6384</v>
      </c>
      <c r="J205">
        <v>815</v>
      </c>
      <c r="K205">
        <v>0</v>
      </c>
      <c r="L205">
        <v>0</v>
      </c>
      <c r="N205">
        <v>0</v>
      </c>
    </row>
    <row r="206" spans="1:14">
      <c r="A206" t="s">
        <v>6568</v>
      </c>
      <c r="B206" t="s">
        <v>2261</v>
      </c>
      <c r="C206">
        <v>650</v>
      </c>
      <c r="D206" t="s">
        <v>2252</v>
      </c>
      <c r="E206" t="s">
        <v>6569</v>
      </c>
      <c r="F206" s="455">
        <v>43839</v>
      </c>
      <c r="G206" s="455">
        <v>45658</v>
      </c>
      <c r="J206">
        <v>815</v>
      </c>
      <c r="K206" s="456">
        <v>1306.8800000000001</v>
      </c>
      <c r="L206" s="456">
        <v>1230.5</v>
      </c>
      <c r="M206">
        <v>0</v>
      </c>
      <c r="N206">
        <v>150</v>
      </c>
    </row>
    <row r="207" spans="1:14">
      <c r="A207" t="s">
        <v>2411</v>
      </c>
      <c r="B207" t="s">
        <v>2261</v>
      </c>
      <c r="C207">
        <v>650</v>
      </c>
      <c r="D207" t="s">
        <v>6383</v>
      </c>
      <c r="E207" t="s">
        <v>6384</v>
      </c>
      <c r="J207">
        <v>865</v>
      </c>
      <c r="K207">
        <v>0</v>
      </c>
      <c r="L207">
        <v>0</v>
      </c>
    </row>
    <row r="208" spans="1:14">
      <c r="A208" t="s">
        <v>6570</v>
      </c>
      <c r="B208" t="s">
        <v>2261</v>
      </c>
      <c r="C208">
        <v>650</v>
      </c>
      <c r="D208" t="s">
        <v>2252</v>
      </c>
      <c r="E208" t="s">
        <v>6571</v>
      </c>
      <c r="F208" s="455">
        <v>44967</v>
      </c>
      <c r="G208" s="455">
        <v>46073</v>
      </c>
      <c r="H208" s="455">
        <v>46437</v>
      </c>
      <c r="J208">
        <v>815</v>
      </c>
      <c r="K208" s="456">
        <v>1198.1600000000001</v>
      </c>
      <c r="L208" s="456">
        <v>1091</v>
      </c>
      <c r="M208">
        <v>0</v>
      </c>
      <c r="N208">
        <v>750</v>
      </c>
    </row>
    <row r="209" spans="1:14">
      <c r="A209" t="s">
        <v>3389</v>
      </c>
      <c r="B209" t="s">
        <v>2261</v>
      </c>
      <c r="C209">
        <v>650</v>
      </c>
      <c r="D209" t="s">
        <v>6389</v>
      </c>
      <c r="E209" t="s">
        <v>6384</v>
      </c>
      <c r="J209">
        <v>815</v>
      </c>
      <c r="K209">
        <v>0</v>
      </c>
      <c r="L209">
        <v>0</v>
      </c>
      <c r="N209">
        <v>0</v>
      </c>
    </row>
    <row r="210" spans="1:14">
      <c r="A210" t="s">
        <v>2433</v>
      </c>
      <c r="B210" t="s">
        <v>2261</v>
      </c>
      <c r="C210">
        <v>650</v>
      </c>
      <c r="D210" t="s">
        <v>2252</v>
      </c>
      <c r="E210" t="s">
        <v>3412</v>
      </c>
      <c r="F210" s="455">
        <v>46184</v>
      </c>
      <c r="G210" s="455">
        <v>46184</v>
      </c>
      <c r="H210" s="455">
        <v>46548</v>
      </c>
      <c r="J210">
        <v>830</v>
      </c>
      <c r="K210">
        <v>845</v>
      </c>
      <c r="L210">
        <v>834</v>
      </c>
      <c r="M210">
        <v>0</v>
      </c>
      <c r="N210">
        <v>0</v>
      </c>
    </row>
    <row r="211" spans="1:14">
      <c r="A211" t="s">
        <v>6572</v>
      </c>
      <c r="B211" t="s">
        <v>2261</v>
      </c>
      <c r="C211">
        <v>650</v>
      </c>
      <c r="D211" t="s">
        <v>2252</v>
      </c>
      <c r="E211" t="s">
        <v>6573</v>
      </c>
      <c r="F211" s="455">
        <v>40389</v>
      </c>
      <c r="G211" s="455">
        <v>45989</v>
      </c>
      <c r="H211" s="455">
        <v>46353</v>
      </c>
      <c r="J211">
        <v>785</v>
      </c>
      <c r="K211">
        <v>931.88</v>
      </c>
      <c r="L211">
        <v>855.5</v>
      </c>
      <c r="M211">
        <v>0</v>
      </c>
      <c r="N211">
        <v>150</v>
      </c>
    </row>
    <row r="212" spans="1:14">
      <c r="A212" t="s">
        <v>1528</v>
      </c>
      <c r="B212" t="s">
        <v>2261</v>
      </c>
      <c r="C212">
        <v>650</v>
      </c>
      <c r="D212" t="s">
        <v>6383</v>
      </c>
      <c r="E212" t="s">
        <v>6384</v>
      </c>
      <c r="J212">
        <v>785</v>
      </c>
      <c r="K212">
        <v>0</v>
      </c>
      <c r="L212">
        <v>0</v>
      </c>
    </row>
    <row r="213" spans="1:14">
      <c r="A213" t="s">
        <v>6574</v>
      </c>
      <c r="B213" t="s">
        <v>2261</v>
      </c>
      <c r="C213">
        <v>650</v>
      </c>
      <c r="D213" t="s">
        <v>2252</v>
      </c>
      <c r="E213" t="s">
        <v>6575</v>
      </c>
      <c r="F213" s="455">
        <v>44187</v>
      </c>
      <c r="G213" s="455">
        <v>46181</v>
      </c>
      <c r="H213" s="455">
        <v>46545</v>
      </c>
      <c r="J213">
        <v>830</v>
      </c>
      <c r="K213" s="456">
        <v>1097.8800000000001</v>
      </c>
      <c r="L213" s="456">
        <v>1022</v>
      </c>
      <c r="M213">
        <v>0</v>
      </c>
      <c r="N213">
        <v>0</v>
      </c>
    </row>
    <row r="214" spans="1:14">
      <c r="A214" t="s">
        <v>6576</v>
      </c>
      <c r="B214" t="s">
        <v>2261</v>
      </c>
      <c r="C214">
        <v>650</v>
      </c>
      <c r="D214" t="s">
        <v>2252</v>
      </c>
      <c r="E214" t="s">
        <v>6577</v>
      </c>
      <c r="F214" s="455">
        <v>45745</v>
      </c>
      <c r="G214" s="455">
        <v>46110</v>
      </c>
      <c r="H214" s="455">
        <v>46473</v>
      </c>
      <c r="J214">
        <v>880</v>
      </c>
      <c r="K214" s="456">
        <v>1243.83</v>
      </c>
      <c r="L214" s="456">
        <v>1159</v>
      </c>
      <c r="M214">
        <v>0</v>
      </c>
      <c r="N214">
        <v>0</v>
      </c>
    </row>
    <row r="215" spans="1:14">
      <c r="A215" t="s">
        <v>1554</v>
      </c>
      <c r="B215" t="s">
        <v>2261</v>
      </c>
      <c r="C215">
        <v>650</v>
      </c>
      <c r="D215" t="s">
        <v>6383</v>
      </c>
      <c r="E215" t="s">
        <v>6384</v>
      </c>
      <c r="J215">
        <v>785</v>
      </c>
      <c r="K215">
        <v>0</v>
      </c>
      <c r="L215">
        <v>0</v>
      </c>
      <c r="N215">
        <v>0</v>
      </c>
    </row>
    <row r="216" spans="1:14">
      <c r="A216" t="s">
        <v>2435</v>
      </c>
      <c r="B216" t="s">
        <v>2261</v>
      </c>
      <c r="C216">
        <v>650</v>
      </c>
      <c r="D216" t="s">
        <v>6389</v>
      </c>
      <c r="E216" t="s">
        <v>6384</v>
      </c>
      <c r="J216">
        <v>830</v>
      </c>
      <c r="K216">
        <v>0</v>
      </c>
      <c r="L216">
        <v>0</v>
      </c>
      <c r="N216">
        <v>0</v>
      </c>
    </row>
    <row r="217" spans="1:14">
      <c r="A217" t="s">
        <v>6578</v>
      </c>
      <c r="B217" t="s">
        <v>2261</v>
      </c>
      <c r="C217">
        <v>650</v>
      </c>
      <c r="D217" t="s">
        <v>2252</v>
      </c>
      <c r="E217" t="s">
        <v>6579</v>
      </c>
      <c r="F217" s="455">
        <v>43607</v>
      </c>
      <c r="G217" s="455">
        <v>46204</v>
      </c>
      <c r="H217" s="455">
        <v>46568</v>
      </c>
      <c r="J217">
        <v>830</v>
      </c>
      <c r="K217" s="456">
        <v>1113.21</v>
      </c>
      <c r="L217" s="456">
        <v>1021</v>
      </c>
      <c r="M217">
        <v>0</v>
      </c>
      <c r="N217">
        <v>150</v>
      </c>
    </row>
    <row r="218" spans="1:14">
      <c r="A218" t="s">
        <v>3997</v>
      </c>
      <c r="B218" t="s">
        <v>2261</v>
      </c>
      <c r="C218">
        <v>650</v>
      </c>
      <c r="D218" t="s">
        <v>6383</v>
      </c>
      <c r="E218" t="s">
        <v>6384</v>
      </c>
      <c r="J218">
        <v>805</v>
      </c>
      <c r="K218">
        <v>0</v>
      </c>
      <c r="L218">
        <v>0</v>
      </c>
      <c r="N218">
        <v>0</v>
      </c>
    </row>
    <row r="219" spans="1:14">
      <c r="A219" t="s">
        <v>6580</v>
      </c>
      <c r="B219" t="s">
        <v>2261</v>
      </c>
      <c r="C219">
        <v>650</v>
      </c>
      <c r="D219" t="s">
        <v>2252</v>
      </c>
      <c r="E219" t="s">
        <v>3155</v>
      </c>
      <c r="F219" s="455">
        <v>46142</v>
      </c>
      <c r="G219" s="455">
        <v>46142</v>
      </c>
      <c r="H219" s="455">
        <v>46506</v>
      </c>
      <c r="J219">
        <v>805</v>
      </c>
      <c r="K219">
        <v>902.95</v>
      </c>
      <c r="L219">
        <v>879</v>
      </c>
      <c r="M219">
        <v>0</v>
      </c>
      <c r="N219">
        <v>0</v>
      </c>
    </row>
    <row r="220" spans="1:14">
      <c r="A220" t="s">
        <v>1594</v>
      </c>
      <c r="B220" t="s">
        <v>2261</v>
      </c>
      <c r="C220">
        <v>650</v>
      </c>
      <c r="D220" t="s">
        <v>2252</v>
      </c>
      <c r="E220" t="s">
        <v>6581</v>
      </c>
      <c r="F220" s="455">
        <v>46161</v>
      </c>
      <c r="G220" s="455">
        <v>46161</v>
      </c>
      <c r="H220" s="455">
        <v>46525</v>
      </c>
      <c r="J220">
        <v>855</v>
      </c>
      <c r="K220" s="456">
        <v>1007.95</v>
      </c>
      <c r="L220">
        <v>984</v>
      </c>
      <c r="M220">
        <v>0</v>
      </c>
      <c r="N220">
        <v>0</v>
      </c>
    </row>
    <row r="221" spans="1:14">
      <c r="A221" t="s">
        <v>6582</v>
      </c>
      <c r="B221" t="s">
        <v>2261</v>
      </c>
      <c r="C221">
        <v>650</v>
      </c>
      <c r="D221" t="s">
        <v>2252</v>
      </c>
      <c r="E221" t="s">
        <v>6583</v>
      </c>
      <c r="F221" s="455">
        <v>45955</v>
      </c>
      <c r="G221" s="455">
        <v>45955</v>
      </c>
      <c r="H221" s="455">
        <v>46319</v>
      </c>
      <c r="J221">
        <v>855</v>
      </c>
      <c r="K221" s="456">
        <v>1056.8800000000001</v>
      </c>
      <c r="L221">
        <v>980.5</v>
      </c>
      <c r="M221">
        <v>0</v>
      </c>
      <c r="N221">
        <v>0</v>
      </c>
    </row>
    <row r="222" spans="1:14">
      <c r="A222" t="s">
        <v>6584</v>
      </c>
      <c r="B222" t="s">
        <v>2261</v>
      </c>
      <c r="C222">
        <v>650</v>
      </c>
      <c r="D222" t="s">
        <v>2252</v>
      </c>
      <c r="E222" t="s">
        <v>6585</v>
      </c>
      <c r="F222" s="455">
        <v>44237</v>
      </c>
      <c r="G222" s="455">
        <v>45931</v>
      </c>
      <c r="H222" s="455">
        <v>46295</v>
      </c>
      <c r="J222">
        <v>760</v>
      </c>
      <c r="K222">
        <v>797.88</v>
      </c>
      <c r="L222">
        <v>971.5</v>
      </c>
      <c r="M222">
        <v>0</v>
      </c>
      <c r="N222">
        <v>0</v>
      </c>
    </row>
    <row r="223" spans="1:14">
      <c r="A223" t="s">
        <v>6586</v>
      </c>
      <c r="B223" t="s">
        <v>2261</v>
      </c>
      <c r="C223">
        <v>650</v>
      </c>
      <c r="D223" t="s">
        <v>2252</v>
      </c>
      <c r="E223" t="s">
        <v>6587</v>
      </c>
      <c r="F223" s="455">
        <v>45047</v>
      </c>
      <c r="G223" s="455">
        <v>46143</v>
      </c>
      <c r="H223" s="455">
        <v>46507</v>
      </c>
      <c r="J223">
        <v>805</v>
      </c>
      <c r="K223" s="456">
        <v>1238.83</v>
      </c>
      <c r="L223" s="456">
        <v>1154</v>
      </c>
      <c r="M223">
        <v>0</v>
      </c>
      <c r="N223">
        <v>0</v>
      </c>
    </row>
    <row r="224" spans="1:14">
      <c r="A224" t="s">
        <v>6588</v>
      </c>
      <c r="B224" t="s">
        <v>2261</v>
      </c>
      <c r="C224">
        <v>650</v>
      </c>
      <c r="D224" t="s">
        <v>6389</v>
      </c>
      <c r="E224" t="s">
        <v>6384</v>
      </c>
      <c r="J224">
        <v>805</v>
      </c>
      <c r="K224">
        <v>0</v>
      </c>
      <c r="L224">
        <v>0</v>
      </c>
      <c r="N224">
        <v>0</v>
      </c>
    </row>
    <row r="225" spans="1:14">
      <c r="A225" t="s">
        <v>6589</v>
      </c>
      <c r="B225" t="s">
        <v>2261</v>
      </c>
      <c r="C225">
        <v>650</v>
      </c>
      <c r="D225" t="s">
        <v>2252</v>
      </c>
      <c r="E225" t="s">
        <v>6590</v>
      </c>
      <c r="F225" s="455">
        <v>44630</v>
      </c>
      <c r="G225" s="455">
        <v>46082</v>
      </c>
      <c r="H225" s="455">
        <v>46445</v>
      </c>
      <c r="J225">
        <v>805</v>
      </c>
      <c r="K225" s="456">
        <v>1244.83</v>
      </c>
      <c r="L225" s="456">
        <v>1160</v>
      </c>
      <c r="M225">
        <v>0</v>
      </c>
      <c r="N225">
        <v>0</v>
      </c>
    </row>
    <row r="226" spans="1:14">
      <c r="A226" t="s">
        <v>5939</v>
      </c>
      <c r="B226" t="s">
        <v>2261</v>
      </c>
      <c r="C226">
        <v>650</v>
      </c>
      <c r="D226" t="s">
        <v>6389</v>
      </c>
      <c r="E226" t="s">
        <v>6384</v>
      </c>
      <c r="J226">
        <v>815</v>
      </c>
      <c r="K226">
        <v>0</v>
      </c>
      <c r="L226">
        <v>0</v>
      </c>
      <c r="N226">
        <v>0</v>
      </c>
    </row>
    <row r="227" spans="1:14">
      <c r="A227" t="s">
        <v>6591</v>
      </c>
      <c r="B227" t="s">
        <v>2261</v>
      </c>
      <c r="C227">
        <v>650</v>
      </c>
      <c r="D227" t="s">
        <v>2252</v>
      </c>
      <c r="E227" t="s">
        <v>6592</v>
      </c>
      <c r="F227" s="455">
        <v>45541</v>
      </c>
      <c r="G227" s="455">
        <v>45967</v>
      </c>
      <c r="H227" s="455">
        <v>46331</v>
      </c>
      <c r="J227">
        <v>770</v>
      </c>
      <c r="K227" s="456">
        <v>1074.21</v>
      </c>
      <c r="L227">
        <v>981.5</v>
      </c>
      <c r="M227">
        <v>0</v>
      </c>
      <c r="N227">
        <v>0</v>
      </c>
    </row>
    <row r="228" spans="1:14">
      <c r="A228" t="s">
        <v>6593</v>
      </c>
      <c r="B228" t="s">
        <v>2261</v>
      </c>
      <c r="C228">
        <v>650</v>
      </c>
      <c r="D228" t="s">
        <v>2252</v>
      </c>
      <c r="E228" t="s">
        <v>6594</v>
      </c>
      <c r="F228" s="455">
        <v>43574</v>
      </c>
      <c r="G228" s="455">
        <v>45962</v>
      </c>
      <c r="H228" s="455">
        <v>46326</v>
      </c>
      <c r="J228">
        <v>770</v>
      </c>
      <c r="K228">
        <v>517.88</v>
      </c>
      <c r="L228">
        <v>941.5</v>
      </c>
      <c r="M228">
        <v>0</v>
      </c>
      <c r="N228">
        <v>150</v>
      </c>
    </row>
    <row r="229" spans="1:14">
      <c r="A229" t="s">
        <v>1521</v>
      </c>
      <c r="B229" t="s">
        <v>2261</v>
      </c>
      <c r="C229">
        <v>650</v>
      </c>
      <c r="D229" t="s">
        <v>2252</v>
      </c>
      <c r="E229" t="s">
        <v>6595</v>
      </c>
      <c r="F229" s="455">
        <v>46143</v>
      </c>
      <c r="G229" s="455">
        <v>46143</v>
      </c>
      <c r="H229" s="455">
        <v>46507</v>
      </c>
      <c r="J229">
        <v>865</v>
      </c>
      <c r="K229">
        <v>984.95</v>
      </c>
      <c r="L229">
        <v>961</v>
      </c>
      <c r="M229">
        <v>0</v>
      </c>
      <c r="N229">
        <v>500</v>
      </c>
    </row>
    <row r="230" spans="1:14">
      <c r="A230" t="s">
        <v>5737</v>
      </c>
      <c r="B230" t="s">
        <v>2261</v>
      </c>
      <c r="C230">
        <v>650</v>
      </c>
      <c r="D230" t="s">
        <v>2252</v>
      </c>
      <c r="E230" t="s">
        <v>6596</v>
      </c>
      <c r="F230" s="455">
        <v>46002</v>
      </c>
      <c r="G230" s="455">
        <v>46002</v>
      </c>
      <c r="H230" s="455">
        <v>46366</v>
      </c>
      <c r="J230">
        <v>770</v>
      </c>
      <c r="K230">
        <v>900.88</v>
      </c>
      <c r="L230">
        <v>825</v>
      </c>
      <c r="M230">
        <v>0</v>
      </c>
      <c r="N230">
        <v>0</v>
      </c>
    </row>
    <row r="231" spans="1:14">
      <c r="A231" t="s">
        <v>2437</v>
      </c>
      <c r="B231" t="s">
        <v>2261</v>
      </c>
      <c r="C231">
        <v>650</v>
      </c>
      <c r="D231" t="s">
        <v>2252</v>
      </c>
      <c r="E231" t="s">
        <v>11170</v>
      </c>
      <c r="F231" s="455">
        <v>46244</v>
      </c>
      <c r="G231" s="455">
        <v>46244</v>
      </c>
      <c r="H231" s="455">
        <v>46608</v>
      </c>
      <c r="J231">
        <v>770</v>
      </c>
      <c r="K231">
        <v>603</v>
      </c>
      <c r="L231">
        <v>844</v>
      </c>
      <c r="M231">
        <v>0</v>
      </c>
      <c r="N231">
        <v>0</v>
      </c>
    </row>
    <row r="232" spans="1:14">
      <c r="A232" t="s">
        <v>6597</v>
      </c>
      <c r="B232" t="s">
        <v>2261</v>
      </c>
      <c r="C232">
        <v>650</v>
      </c>
      <c r="D232" t="s">
        <v>2252</v>
      </c>
      <c r="E232" t="s">
        <v>6598</v>
      </c>
      <c r="F232" s="455">
        <v>44693</v>
      </c>
      <c r="G232" s="455">
        <v>46143</v>
      </c>
      <c r="H232" s="455">
        <v>46507</v>
      </c>
      <c r="J232">
        <v>815</v>
      </c>
      <c r="K232" s="456">
        <v>1261.1600000000001</v>
      </c>
      <c r="L232" s="456">
        <v>1154</v>
      </c>
      <c r="M232">
        <v>0</v>
      </c>
      <c r="N232">
        <v>0</v>
      </c>
    </row>
    <row r="233" spans="1:14">
      <c r="A233" t="s">
        <v>6599</v>
      </c>
      <c r="B233" t="s">
        <v>2261</v>
      </c>
      <c r="C233">
        <v>650</v>
      </c>
      <c r="D233" t="s">
        <v>2252</v>
      </c>
      <c r="E233" t="s">
        <v>6600</v>
      </c>
      <c r="F233" s="455">
        <v>45594</v>
      </c>
      <c r="G233" s="455">
        <v>46073</v>
      </c>
      <c r="H233" s="455">
        <v>46437</v>
      </c>
      <c r="J233">
        <v>815</v>
      </c>
      <c r="K233" s="456">
        <v>1263.21</v>
      </c>
      <c r="L233" s="456">
        <v>1039</v>
      </c>
      <c r="M233">
        <v>0</v>
      </c>
      <c r="N233">
        <v>0</v>
      </c>
    </row>
    <row r="234" spans="1:14">
      <c r="A234" t="s">
        <v>6601</v>
      </c>
      <c r="B234" t="s">
        <v>2261</v>
      </c>
      <c r="C234">
        <v>650</v>
      </c>
      <c r="D234" t="s">
        <v>2251</v>
      </c>
      <c r="E234" t="s">
        <v>6602</v>
      </c>
      <c r="F234" s="455">
        <v>45955</v>
      </c>
      <c r="G234" s="455">
        <v>45955</v>
      </c>
      <c r="H234" s="455">
        <v>46319</v>
      </c>
      <c r="I234" s="455">
        <v>46319</v>
      </c>
      <c r="J234">
        <v>880</v>
      </c>
      <c r="K234" s="456">
        <v>1129.21</v>
      </c>
      <c r="L234" s="456">
        <v>1036.49</v>
      </c>
      <c r="M234">
        <v>0</v>
      </c>
      <c r="N234">
        <v>300</v>
      </c>
    </row>
    <row r="235" spans="1:14">
      <c r="A235" t="s">
        <v>1561</v>
      </c>
      <c r="B235" t="s">
        <v>2261</v>
      </c>
      <c r="C235">
        <v>650</v>
      </c>
      <c r="D235" t="s">
        <v>6389</v>
      </c>
      <c r="E235" t="s">
        <v>6384</v>
      </c>
      <c r="J235">
        <v>830</v>
      </c>
      <c r="K235">
        <v>0</v>
      </c>
      <c r="L235">
        <v>0</v>
      </c>
      <c r="N235">
        <v>0</v>
      </c>
    </row>
    <row r="236" spans="1:14">
      <c r="A236" t="s">
        <v>6603</v>
      </c>
      <c r="B236" t="s">
        <v>2261</v>
      </c>
      <c r="C236">
        <v>650</v>
      </c>
      <c r="D236" t="s">
        <v>2252</v>
      </c>
      <c r="E236" t="s">
        <v>6604</v>
      </c>
      <c r="F236" s="455">
        <v>45635</v>
      </c>
      <c r="G236" s="455">
        <v>46064</v>
      </c>
      <c r="H236" s="455">
        <v>46428</v>
      </c>
      <c r="J236">
        <v>830</v>
      </c>
      <c r="K236" s="456">
        <v>1167.83</v>
      </c>
      <c r="L236" s="456">
        <v>1083</v>
      </c>
      <c r="M236">
        <v>0</v>
      </c>
      <c r="N236">
        <v>0</v>
      </c>
    </row>
    <row r="237" spans="1:14">
      <c r="A237" t="s">
        <v>5910</v>
      </c>
      <c r="B237" t="s">
        <v>2261</v>
      </c>
      <c r="C237">
        <v>650</v>
      </c>
      <c r="D237" t="s">
        <v>2252</v>
      </c>
      <c r="E237" t="s">
        <v>6605</v>
      </c>
      <c r="F237" s="455">
        <v>46022</v>
      </c>
      <c r="G237" s="455">
        <v>46022</v>
      </c>
      <c r="H237" s="455">
        <v>46386</v>
      </c>
      <c r="J237">
        <v>880</v>
      </c>
      <c r="K237" s="456">
        <v>1122.8800000000001</v>
      </c>
      <c r="L237" s="456">
        <v>1047</v>
      </c>
      <c r="M237">
        <v>0</v>
      </c>
      <c r="N237">
        <v>125</v>
      </c>
    </row>
    <row r="238" spans="1:14">
      <c r="A238" t="s">
        <v>2464</v>
      </c>
      <c r="B238" t="s">
        <v>2261</v>
      </c>
      <c r="C238">
        <v>650</v>
      </c>
      <c r="D238" t="s">
        <v>2252</v>
      </c>
      <c r="E238" t="s">
        <v>2465</v>
      </c>
      <c r="F238" s="455">
        <v>44529</v>
      </c>
      <c r="G238" s="455">
        <v>45992</v>
      </c>
      <c r="H238" s="455">
        <v>46356</v>
      </c>
      <c r="J238">
        <v>830</v>
      </c>
      <c r="K238" s="456">
        <v>1473.88</v>
      </c>
      <c r="L238" s="456">
        <v>1106.5</v>
      </c>
      <c r="M238">
        <v>822.51</v>
      </c>
      <c r="N238">
        <v>0</v>
      </c>
    </row>
    <row r="239" spans="1:14">
      <c r="A239" t="s">
        <v>6606</v>
      </c>
      <c r="B239" t="s">
        <v>2261</v>
      </c>
      <c r="C239">
        <v>650</v>
      </c>
      <c r="D239" t="s">
        <v>2251</v>
      </c>
      <c r="E239" t="s">
        <v>6607</v>
      </c>
      <c r="F239" s="455">
        <v>45931</v>
      </c>
      <c r="G239" s="455">
        <v>45931</v>
      </c>
      <c r="H239" s="455">
        <v>46295</v>
      </c>
      <c r="I239" s="455">
        <v>46295</v>
      </c>
      <c r="J239">
        <v>785</v>
      </c>
      <c r="K239" s="456">
        <v>1074.21</v>
      </c>
      <c r="L239">
        <v>981.5</v>
      </c>
      <c r="M239">
        <v>-25.79</v>
      </c>
      <c r="N239">
        <v>0</v>
      </c>
    </row>
    <row r="240" spans="1:14">
      <c r="A240" t="s">
        <v>2466</v>
      </c>
      <c r="B240" t="s">
        <v>2261</v>
      </c>
      <c r="C240">
        <v>650</v>
      </c>
      <c r="D240" t="s">
        <v>2252</v>
      </c>
      <c r="E240" t="s">
        <v>2994</v>
      </c>
      <c r="F240" s="455">
        <v>46206</v>
      </c>
      <c r="G240" s="455">
        <v>46206</v>
      </c>
      <c r="H240" s="455">
        <v>46570</v>
      </c>
      <c r="J240">
        <v>830</v>
      </c>
      <c r="K240">
        <v>74</v>
      </c>
      <c r="L240">
        <v>904</v>
      </c>
      <c r="M240">
        <v>0</v>
      </c>
      <c r="N240">
        <v>0</v>
      </c>
    </row>
    <row r="241" spans="1:14">
      <c r="A241" t="s">
        <v>6608</v>
      </c>
      <c r="B241" t="s">
        <v>2261</v>
      </c>
      <c r="C241">
        <v>650</v>
      </c>
      <c r="D241" t="s">
        <v>2252</v>
      </c>
      <c r="E241" t="s">
        <v>6609</v>
      </c>
      <c r="F241" s="455">
        <v>45674</v>
      </c>
      <c r="G241" s="455">
        <v>46098</v>
      </c>
      <c r="J241">
        <v>830</v>
      </c>
      <c r="K241" s="456">
        <v>1290.8800000000001</v>
      </c>
      <c r="L241" s="456">
        <v>1214.5</v>
      </c>
      <c r="M241">
        <v>0</v>
      </c>
      <c r="N241">
        <v>0</v>
      </c>
    </row>
    <row r="242" spans="1:14">
      <c r="A242" t="s">
        <v>2468</v>
      </c>
      <c r="B242" t="s">
        <v>2261</v>
      </c>
      <c r="C242">
        <v>650</v>
      </c>
      <c r="D242" t="s">
        <v>2252</v>
      </c>
      <c r="E242" t="s">
        <v>2469</v>
      </c>
      <c r="F242" s="455">
        <v>45563</v>
      </c>
      <c r="G242" s="455">
        <v>45989</v>
      </c>
      <c r="H242" s="455">
        <v>46353</v>
      </c>
      <c r="J242">
        <v>855</v>
      </c>
      <c r="K242" s="456">
        <v>1307.8800000000001</v>
      </c>
      <c r="L242" s="456">
        <v>1091</v>
      </c>
      <c r="M242">
        <v>907.87</v>
      </c>
      <c r="N242">
        <v>0</v>
      </c>
    </row>
    <row r="243" spans="1:14">
      <c r="A243" t="s">
        <v>1593</v>
      </c>
      <c r="B243" t="s">
        <v>2261</v>
      </c>
      <c r="C243">
        <v>650</v>
      </c>
      <c r="D243" t="s">
        <v>6383</v>
      </c>
      <c r="E243" t="s">
        <v>6384</v>
      </c>
      <c r="J243">
        <v>805</v>
      </c>
      <c r="K243">
        <v>0</v>
      </c>
      <c r="L243">
        <v>0</v>
      </c>
      <c r="N243">
        <v>0</v>
      </c>
    </row>
    <row r="244" spans="1:14">
      <c r="A244" t="s">
        <v>2470</v>
      </c>
      <c r="B244" t="s">
        <v>2261</v>
      </c>
      <c r="C244">
        <v>650</v>
      </c>
      <c r="D244" t="s">
        <v>2252</v>
      </c>
      <c r="E244" t="s">
        <v>2995</v>
      </c>
      <c r="F244" s="455">
        <v>46234</v>
      </c>
      <c r="G244" s="455">
        <v>46234</v>
      </c>
      <c r="H244" s="455">
        <v>46598</v>
      </c>
      <c r="J244">
        <v>760</v>
      </c>
      <c r="K244">
        <v>530</v>
      </c>
      <c r="L244">
        <v>859</v>
      </c>
      <c r="M244">
        <v>0</v>
      </c>
      <c r="N244">
        <v>0</v>
      </c>
    </row>
    <row r="245" spans="1:14">
      <c r="A245" t="s">
        <v>6610</v>
      </c>
      <c r="B245" t="s">
        <v>2261</v>
      </c>
      <c r="C245">
        <v>650</v>
      </c>
      <c r="D245" t="s">
        <v>2252</v>
      </c>
      <c r="E245" t="s">
        <v>6611</v>
      </c>
      <c r="F245" s="455">
        <v>46139</v>
      </c>
      <c r="G245" s="455">
        <v>46139</v>
      </c>
      <c r="H245" s="455">
        <v>46503</v>
      </c>
      <c r="J245">
        <v>805</v>
      </c>
      <c r="K245">
        <v>874.61</v>
      </c>
      <c r="L245">
        <v>846</v>
      </c>
      <c r="M245">
        <v>0</v>
      </c>
      <c r="N245">
        <v>500</v>
      </c>
    </row>
    <row r="246" spans="1:14">
      <c r="A246" t="s">
        <v>6612</v>
      </c>
      <c r="B246" t="s">
        <v>2261</v>
      </c>
      <c r="C246">
        <v>650</v>
      </c>
      <c r="D246" t="s">
        <v>2252</v>
      </c>
      <c r="E246" t="s">
        <v>6613</v>
      </c>
      <c r="F246" s="455">
        <v>45479</v>
      </c>
      <c r="G246" s="455">
        <v>46082</v>
      </c>
      <c r="H246" s="455">
        <v>46445</v>
      </c>
      <c r="J246">
        <v>805</v>
      </c>
      <c r="K246" s="456">
        <v>1258.71</v>
      </c>
      <c r="L246" s="456">
        <v>1100</v>
      </c>
      <c r="M246">
        <v>0</v>
      </c>
      <c r="N246">
        <v>0</v>
      </c>
    </row>
    <row r="247" spans="1:14">
      <c r="A247" t="s">
        <v>2472</v>
      </c>
      <c r="B247" t="s">
        <v>2261</v>
      </c>
      <c r="C247">
        <v>650</v>
      </c>
      <c r="D247" t="s">
        <v>6383</v>
      </c>
      <c r="E247" t="s">
        <v>6384</v>
      </c>
      <c r="J247">
        <v>760</v>
      </c>
      <c r="K247">
        <v>0</v>
      </c>
      <c r="L247">
        <v>0</v>
      </c>
    </row>
    <row r="248" spans="1:14">
      <c r="A248" t="s">
        <v>6614</v>
      </c>
      <c r="B248" t="s">
        <v>2261</v>
      </c>
      <c r="C248">
        <v>650</v>
      </c>
      <c r="D248" t="s">
        <v>2252</v>
      </c>
      <c r="E248" t="s">
        <v>6615</v>
      </c>
      <c r="F248" s="455">
        <v>45940</v>
      </c>
      <c r="G248" s="455">
        <v>45940</v>
      </c>
      <c r="H248" s="455">
        <v>46304</v>
      </c>
      <c r="J248">
        <v>760</v>
      </c>
      <c r="K248">
        <v>906.88</v>
      </c>
      <c r="L248">
        <v>830.5</v>
      </c>
      <c r="M248">
        <v>0</v>
      </c>
      <c r="N248">
        <v>0</v>
      </c>
    </row>
    <row r="249" spans="1:14">
      <c r="A249" t="s">
        <v>6616</v>
      </c>
      <c r="B249" t="s">
        <v>2261</v>
      </c>
      <c r="C249">
        <v>650</v>
      </c>
      <c r="D249" t="s">
        <v>2252</v>
      </c>
      <c r="E249" t="s">
        <v>6617</v>
      </c>
      <c r="F249" s="455">
        <v>44870</v>
      </c>
      <c r="G249" s="455">
        <v>46073</v>
      </c>
      <c r="H249" s="455">
        <v>46437</v>
      </c>
      <c r="J249">
        <v>760</v>
      </c>
      <c r="K249" s="456">
        <v>1038.83</v>
      </c>
      <c r="L249">
        <v>954</v>
      </c>
      <c r="M249">
        <v>0</v>
      </c>
      <c r="N249">
        <v>0</v>
      </c>
    </row>
    <row r="250" spans="1:14">
      <c r="A250" t="s">
        <v>4195</v>
      </c>
      <c r="B250" t="s">
        <v>2261</v>
      </c>
      <c r="C250">
        <v>650</v>
      </c>
      <c r="D250" t="s">
        <v>6508</v>
      </c>
      <c r="E250" t="s">
        <v>6384</v>
      </c>
      <c r="J250">
        <v>815</v>
      </c>
      <c r="K250">
        <v>0</v>
      </c>
      <c r="L250">
        <v>0</v>
      </c>
      <c r="N250">
        <v>0</v>
      </c>
    </row>
    <row r="251" spans="1:14">
      <c r="A251" t="s">
        <v>6618</v>
      </c>
      <c r="B251" t="s">
        <v>2261</v>
      </c>
      <c r="C251">
        <v>650</v>
      </c>
      <c r="D251" t="s">
        <v>2252</v>
      </c>
      <c r="E251" t="s">
        <v>6619</v>
      </c>
      <c r="F251" s="455">
        <v>45539</v>
      </c>
      <c r="G251" s="455">
        <v>46146</v>
      </c>
      <c r="H251" s="455">
        <v>46510</v>
      </c>
      <c r="J251">
        <v>770</v>
      </c>
      <c r="K251" s="456">
        <v>1087.8800000000001</v>
      </c>
      <c r="L251" s="456">
        <v>1012</v>
      </c>
      <c r="M251">
        <v>0</v>
      </c>
      <c r="N251">
        <v>750</v>
      </c>
    </row>
    <row r="252" spans="1:14">
      <c r="A252" t="s">
        <v>6620</v>
      </c>
      <c r="B252" t="s">
        <v>2261</v>
      </c>
      <c r="C252">
        <v>650</v>
      </c>
      <c r="D252" t="s">
        <v>2252</v>
      </c>
      <c r="E252" t="s">
        <v>6621</v>
      </c>
      <c r="F252" s="455">
        <v>45946</v>
      </c>
      <c r="G252" s="455">
        <v>45946</v>
      </c>
      <c r="H252" s="455">
        <v>46310</v>
      </c>
      <c r="J252">
        <v>865</v>
      </c>
      <c r="K252" s="456">
        <v>1066.8800000000001</v>
      </c>
      <c r="L252">
        <v>990.5</v>
      </c>
      <c r="M252">
        <v>0</v>
      </c>
      <c r="N252">
        <v>0</v>
      </c>
    </row>
    <row r="253" spans="1:14">
      <c r="A253" t="s">
        <v>3832</v>
      </c>
      <c r="B253" t="s">
        <v>2261</v>
      </c>
      <c r="C253">
        <v>650</v>
      </c>
      <c r="D253" t="s">
        <v>2252</v>
      </c>
      <c r="E253" t="s">
        <v>3831</v>
      </c>
      <c r="F253" s="455">
        <v>46186</v>
      </c>
      <c r="G253" s="455">
        <v>46186</v>
      </c>
      <c r="H253" s="455">
        <v>46550</v>
      </c>
      <c r="J253">
        <v>815</v>
      </c>
      <c r="K253">
        <v>899.2</v>
      </c>
      <c r="L253">
        <v>889</v>
      </c>
      <c r="M253">
        <v>0</v>
      </c>
      <c r="N253">
        <v>0</v>
      </c>
    </row>
    <row r="254" spans="1:14">
      <c r="A254" t="s">
        <v>6622</v>
      </c>
      <c r="B254" t="s">
        <v>2261</v>
      </c>
      <c r="C254">
        <v>650</v>
      </c>
      <c r="D254" t="s">
        <v>2252</v>
      </c>
      <c r="E254" t="s">
        <v>6623</v>
      </c>
      <c r="F254" s="455">
        <v>42699</v>
      </c>
      <c r="G254" s="455">
        <v>46174</v>
      </c>
      <c r="H254" s="455">
        <v>46538</v>
      </c>
      <c r="J254">
        <v>815</v>
      </c>
      <c r="K254" s="456">
        <v>1115.21</v>
      </c>
      <c r="L254" s="456">
        <v>1023</v>
      </c>
      <c r="M254">
        <v>0</v>
      </c>
      <c r="N254">
        <v>150</v>
      </c>
    </row>
    <row r="255" spans="1:14">
      <c r="A255" t="s">
        <v>2474</v>
      </c>
      <c r="B255" t="s">
        <v>2261</v>
      </c>
      <c r="C255">
        <v>650</v>
      </c>
      <c r="D255" t="s">
        <v>2252</v>
      </c>
      <c r="E255" t="s">
        <v>2475</v>
      </c>
      <c r="F255" s="455">
        <v>46213</v>
      </c>
      <c r="G255" s="455">
        <v>46213</v>
      </c>
      <c r="H255" s="455">
        <v>46577</v>
      </c>
      <c r="J255">
        <v>815</v>
      </c>
      <c r="K255">
        <v>41</v>
      </c>
      <c r="L255">
        <v>856</v>
      </c>
      <c r="M255">
        <v>17</v>
      </c>
      <c r="N255">
        <v>500</v>
      </c>
    </row>
    <row r="256" spans="1:14">
      <c r="A256" t="s">
        <v>3150</v>
      </c>
      <c r="B256" t="s">
        <v>2261</v>
      </c>
      <c r="C256">
        <v>650</v>
      </c>
      <c r="D256" t="s">
        <v>2252</v>
      </c>
      <c r="E256" t="s">
        <v>3161</v>
      </c>
      <c r="F256" s="455">
        <v>46190</v>
      </c>
      <c r="G256" s="455">
        <v>46190</v>
      </c>
      <c r="H256" s="455">
        <v>46554</v>
      </c>
      <c r="J256">
        <v>815</v>
      </c>
      <c r="K256">
        <v>842.6</v>
      </c>
      <c r="L256">
        <v>834</v>
      </c>
      <c r="M256">
        <v>0</v>
      </c>
      <c r="N256">
        <v>0</v>
      </c>
    </row>
    <row r="257" spans="1:14">
      <c r="A257" t="s">
        <v>6624</v>
      </c>
      <c r="B257" t="s">
        <v>2261</v>
      </c>
      <c r="C257">
        <v>650</v>
      </c>
      <c r="D257" t="s">
        <v>6389</v>
      </c>
      <c r="E257" t="s">
        <v>6384</v>
      </c>
      <c r="J257">
        <v>815</v>
      </c>
      <c r="K257">
        <v>0</v>
      </c>
      <c r="L257">
        <v>0</v>
      </c>
      <c r="N257">
        <v>0</v>
      </c>
    </row>
    <row r="258" spans="1:14">
      <c r="A258" t="s">
        <v>6625</v>
      </c>
      <c r="B258" t="s">
        <v>2262</v>
      </c>
      <c r="C258">
        <v>667</v>
      </c>
      <c r="D258" t="s">
        <v>2252</v>
      </c>
      <c r="E258" t="s">
        <v>6626</v>
      </c>
      <c r="F258" s="455">
        <v>45717</v>
      </c>
      <c r="G258" s="455">
        <v>46083</v>
      </c>
      <c r="H258" s="455">
        <v>46447</v>
      </c>
      <c r="J258">
        <v>948</v>
      </c>
      <c r="K258" s="456">
        <v>1189.58</v>
      </c>
      <c r="L258" s="456">
        <v>1074</v>
      </c>
      <c r="M258">
        <v>0</v>
      </c>
      <c r="N258">
        <v>0</v>
      </c>
    </row>
    <row r="259" spans="1:14">
      <c r="A259" t="s">
        <v>2545</v>
      </c>
      <c r="B259" t="s">
        <v>2262</v>
      </c>
      <c r="C259">
        <v>667</v>
      </c>
      <c r="D259" t="s">
        <v>6383</v>
      </c>
      <c r="E259" t="s">
        <v>6384</v>
      </c>
      <c r="J259">
        <v>973</v>
      </c>
      <c r="K259">
        <v>0</v>
      </c>
      <c r="L259">
        <v>0</v>
      </c>
    </row>
    <row r="260" spans="1:14">
      <c r="A260" t="s">
        <v>2547</v>
      </c>
      <c r="B260" t="s">
        <v>2262</v>
      </c>
      <c r="C260">
        <v>667</v>
      </c>
      <c r="D260" t="s">
        <v>6389</v>
      </c>
      <c r="E260" t="s">
        <v>6384</v>
      </c>
      <c r="J260">
        <v>933</v>
      </c>
      <c r="K260">
        <v>0</v>
      </c>
      <c r="L260">
        <v>0</v>
      </c>
      <c r="N260">
        <v>0</v>
      </c>
    </row>
    <row r="261" spans="1:14">
      <c r="A261" t="s">
        <v>6627</v>
      </c>
      <c r="B261" t="s">
        <v>2262</v>
      </c>
      <c r="C261">
        <v>667</v>
      </c>
      <c r="D261" t="s">
        <v>2251</v>
      </c>
      <c r="E261" t="s">
        <v>6628</v>
      </c>
      <c r="F261" s="455">
        <v>45593</v>
      </c>
      <c r="G261" s="455">
        <v>46201</v>
      </c>
      <c r="H261" s="455">
        <v>46269</v>
      </c>
      <c r="I261" s="455">
        <v>46269</v>
      </c>
      <c r="J261">
        <v>903</v>
      </c>
      <c r="K261" s="456">
        <v>1339.63</v>
      </c>
      <c r="L261" s="456">
        <v>1233</v>
      </c>
      <c r="M261">
        <v>0</v>
      </c>
      <c r="N261">
        <v>0</v>
      </c>
    </row>
    <row r="262" spans="1:14">
      <c r="A262" t="s">
        <v>6629</v>
      </c>
      <c r="B262" t="s">
        <v>2262</v>
      </c>
      <c r="C262">
        <v>667</v>
      </c>
      <c r="D262" t="s">
        <v>2252</v>
      </c>
      <c r="E262" t="s">
        <v>6630</v>
      </c>
      <c r="F262" s="455">
        <v>44153</v>
      </c>
      <c r="G262" s="455">
        <v>45992</v>
      </c>
      <c r="H262" s="455">
        <v>46356</v>
      </c>
      <c r="J262">
        <v>878</v>
      </c>
      <c r="K262" s="456">
        <v>1074.6300000000001</v>
      </c>
      <c r="L262">
        <v>967.49</v>
      </c>
      <c r="M262">
        <v>0</v>
      </c>
      <c r="N262">
        <v>0</v>
      </c>
    </row>
    <row r="263" spans="1:14">
      <c r="A263" t="s">
        <v>2548</v>
      </c>
      <c r="B263" t="s">
        <v>2262</v>
      </c>
      <c r="C263">
        <v>667</v>
      </c>
      <c r="D263" t="s">
        <v>2252</v>
      </c>
      <c r="E263" t="s">
        <v>2549</v>
      </c>
      <c r="F263" s="455">
        <v>45908</v>
      </c>
      <c r="G263" s="455">
        <v>45908</v>
      </c>
      <c r="H263" s="455">
        <v>46272</v>
      </c>
      <c r="J263">
        <v>933</v>
      </c>
      <c r="K263" s="456">
        <v>1084.6300000000001</v>
      </c>
      <c r="L263">
        <v>892.5</v>
      </c>
      <c r="M263">
        <v>426.56</v>
      </c>
      <c r="N263">
        <v>0</v>
      </c>
    </row>
    <row r="264" spans="1:14">
      <c r="A264" t="s">
        <v>6631</v>
      </c>
      <c r="B264" t="s">
        <v>2262</v>
      </c>
      <c r="C264">
        <v>667</v>
      </c>
      <c r="D264" t="s">
        <v>2252</v>
      </c>
      <c r="E264" t="s">
        <v>6632</v>
      </c>
      <c r="F264" s="455">
        <v>45236</v>
      </c>
      <c r="G264" s="455">
        <v>45967</v>
      </c>
      <c r="H264" s="455">
        <v>46331</v>
      </c>
      <c r="J264">
        <v>998</v>
      </c>
      <c r="K264" s="456">
        <v>1353.28</v>
      </c>
      <c r="L264" s="456">
        <v>1216.5</v>
      </c>
      <c r="M264">
        <v>0</v>
      </c>
      <c r="N264">
        <v>0</v>
      </c>
    </row>
    <row r="265" spans="1:14">
      <c r="A265" t="s">
        <v>2550</v>
      </c>
      <c r="B265" t="s">
        <v>2262</v>
      </c>
      <c r="C265">
        <v>667</v>
      </c>
      <c r="D265" t="s">
        <v>6383</v>
      </c>
      <c r="E265" t="s">
        <v>6384</v>
      </c>
      <c r="J265">
        <v>973</v>
      </c>
      <c r="K265">
        <v>0</v>
      </c>
      <c r="L265">
        <v>0</v>
      </c>
      <c r="N265">
        <v>0</v>
      </c>
    </row>
    <row r="266" spans="1:14">
      <c r="A266" t="s">
        <v>1552</v>
      </c>
      <c r="B266" t="s">
        <v>2262</v>
      </c>
      <c r="C266">
        <v>667</v>
      </c>
      <c r="D266" t="s">
        <v>6389</v>
      </c>
      <c r="E266" t="s">
        <v>6384</v>
      </c>
      <c r="J266">
        <v>933</v>
      </c>
      <c r="K266">
        <v>0</v>
      </c>
      <c r="L266">
        <v>0</v>
      </c>
      <c r="N266">
        <v>0</v>
      </c>
    </row>
    <row r="267" spans="1:14">
      <c r="A267" t="s">
        <v>3001</v>
      </c>
      <c r="B267" t="s">
        <v>2262</v>
      </c>
      <c r="C267">
        <v>667</v>
      </c>
      <c r="D267" t="s">
        <v>2252</v>
      </c>
      <c r="E267" t="s">
        <v>3002</v>
      </c>
      <c r="F267" s="455">
        <v>44228</v>
      </c>
      <c r="G267" s="455">
        <v>46235</v>
      </c>
      <c r="H267" s="455">
        <v>46599</v>
      </c>
      <c r="J267">
        <v>903</v>
      </c>
      <c r="K267" s="456">
        <v>1092.6300000000001</v>
      </c>
      <c r="L267">
        <v>986</v>
      </c>
      <c r="M267">
        <v>0</v>
      </c>
      <c r="N267">
        <v>0</v>
      </c>
    </row>
    <row r="268" spans="1:14">
      <c r="A268" t="s">
        <v>2141</v>
      </c>
      <c r="B268" t="s">
        <v>2262</v>
      </c>
      <c r="C268">
        <v>667</v>
      </c>
      <c r="D268" t="s">
        <v>6389</v>
      </c>
      <c r="E268" t="s">
        <v>6384</v>
      </c>
      <c r="J268">
        <v>923</v>
      </c>
      <c r="K268">
        <v>0</v>
      </c>
      <c r="L268">
        <v>0</v>
      </c>
      <c r="N268">
        <v>0</v>
      </c>
    </row>
    <row r="269" spans="1:14">
      <c r="A269" t="s">
        <v>6633</v>
      </c>
      <c r="B269" t="s">
        <v>2262</v>
      </c>
      <c r="C269">
        <v>667</v>
      </c>
      <c r="D269" t="s">
        <v>2252</v>
      </c>
      <c r="E269" t="s">
        <v>6634</v>
      </c>
      <c r="F269" s="455">
        <v>45313</v>
      </c>
      <c r="G269" s="455">
        <v>46103</v>
      </c>
      <c r="H269" s="455">
        <v>46466</v>
      </c>
      <c r="J269">
        <v>888</v>
      </c>
      <c r="K269" s="456">
        <v>1324.58</v>
      </c>
      <c r="L269" s="456">
        <v>1074</v>
      </c>
      <c r="M269">
        <v>0</v>
      </c>
      <c r="N269">
        <v>0</v>
      </c>
    </row>
    <row r="270" spans="1:14">
      <c r="A270" t="s">
        <v>2552</v>
      </c>
      <c r="B270" t="s">
        <v>2262</v>
      </c>
      <c r="C270">
        <v>667</v>
      </c>
      <c r="D270" t="s">
        <v>6389</v>
      </c>
      <c r="E270" t="s">
        <v>6384</v>
      </c>
      <c r="J270">
        <v>948</v>
      </c>
      <c r="K270">
        <v>0</v>
      </c>
      <c r="L270">
        <v>0</v>
      </c>
      <c r="N270">
        <v>0</v>
      </c>
    </row>
    <row r="271" spans="1:14">
      <c r="A271" t="s">
        <v>3003</v>
      </c>
      <c r="B271" t="s">
        <v>2262</v>
      </c>
      <c r="C271">
        <v>667</v>
      </c>
      <c r="D271" t="s">
        <v>2252</v>
      </c>
      <c r="E271" t="s">
        <v>3004</v>
      </c>
      <c r="F271" s="455">
        <v>45859</v>
      </c>
      <c r="G271" s="455">
        <v>46224</v>
      </c>
      <c r="H271" s="455">
        <v>46588</v>
      </c>
      <c r="J271">
        <v>923</v>
      </c>
      <c r="K271" s="456">
        <v>1140.6300000000001</v>
      </c>
      <c r="L271" s="456">
        <v>1034</v>
      </c>
      <c r="M271">
        <v>0</v>
      </c>
      <c r="N271">
        <v>0</v>
      </c>
    </row>
    <row r="272" spans="1:14">
      <c r="A272" t="s">
        <v>1590</v>
      </c>
      <c r="B272" t="s">
        <v>2262</v>
      </c>
      <c r="C272">
        <v>667</v>
      </c>
      <c r="D272" t="s">
        <v>6389</v>
      </c>
      <c r="E272" t="s">
        <v>6384</v>
      </c>
      <c r="J272">
        <v>888</v>
      </c>
      <c r="K272">
        <v>0</v>
      </c>
      <c r="L272">
        <v>0</v>
      </c>
      <c r="N272">
        <v>0</v>
      </c>
    </row>
    <row r="273" spans="1:14">
      <c r="A273" t="s">
        <v>6635</v>
      </c>
      <c r="B273" t="s">
        <v>2262</v>
      </c>
      <c r="C273">
        <v>667</v>
      </c>
      <c r="D273" t="s">
        <v>2252</v>
      </c>
      <c r="E273" t="s">
        <v>6636</v>
      </c>
      <c r="F273" s="455">
        <v>44536</v>
      </c>
      <c r="G273" s="455">
        <v>45992</v>
      </c>
      <c r="H273" s="455">
        <v>46356</v>
      </c>
      <c r="J273">
        <v>903</v>
      </c>
      <c r="K273" s="456">
        <v>1112.6300000000001</v>
      </c>
      <c r="L273" s="456">
        <v>1005.5</v>
      </c>
      <c r="M273">
        <v>0</v>
      </c>
      <c r="N273">
        <v>750</v>
      </c>
    </row>
    <row r="274" spans="1:14">
      <c r="A274" t="s">
        <v>1801</v>
      </c>
      <c r="B274" t="s">
        <v>2262</v>
      </c>
      <c r="C274">
        <v>667</v>
      </c>
      <c r="D274" t="s">
        <v>2252</v>
      </c>
      <c r="E274" t="s">
        <v>3006</v>
      </c>
      <c r="F274" s="455">
        <v>46206</v>
      </c>
      <c r="G274" s="455">
        <v>46206</v>
      </c>
      <c r="H274" s="455">
        <v>46570</v>
      </c>
      <c r="J274">
        <v>973</v>
      </c>
      <c r="K274">
        <v>129</v>
      </c>
      <c r="L274" s="456">
        <v>1102</v>
      </c>
      <c r="M274">
        <v>0</v>
      </c>
      <c r="N274">
        <v>0</v>
      </c>
    </row>
    <row r="275" spans="1:14">
      <c r="A275" t="s">
        <v>3007</v>
      </c>
      <c r="B275" t="s">
        <v>2262</v>
      </c>
      <c r="C275">
        <v>667</v>
      </c>
      <c r="D275" t="s">
        <v>2252</v>
      </c>
      <c r="E275" t="s">
        <v>3008</v>
      </c>
      <c r="F275" s="455">
        <v>44760</v>
      </c>
      <c r="G275" s="455">
        <v>46235</v>
      </c>
      <c r="H275" s="455">
        <v>46599</v>
      </c>
      <c r="J275">
        <v>933</v>
      </c>
      <c r="K275">
        <v>656.63</v>
      </c>
      <c r="L275" s="456">
        <v>1050</v>
      </c>
      <c r="M275">
        <v>0</v>
      </c>
      <c r="N275">
        <v>0</v>
      </c>
    </row>
    <row r="276" spans="1:14">
      <c r="A276" t="s">
        <v>5851</v>
      </c>
      <c r="B276" t="s">
        <v>2262</v>
      </c>
      <c r="C276">
        <v>667</v>
      </c>
      <c r="D276" t="s">
        <v>2252</v>
      </c>
      <c r="E276" t="s">
        <v>6637</v>
      </c>
      <c r="F276" s="455">
        <v>46051</v>
      </c>
      <c r="G276" s="455">
        <v>46051</v>
      </c>
      <c r="H276" s="455">
        <v>46415</v>
      </c>
      <c r="J276">
        <v>998</v>
      </c>
      <c r="K276" s="456">
        <v>1182.6300000000001</v>
      </c>
      <c r="L276" s="456">
        <v>1076</v>
      </c>
      <c r="M276">
        <v>0</v>
      </c>
      <c r="N276">
        <v>500</v>
      </c>
    </row>
    <row r="277" spans="1:14">
      <c r="A277" t="s">
        <v>6027</v>
      </c>
      <c r="B277" t="s">
        <v>2262</v>
      </c>
      <c r="C277">
        <v>667</v>
      </c>
      <c r="D277" t="s">
        <v>2252</v>
      </c>
      <c r="E277" t="s">
        <v>6638</v>
      </c>
      <c r="F277" s="455">
        <v>45954</v>
      </c>
      <c r="G277" s="455">
        <v>45954</v>
      </c>
      <c r="H277" s="455">
        <v>46318</v>
      </c>
      <c r="J277">
        <v>878</v>
      </c>
      <c r="K277" s="456">
        <v>1037.6300000000001</v>
      </c>
      <c r="L277">
        <v>930.5</v>
      </c>
      <c r="M277">
        <v>0</v>
      </c>
      <c r="N277">
        <v>750</v>
      </c>
    </row>
    <row r="278" spans="1:14">
      <c r="A278" t="s">
        <v>3009</v>
      </c>
      <c r="B278" t="s">
        <v>2262</v>
      </c>
      <c r="C278">
        <v>667</v>
      </c>
      <c r="D278" t="s">
        <v>2252</v>
      </c>
      <c r="E278" t="s">
        <v>3010</v>
      </c>
      <c r="F278" s="455">
        <v>39612</v>
      </c>
      <c r="G278" s="455">
        <v>46235</v>
      </c>
      <c r="H278" s="455">
        <v>46599</v>
      </c>
      <c r="J278">
        <v>888</v>
      </c>
      <c r="K278" s="456">
        <v>1064.6300000000001</v>
      </c>
      <c r="L278">
        <v>958</v>
      </c>
      <c r="M278">
        <v>0</v>
      </c>
      <c r="N278">
        <v>0</v>
      </c>
    </row>
    <row r="279" spans="1:14">
      <c r="A279" t="s">
        <v>1543</v>
      </c>
      <c r="B279" t="s">
        <v>2262</v>
      </c>
      <c r="C279">
        <v>667</v>
      </c>
      <c r="D279" t="s">
        <v>6389</v>
      </c>
      <c r="E279" t="s">
        <v>6384</v>
      </c>
      <c r="J279">
        <v>903</v>
      </c>
      <c r="K279">
        <v>0</v>
      </c>
      <c r="L279">
        <v>0</v>
      </c>
      <c r="N279">
        <v>0</v>
      </c>
    </row>
    <row r="280" spans="1:14">
      <c r="A280" t="s">
        <v>6639</v>
      </c>
      <c r="B280" t="s">
        <v>2262</v>
      </c>
      <c r="C280">
        <v>667</v>
      </c>
      <c r="D280" t="s">
        <v>2252</v>
      </c>
      <c r="E280" t="s">
        <v>6640</v>
      </c>
      <c r="F280" s="455">
        <v>44896</v>
      </c>
      <c r="G280" s="455">
        <v>46073</v>
      </c>
      <c r="H280" s="455">
        <v>46437</v>
      </c>
      <c r="J280">
        <v>878</v>
      </c>
      <c r="K280" s="456">
        <v>1259.58</v>
      </c>
      <c r="L280" s="456">
        <v>1144</v>
      </c>
      <c r="M280">
        <v>0</v>
      </c>
      <c r="N280">
        <v>0</v>
      </c>
    </row>
    <row r="281" spans="1:14">
      <c r="A281" t="s">
        <v>6055</v>
      </c>
      <c r="B281" t="s">
        <v>2262</v>
      </c>
      <c r="C281">
        <v>667</v>
      </c>
      <c r="D281" t="s">
        <v>6389</v>
      </c>
      <c r="E281" t="s">
        <v>6384</v>
      </c>
      <c r="J281">
        <v>933</v>
      </c>
      <c r="K281">
        <v>0</v>
      </c>
      <c r="L281">
        <v>0</v>
      </c>
      <c r="N281">
        <v>0</v>
      </c>
    </row>
    <row r="282" spans="1:14">
      <c r="A282" t="s">
        <v>1910</v>
      </c>
      <c r="B282" t="s">
        <v>2262</v>
      </c>
      <c r="C282">
        <v>667</v>
      </c>
      <c r="D282" t="s">
        <v>6389</v>
      </c>
      <c r="E282" t="s">
        <v>6384</v>
      </c>
      <c r="J282">
        <v>903</v>
      </c>
      <c r="K282">
        <v>0</v>
      </c>
      <c r="L282">
        <v>0</v>
      </c>
      <c r="N282">
        <v>0</v>
      </c>
    </row>
    <row r="283" spans="1:14">
      <c r="A283" t="s">
        <v>6641</v>
      </c>
      <c r="B283" t="s">
        <v>2262</v>
      </c>
      <c r="C283">
        <v>667</v>
      </c>
      <c r="D283" t="s">
        <v>2252</v>
      </c>
      <c r="E283" t="s">
        <v>6642</v>
      </c>
      <c r="F283" s="455">
        <v>44313</v>
      </c>
      <c r="G283" s="455">
        <v>46143</v>
      </c>
      <c r="H283" s="455">
        <v>46507</v>
      </c>
      <c r="J283">
        <v>973</v>
      </c>
      <c r="K283" s="456">
        <v>1391.58</v>
      </c>
      <c r="L283" s="456">
        <v>1276</v>
      </c>
      <c r="M283">
        <v>0</v>
      </c>
      <c r="N283">
        <v>0</v>
      </c>
    </row>
    <row r="284" spans="1:14">
      <c r="A284" t="s">
        <v>3011</v>
      </c>
      <c r="B284" t="s">
        <v>2262</v>
      </c>
      <c r="C284">
        <v>667</v>
      </c>
      <c r="D284" t="s">
        <v>2252</v>
      </c>
      <c r="E284" t="s">
        <v>3012</v>
      </c>
      <c r="F284" s="455">
        <v>44007</v>
      </c>
      <c r="G284" s="455">
        <v>46235</v>
      </c>
      <c r="H284" s="455">
        <v>46599</v>
      </c>
      <c r="J284">
        <v>888</v>
      </c>
      <c r="K284" s="456">
        <v>1029.6300000000001</v>
      </c>
      <c r="L284">
        <v>923</v>
      </c>
      <c r="M284">
        <v>0</v>
      </c>
      <c r="N284">
        <v>150</v>
      </c>
    </row>
    <row r="285" spans="1:14">
      <c r="A285" t="s">
        <v>2176</v>
      </c>
      <c r="B285" t="s">
        <v>2262</v>
      </c>
      <c r="C285">
        <v>667</v>
      </c>
      <c r="D285" t="s">
        <v>2252</v>
      </c>
      <c r="E285" t="s">
        <v>6643</v>
      </c>
      <c r="F285" s="455">
        <v>46144</v>
      </c>
      <c r="G285" s="455">
        <v>46144</v>
      </c>
      <c r="H285" s="455">
        <v>46508</v>
      </c>
      <c r="J285">
        <v>998</v>
      </c>
      <c r="K285" s="456">
        <v>1175.95</v>
      </c>
      <c r="L285" s="456">
        <v>1152</v>
      </c>
      <c r="M285">
        <v>0</v>
      </c>
      <c r="N285">
        <v>0</v>
      </c>
    </row>
    <row r="286" spans="1:14">
      <c r="A286" t="s">
        <v>6644</v>
      </c>
      <c r="B286" t="s">
        <v>2262</v>
      </c>
      <c r="C286">
        <v>667</v>
      </c>
      <c r="D286" t="s">
        <v>2252</v>
      </c>
      <c r="E286" t="s">
        <v>6645</v>
      </c>
      <c r="F286" s="455">
        <v>44835</v>
      </c>
      <c r="G286" s="455">
        <v>45931</v>
      </c>
      <c r="H286" s="455">
        <v>46295</v>
      </c>
      <c r="J286">
        <v>923</v>
      </c>
      <c r="K286" s="456">
        <v>1207.28</v>
      </c>
      <c r="L286" s="456">
        <v>1070.5</v>
      </c>
      <c r="M286">
        <v>0</v>
      </c>
      <c r="N286">
        <v>0</v>
      </c>
    </row>
    <row r="287" spans="1:14">
      <c r="A287" t="s">
        <v>2566</v>
      </c>
      <c r="B287" t="s">
        <v>2262</v>
      </c>
      <c r="C287">
        <v>667</v>
      </c>
      <c r="D287" t="s">
        <v>2252</v>
      </c>
      <c r="E287" t="s">
        <v>2567</v>
      </c>
      <c r="F287" s="455">
        <v>38716</v>
      </c>
      <c r="G287" s="455">
        <v>46174</v>
      </c>
      <c r="H287" s="455">
        <v>46538</v>
      </c>
      <c r="J287">
        <v>888</v>
      </c>
      <c r="K287" s="456">
        <v>1114.6300000000001</v>
      </c>
      <c r="L287" s="456">
        <v>1008</v>
      </c>
      <c r="M287">
        <v>114.63</v>
      </c>
      <c r="N287">
        <v>0</v>
      </c>
    </row>
    <row r="288" spans="1:14">
      <c r="A288" t="s">
        <v>2568</v>
      </c>
      <c r="B288" t="s">
        <v>2262</v>
      </c>
      <c r="C288">
        <v>667</v>
      </c>
      <c r="D288" t="s">
        <v>2252</v>
      </c>
      <c r="E288" t="s">
        <v>2569</v>
      </c>
      <c r="F288" s="455">
        <v>45409</v>
      </c>
      <c r="G288" s="455">
        <v>46204</v>
      </c>
      <c r="H288" s="455">
        <v>46568</v>
      </c>
      <c r="J288">
        <v>998</v>
      </c>
      <c r="K288" s="456">
        <v>1447.63</v>
      </c>
      <c r="L288" s="456">
        <v>1199</v>
      </c>
      <c r="M288">
        <v>141.63</v>
      </c>
      <c r="N288">
        <v>0</v>
      </c>
    </row>
    <row r="289" spans="1:14">
      <c r="A289" t="s">
        <v>1558</v>
      </c>
      <c r="B289" t="s">
        <v>2262</v>
      </c>
      <c r="C289">
        <v>667</v>
      </c>
      <c r="D289" t="s">
        <v>6389</v>
      </c>
      <c r="E289" t="s">
        <v>6384</v>
      </c>
      <c r="J289">
        <v>923</v>
      </c>
      <c r="K289">
        <v>0</v>
      </c>
      <c r="L289">
        <v>0</v>
      </c>
      <c r="N289">
        <v>0</v>
      </c>
    </row>
    <row r="290" spans="1:14">
      <c r="A290" t="s">
        <v>2570</v>
      </c>
      <c r="B290" t="s">
        <v>2262</v>
      </c>
      <c r="C290">
        <v>667</v>
      </c>
      <c r="D290" t="s">
        <v>2252</v>
      </c>
      <c r="E290" t="s">
        <v>2571</v>
      </c>
      <c r="F290" s="455">
        <v>42349</v>
      </c>
      <c r="G290" s="455">
        <v>46113</v>
      </c>
      <c r="H290" s="455">
        <v>46477</v>
      </c>
      <c r="J290">
        <v>888</v>
      </c>
      <c r="K290" s="456">
        <v>1156.58</v>
      </c>
      <c r="L290" s="456">
        <v>1041</v>
      </c>
      <c r="M290">
        <v>84</v>
      </c>
      <c r="N290">
        <v>150</v>
      </c>
    </row>
    <row r="291" spans="1:14">
      <c r="A291" t="s">
        <v>1583</v>
      </c>
      <c r="B291" t="s">
        <v>2262</v>
      </c>
      <c r="C291">
        <v>667</v>
      </c>
      <c r="D291" t="s">
        <v>6389</v>
      </c>
      <c r="E291" t="s">
        <v>6384</v>
      </c>
      <c r="J291">
        <v>948</v>
      </c>
      <c r="K291">
        <v>0</v>
      </c>
      <c r="L291">
        <v>0</v>
      </c>
      <c r="N291">
        <v>0</v>
      </c>
    </row>
    <row r="292" spans="1:14">
      <c r="A292" t="s">
        <v>6646</v>
      </c>
      <c r="B292" t="s">
        <v>2262</v>
      </c>
      <c r="C292">
        <v>667</v>
      </c>
      <c r="D292" t="s">
        <v>2252</v>
      </c>
      <c r="E292" t="s">
        <v>6647</v>
      </c>
      <c r="F292" s="455">
        <v>45409</v>
      </c>
      <c r="G292" s="455">
        <v>46200</v>
      </c>
      <c r="H292" s="455">
        <v>46564</v>
      </c>
      <c r="J292">
        <v>923</v>
      </c>
      <c r="K292" s="456">
        <v>1177.6300000000001</v>
      </c>
      <c r="L292" s="456">
        <v>1071</v>
      </c>
      <c r="M292">
        <v>0</v>
      </c>
      <c r="N292">
        <v>750</v>
      </c>
    </row>
    <row r="293" spans="1:14">
      <c r="A293" t="s">
        <v>1596</v>
      </c>
      <c r="B293" t="s">
        <v>2262</v>
      </c>
      <c r="C293">
        <v>667</v>
      </c>
      <c r="D293" t="s">
        <v>6389</v>
      </c>
      <c r="E293" t="s">
        <v>6384</v>
      </c>
      <c r="J293">
        <v>888</v>
      </c>
      <c r="K293">
        <v>0</v>
      </c>
      <c r="L293">
        <v>0</v>
      </c>
      <c r="N293">
        <v>0</v>
      </c>
    </row>
    <row r="294" spans="1:14">
      <c r="A294" t="s">
        <v>6648</v>
      </c>
      <c r="B294" t="s">
        <v>2262</v>
      </c>
      <c r="C294">
        <v>667</v>
      </c>
      <c r="D294" t="s">
        <v>2252</v>
      </c>
      <c r="E294" t="s">
        <v>6649</v>
      </c>
      <c r="F294" s="455">
        <v>45642</v>
      </c>
      <c r="G294" s="455">
        <v>46069</v>
      </c>
      <c r="H294" s="455">
        <v>46433</v>
      </c>
      <c r="J294">
        <v>998</v>
      </c>
      <c r="K294" s="456">
        <v>1350.23</v>
      </c>
      <c r="L294" s="456">
        <v>1199</v>
      </c>
      <c r="M294">
        <v>0</v>
      </c>
      <c r="N294">
        <v>0</v>
      </c>
    </row>
    <row r="295" spans="1:14">
      <c r="A295" t="s">
        <v>6650</v>
      </c>
      <c r="B295" t="s">
        <v>2262</v>
      </c>
      <c r="C295">
        <v>667</v>
      </c>
      <c r="D295" t="s">
        <v>6389</v>
      </c>
      <c r="E295" t="s">
        <v>6384</v>
      </c>
      <c r="J295">
        <v>878</v>
      </c>
      <c r="K295">
        <v>0</v>
      </c>
      <c r="L295">
        <v>0</v>
      </c>
      <c r="N295">
        <v>0</v>
      </c>
    </row>
    <row r="296" spans="1:14">
      <c r="A296" t="s">
        <v>6651</v>
      </c>
      <c r="B296" t="s">
        <v>2262</v>
      </c>
      <c r="C296">
        <v>667</v>
      </c>
      <c r="D296" t="s">
        <v>6389</v>
      </c>
      <c r="E296" t="s">
        <v>6384</v>
      </c>
      <c r="J296">
        <v>983</v>
      </c>
      <c r="K296">
        <v>0</v>
      </c>
      <c r="L296">
        <v>0</v>
      </c>
      <c r="N296">
        <v>0</v>
      </c>
    </row>
    <row r="297" spans="1:14">
      <c r="A297" t="s">
        <v>6652</v>
      </c>
      <c r="B297" t="s">
        <v>2262</v>
      </c>
      <c r="C297">
        <v>667</v>
      </c>
      <c r="D297" t="s">
        <v>2252</v>
      </c>
      <c r="E297" t="s">
        <v>6653</v>
      </c>
      <c r="F297" s="455">
        <v>44136</v>
      </c>
      <c r="G297" s="455">
        <v>46143</v>
      </c>
      <c r="H297" s="455">
        <v>46507</v>
      </c>
      <c r="J297">
        <v>948</v>
      </c>
      <c r="K297" s="456">
        <v>1290.23</v>
      </c>
      <c r="L297" s="456">
        <v>1139</v>
      </c>
      <c r="M297">
        <v>0</v>
      </c>
      <c r="N297">
        <v>0</v>
      </c>
    </row>
    <row r="298" spans="1:14">
      <c r="A298" t="s">
        <v>6654</v>
      </c>
      <c r="B298" t="s">
        <v>2262</v>
      </c>
      <c r="C298">
        <v>667</v>
      </c>
      <c r="D298" t="s">
        <v>2252</v>
      </c>
      <c r="E298" t="s">
        <v>6655</v>
      </c>
      <c r="F298" s="455">
        <v>45201</v>
      </c>
      <c r="G298" s="455">
        <v>45931</v>
      </c>
      <c r="H298" s="455">
        <v>46295</v>
      </c>
      <c r="J298">
        <v>878</v>
      </c>
      <c r="K298" s="456">
        <v>1081.6300000000001</v>
      </c>
      <c r="L298">
        <v>975</v>
      </c>
      <c r="M298">
        <v>0</v>
      </c>
      <c r="N298">
        <v>750</v>
      </c>
    </row>
    <row r="299" spans="1:14">
      <c r="A299" t="s">
        <v>6656</v>
      </c>
      <c r="B299" t="s">
        <v>2262</v>
      </c>
      <c r="C299">
        <v>667</v>
      </c>
      <c r="D299" t="s">
        <v>2252</v>
      </c>
      <c r="E299" t="s">
        <v>6657</v>
      </c>
      <c r="F299" s="455">
        <v>45597</v>
      </c>
      <c r="G299" s="455">
        <v>45962</v>
      </c>
      <c r="H299" s="455">
        <v>46326</v>
      </c>
      <c r="J299">
        <v>933</v>
      </c>
      <c r="K299" s="456">
        <v>1026.28</v>
      </c>
      <c r="L299">
        <v>889.5</v>
      </c>
      <c r="M299">
        <v>0</v>
      </c>
      <c r="N299">
        <v>0</v>
      </c>
    </row>
    <row r="300" spans="1:14">
      <c r="A300" t="s">
        <v>1549</v>
      </c>
      <c r="B300" t="s">
        <v>2262</v>
      </c>
      <c r="C300">
        <v>667</v>
      </c>
      <c r="D300" t="s">
        <v>6513</v>
      </c>
      <c r="E300" t="s">
        <v>6384</v>
      </c>
      <c r="J300">
        <v>948</v>
      </c>
      <c r="K300">
        <v>0</v>
      </c>
      <c r="L300">
        <v>0</v>
      </c>
      <c r="N300">
        <v>0</v>
      </c>
    </row>
    <row r="301" spans="1:14">
      <c r="A301" t="s">
        <v>2583</v>
      </c>
      <c r="B301" t="s">
        <v>2262</v>
      </c>
      <c r="C301">
        <v>667</v>
      </c>
      <c r="D301" t="s">
        <v>6389</v>
      </c>
      <c r="E301" t="s">
        <v>6384</v>
      </c>
      <c r="J301">
        <v>923</v>
      </c>
      <c r="K301">
        <v>0</v>
      </c>
      <c r="L301">
        <v>0</v>
      </c>
      <c r="N301">
        <v>0</v>
      </c>
    </row>
    <row r="302" spans="1:14">
      <c r="A302" t="s">
        <v>6658</v>
      </c>
      <c r="B302" t="s">
        <v>2262</v>
      </c>
      <c r="C302">
        <v>667</v>
      </c>
      <c r="D302" t="s">
        <v>2252</v>
      </c>
      <c r="E302" t="s">
        <v>6659</v>
      </c>
      <c r="F302" s="455">
        <v>43891</v>
      </c>
      <c r="G302" s="455">
        <v>46082</v>
      </c>
      <c r="H302" s="455">
        <v>46445</v>
      </c>
      <c r="J302">
        <v>983</v>
      </c>
      <c r="K302" s="456">
        <v>1328.23</v>
      </c>
      <c r="L302" s="456">
        <v>1177</v>
      </c>
      <c r="M302">
        <v>0</v>
      </c>
      <c r="N302">
        <v>150</v>
      </c>
    </row>
    <row r="303" spans="1:14">
      <c r="A303" t="s">
        <v>5816</v>
      </c>
      <c r="B303" t="s">
        <v>2262</v>
      </c>
      <c r="C303">
        <v>667</v>
      </c>
      <c r="D303" t="s">
        <v>2252</v>
      </c>
      <c r="E303" t="s">
        <v>6660</v>
      </c>
      <c r="F303" s="455">
        <v>45626</v>
      </c>
      <c r="G303" s="455">
        <v>46052</v>
      </c>
      <c r="H303" s="455">
        <v>46416</v>
      </c>
      <c r="J303">
        <v>948</v>
      </c>
      <c r="K303" s="456">
        <v>1195.28</v>
      </c>
      <c r="L303" s="456">
        <v>1059</v>
      </c>
      <c r="M303">
        <v>0</v>
      </c>
      <c r="N303">
        <v>0</v>
      </c>
    </row>
    <row r="304" spans="1:14">
      <c r="A304" t="s">
        <v>3533</v>
      </c>
      <c r="B304" t="s">
        <v>2262</v>
      </c>
      <c r="C304">
        <v>667</v>
      </c>
      <c r="D304" t="s">
        <v>6513</v>
      </c>
      <c r="E304" t="s">
        <v>6384</v>
      </c>
      <c r="J304">
        <v>908</v>
      </c>
      <c r="K304">
        <v>0</v>
      </c>
      <c r="L304">
        <v>0</v>
      </c>
      <c r="N304">
        <v>0</v>
      </c>
    </row>
    <row r="305" spans="1:14">
      <c r="A305" t="s">
        <v>5987</v>
      </c>
      <c r="B305" t="s">
        <v>2262</v>
      </c>
      <c r="C305">
        <v>667</v>
      </c>
      <c r="D305" t="s">
        <v>2252</v>
      </c>
      <c r="E305" t="s">
        <v>6661</v>
      </c>
      <c r="F305" s="455">
        <v>45931</v>
      </c>
      <c r="G305" s="455">
        <v>45931</v>
      </c>
      <c r="H305" s="455">
        <v>46295</v>
      </c>
      <c r="J305">
        <v>933</v>
      </c>
      <c r="K305">
        <v>842.63</v>
      </c>
      <c r="L305">
        <v>985.5</v>
      </c>
      <c r="M305">
        <v>0</v>
      </c>
      <c r="N305">
        <v>750</v>
      </c>
    </row>
    <row r="306" spans="1:14">
      <c r="A306" t="s">
        <v>6662</v>
      </c>
      <c r="B306" t="s">
        <v>2262</v>
      </c>
      <c r="C306">
        <v>667</v>
      </c>
      <c r="D306" t="s">
        <v>2252</v>
      </c>
      <c r="E306" t="s">
        <v>6663</v>
      </c>
      <c r="F306" s="455">
        <v>45098</v>
      </c>
      <c r="G306" s="455">
        <v>45901</v>
      </c>
      <c r="H306" s="455">
        <v>46265</v>
      </c>
      <c r="J306">
        <v>948</v>
      </c>
      <c r="K306">
        <v>918.28</v>
      </c>
      <c r="L306" s="456">
        <v>1031.5</v>
      </c>
      <c r="M306">
        <v>0</v>
      </c>
      <c r="N306">
        <v>0</v>
      </c>
    </row>
    <row r="307" spans="1:14">
      <c r="A307" t="s">
        <v>6664</v>
      </c>
      <c r="B307" t="s">
        <v>2262</v>
      </c>
      <c r="C307">
        <v>667</v>
      </c>
      <c r="D307" t="s">
        <v>2252</v>
      </c>
      <c r="E307" t="s">
        <v>6665</v>
      </c>
      <c r="F307" s="455">
        <v>45199</v>
      </c>
      <c r="G307" s="455">
        <v>45931</v>
      </c>
      <c r="H307" s="455">
        <v>46295</v>
      </c>
      <c r="J307">
        <v>878</v>
      </c>
      <c r="K307" s="456">
        <v>1146.28</v>
      </c>
      <c r="L307" s="456">
        <v>1009.5</v>
      </c>
      <c r="M307">
        <v>0</v>
      </c>
      <c r="N307">
        <v>0</v>
      </c>
    </row>
    <row r="308" spans="1:14">
      <c r="A308" t="s">
        <v>2597</v>
      </c>
      <c r="B308" t="s">
        <v>2262</v>
      </c>
      <c r="C308">
        <v>667</v>
      </c>
      <c r="D308" t="s">
        <v>2252</v>
      </c>
      <c r="E308" t="s">
        <v>2598</v>
      </c>
      <c r="F308" s="455">
        <v>45395</v>
      </c>
      <c r="G308" s="455">
        <v>46186</v>
      </c>
      <c r="H308" s="455">
        <v>46550</v>
      </c>
      <c r="J308">
        <v>933</v>
      </c>
      <c r="K308" s="456">
        <v>1403.63</v>
      </c>
      <c r="L308" s="456">
        <v>1154</v>
      </c>
      <c r="M308">
        <v>731.63</v>
      </c>
      <c r="N308">
        <v>0</v>
      </c>
    </row>
    <row r="309" spans="1:14">
      <c r="A309" t="s">
        <v>6016</v>
      </c>
      <c r="B309" t="s">
        <v>2262</v>
      </c>
      <c r="C309">
        <v>667</v>
      </c>
      <c r="D309" t="s">
        <v>2252</v>
      </c>
      <c r="E309" t="s">
        <v>4442</v>
      </c>
      <c r="F309" s="455">
        <v>46045</v>
      </c>
      <c r="G309" s="455">
        <v>46045</v>
      </c>
      <c r="H309" s="455">
        <v>46409</v>
      </c>
      <c r="J309">
        <v>998</v>
      </c>
      <c r="K309" s="456">
        <v>1380.28</v>
      </c>
      <c r="L309" s="456">
        <v>1244</v>
      </c>
      <c r="M309">
        <v>0</v>
      </c>
      <c r="N309">
        <v>0</v>
      </c>
    </row>
    <row r="310" spans="1:14">
      <c r="A310" t="s">
        <v>5829</v>
      </c>
      <c r="B310" t="s">
        <v>2262</v>
      </c>
      <c r="C310">
        <v>667</v>
      </c>
      <c r="D310" t="s">
        <v>2252</v>
      </c>
      <c r="E310" t="s">
        <v>6666</v>
      </c>
      <c r="F310" s="455">
        <v>46171</v>
      </c>
      <c r="G310" s="455">
        <v>46171</v>
      </c>
      <c r="H310" s="455">
        <v>46535</v>
      </c>
      <c r="J310">
        <v>923</v>
      </c>
      <c r="K310">
        <v>975.95</v>
      </c>
      <c r="L310">
        <v>952</v>
      </c>
      <c r="M310">
        <v>0</v>
      </c>
      <c r="N310">
        <v>0</v>
      </c>
    </row>
    <row r="311" spans="1:14">
      <c r="A311" t="s">
        <v>2599</v>
      </c>
      <c r="B311" t="s">
        <v>2262</v>
      </c>
      <c r="C311">
        <v>667</v>
      </c>
      <c r="D311" t="s">
        <v>6389</v>
      </c>
      <c r="E311" t="s">
        <v>6384</v>
      </c>
      <c r="J311">
        <v>933</v>
      </c>
      <c r="K311">
        <v>0</v>
      </c>
      <c r="L311">
        <v>0</v>
      </c>
      <c r="N311">
        <v>0</v>
      </c>
    </row>
    <row r="312" spans="1:14">
      <c r="A312" t="s">
        <v>2601</v>
      </c>
      <c r="B312" t="s">
        <v>2262</v>
      </c>
      <c r="C312">
        <v>667</v>
      </c>
      <c r="D312" t="s">
        <v>2252</v>
      </c>
      <c r="E312" t="s">
        <v>2602</v>
      </c>
      <c r="F312" s="455">
        <v>44856</v>
      </c>
      <c r="G312" s="455">
        <v>45962</v>
      </c>
      <c r="H312" s="455">
        <v>46326</v>
      </c>
      <c r="J312">
        <v>948</v>
      </c>
      <c r="K312" s="456">
        <v>1247.6300000000001</v>
      </c>
      <c r="L312" s="456">
        <v>1006.49</v>
      </c>
      <c r="M312">
        <v>35</v>
      </c>
      <c r="N312">
        <v>750</v>
      </c>
    </row>
    <row r="313" spans="1:14">
      <c r="A313" t="s">
        <v>6298</v>
      </c>
      <c r="B313" t="s">
        <v>2262</v>
      </c>
      <c r="C313">
        <v>667</v>
      </c>
      <c r="D313" t="s">
        <v>6389</v>
      </c>
      <c r="E313" t="s">
        <v>6384</v>
      </c>
      <c r="J313">
        <v>908</v>
      </c>
      <c r="K313">
        <v>0</v>
      </c>
      <c r="L313">
        <v>0</v>
      </c>
      <c r="N313">
        <v>0</v>
      </c>
    </row>
    <row r="314" spans="1:14">
      <c r="A314" t="s">
        <v>6667</v>
      </c>
      <c r="B314" t="s">
        <v>2262</v>
      </c>
      <c r="C314">
        <v>667</v>
      </c>
      <c r="D314" t="s">
        <v>2252</v>
      </c>
      <c r="E314" t="s">
        <v>6668</v>
      </c>
      <c r="F314" s="455">
        <v>43721</v>
      </c>
      <c r="G314" s="455">
        <v>45931</v>
      </c>
      <c r="H314" s="455">
        <v>46295</v>
      </c>
      <c r="J314">
        <v>933</v>
      </c>
      <c r="K314" s="456">
        <v>1090.6300000000001</v>
      </c>
      <c r="L314">
        <v>983.5</v>
      </c>
      <c r="M314">
        <v>0</v>
      </c>
      <c r="N314">
        <v>150</v>
      </c>
    </row>
    <row r="315" spans="1:14">
      <c r="A315" t="s">
        <v>2603</v>
      </c>
      <c r="B315" t="s">
        <v>2262</v>
      </c>
      <c r="C315">
        <v>667</v>
      </c>
      <c r="D315" t="s">
        <v>2251</v>
      </c>
      <c r="E315" t="s">
        <v>2604</v>
      </c>
      <c r="F315" s="455">
        <v>45701</v>
      </c>
      <c r="G315" s="455">
        <v>46125</v>
      </c>
      <c r="H315" s="455">
        <v>46489</v>
      </c>
      <c r="I315" s="455">
        <v>46266</v>
      </c>
      <c r="J315">
        <v>903</v>
      </c>
      <c r="K315" s="456">
        <v>1311.58</v>
      </c>
      <c r="L315" s="456">
        <v>1094</v>
      </c>
      <c r="M315" s="456">
        <v>4005.47</v>
      </c>
      <c r="N315">
        <v>0</v>
      </c>
    </row>
    <row r="316" spans="1:14">
      <c r="A316" t="s">
        <v>6669</v>
      </c>
      <c r="B316" t="s">
        <v>2262</v>
      </c>
      <c r="C316">
        <v>667</v>
      </c>
      <c r="D316" t="s">
        <v>6389</v>
      </c>
      <c r="E316" t="s">
        <v>6384</v>
      </c>
      <c r="J316">
        <v>923</v>
      </c>
      <c r="K316">
        <v>0</v>
      </c>
      <c r="L316">
        <v>0</v>
      </c>
      <c r="N316">
        <v>0</v>
      </c>
    </row>
    <row r="317" spans="1:14">
      <c r="A317" t="s">
        <v>2605</v>
      </c>
      <c r="B317" t="s">
        <v>2262</v>
      </c>
      <c r="C317">
        <v>667</v>
      </c>
      <c r="D317" t="s">
        <v>6389</v>
      </c>
      <c r="E317" t="s">
        <v>6384</v>
      </c>
      <c r="J317">
        <v>933</v>
      </c>
      <c r="K317">
        <v>0</v>
      </c>
      <c r="L317">
        <v>0</v>
      </c>
      <c r="N317">
        <v>0</v>
      </c>
    </row>
    <row r="318" spans="1:14">
      <c r="A318" t="s">
        <v>6670</v>
      </c>
      <c r="B318" t="s">
        <v>2262</v>
      </c>
      <c r="C318">
        <v>667</v>
      </c>
      <c r="D318" t="s">
        <v>2252</v>
      </c>
      <c r="E318" t="s">
        <v>6671</v>
      </c>
      <c r="F318" s="455">
        <v>39149</v>
      </c>
      <c r="G318" s="455">
        <v>45931</v>
      </c>
      <c r="H318" s="455">
        <v>46295</v>
      </c>
      <c r="J318">
        <v>903</v>
      </c>
      <c r="K318">
        <v>740.63</v>
      </c>
      <c r="L318">
        <v>884</v>
      </c>
      <c r="M318">
        <v>0</v>
      </c>
      <c r="N318">
        <v>100</v>
      </c>
    </row>
    <row r="319" spans="1:14">
      <c r="A319" t="s">
        <v>3013</v>
      </c>
      <c r="B319" t="s">
        <v>2262</v>
      </c>
      <c r="C319">
        <v>667</v>
      </c>
      <c r="D319" t="s">
        <v>2252</v>
      </c>
      <c r="E319" t="s">
        <v>3015</v>
      </c>
      <c r="F319" s="455">
        <v>46231</v>
      </c>
      <c r="G319" s="455">
        <v>46231</v>
      </c>
      <c r="H319" s="455">
        <v>46595</v>
      </c>
      <c r="J319">
        <v>973</v>
      </c>
      <c r="K319">
        <v>129</v>
      </c>
      <c r="L319" s="456">
        <v>1102</v>
      </c>
      <c r="M319">
        <v>0</v>
      </c>
      <c r="N319">
        <v>0</v>
      </c>
    </row>
    <row r="320" spans="1:14">
      <c r="A320" t="s">
        <v>6672</v>
      </c>
      <c r="B320" t="s">
        <v>2262</v>
      </c>
      <c r="C320">
        <v>667</v>
      </c>
      <c r="D320" t="s">
        <v>2252</v>
      </c>
      <c r="E320" t="s">
        <v>6673</v>
      </c>
      <c r="F320" s="455">
        <v>45722</v>
      </c>
      <c r="G320" s="455">
        <v>46148</v>
      </c>
      <c r="H320" s="455">
        <v>46512</v>
      </c>
      <c r="J320">
        <v>918</v>
      </c>
      <c r="K320" s="456">
        <v>1144.58</v>
      </c>
      <c r="L320" s="456">
        <v>1029</v>
      </c>
      <c r="M320">
        <v>0</v>
      </c>
      <c r="N320">
        <v>0</v>
      </c>
    </row>
    <row r="321" spans="1:14">
      <c r="A321" t="s">
        <v>6674</v>
      </c>
      <c r="B321" t="s">
        <v>2262</v>
      </c>
      <c r="C321">
        <v>667</v>
      </c>
      <c r="D321" t="s">
        <v>6389</v>
      </c>
      <c r="E321" t="s">
        <v>6384</v>
      </c>
      <c r="J321">
        <v>948</v>
      </c>
      <c r="K321">
        <v>0</v>
      </c>
      <c r="L321">
        <v>0</v>
      </c>
      <c r="N321">
        <v>0</v>
      </c>
    </row>
    <row r="322" spans="1:14">
      <c r="A322" t="s">
        <v>3170</v>
      </c>
      <c r="B322" t="s">
        <v>2262</v>
      </c>
      <c r="C322">
        <v>667</v>
      </c>
      <c r="D322" t="s">
        <v>6675</v>
      </c>
      <c r="E322" t="s">
        <v>6384</v>
      </c>
      <c r="J322">
        <v>973</v>
      </c>
      <c r="K322">
        <v>0</v>
      </c>
      <c r="L322">
        <v>0</v>
      </c>
      <c r="N322">
        <v>0</v>
      </c>
    </row>
    <row r="323" spans="1:14">
      <c r="A323" t="s">
        <v>3016</v>
      </c>
      <c r="B323" t="s">
        <v>2262</v>
      </c>
      <c r="C323">
        <v>667</v>
      </c>
      <c r="D323" t="s">
        <v>2252</v>
      </c>
      <c r="E323" t="s">
        <v>3017</v>
      </c>
      <c r="F323" s="455">
        <v>44918</v>
      </c>
      <c r="G323" s="455">
        <v>46235</v>
      </c>
      <c r="H323" s="455">
        <v>46599</v>
      </c>
      <c r="J323">
        <v>888</v>
      </c>
      <c r="K323" s="456">
        <v>1240.6300000000001</v>
      </c>
      <c r="L323" s="456">
        <v>1134</v>
      </c>
      <c r="M323">
        <v>0</v>
      </c>
      <c r="N323">
        <v>0</v>
      </c>
    </row>
    <row r="324" spans="1:14">
      <c r="A324" t="s">
        <v>6676</v>
      </c>
      <c r="B324" t="s">
        <v>2262</v>
      </c>
      <c r="C324">
        <v>667</v>
      </c>
      <c r="D324" t="s">
        <v>6389</v>
      </c>
      <c r="E324" t="s">
        <v>6384</v>
      </c>
      <c r="J324">
        <v>948</v>
      </c>
      <c r="K324">
        <v>0</v>
      </c>
      <c r="L324">
        <v>0</v>
      </c>
      <c r="N324">
        <v>0</v>
      </c>
    </row>
    <row r="325" spans="1:14">
      <c r="A325" t="s">
        <v>2171</v>
      </c>
      <c r="B325" t="s">
        <v>2262</v>
      </c>
      <c r="C325">
        <v>667</v>
      </c>
      <c r="D325" t="s">
        <v>6389</v>
      </c>
      <c r="E325" t="s">
        <v>6384</v>
      </c>
      <c r="J325">
        <v>878</v>
      </c>
      <c r="K325">
        <v>0</v>
      </c>
      <c r="L325">
        <v>0</v>
      </c>
      <c r="N325">
        <v>0</v>
      </c>
    </row>
    <row r="326" spans="1:14">
      <c r="A326" t="s">
        <v>6678</v>
      </c>
      <c r="B326" t="s">
        <v>2262</v>
      </c>
      <c r="C326">
        <v>667</v>
      </c>
      <c r="D326" t="s">
        <v>2252</v>
      </c>
      <c r="E326" t="s">
        <v>6679</v>
      </c>
      <c r="F326" s="455">
        <v>45689</v>
      </c>
      <c r="G326" s="455">
        <v>46113</v>
      </c>
      <c r="H326" s="455">
        <v>46477</v>
      </c>
      <c r="J326">
        <v>888</v>
      </c>
      <c r="K326" s="456">
        <v>1189.58</v>
      </c>
      <c r="L326" s="456">
        <v>1074</v>
      </c>
      <c r="M326">
        <v>0</v>
      </c>
      <c r="N326">
        <v>0</v>
      </c>
    </row>
    <row r="327" spans="1:14">
      <c r="A327" t="s">
        <v>6680</v>
      </c>
      <c r="B327" t="s">
        <v>2262</v>
      </c>
      <c r="C327">
        <v>667</v>
      </c>
      <c r="D327" t="s">
        <v>2252</v>
      </c>
      <c r="E327" t="s">
        <v>6681</v>
      </c>
      <c r="F327" s="455">
        <v>44191</v>
      </c>
      <c r="G327" s="455">
        <v>46204</v>
      </c>
      <c r="H327" s="455">
        <v>46568</v>
      </c>
      <c r="J327">
        <v>903</v>
      </c>
      <c r="K327" s="456">
        <v>1113.28</v>
      </c>
      <c r="L327">
        <v>977</v>
      </c>
      <c r="M327">
        <v>0</v>
      </c>
      <c r="N327">
        <v>0</v>
      </c>
    </row>
    <row r="328" spans="1:14">
      <c r="A328" t="s">
        <v>1814</v>
      </c>
      <c r="B328" t="s">
        <v>2262</v>
      </c>
      <c r="C328">
        <v>667</v>
      </c>
      <c r="D328" t="s">
        <v>2252</v>
      </c>
      <c r="E328" t="s">
        <v>1815</v>
      </c>
      <c r="F328" s="455">
        <v>46109</v>
      </c>
      <c r="G328" s="455">
        <v>46109</v>
      </c>
      <c r="H328" s="455">
        <v>46473</v>
      </c>
      <c r="J328">
        <v>878</v>
      </c>
      <c r="K328" s="456">
        <v>1062.5899999999999</v>
      </c>
      <c r="L328">
        <v>952</v>
      </c>
      <c r="M328">
        <v>0</v>
      </c>
      <c r="N328">
        <v>0</v>
      </c>
    </row>
    <row r="329" spans="1:14">
      <c r="A329" t="s">
        <v>6682</v>
      </c>
      <c r="B329" t="s">
        <v>2262</v>
      </c>
      <c r="C329">
        <v>667</v>
      </c>
      <c r="D329" t="s">
        <v>2251</v>
      </c>
      <c r="E329" t="s">
        <v>6683</v>
      </c>
      <c r="F329" s="455">
        <v>44799</v>
      </c>
      <c r="G329" s="455">
        <v>45901</v>
      </c>
      <c r="H329" s="455">
        <v>46265</v>
      </c>
      <c r="I329" s="455">
        <v>46265</v>
      </c>
      <c r="J329">
        <v>888</v>
      </c>
      <c r="K329" s="456">
        <v>1170.28</v>
      </c>
      <c r="L329" s="456">
        <v>1033.49</v>
      </c>
      <c r="M329">
        <v>0</v>
      </c>
      <c r="N329">
        <v>750</v>
      </c>
    </row>
    <row r="330" spans="1:14">
      <c r="A330" t="s">
        <v>2611</v>
      </c>
      <c r="B330" t="s">
        <v>2262</v>
      </c>
      <c r="C330">
        <v>667</v>
      </c>
      <c r="D330" t="s">
        <v>6389</v>
      </c>
      <c r="E330" t="s">
        <v>6384</v>
      </c>
      <c r="J330">
        <v>998</v>
      </c>
      <c r="K330">
        <v>0</v>
      </c>
      <c r="L330">
        <v>0</v>
      </c>
      <c r="N330">
        <v>0</v>
      </c>
    </row>
    <row r="331" spans="1:14">
      <c r="A331" t="s">
        <v>6023</v>
      </c>
      <c r="B331" t="s">
        <v>2262</v>
      </c>
      <c r="C331">
        <v>667</v>
      </c>
      <c r="D331" t="s">
        <v>6389</v>
      </c>
      <c r="E331" t="s">
        <v>6384</v>
      </c>
      <c r="J331">
        <v>923</v>
      </c>
      <c r="K331">
        <v>0</v>
      </c>
      <c r="L331">
        <v>0</v>
      </c>
      <c r="N331">
        <v>0</v>
      </c>
    </row>
    <row r="332" spans="1:14">
      <c r="A332" t="s">
        <v>5954</v>
      </c>
      <c r="B332" t="s">
        <v>2262</v>
      </c>
      <c r="C332">
        <v>667</v>
      </c>
      <c r="D332" t="s">
        <v>6389</v>
      </c>
      <c r="E332" t="s">
        <v>6384</v>
      </c>
      <c r="J332">
        <v>983</v>
      </c>
      <c r="K332">
        <v>0</v>
      </c>
      <c r="L332">
        <v>0</v>
      </c>
      <c r="N332">
        <v>0</v>
      </c>
    </row>
    <row r="333" spans="1:14">
      <c r="A333" t="s">
        <v>2613</v>
      </c>
      <c r="B333" t="s">
        <v>2262</v>
      </c>
      <c r="C333">
        <v>667</v>
      </c>
      <c r="D333" t="s">
        <v>2252</v>
      </c>
      <c r="E333" t="s">
        <v>2614</v>
      </c>
      <c r="F333" s="455">
        <v>43881</v>
      </c>
      <c r="G333" s="455">
        <v>46082</v>
      </c>
      <c r="H333" s="455">
        <v>46445</v>
      </c>
      <c r="J333">
        <v>948</v>
      </c>
      <c r="K333" s="456">
        <v>1141.58</v>
      </c>
      <c r="L333" s="456">
        <v>1026</v>
      </c>
      <c r="M333">
        <v>8.9499999999999993</v>
      </c>
      <c r="N333">
        <v>150</v>
      </c>
    </row>
    <row r="334" spans="1:14">
      <c r="A334" t="s">
        <v>6684</v>
      </c>
      <c r="B334" t="s">
        <v>2262</v>
      </c>
      <c r="C334">
        <v>667</v>
      </c>
      <c r="D334" t="s">
        <v>2252</v>
      </c>
      <c r="E334" t="s">
        <v>6685</v>
      </c>
      <c r="F334" s="455">
        <v>44491</v>
      </c>
      <c r="G334" s="455">
        <v>45962</v>
      </c>
      <c r="H334" s="455">
        <v>46326</v>
      </c>
      <c r="J334">
        <v>923</v>
      </c>
      <c r="K334" s="456">
        <v>1178.6300000000001</v>
      </c>
      <c r="L334" s="456">
        <v>1071.5</v>
      </c>
      <c r="M334">
        <v>0</v>
      </c>
      <c r="N334">
        <v>0</v>
      </c>
    </row>
    <row r="335" spans="1:14">
      <c r="A335" t="s">
        <v>6686</v>
      </c>
      <c r="B335" t="s">
        <v>2262</v>
      </c>
      <c r="C335">
        <v>667</v>
      </c>
      <c r="D335" t="s">
        <v>2252</v>
      </c>
      <c r="E335" t="s">
        <v>6687</v>
      </c>
      <c r="F335" s="455">
        <v>44462</v>
      </c>
      <c r="G335" s="455">
        <v>45901</v>
      </c>
      <c r="H335" s="455">
        <v>46265</v>
      </c>
      <c r="J335">
        <v>933</v>
      </c>
      <c r="K335" s="456">
        <v>1179.28</v>
      </c>
      <c r="L335" s="456">
        <v>1042.5</v>
      </c>
      <c r="M335">
        <v>0</v>
      </c>
      <c r="N335">
        <v>0</v>
      </c>
    </row>
    <row r="336" spans="1:14">
      <c r="A336" t="s">
        <v>6688</v>
      </c>
      <c r="B336" t="s">
        <v>2262</v>
      </c>
      <c r="C336">
        <v>667</v>
      </c>
      <c r="D336" t="s">
        <v>6389</v>
      </c>
      <c r="E336" t="s">
        <v>6384</v>
      </c>
      <c r="J336">
        <v>948</v>
      </c>
      <c r="K336">
        <v>0</v>
      </c>
      <c r="L336">
        <v>0</v>
      </c>
      <c r="N336">
        <v>0</v>
      </c>
    </row>
    <row r="337" spans="1:14">
      <c r="A337" t="s">
        <v>6689</v>
      </c>
      <c r="B337" t="s">
        <v>2262</v>
      </c>
      <c r="C337">
        <v>667</v>
      </c>
      <c r="D337" t="s">
        <v>2252</v>
      </c>
      <c r="E337" t="s">
        <v>6690</v>
      </c>
      <c r="F337" s="455">
        <v>45838</v>
      </c>
      <c r="G337" s="455">
        <v>46203</v>
      </c>
      <c r="H337" s="455">
        <v>46567</v>
      </c>
      <c r="J337">
        <v>923</v>
      </c>
      <c r="K337" s="456">
        <v>1140.6300000000001</v>
      </c>
      <c r="L337" s="456">
        <v>1034</v>
      </c>
      <c r="M337">
        <v>0</v>
      </c>
      <c r="N337">
        <v>0</v>
      </c>
    </row>
    <row r="338" spans="1:14">
      <c r="A338" t="s">
        <v>6691</v>
      </c>
      <c r="B338" t="s">
        <v>2262</v>
      </c>
      <c r="C338">
        <v>667</v>
      </c>
      <c r="D338" t="s">
        <v>2252</v>
      </c>
      <c r="E338" t="s">
        <v>6692</v>
      </c>
      <c r="F338" s="455">
        <v>43398</v>
      </c>
      <c r="G338" s="455">
        <v>45962</v>
      </c>
      <c r="H338" s="455">
        <v>46326</v>
      </c>
      <c r="J338">
        <v>933</v>
      </c>
      <c r="K338" s="456">
        <v>1092.6300000000001</v>
      </c>
      <c r="L338">
        <v>985.5</v>
      </c>
      <c r="M338">
        <v>0</v>
      </c>
      <c r="N338">
        <v>150</v>
      </c>
    </row>
    <row r="339" spans="1:14">
      <c r="A339" t="s">
        <v>6693</v>
      </c>
      <c r="B339" t="s">
        <v>2262</v>
      </c>
      <c r="C339">
        <v>667</v>
      </c>
      <c r="D339" t="s">
        <v>6389</v>
      </c>
      <c r="E339" t="s">
        <v>6384</v>
      </c>
      <c r="J339">
        <v>948</v>
      </c>
      <c r="K339">
        <v>0</v>
      </c>
      <c r="L339">
        <v>0</v>
      </c>
      <c r="N339">
        <v>0</v>
      </c>
    </row>
    <row r="340" spans="1:14">
      <c r="A340" t="s">
        <v>1535</v>
      </c>
      <c r="B340" t="s">
        <v>2262</v>
      </c>
      <c r="C340">
        <v>667</v>
      </c>
      <c r="D340" t="s">
        <v>6389</v>
      </c>
      <c r="E340" t="s">
        <v>6384</v>
      </c>
      <c r="J340">
        <v>923</v>
      </c>
      <c r="K340">
        <v>0</v>
      </c>
      <c r="L340">
        <v>0</v>
      </c>
      <c r="N340">
        <v>0</v>
      </c>
    </row>
    <row r="341" spans="1:14">
      <c r="A341" t="s">
        <v>6694</v>
      </c>
      <c r="B341" t="s">
        <v>2262</v>
      </c>
      <c r="C341">
        <v>667</v>
      </c>
      <c r="D341" t="s">
        <v>2252</v>
      </c>
      <c r="E341" t="s">
        <v>6695</v>
      </c>
      <c r="F341" s="455">
        <v>45809</v>
      </c>
      <c r="G341" s="455">
        <v>46172</v>
      </c>
      <c r="H341" s="455">
        <v>46536</v>
      </c>
      <c r="J341">
        <v>888</v>
      </c>
      <c r="K341" s="456">
        <v>1081.58</v>
      </c>
      <c r="L341">
        <v>966</v>
      </c>
      <c r="M341">
        <v>-87.02</v>
      </c>
      <c r="N341">
        <v>750</v>
      </c>
    </row>
    <row r="342" spans="1:14">
      <c r="A342" t="s">
        <v>2615</v>
      </c>
      <c r="B342" t="s">
        <v>2262</v>
      </c>
      <c r="C342">
        <v>667</v>
      </c>
      <c r="D342" t="s">
        <v>2252</v>
      </c>
      <c r="E342" t="s">
        <v>2616</v>
      </c>
      <c r="F342" s="455">
        <v>46158</v>
      </c>
      <c r="G342" s="455">
        <v>46158</v>
      </c>
      <c r="H342" s="455">
        <v>46522</v>
      </c>
      <c r="J342">
        <v>903</v>
      </c>
      <c r="K342" s="456">
        <v>1000.95</v>
      </c>
      <c r="L342">
        <v>977</v>
      </c>
      <c r="M342">
        <v>3.95</v>
      </c>
      <c r="N342">
        <v>0</v>
      </c>
    </row>
    <row r="343" spans="1:14">
      <c r="A343" t="s">
        <v>6696</v>
      </c>
      <c r="B343" t="s">
        <v>2262</v>
      </c>
      <c r="C343">
        <v>667</v>
      </c>
      <c r="D343" t="s">
        <v>2252</v>
      </c>
      <c r="E343" t="s">
        <v>6697</v>
      </c>
      <c r="F343" s="455">
        <v>45294</v>
      </c>
      <c r="G343" s="455">
        <v>46085</v>
      </c>
      <c r="J343">
        <v>923</v>
      </c>
      <c r="K343" s="456">
        <v>1730.28</v>
      </c>
      <c r="L343" s="456">
        <v>1594</v>
      </c>
      <c r="M343">
        <v>0</v>
      </c>
      <c r="N343">
        <v>0</v>
      </c>
    </row>
    <row r="344" spans="1:14">
      <c r="A344" t="s">
        <v>2617</v>
      </c>
      <c r="B344" t="s">
        <v>2262</v>
      </c>
      <c r="C344">
        <v>667</v>
      </c>
      <c r="D344" t="s">
        <v>6389</v>
      </c>
      <c r="E344" t="s">
        <v>6384</v>
      </c>
      <c r="J344">
        <v>933</v>
      </c>
      <c r="K344">
        <v>0</v>
      </c>
      <c r="L344">
        <v>0</v>
      </c>
      <c r="N344">
        <v>0</v>
      </c>
    </row>
    <row r="345" spans="1:14">
      <c r="A345" t="s">
        <v>1576</v>
      </c>
      <c r="B345" t="s">
        <v>2262</v>
      </c>
      <c r="C345">
        <v>667</v>
      </c>
      <c r="D345" t="s">
        <v>6389</v>
      </c>
      <c r="E345" t="s">
        <v>6384</v>
      </c>
      <c r="J345">
        <v>948</v>
      </c>
      <c r="K345">
        <v>0</v>
      </c>
      <c r="L345">
        <v>0</v>
      </c>
      <c r="N345">
        <v>0</v>
      </c>
    </row>
    <row r="346" spans="1:14">
      <c r="A346" t="s">
        <v>1530</v>
      </c>
      <c r="B346" t="s">
        <v>2262</v>
      </c>
      <c r="C346">
        <v>667</v>
      </c>
      <c r="D346" t="s">
        <v>2252</v>
      </c>
      <c r="E346" t="s">
        <v>6698</v>
      </c>
      <c r="F346" s="455">
        <v>46136</v>
      </c>
      <c r="G346" s="455">
        <v>46136</v>
      </c>
      <c r="H346" s="455">
        <v>46500</v>
      </c>
      <c r="J346">
        <v>973</v>
      </c>
      <c r="K346" s="456">
        <v>1150.51</v>
      </c>
      <c r="L346" s="456">
        <v>1102</v>
      </c>
      <c r="M346">
        <v>0</v>
      </c>
      <c r="N346">
        <v>0</v>
      </c>
    </row>
    <row r="347" spans="1:14">
      <c r="A347" t="s">
        <v>1526</v>
      </c>
      <c r="B347" t="s">
        <v>2262</v>
      </c>
      <c r="C347">
        <v>667</v>
      </c>
      <c r="D347" t="s">
        <v>6389</v>
      </c>
      <c r="E347" t="s">
        <v>6384</v>
      </c>
      <c r="J347">
        <v>933</v>
      </c>
      <c r="K347">
        <v>0</v>
      </c>
      <c r="L347">
        <v>0</v>
      </c>
      <c r="N347">
        <v>0</v>
      </c>
    </row>
    <row r="348" spans="1:14">
      <c r="A348" t="s">
        <v>2619</v>
      </c>
      <c r="B348" t="s">
        <v>2262</v>
      </c>
      <c r="C348">
        <v>667</v>
      </c>
      <c r="D348" t="s">
        <v>6389</v>
      </c>
      <c r="E348" t="s">
        <v>6384</v>
      </c>
      <c r="J348">
        <v>948</v>
      </c>
      <c r="K348">
        <v>0</v>
      </c>
      <c r="L348">
        <v>0</v>
      </c>
      <c r="N348">
        <v>0</v>
      </c>
    </row>
    <row r="349" spans="1:14">
      <c r="A349" t="s">
        <v>2621</v>
      </c>
      <c r="B349" t="s">
        <v>2262</v>
      </c>
      <c r="C349">
        <v>667</v>
      </c>
      <c r="D349" t="s">
        <v>6383</v>
      </c>
      <c r="E349" t="s">
        <v>6384</v>
      </c>
      <c r="J349">
        <v>923</v>
      </c>
      <c r="K349">
        <v>0</v>
      </c>
      <c r="L349">
        <v>0</v>
      </c>
    </row>
    <row r="350" spans="1:14">
      <c r="A350" t="s">
        <v>6699</v>
      </c>
      <c r="B350" t="s">
        <v>2262</v>
      </c>
      <c r="C350">
        <v>667</v>
      </c>
      <c r="D350" t="s">
        <v>6389</v>
      </c>
      <c r="E350" t="s">
        <v>6384</v>
      </c>
      <c r="J350">
        <v>933</v>
      </c>
      <c r="K350">
        <v>0</v>
      </c>
      <c r="L350">
        <v>0</v>
      </c>
      <c r="N350">
        <v>0</v>
      </c>
    </row>
    <row r="351" spans="1:14">
      <c r="A351" t="s">
        <v>1548</v>
      </c>
      <c r="B351" t="s">
        <v>2262</v>
      </c>
      <c r="C351">
        <v>667</v>
      </c>
      <c r="D351" t="s">
        <v>2252</v>
      </c>
      <c r="E351" t="s">
        <v>6700</v>
      </c>
      <c r="F351" s="455">
        <v>46171</v>
      </c>
      <c r="G351" s="455">
        <v>46171</v>
      </c>
      <c r="H351" s="455">
        <v>46535</v>
      </c>
      <c r="J351">
        <v>998</v>
      </c>
      <c r="K351" s="456">
        <v>1142</v>
      </c>
      <c r="L351" s="456">
        <v>1127</v>
      </c>
      <c r="M351">
        <v>0</v>
      </c>
      <c r="N351">
        <v>0</v>
      </c>
    </row>
    <row r="352" spans="1:14">
      <c r="A352" t="s">
        <v>6701</v>
      </c>
      <c r="B352" t="s">
        <v>2262</v>
      </c>
      <c r="C352">
        <v>667</v>
      </c>
      <c r="D352" t="s">
        <v>2252</v>
      </c>
      <c r="E352" t="s">
        <v>6702</v>
      </c>
      <c r="F352" s="455">
        <v>43659</v>
      </c>
      <c r="G352" s="455">
        <v>46082</v>
      </c>
      <c r="H352" s="455">
        <v>46445</v>
      </c>
      <c r="J352">
        <v>923</v>
      </c>
      <c r="K352" s="456">
        <v>1082.58</v>
      </c>
      <c r="L352">
        <v>967</v>
      </c>
      <c r="M352">
        <v>0</v>
      </c>
      <c r="N352">
        <v>150</v>
      </c>
    </row>
    <row r="353" spans="1:14">
      <c r="A353" t="s">
        <v>2623</v>
      </c>
      <c r="B353" t="s">
        <v>2262</v>
      </c>
      <c r="C353">
        <v>667</v>
      </c>
      <c r="D353" t="s">
        <v>2252</v>
      </c>
      <c r="E353" t="s">
        <v>3018</v>
      </c>
      <c r="F353" s="455">
        <v>46235</v>
      </c>
      <c r="G353" s="455">
        <v>46235</v>
      </c>
      <c r="H353" s="455">
        <v>46599</v>
      </c>
      <c r="J353">
        <v>983</v>
      </c>
      <c r="K353">
        <v>521</v>
      </c>
      <c r="L353" s="456">
        <v>1104</v>
      </c>
      <c r="M353">
        <v>-500</v>
      </c>
      <c r="N353">
        <v>500</v>
      </c>
    </row>
    <row r="354" spans="1:14">
      <c r="A354" t="s">
        <v>3019</v>
      </c>
      <c r="B354" t="s">
        <v>2263</v>
      </c>
      <c r="C354">
        <v>670</v>
      </c>
      <c r="D354" t="s">
        <v>2252</v>
      </c>
      <c r="E354" t="s">
        <v>3021</v>
      </c>
      <c r="F354" s="455">
        <v>46224</v>
      </c>
      <c r="G354" s="455">
        <v>46224</v>
      </c>
      <c r="H354" s="455">
        <v>46588</v>
      </c>
      <c r="J354">
        <v>907</v>
      </c>
      <c r="K354">
        <v>74</v>
      </c>
      <c r="L354">
        <v>981</v>
      </c>
      <c r="M354">
        <v>0</v>
      </c>
      <c r="N354">
        <v>0</v>
      </c>
    </row>
    <row r="355" spans="1:14">
      <c r="A355" t="s">
        <v>5781</v>
      </c>
      <c r="B355" t="s">
        <v>2263</v>
      </c>
      <c r="C355">
        <v>670</v>
      </c>
      <c r="D355" t="s">
        <v>2252</v>
      </c>
      <c r="E355" t="s">
        <v>6703</v>
      </c>
      <c r="F355" s="455">
        <v>45863</v>
      </c>
      <c r="G355" s="455">
        <v>46228</v>
      </c>
      <c r="H355" s="455">
        <v>46592</v>
      </c>
      <c r="J355">
        <v>907</v>
      </c>
      <c r="K355">
        <v>999.78</v>
      </c>
      <c r="L355">
        <v>950</v>
      </c>
      <c r="M355">
        <v>0</v>
      </c>
      <c r="N355">
        <v>0</v>
      </c>
    </row>
    <row r="356" spans="1:14">
      <c r="A356" t="s">
        <v>2500</v>
      </c>
      <c r="B356" t="s">
        <v>2263</v>
      </c>
      <c r="C356">
        <v>670</v>
      </c>
      <c r="D356" t="s">
        <v>6389</v>
      </c>
      <c r="E356" t="s">
        <v>6384</v>
      </c>
      <c r="J356" s="456">
        <v>1002</v>
      </c>
      <c r="K356">
        <v>0</v>
      </c>
      <c r="L356">
        <v>0</v>
      </c>
      <c r="N356">
        <v>0</v>
      </c>
    </row>
    <row r="357" spans="1:14">
      <c r="A357" t="s">
        <v>1529</v>
      </c>
      <c r="B357" t="s">
        <v>2263</v>
      </c>
      <c r="C357">
        <v>670</v>
      </c>
      <c r="D357" t="s">
        <v>2252</v>
      </c>
      <c r="E357" t="s">
        <v>3022</v>
      </c>
      <c r="F357" s="455">
        <v>46205</v>
      </c>
      <c r="G357" s="455">
        <v>46205</v>
      </c>
      <c r="H357" s="455">
        <v>46569</v>
      </c>
      <c r="J357" s="456">
        <v>1002</v>
      </c>
      <c r="K357">
        <v>129</v>
      </c>
      <c r="L357" s="456">
        <v>1131</v>
      </c>
      <c r="M357">
        <v>0</v>
      </c>
      <c r="N357">
        <v>0</v>
      </c>
    </row>
    <row r="358" spans="1:14">
      <c r="A358" t="s">
        <v>2502</v>
      </c>
      <c r="B358" t="s">
        <v>2263</v>
      </c>
      <c r="C358">
        <v>670</v>
      </c>
      <c r="D358" t="s">
        <v>6389</v>
      </c>
      <c r="E358" t="s">
        <v>6384</v>
      </c>
      <c r="J358" s="456">
        <v>1002</v>
      </c>
      <c r="K358">
        <v>0</v>
      </c>
      <c r="L358">
        <v>0</v>
      </c>
      <c r="N358">
        <v>0</v>
      </c>
    </row>
    <row r="359" spans="1:14">
      <c r="A359" t="s">
        <v>6704</v>
      </c>
      <c r="B359" t="s">
        <v>2263</v>
      </c>
      <c r="C359">
        <v>670</v>
      </c>
      <c r="D359" t="s">
        <v>2252</v>
      </c>
      <c r="E359" t="s">
        <v>6705</v>
      </c>
      <c r="F359" s="455">
        <v>44281</v>
      </c>
      <c r="G359" s="455">
        <v>46143</v>
      </c>
      <c r="H359" s="455">
        <v>46507</v>
      </c>
      <c r="J359" s="456">
        <v>1002</v>
      </c>
      <c r="K359" s="456">
        <v>1302.73</v>
      </c>
      <c r="L359" s="456">
        <v>1244</v>
      </c>
      <c r="M359">
        <v>0</v>
      </c>
      <c r="N359">
        <v>0</v>
      </c>
    </row>
    <row r="360" spans="1:14">
      <c r="A360" t="s">
        <v>1933</v>
      </c>
      <c r="B360" t="s">
        <v>2263</v>
      </c>
      <c r="C360">
        <v>670</v>
      </c>
      <c r="D360" t="s">
        <v>2252</v>
      </c>
      <c r="E360" t="s">
        <v>3632</v>
      </c>
      <c r="F360" s="455">
        <v>46130</v>
      </c>
      <c r="G360" s="455">
        <v>46130</v>
      </c>
      <c r="H360" s="455">
        <v>46494</v>
      </c>
      <c r="J360" s="456">
        <v>1002</v>
      </c>
      <c r="K360" s="456">
        <v>1089.54</v>
      </c>
      <c r="L360" s="456">
        <v>1056</v>
      </c>
      <c r="M360">
        <v>0</v>
      </c>
      <c r="N360">
        <v>0</v>
      </c>
    </row>
    <row r="361" spans="1:14">
      <c r="A361" t="s">
        <v>2503</v>
      </c>
      <c r="B361" t="s">
        <v>2263</v>
      </c>
      <c r="C361">
        <v>670</v>
      </c>
      <c r="D361" t="s">
        <v>2252</v>
      </c>
      <c r="E361" t="s">
        <v>2504</v>
      </c>
      <c r="F361" s="455">
        <v>44713</v>
      </c>
      <c r="G361" s="455">
        <v>46174</v>
      </c>
      <c r="H361" s="455">
        <v>46538</v>
      </c>
      <c r="J361" s="456">
        <v>1002</v>
      </c>
      <c r="K361" s="456">
        <v>1297.27</v>
      </c>
      <c r="L361" s="456">
        <v>1096</v>
      </c>
      <c r="M361">
        <v>373.17</v>
      </c>
      <c r="N361">
        <v>0</v>
      </c>
    </row>
    <row r="362" spans="1:14">
      <c r="A362" t="s">
        <v>2146</v>
      </c>
      <c r="B362" t="s">
        <v>2263</v>
      </c>
      <c r="C362">
        <v>670</v>
      </c>
      <c r="D362" t="s">
        <v>2252</v>
      </c>
      <c r="E362" t="s">
        <v>6706</v>
      </c>
      <c r="F362" s="455">
        <v>46070</v>
      </c>
      <c r="G362" s="455">
        <v>46070</v>
      </c>
      <c r="H362" s="455">
        <v>46436</v>
      </c>
      <c r="J362">
        <v>977</v>
      </c>
      <c r="K362" s="456">
        <v>1131.73</v>
      </c>
      <c r="L362" s="456">
        <v>1073</v>
      </c>
      <c r="M362">
        <v>0</v>
      </c>
      <c r="N362">
        <v>500</v>
      </c>
    </row>
    <row r="363" spans="1:14">
      <c r="A363" t="s">
        <v>6707</v>
      </c>
      <c r="B363" t="s">
        <v>2263</v>
      </c>
      <c r="C363">
        <v>670</v>
      </c>
      <c r="D363" t="s">
        <v>2252</v>
      </c>
      <c r="E363" t="s">
        <v>6708</v>
      </c>
      <c r="F363" s="455">
        <v>45531</v>
      </c>
      <c r="G363" s="455">
        <v>45957</v>
      </c>
      <c r="H363" s="455">
        <v>46321</v>
      </c>
      <c r="J363">
        <v>977</v>
      </c>
      <c r="K363" s="456">
        <v>1221.78</v>
      </c>
      <c r="L363" s="456">
        <v>1171.5</v>
      </c>
      <c r="M363">
        <v>0</v>
      </c>
      <c r="N363">
        <v>0</v>
      </c>
    </row>
    <row r="364" spans="1:14">
      <c r="A364" t="s">
        <v>3023</v>
      </c>
      <c r="B364" t="s">
        <v>2263</v>
      </c>
      <c r="C364">
        <v>670</v>
      </c>
      <c r="D364" t="s">
        <v>2252</v>
      </c>
      <c r="E364" t="s">
        <v>3024</v>
      </c>
      <c r="F364" s="455">
        <v>45891</v>
      </c>
      <c r="G364" s="455">
        <v>45891</v>
      </c>
      <c r="H364" s="455">
        <v>46255</v>
      </c>
      <c r="J364">
        <v>977</v>
      </c>
      <c r="K364">
        <v>935.78</v>
      </c>
      <c r="L364" s="456">
        <v>1119.5</v>
      </c>
      <c r="M364">
        <v>0</v>
      </c>
      <c r="N364">
        <v>0</v>
      </c>
    </row>
    <row r="365" spans="1:14">
      <c r="A365" t="s">
        <v>6709</v>
      </c>
      <c r="B365" t="s">
        <v>2263</v>
      </c>
      <c r="C365">
        <v>670</v>
      </c>
      <c r="D365" t="s">
        <v>2252</v>
      </c>
      <c r="E365" t="s">
        <v>6710</v>
      </c>
      <c r="F365" s="455">
        <v>45869</v>
      </c>
      <c r="G365" s="455">
        <v>46234</v>
      </c>
      <c r="J365">
        <v>977</v>
      </c>
      <c r="K365" s="456">
        <v>1169.78</v>
      </c>
      <c r="L365" s="456">
        <v>1119.5</v>
      </c>
      <c r="M365">
        <v>0</v>
      </c>
      <c r="N365">
        <v>0</v>
      </c>
    </row>
    <row r="366" spans="1:14">
      <c r="A366" t="s">
        <v>2505</v>
      </c>
      <c r="B366" t="s">
        <v>2263</v>
      </c>
      <c r="C366">
        <v>670</v>
      </c>
      <c r="D366" t="s">
        <v>2252</v>
      </c>
      <c r="E366" t="s">
        <v>2506</v>
      </c>
      <c r="F366" s="455">
        <v>45352</v>
      </c>
      <c r="G366" s="455">
        <v>46082</v>
      </c>
      <c r="H366" s="455">
        <v>46445</v>
      </c>
      <c r="J366">
        <v>912</v>
      </c>
      <c r="K366" s="456">
        <v>1163.22</v>
      </c>
      <c r="L366" s="456">
        <v>1079</v>
      </c>
      <c r="M366">
        <v>14.95</v>
      </c>
      <c r="N366">
        <v>0</v>
      </c>
    </row>
    <row r="367" spans="1:14">
      <c r="A367" t="s">
        <v>2507</v>
      </c>
      <c r="B367" t="s">
        <v>2263</v>
      </c>
      <c r="C367">
        <v>670</v>
      </c>
      <c r="D367" t="s">
        <v>6383</v>
      </c>
      <c r="E367" t="s">
        <v>6384</v>
      </c>
      <c r="J367">
        <v>977</v>
      </c>
      <c r="K367">
        <v>0</v>
      </c>
      <c r="L367">
        <v>0</v>
      </c>
      <c r="N367">
        <v>0</v>
      </c>
    </row>
    <row r="368" spans="1:14">
      <c r="A368" t="s">
        <v>6711</v>
      </c>
      <c r="B368" t="s">
        <v>2263</v>
      </c>
      <c r="C368">
        <v>670</v>
      </c>
      <c r="D368" t="s">
        <v>2252</v>
      </c>
      <c r="E368" t="s">
        <v>6712</v>
      </c>
      <c r="F368" s="455">
        <v>45447</v>
      </c>
      <c r="G368" s="455">
        <v>46174</v>
      </c>
      <c r="H368" s="455">
        <v>46538</v>
      </c>
      <c r="J368">
        <v>977</v>
      </c>
      <c r="K368" s="456">
        <v>1283.27</v>
      </c>
      <c r="L368" s="456">
        <v>1214</v>
      </c>
      <c r="M368">
        <v>0</v>
      </c>
      <c r="N368">
        <v>0</v>
      </c>
    </row>
    <row r="369" spans="1:14">
      <c r="A369" t="s">
        <v>6713</v>
      </c>
      <c r="B369" t="s">
        <v>2263</v>
      </c>
      <c r="C369">
        <v>670</v>
      </c>
      <c r="D369" t="s">
        <v>2252</v>
      </c>
      <c r="E369" t="s">
        <v>6714</v>
      </c>
      <c r="F369" s="455">
        <v>43830</v>
      </c>
      <c r="G369" s="455">
        <v>46204</v>
      </c>
      <c r="H369" s="455">
        <v>46568</v>
      </c>
      <c r="J369">
        <v>977</v>
      </c>
      <c r="K369" s="456">
        <v>1185.27</v>
      </c>
      <c r="L369" s="456">
        <v>1116</v>
      </c>
      <c r="M369">
        <v>0</v>
      </c>
      <c r="N369">
        <v>150</v>
      </c>
    </row>
    <row r="370" spans="1:14">
      <c r="A370" t="s">
        <v>2509</v>
      </c>
      <c r="B370" t="s">
        <v>2263</v>
      </c>
      <c r="C370">
        <v>670</v>
      </c>
      <c r="D370" t="s">
        <v>6389</v>
      </c>
      <c r="E370" t="s">
        <v>6384</v>
      </c>
      <c r="J370" s="456">
        <v>1002</v>
      </c>
      <c r="K370">
        <v>0</v>
      </c>
      <c r="L370">
        <v>0</v>
      </c>
      <c r="N370">
        <v>0</v>
      </c>
    </row>
    <row r="371" spans="1:14">
      <c r="A371" t="s">
        <v>2510</v>
      </c>
      <c r="B371" t="s">
        <v>2263</v>
      </c>
      <c r="C371">
        <v>670</v>
      </c>
      <c r="D371" t="s">
        <v>2251</v>
      </c>
      <c r="E371" t="s">
        <v>2511</v>
      </c>
      <c r="F371" s="455">
        <v>45495</v>
      </c>
      <c r="G371" s="455">
        <v>45922</v>
      </c>
      <c r="H371" s="455">
        <v>46286</v>
      </c>
      <c r="I371" s="455">
        <v>46286</v>
      </c>
      <c r="J371" s="456">
        <v>1002</v>
      </c>
      <c r="K371" s="456">
        <v>1395.27</v>
      </c>
      <c r="L371" s="456">
        <v>1177.49</v>
      </c>
      <c r="M371" s="456">
        <v>1395.27</v>
      </c>
      <c r="N371">
        <v>0</v>
      </c>
    </row>
    <row r="372" spans="1:14">
      <c r="A372" t="s">
        <v>6715</v>
      </c>
      <c r="B372" t="s">
        <v>2263</v>
      </c>
      <c r="C372">
        <v>670</v>
      </c>
      <c r="D372" t="s">
        <v>2252</v>
      </c>
      <c r="E372" t="s">
        <v>6716</v>
      </c>
      <c r="F372" s="455">
        <v>42486</v>
      </c>
      <c r="G372" s="455">
        <v>46113</v>
      </c>
      <c r="H372" s="455">
        <v>46477</v>
      </c>
      <c r="J372">
        <v>907</v>
      </c>
      <c r="K372" s="456">
        <v>1072.22</v>
      </c>
      <c r="L372">
        <v>988</v>
      </c>
      <c r="M372">
        <v>0</v>
      </c>
      <c r="N372">
        <v>300</v>
      </c>
    </row>
    <row r="373" spans="1:14">
      <c r="A373" t="s">
        <v>6717</v>
      </c>
      <c r="B373" t="s">
        <v>2263</v>
      </c>
      <c r="C373">
        <v>670</v>
      </c>
      <c r="D373" t="s">
        <v>2252</v>
      </c>
      <c r="E373" t="s">
        <v>6718</v>
      </c>
      <c r="F373" s="455">
        <v>44469</v>
      </c>
      <c r="G373" s="455">
        <v>46113</v>
      </c>
      <c r="H373" s="455">
        <v>46477</v>
      </c>
      <c r="J373">
        <v>907</v>
      </c>
      <c r="K373" s="456">
        <v>1182.73</v>
      </c>
      <c r="L373" s="456">
        <v>1124</v>
      </c>
      <c r="M373">
        <v>0</v>
      </c>
      <c r="N373">
        <v>0</v>
      </c>
    </row>
    <row r="374" spans="1:14">
      <c r="A374" t="s">
        <v>3025</v>
      </c>
      <c r="B374" t="s">
        <v>2263</v>
      </c>
      <c r="C374">
        <v>670</v>
      </c>
      <c r="D374" t="s">
        <v>2252</v>
      </c>
      <c r="E374" t="s">
        <v>3026</v>
      </c>
      <c r="F374" s="455">
        <v>45513</v>
      </c>
      <c r="G374" s="455">
        <v>46243</v>
      </c>
      <c r="H374" s="455">
        <v>46606</v>
      </c>
      <c r="J374">
        <v>937</v>
      </c>
      <c r="K374">
        <v>880.78</v>
      </c>
      <c r="L374" s="456">
        <v>1084</v>
      </c>
      <c r="M374">
        <v>0</v>
      </c>
      <c r="N374">
        <v>0</v>
      </c>
    </row>
    <row r="375" spans="1:14">
      <c r="A375" t="s">
        <v>6719</v>
      </c>
      <c r="B375" t="s">
        <v>2263</v>
      </c>
      <c r="C375">
        <v>670</v>
      </c>
      <c r="D375" t="s">
        <v>2252</v>
      </c>
      <c r="E375" t="s">
        <v>6720</v>
      </c>
      <c r="F375" s="455">
        <v>45596</v>
      </c>
      <c r="G375" s="455">
        <v>46022</v>
      </c>
      <c r="H375" s="455">
        <v>46386</v>
      </c>
      <c r="J375" s="456">
        <v>1002</v>
      </c>
      <c r="K375" s="456">
        <v>1223.78</v>
      </c>
      <c r="L375" s="456">
        <v>1174</v>
      </c>
      <c r="M375">
        <v>0</v>
      </c>
      <c r="N375">
        <v>0</v>
      </c>
    </row>
    <row r="376" spans="1:14">
      <c r="A376" t="s">
        <v>2513</v>
      </c>
      <c r="B376" t="s">
        <v>2263</v>
      </c>
      <c r="C376">
        <v>670</v>
      </c>
      <c r="D376" t="s">
        <v>2252</v>
      </c>
      <c r="E376" t="s">
        <v>2514</v>
      </c>
      <c r="F376" s="455">
        <v>45807</v>
      </c>
      <c r="G376" s="455">
        <v>46172</v>
      </c>
      <c r="H376" s="455">
        <v>46536</v>
      </c>
      <c r="J376" s="456">
        <v>1002</v>
      </c>
      <c r="K376" s="456">
        <v>1339.73</v>
      </c>
      <c r="L376" s="456">
        <v>1141</v>
      </c>
      <c r="M376" s="456">
        <v>1339.73</v>
      </c>
      <c r="N376">
        <v>750</v>
      </c>
    </row>
    <row r="377" spans="1:14">
      <c r="A377" t="s">
        <v>6721</v>
      </c>
      <c r="B377" t="s">
        <v>2263</v>
      </c>
      <c r="C377">
        <v>670</v>
      </c>
      <c r="D377" t="s">
        <v>2252</v>
      </c>
      <c r="E377" t="s">
        <v>6722</v>
      </c>
      <c r="F377" s="455">
        <v>45047</v>
      </c>
      <c r="G377" s="455">
        <v>45962</v>
      </c>
      <c r="H377" s="455">
        <v>46326</v>
      </c>
      <c r="J377" s="456">
        <v>1002</v>
      </c>
      <c r="K377" s="456">
        <v>1251.78</v>
      </c>
      <c r="L377" s="456">
        <v>1201.99</v>
      </c>
      <c r="M377">
        <v>0</v>
      </c>
      <c r="N377">
        <v>0</v>
      </c>
    </row>
    <row r="378" spans="1:14">
      <c r="A378" t="s">
        <v>6723</v>
      </c>
      <c r="B378" t="s">
        <v>2263</v>
      </c>
      <c r="C378">
        <v>670</v>
      </c>
      <c r="D378" t="s">
        <v>2252</v>
      </c>
      <c r="E378" t="s">
        <v>6724</v>
      </c>
      <c r="F378" s="455">
        <v>45660</v>
      </c>
      <c r="G378" s="455">
        <v>46202</v>
      </c>
      <c r="H378" s="455">
        <v>46566</v>
      </c>
      <c r="J378">
        <v>977</v>
      </c>
      <c r="K378" s="456">
        <v>1218.27</v>
      </c>
      <c r="L378" s="456">
        <v>1149</v>
      </c>
      <c r="M378">
        <v>0</v>
      </c>
      <c r="N378">
        <v>0</v>
      </c>
    </row>
    <row r="379" spans="1:14">
      <c r="A379" t="s">
        <v>6725</v>
      </c>
      <c r="B379" t="s">
        <v>2263</v>
      </c>
      <c r="C379">
        <v>670</v>
      </c>
      <c r="D379" t="s">
        <v>2252</v>
      </c>
      <c r="E379" t="s">
        <v>6726</v>
      </c>
      <c r="F379" s="455">
        <v>45570</v>
      </c>
      <c r="G379" s="455">
        <v>45996</v>
      </c>
      <c r="H379" s="455">
        <v>46360</v>
      </c>
      <c r="J379">
        <v>977</v>
      </c>
      <c r="K379" s="456">
        <v>1171.78</v>
      </c>
      <c r="L379" s="456">
        <v>1121.5</v>
      </c>
      <c r="M379">
        <v>0</v>
      </c>
      <c r="N379">
        <v>0</v>
      </c>
    </row>
    <row r="380" spans="1:14">
      <c r="A380" t="s">
        <v>2515</v>
      </c>
      <c r="B380" t="s">
        <v>2263</v>
      </c>
      <c r="C380">
        <v>670</v>
      </c>
      <c r="D380" t="s">
        <v>6383</v>
      </c>
      <c r="E380" t="s">
        <v>6384</v>
      </c>
      <c r="J380">
        <v>977</v>
      </c>
      <c r="K380">
        <v>0</v>
      </c>
      <c r="L380">
        <v>0</v>
      </c>
      <c r="N380">
        <v>0</v>
      </c>
    </row>
    <row r="381" spans="1:14">
      <c r="A381" t="s">
        <v>6727</v>
      </c>
      <c r="B381" t="s">
        <v>2263</v>
      </c>
      <c r="C381">
        <v>670</v>
      </c>
      <c r="D381" t="s">
        <v>2252</v>
      </c>
      <c r="E381" t="s">
        <v>6728</v>
      </c>
      <c r="F381" s="455">
        <v>45777</v>
      </c>
      <c r="G381" s="455">
        <v>46142</v>
      </c>
      <c r="H381" s="455">
        <v>46506</v>
      </c>
      <c r="J381">
        <v>977</v>
      </c>
      <c r="K381" s="456">
        <v>1165.78</v>
      </c>
      <c r="L381" s="456">
        <v>1116</v>
      </c>
      <c r="M381">
        <v>0</v>
      </c>
      <c r="N381">
        <v>750</v>
      </c>
    </row>
    <row r="382" spans="1:14">
      <c r="A382" t="s">
        <v>6317</v>
      </c>
      <c r="B382" t="s">
        <v>2263</v>
      </c>
      <c r="C382">
        <v>670</v>
      </c>
      <c r="D382" t="s">
        <v>6389</v>
      </c>
      <c r="E382" t="s">
        <v>6384</v>
      </c>
      <c r="J382">
        <v>882</v>
      </c>
      <c r="K382">
        <v>0</v>
      </c>
      <c r="L382">
        <v>0</v>
      </c>
      <c r="N382">
        <v>0</v>
      </c>
    </row>
    <row r="383" spans="1:14">
      <c r="A383" t="s">
        <v>6729</v>
      </c>
      <c r="B383" t="s">
        <v>2263</v>
      </c>
      <c r="C383">
        <v>670</v>
      </c>
      <c r="D383" t="s">
        <v>2252</v>
      </c>
      <c r="E383" t="s">
        <v>6730</v>
      </c>
      <c r="F383" s="455">
        <v>41130</v>
      </c>
      <c r="G383" s="455">
        <v>46204</v>
      </c>
      <c r="H383" s="455">
        <v>46568</v>
      </c>
      <c r="J383">
        <v>882</v>
      </c>
      <c r="K383">
        <v>899.78</v>
      </c>
      <c r="L383">
        <v>850</v>
      </c>
      <c r="M383">
        <v>0</v>
      </c>
      <c r="N383">
        <v>100</v>
      </c>
    </row>
    <row r="384" spans="1:14">
      <c r="A384" t="s">
        <v>2122</v>
      </c>
      <c r="B384" t="s">
        <v>2263</v>
      </c>
      <c r="C384">
        <v>670</v>
      </c>
      <c r="D384" t="s">
        <v>2252</v>
      </c>
      <c r="E384" t="s">
        <v>6731</v>
      </c>
      <c r="F384" s="455">
        <v>46158</v>
      </c>
      <c r="G384" s="455">
        <v>46158</v>
      </c>
      <c r="H384" s="455">
        <v>46522</v>
      </c>
      <c r="J384">
        <v>977</v>
      </c>
      <c r="K384" s="456">
        <v>1129.95</v>
      </c>
      <c r="L384" s="456">
        <v>1106</v>
      </c>
      <c r="M384">
        <v>0</v>
      </c>
      <c r="N384">
        <v>0</v>
      </c>
    </row>
    <row r="385" spans="1:14">
      <c r="A385" t="s">
        <v>6732</v>
      </c>
      <c r="B385" t="s">
        <v>2263</v>
      </c>
      <c r="C385">
        <v>670</v>
      </c>
      <c r="D385" t="s">
        <v>2252</v>
      </c>
      <c r="E385" t="s">
        <v>6733</v>
      </c>
      <c r="F385" s="455">
        <v>44261</v>
      </c>
      <c r="G385" s="455">
        <v>46174</v>
      </c>
      <c r="H385" s="455">
        <v>46538</v>
      </c>
      <c r="J385">
        <v>977</v>
      </c>
      <c r="K385" s="456">
        <v>1206.78</v>
      </c>
      <c r="L385" s="456">
        <v>1157</v>
      </c>
      <c r="M385">
        <v>0</v>
      </c>
      <c r="N385">
        <v>0</v>
      </c>
    </row>
    <row r="386" spans="1:14">
      <c r="A386" t="s">
        <v>6734</v>
      </c>
      <c r="B386" t="s">
        <v>2263</v>
      </c>
      <c r="C386">
        <v>670</v>
      </c>
      <c r="D386" t="s">
        <v>2252</v>
      </c>
      <c r="E386" t="s">
        <v>6735</v>
      </c>
      <c r="F386" s="455">
        <v>43466</v>
      </c>
      <c r="G386" s="455">
        <v>46082</v>
      </c>
      <c r="H386" s="455">
        <v>46445</v>
      </c>
      <c r="J386">
        <v>907</v>
      </c>
      <c r="K386">
        <v>955.73</v>
      </c>
      <c r="L386">
        <v>897</v>
      </c>
      <c r="M386">
        <v>-180</v>
      </c>
      <c r="N386">
        <v>150</v>
      </c>
    </row>
    <row r="387" spans="1:14">
      <c r="A387" t="s">
        <v>6736</v>
      </c>
      <c r="B387" t="s">
        <v>2263</v>
      </c>
      <c r="C387">
        <v>670</v>
      </c>
      <c r="D387" t="s">
        <v>2252</v>
      </c>
      <c r="E387" t="s">
        <v>6737</v>
      </c>
      <c r="F387" s="455">
        <v>44652</v>
      </c>
      <c r="G387" s="455">
        <v>46082</v>
      </c>
      <c r="H387" s="455">
        <v>46445</v>
      </c>
      <c r="J387" s="456">
        <v>1002</v>
      </c>
      <c r="K387" s="456">
        <v>1412.73</v>
      </c>
      <c r="L387" s="456">
        <v>1210</v>
      </c>
      <c r="M387">
        <v>0</v>
      </c>
      <c r="N387">
        <v>0</v>
      </c>
    </row>
    <row r="388" spans="1:14">
      <c r="A388" t="s">
        <v>3027</v>
      </c>
      <c r="B388" t="s">
        <v>2263</v>
      </c>
      <c r="C388">
        <v>670</v>
      </c>
      <c r="D388" t="s">
        <v>2252</v>
      </c>
      <c r="E388" t="s">
        <v>3028</v>
      </c>
      <c r="F388" s="455">
        <v>45512</v>
      </c>
      <c r="G388" s="455">
        <v>46242</v>
      </c>
      <c r="H388" s="455">
        <v>46606</v>
      </c>
      <c r="J388" s="456">
        <v>1002</v>
      </c>
      <c r="K388" s="456">
        <v>1214.78</v>
      </c>
      <c r="L388" s="456">
        <v>1166</v>
      </c>
      <c r="M388">
        <v>-0.75</v>
      </c>
      <c r="N388">
        <v>750</v>
      </c>
    </row>
    <row r="389" spans="1:14">
      <c r="A389" t="s">
        <v>6738</v>
      </c>
      <c r="B389" t="s">
        <v>2263</v>
      </c>
      <c r="C389">
        <v>670</v>
      </c>
      <c r="D389" t="s">
        <v>2252</v>
      </c>
      <c r="E389" t="s">
        <v>6739</v>
      </c>
      <c r="F389" s="455">
        <v>43227</v>
      </c>
      <c r="G389" s="455">
        <v>46235</v>
      </c>
      <c r="J389">
        <v>907</v>
      </c>
      <c r="K389" s="456">
        <v>1298.27</v>
      </c>
      <c r="L389" s="456">
        <v>1229</v>
      </c>
      <c r="M389">
        <v>0</v>
      </c>
      <c r="N389">
        <v>750</v>
      </c>
    </row>
    <row r="390" spans="1:14">
      <c r="A390" t="s">
        <v>2522</v>
      </c>
      <c r="B390" t="s">
        <v>2263</v>
      </c>
      <c r="C390">
        <v>670</v>
      </c>
      <c r="D390" t="s">
        <v>2251</v>
      </c>
      <c r="E390" t="s">
        <v>2523</v>
      </c>
      <c r="F390" s="455">
        <v>43791</v>
      </c>
      <c r="G390" s="455">
        <v>45901</v>
      </c>
      <c r="H390" s="455">
        <v>46265</v>
      </c>
      <c r="I390" s="455">
        <v>46265</v>
      </c>
      <c r="J390" s="456">
        <v>1002</v>
      </c>
      <c r="K390" s="456">
        <v>1275.78</v>
      </c>
      <c r="L390" s="456">
        <v>1083.5</v>
      </c>
      <c r="M390" s="456">
        <v>1275.78</v>
      </c>
      <c r="N390">
        <v>150</v>
      </c>
    </row>
    <row r="391" spans="1:14">
      <c r="A391" t="s">
        <v>6740</v>
      </c>
      <c r="B391" t="s">
        <v>2263</v>
      </c>
      <c r="C391">
        <v>670</v>
      </c>
      <c r="D391" t="s">
        <v>2252</v>
      </c>
      <c r="E391" t="s">
        <v>6741</v>
      </c>
      <c r="F391" s="455">
        <v>44082</v>
      </c>
      <c r="G391" s="455">
        <v>45901</v>
      </c>
      <c r="H391" s="455">
        <v>46265</v>
      </c>
      <c r="J391">
        <v>907</v>
      </c>
      <c r="K391">
        <v>980.78</v>
      </c>
      <c r="L391">
        <v>930.5</v>
      </c>
      <c r="M391">
        <v>0</v>
      </c>
      <c r="N391">
        <v>750</v>
      </c>
    </row>
    <row r="392" spans="1:14">
      <c r="A392" t="s">
        <v>6742</v>
      </c>
      <c r="B392" t="s">
        <v>2263</v>
      </c>
      <c r="C392">
        <v>670</v>
      </c>
      <c r="D392" t="s">
        <v>2252</v>
      </c>
      <c r="E392" t="s">
        <v>6743</v>
      </c>
      <c r="F392" s="455">
        <v>45748</v>
      </c>
      <c r="G392" s="455">
        <v>46112</v>
      </c>
      <c r="H392" s="455">
        <v>46476</v>
      </c>
      <c r="J392">
        <v>937</v>
      </c>
      <c r="K392" s="456">
        <v>1182.73</v>
      </c>
      <c r="L392" s="456">
        <v>1124</v>
      </c>
      <c r="M392">
        <v>0</v>
      </c>
      <c r="N392">
        <v>0</v>
      </c>
    </row>
    <row r="393" spans="1:14">
      <c r="A393" t="s">
        <v>6744</v>
      </c>
      <c r="B393" t="s">
        <v>2263</v>
      </c>
      <c r="C393">
        <v>670</v>
      </c>
      <c r="D393" t="s">
        <v>2252</v>
      </c>
      <c r="E393" t="s">
        <v>6745</v>
      </c>
      <c r="F393" s="455">
        <v>44870</v>
      </c>
      <c r="G393" s="455">
        <v>46136</v>
      </c>
      <c r="H393" s="455">
        <v>46500</v>
      </c>
      <c r="J393">
        <v>907</v>
      </c>
      <c r="K393" s="456">
        <v>1143.73</v>
      </c>
      <c r="L393" s="456">
        <v>1085</v>
      </c>
      <c r="M393">
        <v>0</v>
      </c>
      <c r="N393">
        <v>0</v>
      </c>
    </row>
    <row r="394" spans="1:14">
      <c r="A394" t="s">
        <v>6746</v>
      </c>
      <c r="B394" t="s">
        <v>2263</v>
      </c>
      <c r="C394">
        <v>670</v>
      </c>
      <c r="D394" t="s">
        <v>6389</v>
      </c>
      <c r="E394" t="s">
        <v>6384</v>
      </c>
      <c r="J394">
        <v>977</v>
      </c>
      <c r="K394">
        <v>0</v>
      </c>
      <c r="L394">
        <v>0</v>
      </c>
      <c r="N394">
        <v>0</v>
      </c>
    </row>
    <row r="395" spans="1:14">
      <c r="A395" t="s">
        <v>6747</v>
      </c>
      <c r="B395" t="s">
        <v>2263</v>
      </c>
      <c r="C395">
        <v>670</v>
      </c>
      <c r="D395" t="s">
        <v>6389</v>
      </c>
      <c r="E395" t="s">
        <v>6384</v>
      </c>
      <c r="J395">
        <v>977</v>
      </c>
      <c r="K395">
        <v>0</v>
      </c>
      <c r="L395">
        <v>0</v>
      </c>
      <c r="N395">
        <v>0</v>
      </c>
    </row>
    <row r="396" spans="1:14">
      <c r="A396" t="s">
        <v>1569</v>
      </c>
      <c r="B396" t="s">
        <v>2263</v>
      </c>
      <c r="C396">
        <v>670</v>
      </c>
      <c r="D396" t="s">
        <v>6389</v>
      </c>
      <c r="E396" t="s">
        <v>6384</v>
      </c>
      <c r="J396">
        <v>912</v>
      </c>
      <c r="K396">
        <v>0</v>
      </c>
      <c r="L396">
        <v>0</v>
      </c>
      <c r="N396">
        <v>0</v>
      </c>
    </row>
    <row r="397" spans="1:14">
      <c r="A397" t="s">
        <v>2524</v>
      </c>
      <c r="B397" t="s">
        <v>2263</v>
      </c>
      <c r="C397">
        <v>670</v>
      </c>
      <c r="D397" t="s">
        <v>2251</v>
      </c>
      <c r="E397" t="s">
        <v>2525</v>
      </c>
      <c r="F397" s="455">
        <v>44536</v>
      </c>
      <c r="G397" s="455">
        <v>46082</v>
      </c>
      <c r="H397" s="455">
        <v>46296</v>
      </c>
      <c r="I397" s="455">
        <v>46296</v>
      </c>
      <c r="J397">
        <v>882</v>
      </c>
      <c r="K397" s="456">
        <v>1451.77</v>
      </c>
      <c r="L397" s="456">
        <v>1437.5</v>
      </c>
      <c r="M397">
        <v>151.77000000000001</v>
      </c>
      <c r="N397">
        <v>0</v>
      </c>
    </row>
    <row r="398" spans="1:14">
      <c r="A398" t="s">
        <v>3029</v>
      </c>
      <c r="B398" t="s">
        <v>2263</v>
      </c>
      <c r="C398">
        <v>670</v>
      </c>
      <c r="D398" t="s">
        <v>2252</v>
      </c>
      <c r="E398" t="s">
        <v>3030</v>
      </c>
      <c r="F398" s="455">
        <v>45884</v>
      </c>
      <c r="G398" s="455">
        <v>45884</v>
      </c>
      <c r="H398" s="455">
        <v>46248</v>
      </c>
      <c r="J398">
        <v>977</v>
      </c>
      <c r="K398" s="456">
        <v>1199.78</v>
      </c>
      <c r="L398" s="456">
        <v>1075</v>
      </c>
      <c r="M398">
        <v>0</v>
      </c>
      <c r="N398">
        <v>750</v>
      </c>
    </row>
    <row r="399" spans="1:14">
      <c r="A399" t="s">
        <v>6748</v>
      </c>
      <c r="B399" t="s">
        <v>2263</v>
      </c>
      <c r="C399">
        <v>670</v>
      </c>
      <c r="D399" t="s">
        <v>2252</v>
      </c>
      <c r="E399" t="s">
        <v>6749</v>
      </c>
      <c r="F399" s="455">
        <v>44309</v>
      </c>
      <c r="G399" s="455">
        <v>46204</v>
      </c>
      <c r="H399" s="455">
        <v>46568</v>
      </c>
      <c r="J399">
        <v>977</v>
      </c>
      <c r="K399" s="456">
        <v>1268.27</v>
      </c>
      <c r="L399" s="456">
        <v>1199</v>
      </c>
      <c r="M399">
        <v>0</v>
      </c>
      <c r="N399">
        <v>0</v>
      </c>
    </row>
    <row r="400" spans="1:14">
      <c r="A400" t="s">
        <v>3031</v>
      </c>
      <c r="B400" t="s">
        <v>2263</v>
      </c>
      <c r="C400">
        <v>670</v>
      </c>
      <c r="D400" t="s">
        <v>2252</v>
      </c>
      <c r="E400" t="s">
        <v>3032</v>
      </c>
      <c r="F400" s="455">
        <v>44400</v>
      </c>
      <c r="G400" s="455">
        <v>46235</v>
      </c>
      <c r="H400" s="455">
        <v>46599</v>
      </c>
      <c r="J400">
        <v>882</v>
      </c>
      <c r="K400" s="456">
        <v>1099.78</v>
      </c>
      <c r="L400" s="456">
        <v>1050</v>
      </c>
      <c r="M400">
        <v>0</v>
      </c>
      <c r="N400">
        <v>0</v>
      </c>
    </row>
    <row r="401" spans="1:14">
      <c r="A401" t="s">
        <v>6750</v>
      </c>
      <c r="B401" t="s">
        <v>2263</v>
      </c>
      <c r="C401">
        <v>670</v>
      </c>
      <c r="D401" t="s">
        <v>2251</v>
      </c>
      <c r="E401" t="s">
        <v>6751</v>
      </c>
      <c r="F401" s="455">
        <v>45476</v>
      </c>
      <c r="G401" s="455">
        <v>45901</v>
      </c>
      <c r="H401" s="455">
        <v>46265</v>
      </c>
      <c r="I401" s="455">
        <v>46265</v>
      </c>
      <c r="J401">
        <v>882</v>
      </c>
      <c r="K401" s="456">
        <v>1006.78</v>
      </c>
      <c r="L401">
        <v>956.49</v>
      </c>
      <c r="M401">
        <v>0</v>
      </c>
      <c r="N401">
        <v>750</v>
      </c>
    </row>
    <row r="402" spans="1:14">
      <c r="A402" t="s">
        <v>1921</v>
      </c>
      <c r="B402" t="s">
        <v>2264</v>
      </c>
      <c r="C402">
        <v>700</v>
      </c>
      <c r="D402" t="s">
        <v>6383</v>
      </c>
      <c r="E402" t="s">
        <v>6384</v>
      </c>
      <c r="J402">
        <v>847</v>
      </c>
      <c r="K402">
        <v>0</v>
      </c>
      <c r="L402">
        <v>0</v>
      </c>
    </row>
    <row r="403" spans="1:14">
      <c r="A403" t="s">
        <v>5866</v>
      </c>
      <c r="B403" t="s">
        <v>2264</v>
      </c>
      <c r="C403">
        <v>700</v>
      </c>
      <c r="D403" t="s">
        <v>6389</v>
      </c>
      <c r="E403" t="s">
        <v>6384</v>
      </c>
      <c r="J403">
        <v>847</v>
      </c>
      <c r="K403">
        <v>0</v>
      </c>
      <c r="L403">
        <v>0</v>
      </c>
      <c r="N403">
        <v>0</v>
      </c>
    </row>
    <row r="404" spans="1:14">
      <c r="A404" t="s">
        <v>4306</v>
      </c>
      <c r="B404" t="s">
        <v>2264</v>
      </c>
      <c r="C404">
        <v>700</v>
      </c>
      <c r="D404" t="s">
        <v>6383</v>
      </c>
      <c r="E404" t="s">
        <v>6384</v>
      </c>
      <c r="J404">
        <v>847</v>
      </c>
      <c r="K404">
        <v>0</v>
      </c>
      <c r="L404">
        <v>0</v>
      </c>
    </row>
    <row r="405" spans="1:14">
      <c r="A405" t="s">
        <v>6752</v>
      </c>
      <c r="B405" t="s">
        <v>2264</v>
      </c>
      <c r="C405">
        <v>700</v>
      </c>
      <c r="D405" t="s">
        <v>2252</v>
      </c>
      <c r="E405" t="s">
        <v>6753</v>
      </c>
      <c r="F405" s="455">
        <v>44105</v>
      </c>
      <c r="G405" s="455">
        <v>45931</v>
      </c>
      <c r="H405" s="455">
        <v>46295</v>
      </c>
      <c r="J405">
        <v>847</v>
      </c>
      <c r="K405" s="456">
        <v>1206.3800000000001</v>
      </c>
      <c r="L405" s="456">
        <v>1082.5</v>
      </c>
      <c r="M405">
        <v>0</v>
      </c>
      <c r="N405">
        <v>0</v>
      </c>
    </row>
    <row r="406" spans="1:14">
      <c r="A406" t="s">
        <v>2698</v>
      </c>
      <c r="B406" t="s">
        <v>2264</v>
      </c>
      <c r="C406">
        <v>700</v>
      </c>
      <c r="D406" t="s">
        <v>6383</v>
      </c>
      <c r="E406" t="s">
        <v>6384</v>
      </c>
      <c r="J406">
        <v>897</v>
      </c>
      <c r="K406">
        <v>0</v>
      </c>
      <c r="L406">
        <v>0</v>
      </c>
    </row>
    <row r="407" spans="1:14">
      <c r="A407" t="s">
        <v>6754</v>
      </c>
      <c r="B407" t="s">
        <v>2264</v>
      </c>
      <c r="C407">
        <v>700</v>
      </c>
      <c r="D407" t="s">
        <v>2252</v>
      </c>
      <c r="E407" t="s">
        <v>6755</v>
      </c>
      <c r="F407" s="455">
        <v>42035</v>
      </c>
      <c r="G407" s="455">
        <v>46113</v>
      </c>
      <c r="H407" s="455">
        <v>46477</v>
      </c>
      <c r="J407">
        <v>802</v>
      </c>
      <c r="K407" s="456">
        <v>1064.32</v>
      </c>
      <c r="L407">
        <v>960</v>
      </c>
      <c r="M407">
        <v>0</v>
      </c>
      <c r="N407">
        <v>150</v>
      </c>
    </row>
    <row r="408" spans="1:14">
      <c r="A408" t="s">
        <v>2163</v>
      </c>
      <c r="B408" t="s">
        <v>2264</v>
      </c>
      <c r="C408">
        <v>700</v>
      </c>
      <c r="D408" t="s">
        <v>2252</v>
      </c>
      <c r="E408" t="s">
        <v>6756</v>
      </c>
      <c r="F408" s="455">
        <v>46148</v>
      </c>
      <c r="G408" s="455">
        <v>46148</v>
      </c>
      <c r="H408" s="455">
        <v>46512</v>
      </c>
      <c r="J408">
        <v>847</v>
      </c>
      <c r="K408" s="456">
        <v>1070.95</v>
      </c>
      <c r="L408" s="456">
        <v>1047</v>
      </c>
      <c r="M408">
        <v>0</v>
      </c>
      <c r="N408">
        <v>0</v>
      </c>
    </row>
    <row r="409" spans="1:14">
      <c r="A409" t="s">
        <v>6757</v>
      </c>
      <c r="B409" t="s">
        <v>2264</v>
      </c>
      <c r="C409">
        <v>700</v>
      </c>
      <c r="D409" t="s">
        <v>2252</v>
      </c>
      <c r="E409" t="s">
        <v>6758</v>
      </c>
      <c r="F409" s="455">
        <v>45227</v>
      </c>
      <c r="G409" s="455">
        <v>46081</v>
      </c>
      <c r="H409" s="455">
        <v>46445</v>
      </c>
      <c r="J409">
        <v>832</v>
      </c>
      <c r="K409" s="456">
        <v>1193.32</v>
      </c>
      <c r="L409" s="456">
        <v>1089</v>
      </c>
      <c r="M409">
        <v>0</v>
      </c>
      <c r="N409">
        <v>0</v>
      </c>
    </row>
    <row r="410" spans="1:14">
      <c r="A410" t="s">
        <v>3034</v>
      </c>
      <c r="B410" t="s">
        <v>2264</v>
      </c>
      <c r="C410">
        <v>700</v>
      </c>
      <c r="D410" t="s">
        <v>2252</v>
      </c>
      <c r="E410" t="s">
        <v>3035</v>
      </c>
      <c r="F410" s="455">
        <v>45868</v>
      </c>
      <c r="G410" s="455">
        <v>46233</v>
      </c>
      <c r="H410" s="455">
        <v>46597</v>
      </c>
      <c r="J410">
        <v>807</v>
      </c>
      <c r="K410" s="456">
        <v>1004.37</v>
      </c>
      <c r="L410">
        <v>909</v>
      </c>
      <c r="M410">
        <v>0</v>
      </c>
      <c r="N410">
        <v>0</v>
      </c>
    </row>
    <row r="411" spans="1:14">
      <c r="A411" t="s">
        <v>2700</v>
      </c>
      <c r="B411" t="s">
        <v>2264</v>
      </c>
      <c r="C411">
        <v>700</v>
      </c>
      <c r="D411" t="s">
        <v>6389</v>
      </c>
      <c r="E411" t="s">
        <v>6384</v>
      </c>
      <c r="J411">
        <v>822</v>
      </c>
      <c r="K411">
        <v>0</v>
      </c>
      <c r="L411">
        <v>0</v>
      </c>
      <c r="N411">
        <v>0</v>
      </c>
    </row>
    <row r="412" spans="1:14">
      <c r="A412" t="s">
        <v>5716</v>
      </c>
      <c r="B412" t="s">
        <v>2264</v>
      </c>
      <c r="C412">
        <v>700</v>
      </c>
      <c r="D412" t="s">
        <v>2252</v>
      </c>
      <c r="E412" t="s">
        <v>6759</v>
      </c>
      <c r="F412" s="455">
        <v>46153</v>
      </c>
      <c r="G412" s="455">
        <v>46153</v>
      </c>
      <c r="H412" s="455">
        <v>46517</v>
      </c>
      <c r="J412">
        <v>872</v>
      </c>
      <c r="K412" s="456">
        <v>1024.95</v>
      </c>
      <c r="L412" s="456">
        <v>1001</v>
      </c>
      <c r="M412">
        <v>0</v>
      </c>
      <c r="N412">
        <v>0</v>
      </c>
    </row>
    <row r="413" spans="1:14">
      <c r="A413" t="s">
        <v>6760</v>
      </c>
      <c r="B413" t="s">
        <v>2264</v>
      </c>
      <c r="C413">
        <v>700</v>
      </c>
      <c r="D413" t="s">
        <v>2252</v>
      </c>
      <c r="E413" t="s">
        <v>6761</v>
      </c>
      <c r="F413" s="455">
        <v>45899</v>
      </c>
      <c r="G413" s="455">
        <v>45899</v>
      </c>
      <c r="H413" s="455">
        <v>46263</v>
      </c>
      <c r="J413">
        <v>872</v>
      </c>
      <c r="K413" s="456">
        <v>1176.3800000000001</v>
      </c>
      <c r="L413" s="456">
        <v>1124.5</v>
      </c>
      <c r="M413">
        <v>-38.619999999999997</v>
      </c>
      <c r="N413">
        <v>0</v>
      </c>
    </row>
    <row r="414" spans="1:14">
      <c r="A414" t="s">
        <v>6305</v>
      </c>
      <c r="B414" t="s">
        <v>2264</v>
      </c>
      <c r="C414">
        <v>700</v>
      </c>
      <c r="D414" t="s">
        <v>6389</v>
      </c>
      <c r="E414" t="s">
        <v>6384</v>
      </c>
      <c r="J414">
        <v>822</v>
      </c>
      <c r="K414">
        <v>0</v>
      </c>
      <c r="L414">
        <v>0</v>
      </c>
      <c r="N414">
        <v>0</v>
      </c>
    </row>
    <row r="415" spans="1:14">
      <c r="A415" t="s">
        <v>2182</v>
      </c>
      <c r="B415" t="s">
        <v>2264</v>
      </c>
      <c r="C415">
        <v>700</v>
      </c>
      <c r="D415" t="s">
        <v>6383</v>
      </c>
      <c r="E415" t="s">
        <v>6384</v>
      </c>
      <c r="J415">
        <v>777</v>
      </c>
      <c r="K415">
        <v>0</v>
      </c>
      <c r="L415">
        <v>0</v>
      </c>
      <c r="N415">
        <v>0</v>
      </c>
    </row>
    <row r="416" spans="1:14">
      <c r="A416" t="s">
        <v>6762</v>
      </c>
      <c r="B416" t="s">
        <v>2264</v>
      </c>
      <c r="C416">
        <v>700</v>
      </c>
      <c r="D416" t="s">
        <v>2252</v>
      </c>
      <c r="E416" t="s">
        <v>6763</v>
      </c>
      <c r="F416" s="455">
        <v>45689</v>
      </c>
      <c r="G416" s="455">
        <v>46069</v>
      </c>
      <c r="H416" s="455">
        <v>46433</v>
      </c>
      <c r="J416">
        <v>777</v>
      </c>
      <c r="K416">
        <v>959.32</v>
      </c>
      <c r="L416">
        <v>855</v>
      </c>
      <c r="M416">
        <v>0</v>
      </c>
      <c r="N416">
        <v>750</v>
      </c>
    </row>
    <row r="417" spans="1:14">
      <c r="A417" t="s">
        <v>1553</v>
      </c>
      <c r="B417" t="s">
        <v>2264</v>
      </c>
      <c r="C417">
        <v>700</v>
      </c>
      <c r="D417" t="s">
        <v>6389</v>
      </c>
      <c r="E417" t="s">
        <v>6384</v>
      </c>
      <c r="J417">
        <v>822</v>
      </c>
      <c r="K417">
        <v>0</v>
      </c>
      <c r="L417">
        <v>0</v>
      </c>
      <c r="N417">
        <v>0</v>
      </c>
    </row>
    <row r="418" spans="1:14">
      <c r="A418" t="s">
        <v>3036</v>
      </c>
      <c r="B418" t="s">
        <v>2264</v>
      </c>
      <c r="C418">
        <v>700</v>
      </c>
      <c r="D418" t="s">
        <v>2252</v>
      </c>
      <c r="E418" t="s">
        <v>3037</v>
      </c>
      <c r="F418" s="455">
        <v>45870</v>
      </c>
      <c r="G418" s="455">
        <v>46235</v>
      </c>
      <c r="H418" s="455">
        <v>46599</v>
      </c>
      <c r="J418">
        <v>847</v>
      </c>
      <c r="K418" s="456">
        <v>1169.3699999999999</v>
      </c>
      <c r="L418" s="456">
        <v>1074</v>
      </c>
      <c r="M418">
        <v>0</v>
      </c>
      <c r="N418">
        <v>0</v>
      </c>
    </row>
    <row r="419" spans="1:14">
      <c r="A419" t="s">
        <v>3747</v>
      </c>
      <c r="B419" t="s">
        <v>2264</v>
      </c>
      <c r="C419">
        <v>700</v>
      </c>
      <c r="D419" t="s">
        <v>2252</v>
      </c>
      <c r="E419" t="s">
        <v>3746</v>
      </c>
      <c r="F419" s="455">
        <v>46203</v>
      </c>
      <c r="G419" s="455">
        <v>46203</v>
      </c>
      <c r="H419" s="455">
        <v>46567</v>
      </c>
      <c r="J419">
        <v>897</v>
      </c>
      <c r="K419">
        <v>779.4</v>
      </c>
      <c r="L419" s="456">
        <v>1026</v>
      </c>
      <c r="M419">
        <v>0</v>
      </c>
      <c r="N419">
        <v>0</v>
      </c>
    </row>
    <row r="420" spans="1:14">
      <c r="A420" t="s">
        <v>6764</v>
      </c>
      <c r="B420" t="s">
        <v>2264</v>
      </c>
      <c r="C420">
        <v>700</v>
      </c>
      <c r="D420" t="s">
        <v>2252</v>
      </c>
      <c r="E420" t="s">
        <v>6765</v>
      </c>
      <c r="F420" s="455">
        <v>44470</v>
      </c>
      <c r="G420" s="455">
        <v>45931</v>
      </c>
      <c r="H420" s="455">
        <v>46295</v>
      </c>
      <c r="J420">
        <v>847</v>
      </c>
      <c r="K420">
        <v>671.38</v>
      </c>
      <c r="L420" s="456">
        <v>1047.48</v>
      </c>
      <c r="M420">
        <v>0</v>
      </c>
      <c r="N420">
        <v>150</v>
      </c>
    </row>
    <row r="421" spans="1:14">
      <c r="A421" t="s">
        <v>2708</v>
      </c>
      <c r="B421" t="s">
        <v>2264</v>
      </c>
      <c r="C421">
        <v>700</v>
      </c>
      <c r="D421" t="s">
        <v>6383</v>
      </c>
      <c r="E421" t="s">
        <v>6384</v>
      </c>
      <c r="J421">
        <v>847</v>
      </c>
      <c r="K421">
        <v>0</v>
      </c>
      <c r="L421">
        <v>0</v>
      </c>
      <c r="N421">
        <v>0</v>
      </c>
    </row>
    <row r="422" spans="1:14">
      <c r="A422" t="s">
        <v>4590</v>
      </c>
      <c r="B422" t="s">
        <v>2264</v>
      </c>
      <c r="C422">
        <v>700</v>
      </c>
      <c r="D422" t="s">
        <v>2252</v>
      </c>
      <c r="E422" t="s">
        <v>4589</v>
      </c>
      <c r="F422" s="455">
        <v>46204</v>
      </c>
      <c r="G422" s="455">
        <v>46204</v>
      </c>
      <c r="H422" s="455">
        <v>46568</v>
      </c>
      <c r="J422">
        <v>897</v>
      </c>
      <c r="K422" s="456">
        <v>1026</v>
      </c>
      <c r="L422" s="456">
        <v>1026</v>
      </c>
      <c r="M422">
        <v>0</v>
      </c>
      <c r="N422">
        <v>0</v>
      </c>
    </row>
    <row r="423" spans="1:14">
      <c r="A423" t="s">
        <v>1585</v>
      </c>
      <c r="B423" t="s">
        <v>2264</v>
      </c>
      <c r="C423">
        <v>700</v>
      </c>
      <c r="D423" t="s">
        <v>6389</v>
      </c>
      <c r="E423" t="s">
        <v>6384</v>
      </c>
      <c r="J423">
        <v>897</v>
      </c>
      <c r="K423">
        <v>0</v>
      </c>
      <c r="L423">
        <v>0</v>
      </c>
      <c r="N423">
        <v>0</v>
      </c>
    </row>
    <row r="424" spans="1:14">
      <c r="A424" t="s">
        <v>1913</v>
      </c>
      <c r="B424" t="s">
        <v>2264</v>
      </c>
      <c r="C424">
        <v>700</v>
      </c>
      <c r="D424" t="s">
        <v>6389</v>
      </c>
      <c r="E424" t="s">
        <v>6384</v>
      </c>
      <c r="J424">
        <v>847</v>
      </c>
      <c r="K424">
        <v>0</v>
      </c>
      <c r="L424">
        <v>0</v>
      </c>
      <c r="N424">
        <v>0</v>
      </c>
    </row>
    <row r="425" spans="1:14">
      <c r="A425" t="s">
        <v>5769</v>
      </c>
      <c r="B425" t="s">
        <v>2264</v>
      </c>
      <c r="C425">
        <v>700</v>
      </c>
      <c r="D425" t="s">
        <v>6389</v>
      </c>
      <c r="E425" t="s">
        <v>6384</v>
      </c>
      <c r="J425">
        <v>802</v>
      </c>
      <c r="K425">
        <v>0</v>
      </c>
      <c r="L425">
        <v>0</v>
      </c>
      <c r="N425">
        <v>0</v>
      </c>
    </row>
    <row r="426" spans="1:14">
      <c r="A426" t="s">
        <v>6766</v>
      </c>
      <c r="B426" t="s">
        <v>2264</v>
      </c>
      <c r="C426">
        <v>700</v>
      </c>
      <c r="D426" t="s">
        <v>2252</v>
      </c>
      <c r="E426" t="s">
        <v>6767</v>
      </c>
      <c r="F426" s="455">
        <v>44456</v>
      </c>
      <c r="G426" s="455">
        <v>45901</v>
      </c>
      <c r="H426" s="455">
        <v>46265</v>
      </c>
      <c r="J426">
        <v>822</v>
      </c>
      <c r="K426">
        <v>168.38</v>
      </c>
      <c r="L426" s="456">
        <v>1102.5</v>
      </c>
      <c r="M426">
        <v>0</v>
      </c>
      <c r="N426">
        <v>0</v>
      </c>
    </row>
    <row r="427" spans="1:14">
      <c r="A427" t="s">
        <v>1905</v>
      </c>
      <c r="B427" t="s">
        <v>2264</v>
      </c>
      <c r="C427">
        <v>700</v>
      </c>
      <c r="D427" t="s">
        <v>2252</v>
      </c>
      <c r="E427" t="s">
        <v>1906</v>
      </c>
      <c r="F427" s="455">
        <v>46087</v>
      </c>
      <c r="G427" s="455">
        <v>46087</v>
      </c>
      <c r="H427" s="455">
        <v>46451</v>
      </c>
      <c r="J427">
        <v>777</v>
      </c>
      <c r="K427" s="456">
        <v>1217.32</v>
      </c>
      <c r="L427" s="456">
        <v>1078</v>
      </c>
      <c r="M427">
        <v>35</v>
      </c>
      <c r="N427">
        <v>0</v>
      </c>
    </row>
    <row r="428" spans="1:14">
      <c r="A428" t="s">
        <v>6768</v>
      </c>
      <c r="B428" t="s">
        <v>2264</v>
      </c>
      <c r="C428">
        <v>700</v>
      </c>
      <c r="D428" t="s">
        <v>2252</v>
      </c>
      <c r="E428" t="s">
        <v>6769</v>
      </c>
      <c r="F428" s="455">
        <v>44957</v>
      </c>
      <c r="G428" s="455">
        <v>46054</v>
      </c>
      <c r="H428" s="455">
        <v>46417</v>
      </c>
      <c r="J428">
        <v>822</v>
      </c>
      <c r="K428" s="456">
        <v>1221.3699999999999</v>
      </c>
      <c r="L428" s="456">
        <v>1126</v>
      </c>
      <c r="M428">
        <v>0</v>
      </c>
      <c r="N428">
        <v>0</v>
      </c>
    </row>
    <row r="429" spans="1:14">
      <c r="A429" t="s">
        <v>4061</v>
      </c>
      <c r="B429" t="s">
        <v>2264</v>
      </c>
      <c r="C429">
        <v>700</v>
      </c>
      <c r="D429" t="s">
        <v>2252</v>
      </c>
      <c r="E429" t="s">
        <v>4060</v>
      </c>
      <c r="F429" s="455">
        <v>46233</v>
      </c>
      <c r="G429" s="455">
        <v>46233</v>
      </c>
      <c r="H429" s="455">
        <v>46597</v>
      </c>
      <c r="J429">
        <v>872</v>
      </c>
      <c r="K429">
        <v>96</v>
      </c>
      <c r="L429">
        <v>968</v>
      </c>
      <c r="M429">
        <v>0</v>
      </c>
      <c r="N429">
        <v>500</v>
      </c>
    </row>
    <row r="430" spans="1:14">
      <c r="A430" t="s">
        <v>2139</v>
      </c>
      <c r="B430" t="s">
        <v>2264</v>
      </c>
      <c r="C430">
        <v>700</v>
      </c>
      <c r="D430" t="s">
        <v>2252</v>
      </c>
      <c r="E430" t="s">
        <v>6770</v>
      </c>
      <c r="F430" s="455">
        <v>46171</v>
      </c>
      <c r="G430" s="455">
        <v>46171</v>
      </c>
      <c r="H430" s="455">
        <v>46535</v>
      </c>
      <c r="J430">
        <v>807</v>
      </c>
      <c r="K430">
        <v>904.95</v>
      </c>
      <c r="L430">
        <v>881</v>
      </c>
      <c r="M430">
        <v>0</v>
      </c>
      <c r="N430">
        <v>0</v>
      </c>
    </row>
    <row r="431" spans="1:14">
      <c r="A431" t="s">
        <v>2710</v>
      </c>
      <c r="B431" t="s">
        <v>2264</v>
      </c>
      <c r="C431">
        <v>700</v>
      </c>
      <c r="D431" t="s">
        <v>2252</v>
      </c>
      <c r="E431" t="s">
        <v>3038</v>
      </c>
      <c r="F431" s="455">
        <v>46234</v>
      </c>
      <c r="G431" s="455">
        <v>46234</v>
      </c>
      <c r="H431" s="455">
        <v>46598</v>
      </c>
      <c r="J431">
        <v>872</v>
      </c>
      <c r="K431">
        <v>129</v>
      </c>
      <c r="L431" s="456">
        <v>1001</v>
      </c>
      <c r="M431">
        <v>0</v>
      </c>
      <c r="N431">
        <v>0</v>
      </c>
    </row>
    <row r="432" spans="1:14">
      <c r="A432" t="s">
        <v>6771</v>
      </c>
      <c r="B432" t="s">
        <v>2264</v>
      </c>
      <c r="C432">
        <v>700</v>
      </c>
      <c r="D432" t="s">
        <v>2252</v>
      </c>
      <c r="E432" t="s">
        <v>6772</v>
      </c>
      <c r="F432" s="455">
        <v>42713</v>
      </c>
      <c r="G432" s="455">
        <v>46054</v>
      </c>
      <c r="H432" s="455">
        <v>46417</v>
      </c>
      <c r="J432">
        <v>822</v>
      </c>
      <c r="K432" s="456">
        <v>1154.3800000000001</v>
      </c>
      <c r="L432" s="456">
        <v>1031</v>
      </c>
      <c r="M432">
        <v>0</v>
      </c>
      <c r="N432">
        <v>150</v>
      </c>
    </row>
    <row r="433" spans="1:14">
      <c r="A433" t="s">
        <v>3363</v>
      </c>
      <c r="B433" t="s">
        <v>2264</v>
      </c>
      <c r="C433">
        <v>700</v>
      </c>
      <c r="D433" t="s">
        <v>6508</v>
      </c>
      <c r="E433" t="s">
        <v>6384</v>
      </c>
      <c r="J433">
        <v>777</v>
      </c>
      <c r="K433">
        <v>0</v>
      </c>
      <c r="L433">
        <v>0</v>
      </c>
    </row>
    <row r="434" spans="1:14">
      <c r="A434" t="s">
        <v>3039</v>
      </c>
      <c r="B434" t="s">
        <v>2264</v>
      </c>
      <c r="C434">
        <v>700</v>
      </c>
      <c r="D434" t="s">
        <v>6383</v>
      </c>
      <c r="E434" t="s">
        <v>6384</v>
      </c>
      <c r="J434">
        <v>897</v>
      </c>
      <c r="K434">
        <v>0</v>
      </c>
      <c r="L434">
        <v>0</v>
      </c>
    </row>
    <row r="435" spans="1:14">
      <c r="A435" t="s">
        <v>3277</v>
      </c>
      <c r="B435" t="s">
        <v>2264</v>
      </c>
      <c r="C435">
        <v>700</v>
      </c>
      <c r="D435" t="s">
        <v>2252</v>
      </c>
      <c r="E435" t="s">
        <v>1802</v>
      </c>
      <c r="F435" s="455">
        <v>46137</v>
      </c>
      <c r="G435" s="455">
        <v>46137</v>
      </c>
      <c r="H435" s="455">
        <v>46501</v>
      </c>
      <c r="J435">
        <v>897</v>
      </c>
      <c r="K435" s="456">
        <v>1084.3900000000001</v>
      </c>
      <c r="L435" s="456">
        <v>1051</v>
      </c>
      <c r="M435">
        <v>0</v>
      </c>
      <c r="N435">
        <v>0</v>
      </c>
    </row>
    <row r="436" spans="1:14">
      <c r="A436" t="s">
        <v>6773</v>
      </c>
      <c r="B436" t="s">
        <v>2264</v>
      </c>
      <c r="C436">
        <v>700</v>
      </c>
      <c r="D436" t="s">
        <v>2252</v>
      </c>
      <c r="E436" t="s">
        <v>6774</v>
      </c>
      <c r="F436" s="455">
        <v>44470</v>
      </c>
      <c r="G436" s="455">
        <v>45931</v>
      </c>
      <c r="H436" s="455">
        <v>46295</v>
      </c>
      <c r="J436">
        <v>802</v>
      </c>
      <c r="K436" s="456">
        <v>1053.56</v>
      </c>
      <c r="L436">
        <v>966.5</v>
      </c>
      <c r="M436">
        <v>0</v>
      </c>
      <c r="N436">
        <v>0</v>
      </c>
    </row>
    <row r="437" spans="1:14">
      <c r="A437" t="s">
        <v>6775</v>
      </c>
      <c r="B437" t="s">
        <v>2264</v>
      </c>
      <c r="C437">
        <v>700</v>
      </c>
      <c r="D437" t="s">
        <v>2252</v>
      </c>
      <c r="E437" t="s">
        <v>6776</v>
      </c>
      <c r="F437" s="455">
        <v>44695</v>
      </c>
      <c r="G437" s="455">
        <v>46174</v>
      </c>
      <c r="H437" s="455">
        <v>46538</v>
      </c>
      <c r="J437">
        <v>897</v>
      </c>
      <c r="K437" s="456">
        <v>1340.56</v>
      </c>
      <c r="L437" s="456">
        <v>1254</v>
      </c>
      <c r="M437">
        <v>0</v>
      </c>
      <c r="N437">
        <v>750</v>
      </c>
    </row>
    <row r="438" spans="1:14">
      <c r="A438" t="s">
        <v>4273</v>
      </c>
      <c r="B438" t="s">
        <v>2264</v>
      </c>
      <c r="C438">
        <v>700</v>
      </c>
      <c r="D438" t="s">
        <v>2252</v>
      </c>
      <c r="E438" t="s">
        <v>4272</v>
      </c>
      <c r="F438" s="455">
        <v>46238</v>
      </c>
      <c r="G438" s="455">
        <v>46238</v>
      </c>
      <c r="H438" s="455">
        <v>46602</v>
      </c>
      <c r="J438">
        <v>802</v>
      </c>
      <c r="K438">
        <v>765</v>
      </c>
      <c r="L438">
        <v>843</v>
      </c>
      <c r="M438">
        <v>0</v>
      </c>
      <c r="N438">
        <v>500</v>
      </c>
    </row>
    <row r="439" spans="1:14">
      <c r="A439" t="s">
        <v>1915</v>
      </c>
      <c r="B439" t="s">
        <v>2264</v>
      </c>
      <c r="C439">
        <v>700</v>
      </c>
      <c r="D439" t="s">
        <v>2252</v>
      </c>
      <c r="E439" t="s">
        <v>2712</v>
      </c>
      <c r="F439" s="455">
        <v>46171</v>
      </c>
      <c r="G439" s="455">
        <v>46171</v>
      </c>
      <c r="H439" s="455">
        <v>46535</v>
      </c>
      <c r="J439">
        <v>847</v>
      </c>
      <c r="K439">
        <v>911.95</v>
      </c>
      <c r="L439">
        <v>888</v>
      </c>
      <c r="M439">
        <v>8.9499999999999993</v>
      </c>
      <c r="N439">
        <v>500</v>
      </c>
    </row>
    <row r="440" spans="1:14">
      <c r="A440" t="s">
        <v>6777</v>
      </c>
      <c r="B440" t="s">
        <v>2264</v>
      </c>
      <c r="C440">
        <v>700</v>
      </c>
      <c r="D440" t="s">
        <v>2252</v>
      </c>
      <c r="E440" t="s">
        <v>6778</v>
      </c>
      <c r="F440" s="455">
        <v>43523</v>
      </c>
      <c r="G440" s="455">
        <v>46082</v>
      </c>
      <c r="H440" s="455">
        <v>46445</v>
      </c>
      <c r="J440">
        <v>802</v>
      </c>
      <c r="K440" s="456">
        <v>1056.52</v>
      </c>
      <c r="L440">
        <v>927</v>
      </c>
      <c r="M440">
        <v>-0.13</v>
      </c>
      <c r="N440">
        <v>150</v>
      </c>
    </row>
    <row r="441" spans="1:14">
      <c r="A441" t="s">
        <v>6779</v>
      </c>
      <c r="B441" t="s">
        <v>2264</v>
      </c>
      <c r="C441">
        <v>700</v>
      </c>
      <c r="D441" t="s">
        <v>2252</v>
      </c>
      <c r="E441" t="s">
        <v>6780</v>
      </c>
      <c r="F441" s="455">
        <v>44470</v>
      </c>
      <c r="G441" s="455">
        <v>45931</v>
      </c>
      <c r="H441" s="455">
        <v>46295</v>
      </c>
      <c r="J441">
        <v>802</v>
      </c>
      <c r="K441">
        <v>804.56</v>
      </c>
      <c r="L441">
        <v>967.5</v>
      </c>
      <c r="M441">
        <v>0</v>
      </c>
      <c r="N441">
        <v>150</v>
      </c>
    </row>
    <row r="442" spans="1:14">
      <c r="A442" t="s">
        <v>3042</v>
      </c>
      <c r="B442" t="s">
        <v>2264</v>
      </c>
      <c r="C442">
        <v>700</v>
      </c>
      <c r="D442" t="s">
        <v>2252</v>
      </c>
      <c r="E442" t="s">
        <v>3044</v>
      </c>
      <c r="F442" s="455">
        <v>46223</v>
      </c>
      <c r="G442" s="455">
        <v>46223</v>
      </c>
      <c r="H442" s="455">
        <v>46587</v>
      </c>
      <c r="J442">
        <v>802</v>
      </c>
      <c r="K442">
        <v>41</v>
      </c>
      <c r="L442">
        <v>843</v>
      </c>
      <c r="M442">
        <v>0</v>
      </c>
      <c r="N442">
        <v>500</v>
      </c>
    </row>
    <row r="443" spans="1:14">
      <c r="A443" t="s">
        <v>6781</v>
      </c>
      <c r="B443" t="s">
        <v>2264</v>
      </c>
      <c r="C443">
        <v>700</v>
      </c>
      <c r="D443" t="s">
        <v>6389</v>
      </c>
      <c r="E443" t="s">
        <v>6384</v>
      </c>
      <c r="J443">
        <v>802</v>
      </c>
      <c r="K443">
        <v>0</v>
      </c>
      <c r="L443">
        <v>0</v>
      </c>
      <c r="N443">
        <v>0</v>
      </c>
    </row>
    <row r="444" spans="1:14">
      <c r="A444" t="s">
        <v>6782</v>
      </c>
      <c r="B444" t="s">
        <v>2264</v>
      </c>
      <c r="C444">
        <v>700</v>
      </c>
      <c r="D444" t="s">
        <v>2252</v>
      </c>
      <c r="E444" t="s">
        <v>6783</v>
      </c>
      <c r="F444" s="455">
        <v>43374</v>
      </c>
      <c r="G444" s="455">
        <v>46113</v>
      </c>
      <c r="H444" s="455">
        <v>46477</v>
      </c>
      <c r="J444">
        <v>802</v>
      </c>
      <c r="K444" s="456">
        <v>1136.51</v>
      </c>
      <c r="L444" s="456">
        <v>1041</v>
      </c>
      <c r="M444">
        <v>-101.93</v>
      </c>
      <c r="N444">
        <v>150</v>
      </c>
    </row>
    <row r="445" spans="1:14">
      <c r="A445" t="s">
        <v>6784</v>
      </c>
      <c r="B445" t="s">
        <v>2264</v>
      </c>
      <c r="C445">
        <v>700</v>
      </c>
      <c r="D445" t="s">
        <v>2252</v>
      </c>
      <c r="E445" t="s">
        <v>6785</v>
      </c>
      <c r="F445" s="455">
        <v>45413</v>
      </c>
      <c r="G445" s="455">
        <v>45931</v>
      </c>
      <c r="H445" s="455">
        <v>46295</v>
      </c>
      <c r="J445">
        <v>802</v>
      </c>
      <c r="K445" s="456">
        <v>1047.56</v>
      </c>
      <c r="L445">
        <v>960.5</v>
      </c>
      <c r="M445">
        <v>0</v>
      </c>
      <c r="N445">
        <v>450</v>
      </c>
    </row>
    <row r="446" spans="1:14">
      <c r="A446" t="s">
        <v>2713</v>
      </c>
      <c r="B446" t="s">
        <v>2264</v>
      </c>
      <c r="C446">
        <v>700</v>
      </c>
      <c r="D446" t="s">
        <v>2252</v>
      </c>
      <c r="E446" t="s">
        <v>2714</v>
      </c>
      <c r="F446" s="455">
        <v>46172</v>
      </c>
      <c r="G446" s="455">
        <v>46172</v>
      </c>
      <c r="H446" s="455">
        <v>46536</v>
      </c>
      <c r="J446">
        <v>872</v>
      </c>
      <c r="K446" s="456">
        <v>1104</v>
      </c>
      <c r="L446" s="456">
        <v>1001</v>
      </c>
      <c r="M446" s="456">
        <v>2232.54</v>
      </c>
      <c r="N446">
        <v>0</v>
      </c>
    </row>
    <row r="447" spans="1:14">
      <c r="A447" t="s">
        <v>3045</v>
      </c>
      <c r="B447" t="s">
        <v>2264</v>
      </c>
      <c r="C447">
        <v>700</v>
      </c>
      <c r="D447" t="s">
        <v>2252</v>
      </c>
      <c r="E447" t="s">
        <v>3046</v>
      </c>
      <c r="F447" s="455">
        <v>45884</v>
      </c>
      <c r="G447" s="455">
        <v>45884</v>
      </c>
      <c r="H447" s="455">
        <v>46248</v>
      </c>
      <c r="J447">
        <v>777</v>
      </c>
      <c r="K447" s="456">
        <v>1080.56</v>
      </c>
      <c r="L447">
        <v>974.5</v>
      </c>
      <c r="M447">
        <v>0</v>
      </c>
      <c r="N447">
        <v>0</v>
      </c>
    </row>
    <row r="448" spans="1:14">
      <c r="A448" t="s">
        <v>6786</v>
      </c>
      <c r="B448" t="s">
        <v>2264</v>
      </c>
      <c r="C448">
        <v>700</v>
      </c>
      <c r="D448" t="s">
        <v>2252</v>
      </c>
      <c r="E448" t="s">
        <v>6787</v>
      </c>
      <c r="F448" s="455">
        <v>45591</v>
      </c>
      <c r="G448" s="455">
        <v>46017</v>
      </c>
      <c r="H448" s="455">
        <v>46379</v>
      </c>
      <c r="J448">
        <v>807</v>
      </c>
      <c r="K448" s="456">
        <v>1134.57</v>
      </c>
      <c r="L448" s="456">
        <v>1020</v>
      </c>
      <c r="M448">
        <v>0</v>
      </c>
      <c r="N448">
        <v>0</v>
      </c>
    </row>
    <row r="449" spans="1:14">
      <c r="A449" t="s">
        <v>6788</v>
      </c>
      <c r="B449" t="s">
        <v>2264</v>
      </c>
      <c r="C449">
        <v>700</v>
      </c>
      <c r="D449" t="s">
        <v>2252</v>
      </c>
      <c r="E449" t="s">
        <v>6789</v>
      </c>
      <c r="F449" s="455">
        <v>44531</v>
      </c>
      <c r="G449" s="455">
        <v>45992</v>
      </c>
      <c r="J449">
        <v>822</v>
      </c>
      <c r="K449" s="456">
        <v>1707.57</v>
      </c>
      <c r="L449" s="456">
        <v>1592.5</v>
      </c>
      <c r="M449">
        <v>0</v>
      </c>
      <c r="N449">
        <v>0</v>
      </c>
    </row>
    <row r="450" spans="1:14">
      <c r="A450" t="s">
        <v>6790</v>
      </c>
      <c r="B450" t="s">
        <v>2264</v>
      </c>
      <c r="C450">
        <v>700</v>
      </c>
      <c r="D450" t="s">
        <v>2252</v>
      </c>
      <c r="E450" t="s">
        <v>4384</v>
      </c>
      <c r="F450" s="455">
        <v>46039</v>
      </c>
      <c r="G450" s="455">
        <v>46039</v>
      </c>
      <c r="H450" s="455">
        <v>46403</v>
      </c>
      <c r="J450">
        <v>872</v>
      </c>
      <c r="K450" s="456">
        <v>1297.56</v>
      </c>
      <c r="L450" s="456">
        <v>1211</v>
      </c>
      <c r="M450">
        <v>0</v>
      </c>
      <c r="N450">
        <v>0</v>
      </c>
    </row>
    <row r="451" spans="1:14">
      <c r="A451" t="s">
        <v>6791</v>
      </c>
      <c r="B451" t="s">
        <v>2264</v>
      </c>
      <c r="C451">
        <v>700</v>
      </c>
      <c r="D451" t="s">
        <v>2252</v>
      </c>
      <c r="E451" t="s">
        <v>6792</v>
      </c>
      <c r="F451" s="455">
        <v>45516</v>
      </c>
      <c r="G451" s="455">
        <v>46129</v>
      </c>
      <c r="H451" s="455">
        <v>46493</v>
      </c>
      <c r="J451">
        <v>872</v>
      </c>
      <c r="K451" s="456">
        <v>1300.52</v>
      </c>
      <c r="L451" s="456">
        <v>1171</v>
      </c>
      <c r="M451">
        <v>0</v>
      </c>
      <c r="N451">
        <v>0</v>
      </c>
    </row>
    <row r="452" spans="1:14">
      <c r="A452" t="s">
        <v>2715</v>
      </c>
      <c r="B452" t="s">
        <v>2264</v>
      </c>
      <c r="C452">
        <v>700</v>
      </c>
      <c r="D452" t="s">
        <v>2252</v>
      </c>
      <c r="E452" t="s">
        <v>2716</v>
      </c>
      <c r="F452" s="455">
        <v>45252</v>
      </c>
      <c r="G452" s="455">
        <v>46113</v>
      </c>
      <c r="H452" s="455">
        <v>46477</v>
      </c>
      <c r="J452">
        <v>872</v>
      </c>
      <c r="K452" s="456">
        <v>1531.52</v>
      </c>
      <c r="L452" s="456">
        <v>1254</v>
      </c>
      <c r="M452">
        <v>991.52</v>
      </c>
      <c r="N452">
        <v>0</v>
      </c>
    </row>
    <row r="453" spans="1:14">
      <c r="A453" t="s">
        <v>6793</v>
      </c>
      <c r="B453" t="s">
        <v>2264</v>
      </c>
      <c r="C453">
        <v>700</v>
      </c>
      <c r="D453" t="s">
        <v>6389</v>
      </c>
      <c r="E453" t="s">
        <v>6384</v>
      </c>
      <c r="J453">
        <v>822</v>
      </c>
      <c r="K453">
        <v>0</v>
      </c>
      <c r="L453">
        <v>0</v>
      </c>
      <c r="N453">
        <v>0</v>
      </c>
    </row>
    <row r="454" spans="1:14">
      <c r="A454" t="s">
        <v>3145</v>
      </c>
      <c r="B454" t="s">
        <v>2264</v>
      </c>
      <c r="C454">
        <v>700</v>
      </c>
      <c r="D454" t="s">
        <v>2252</v>
      </c>
      <c r="E454" t="s">
        <v>3144</v>
      </c>
      <c r="F454" s="455">
        <v>46242</v>
      </c>
      <c r="G454" s="455">
        <v>46242</v>
      </c>
      <c r="H454" s="455">
        <v>46606</v>
      </c>
      <c r="J454">
        <v>872</v>
      </c>
      <c r="K454">
        <v>752</v>
      </c>
      <c r="L454">
        <v>968</v>
      </c>
      <c r="M454">
        <v>0</v>
      </c>
      <c r="N454">
        <v>500</v>
      </c>
    </row>
    <row r="455" spans="1:14">
      <c r="A455" t="s">
        <v>3047</v>
      </c>
      <c r="B455" t="s">
        <v>2264</v>
      </c>
      <c r="C455">
        <v>700</v>
      </c>
      <c r="D455" t="s">
        <v>2252</v>
      </c>
      <c r="E455" t="s">
        <v>3048</v>
      </c>
      <c r="F455" s="455">
        <v>45864</v>
      </c>
      <c r="G455" s="455">
        <v>46229</v>
      </c>
      <c r="H455" s="455">
        <v>46592</v>
      </c>
      <c r="J455">
        <v>872</v>
      </c>
      <c r="K455" s="456">
        <v>1207.56</v>
      </c>
      <c r="L455" s="456">
        <v>1121</v>
      </c>
      <c r="M455">
        <v>0</v>
      </c>
      <c r="N455">
        <v>750</v>
      </c>
    </row>
    <row r="456" spans="1:14">
      <c r="A456" t="s">
        <v>6794</v>
      </c>
      <c r="B456" t="s">
        <v>2264</v>
      </c>
      <c r="C456">
        <v>700</v>
      </c>
      <c r="D456" t="s">
        <v>2252</v>
      </c>
      <c r="E456" t="s">
        <v>6795</v>
      </c>
      <c r="F456" s="455">
        <v>44470</v>
      </c>
      <c r="G456" s="455">
        <v>46073</v>
      </c>
      <c r="H456" s="455">
        <v>46437</v>
      </c>
      <c r="J456">
        <v>777</v>
      </c>
      <c r="K456" s="456">
        <v>1318.52</v>
      </c>
      <c r="L456" s="456">
        <v>1189</v>
      </c>
      <c r="M456">
        <v>0</v>
      </c>
      <c r="N456">
        <v>150</v>
      </c>
    </row>
    <row r="457" spans="1:14">
      <c r="A457" t="s">
        <v>4569</v>
      </c>
      <c r="B457" t="s">
        <v>2264</v>
      </c>
      <c r="C457">
        <v>700</v>
      </c>
      <c r="D457" t="s">
        <v>2250</v>
      </c>
      <c r="E457" t="s">
        <v>6796</v>
      </c>
      <c r="F457" s="455">
        <v>42020</v>
      </c>
      <c r="G457" s="455">
        <v>45901</v>
      </c>
      <c r="H457" s="455">
        <v>46265</v>
      </c>
      <c r="I457" s="455">
        <v>46265</v>
      </c>
      <c r="J457">
        <v>777</v>
      </c>
      <c r="K457" s="456">
        <v>1057.56</v>
      </c>
      <c r="L457">
        <v>970.5</v>
      </c>
      <c r="M457">
        <v>0</v>
      </c>
      <c r="N457">
        <v>200</v>
      </c>
    </row>
    <row r="458" spans="1:14">
      <c r="A458" t="s">
        <v>6797</v>
      </c>
      <c r="B458" t="s">
        <v>2265</v>
      </c>
      <c r="C458">
        <v>746</v>
      </c>
      <c r="D458" t="s">
        <v>2252</v>
      </c>
      <c r="E458" t="s">
        <v>6798</v>
      </c>
      <c r="F458" s="455">
        <v>44624</v>
      </c>
      <c r="G458" s="455">
        <v>46082</v>
      </c>
      <c r="H458" s="455">
        <v>46445</v>
      </c>
      <c r="J458" s="456">
        <v>1074</v>
      </c>
      <c r="K458" s="456">
        <v>1436.17</v>
      </c>
      <c r="L458" s="456">
        <v>1337</v>
      </c>
      <c r="M458">
        <v>0</v>
      </c>
      <c r="N458">
        <v>750</v>
      </c>
    </row>
    <row r="459" spans="1:14">
      <c r="A459" t="s">
        <v>3457</v>
      </c>
      <c r="B459" t="s">
        <v>2265</v>
      </c>
      <c r="C459">
        <v>746</v>
      </c>
      <c r="D459" t="s">
        <v>2252</v>
      </c>
      <c r="E459" t="s">
        <v>3456</v>
      </c>
      <c r="F459" s="455">
        <v>46198</v>
      </c>
      <c r="G459" s="455">
        <v>46198</v>
      </c>
      <c r="H459" s="455">
        <v>46562</v>
      </c>
      <c r="J459">
        <v>979</v>
      </c>
      <c r="K459" s="456">
        <v>1191.4000000000001</v>
      </c>
      <c r="L459" s="456">
        <v>1053</v>
      </c>
      <c r="M459">
        <v>0</v>
      </c>
      <c r="N459">
        <v>0</v>
      </c>
    </row>
    <row r="460" spans="1:14">
      <c r="A460" t="s">
        <v>6799</v>
      </c>
      <c r="B460" t="s">
        <v>2265</v>
      </c>
      <c r="C460">
        <v>746</v>
      </c>
      <c r="D460" t="s">
        <v>6389</v>
      </c>
      <c r="E460" t="s">
        <v>6384</v>
      </c>
      <c r="J460" s="456">
        <v>1024</v>
      </c>
      <c r="K460">
        <v>0</v>
      </c>
      <c r="L460">
        <v>0</v>
      </c>
      <c r="N460">
        <v>0</v>
      </c>
    </row>
    <row r="461" spans="1:14">
      <c r="A461" t="s">
        <v>6800</v>
      </c>
      <c r="B461" t="s">
        <v>2265</v>
      </c>
      <c r="C461">
        <v>746</v>
      </c>
      <c r="D461" t="s">
        <v>2252</v>
      </c>
      <c r="E461" t="s">
        <v>6801</v>
      </c>
      <c r="F461" s="455">
        <v>43280</v>
      </c>
      <c r="G461" s="455">
        <v>46073</v>
      </c>
      <c r="H461" s="455">
        <v>46437</v>
      </c>
      <c r="J461">
        <v>979</v>
      </c>
      <c r="K461" s="456">
        <v>1197.54</v>
      </c>
      <c r="L461" s="456">
        <v>1091</v>
      </c>
      <c r="M461">
        <v>0</v>
      </c>
      <c r="N461">
        <v>150</v>
      </c>
    </row>
    <row r="462" spans="1:14">
      <c r="A462" t="s">
        <v>3588</v>
      </c>
      <c r="B462" t="s">
        <v>2265</v>
      </c>
      <c r="C462">
        <v>746</v>
      </c>
      <c r="D462" t="s">
        <v>6508</v>
      </c>
      <c r="E462" t="s">
        <v>6384</v>
      </c>
      <c r="J462" s="456">
        <v>1024</v>
      </c>
      <c r="K462">
        <v>0</v>
      </c>
      <c r="L462">
        <v>0</v>
      </c>
      <c r="N462">
        <v>0</v>
      </c>
    </row>
    <row r="463" spans="1:14">
      <c r="A463" t="s">
        <v>2399</v>
      </c>
      <c r="B463" t="s">
        <v>2265</v>
      </c>
      <c r="C463">
        <v>746</v>
      </c>
      <c r="D463" t="s">
        <v>2252</v>
      </c>
      <c r="E463" t="s">
        <v>2400</v>
      </c>
      <c r="F463" s="455">
        <v>45535</v>
      </c>
      <c r="G463" s="455">
        <v>45961</v>
      </c>
      <c r="H463" s="455">
        <v>46325</v>
      </c>
      <c r="J463" s="456">
        <v>1024</v>
      </c>
      <c r="K463" s="456">
        <v>1337.22</v>
      </c>
      <c r="L463" s="456">
        <v>1246.5</v>
      </c>
      <c r="M463">
        <v>72.510000000000005</v>
      </c>
      <c r="N463">
        <v>0</v>
      </c>
    </row>
    <row r="464" spans="1:14">
      <c r="A464" t="s">
        <v>6802</v>
      </c>
      <c r="B464" t="s">
        <v>2265</v>
      </c>
      <c r="C464">
        <v>746</v>
      </c>
      <c r="D464" t="s">
        <v>6389</v>
      </c>
      <c r="E464" t="s">
        <v>6384</v>
      </c>
      <c r="J464" s="456">
        <v>1024</v>
      </c>
      <c r="K464">
        <v>0</v>
      </c>
      <c r="L464">
        <v>0</v>
      </c>
      <c r="N464">
        <v>0</v>
      </c>
    </row>
    <row r="465" spans="1:14">
      <c r="A465" t="s">
        <v>6803</v>
      </c>
      <c r="B465" t="s">
        <v>2265</v>
      </c>
      <c r="C465">
        <v>746</v>
      </c>
      <c r="D465" t="s">
        <v>2252</v>
      </c>
      <c r="E465" t="s">
        <v>1244</v>
      </c>
      <c r="F465" s="455">
        <v>45923</v>
      </c>
      <c r="G465" s="455">
        <v>45923</v>
      </c>
      <c r="H465" s="455">
        <v>46289</v>
      </c>
      <c r="J465" s="456">
        <v>1074</v>
      </c>
      <c r="K465" s="456">
        <v>1047.54</v>
      </c>
      <c r="L465">
        <v>940.98</v>
      </c>
      <c r="M465">
        <v>0</v>
      </c>
      <c r="N465">
        <v>0</v>
      </c>
    </row>
    <row r="466" spans="1:14">
      <c r="A466" t="s">
        <v>6804</v>
      </c>
      <c r="B466" t="s">
        <v>2265</v>
      </c>
      <c r="C466">
        <v>746</v>
      </c>
      <c r="D466" t="s">
        <v>2251</v>
      </c>
      <c r="E466" t="s">
        <v>6805</v>
      </c>
      <c r="F466" s="455">
        <v>44835</v>
      </c>
      <c r="G466" s="455">
        <v>45931</v>
      </c>
      <c r="H466" s="455">
        <v>46295</v>
      </c>
      <c r="I466" s="455">
        <v>46295</v>
      </c>
      <c r="J466" s="456">
        <v>1049</v>
      </c>
      <c r="K466" s="456">
        <v>1419.22</v>
      </c>
      <c r="L466" s="456">
        <v>1328.49</v>
      </c>
      <c r="M466">
        <v>0</v>
      </c>
      <c r="N466">
        <v>0</v>
      </c>
    </row>
    <row r="467" spans="1:14">
      <c r="A467" t="s">
        <v>6806</v>
      </c>
      <c r="B467" t="s">
        <v>2265</v>
      </c>
      <c r="C467">
        <v>746</v>
      </c>
      <c r="D467" t="s">
        <v>2252</v>
      </c>
      <c r="E467" t="s">
        <v>6807</v>
      </c>
      <c r="F467" s="455">
        <v>45555</v>
      </c>
      <c r="G467" s="455">
        <v>46162</v>
      </c>
      <c r="H467" s="455">
        <v>46526</v>
      </c>
      <c r="J467">
        <v>999</v>
      </c>
      <c r="K467" s="456">
        <v>1400.49</v>
      </c>
      <c r="L467" s="456">
        <v>1279</v>
      </c>
      <c r="M467">
        <v>0</v>
      </c>
      <c r="N467">
        <v>0</v>
      </c>
    </row>
    <row r="468" spans="1:14">
      <c r="A468" t="s">
        <v>3049</v>
      </c>
      <c r="B468" t="s">
        <v>2265</v>
      </c>
      <c r="C468">
        <v>746</v>
      </c>
      <c r="D468" t="s">
        <v>2252</v>
      </c>
      <c r="E468" t="s">
        <v>3050</v>
      </c>
      <c r="F468" s="455">
        <v>42948</v>
      </c>
      <c r="G468" s="455">
        <v>46235</v>
      </c>
      <c r="H468" s="455">
        <v>46599</v>
      </c>
      <c r="J468">
        <v>954</v>
      </c>
      <c r="K468" s="456">
        <v>1260.54</v>
      </c>
      <c r="L468" s="456">
        <v>1154</v>
      </c>
      <c r="M468">
        <v>0</v>
      </c>
      <c r="N468">
        <v>0</v>
      </c>
    </row>
    <row r="469" spans="1:14">
      <c r="A469" t="s">
        <v>6808</v>
      </c>
      <c r="B469" t="s">
        <v>2265</v>
      </c>
      <c r="C469">
        <v>746</v>
      </c>
      <c r="D469" t="s">
        <v>2252</v>
      </c>
      <c r="E469" t="s">
        <v>6809</v>
      </c>
      <c r="F469" s="455">
        <v>44526</v>
      </c>
      <c r="G469" s="455">
        <v>45992</v>
      </c>
      <c r="H469" s="455">
        <v>46356</v>
      </c>
      <c r="J469">
        <v>999</v>
      </c>
      <c r="K469" s="456">
        <v>1252.22</v>
      </c>
      <c r="L469" s="456">
        <v>1162</v>
      </c>
      <c r="M469">
        <v>0</v>
      </c>
      <c r="N469">
        <v>750</v>
      </c>
    </row>
    <row r="470" spans="1:14">
      <c r="A470" t="s">
        <v>6810</v>
      </c>
      <c r="B470" t="s">
        <v>2265</v>
      </c>
      <c r="C470">
        <v>746</v>
      </c>
      <c r="D470" t="s">
        <v>2252</v>
      </c>
      <c r="E470" t="s">
        <v>6811</v>
      </c>
      <c r="F470" s="455">
        <v>45334</v>
      </c>
      <c r="G470" s="455">
        <v>46065</v>
      </c>
      <c r="H470" s="455">
        <v>46429</v>
      </c>
      <c r="J470">
        <v>954</v>
      </c>
      <c r="K470" s="456">
        <v>1329.49</v>
      </c>
      <c r="L470" s="456">
        <v>1214</v>
      </c>
      <c r="M470">
        <v>0</v>
      </c>
      <c r="N470">
        <v>0</v>
      </c>
    </row>
    <row r="471" spans="1:14">
      <c r="A471" t="s">
        <v>6812</v>
      </c>
      <c r="B471" t="s">
        <v>2265</v>
      </c>
      <c r="C471">
        <v>746</v>
      </c>
      <c r="D471" t="s">
        <v>2252</v>
      </c>
      <c r="E471" t="s">
        <v>6813</v>
      </c>
      <c r="F471" s="455">
        <v>42673</v>
      </c>
      <c r="G471" s="455">
        <v>46143</v>
      </c>
      <c r="H471" s="455">
        <v>46507</v>
      </c>
      <c r="J471">
        <v>999</v>
      </c>
      <c r="K471" s="456">
        <v>1283.49</v>
      </c>
      <c r="L471" s="456">
        <v>1168</v>
      </c>
      <c r="M471">
        <v>0</v>
      </c>
      <c r="N471">
        <v>150</v>
      </c>
    </row>
    <row r="472" spans="1:14">
      <c r="A472" t="s">
        <v>6814</v>
      </c>
      <c r="B472" t="s">
        <v>2265</v>
      </c>
      <c r="C472">
        <v>746</v>
      </c>
      <c r="D472" t="s">
        <v>2252</v>
      </c>
      <c r="E472" t="s">
        <v>6815</v>
      </c>
      <c r="F472" s="455">
        <v>45488</v>
      </c>
      <c r="G472" s="455">
        <v>45914</v>
      </c>
      <c r="H472" s="455">
        <v>46278</v>
      </c>
      <c r="J472">
        <v>999</v>
      </c>
      <c r="K472" s="456">
        <v>1330.54</v>
      </c>
      <c r="L472" s="456">
        <v>1224</v>
      </c>
      <c r="M472">
        <v>0</v>
      </c>
      <c r="N472">
        <v>0</v>
      </c>
    </row>
    <row r="473" spans="1:14">
      <c r="A473" t="s">
        <v>6816</v>
      </c>
      <c r="B473" t="s">
        <v>2265</v>
      </c>
      <c r="C473">
        <v>746</v>
      </c>
      <c r="D473" t="s">
        <v>2251</v>
      </c>
      <c r="E473" t="s">
        <v>6817</v>
      </c>
      <c r="F473" s="455">
        <v>44568</v>
      </c>
      <c r="G473" s="455">
        <v>46023</v>
      </c>
      <c r="H473" s="455">
        <v>46269</v>
      </c>
      <c r="I473" s="455">
        <v>46269</v>
      </c>
      <c r="J473">
        <v>954</v>
      </c>
      <c r="K473" s="456">
        <v>1510.22</v>
      </c>
      <c r="L473" s="456">
        <v>1419.48</v>
      </c>
      <c r="M473">
        <v>0</v>
      </c>
      <c r="N473">
        <v>0</v>
      </c>
    </row>
    <row r="474" spans="1:14">
      <c r="A474" t="s">
        <v>1522</v>
      </c>
      <c r="B474" t="s">
        <v>2265</v>
      </c>
      <c r="C474">
        <v>746</v>
      </c>
      <c r="D474" t="s">
        <v>6389</v>
      </c>
      <c r="E474" t="s">
        <v>6384</v>
      </c>
      <c r="J474" s="456">
        <v>1024</v>
      </c>
      <c r="K474">
        <v>0</v>
      </c>
      <c r="L474">
        <v>0</v>
      </c>
      <c r="N474">
        <v>0</v>
      </c>
    </row>
    <row r="475" spans="1:14">
      <c r="A475" t="s">
        <v>6818</v>
      </c>
      <c r="B475" t="s">
        <v>2265</v>
      </c>
      <c r="C475">
        <v>746</v>
      </c>
      <c r="D475" t="s">
        <v>2252</v>
      </c>
      <c r="E475" t="s">
        <v>6819</v>
      </c>
      <c r="F475" s="455">
        <v>45499</v>
      </c>
      <c r="G475" s="455">
        <v>45926</v>
      </c>
      <c r="H475" s="455">
        <v>46290</v>
      </c>
      <c r="J475" s="456">
        <v>1024</v>
      </c>
      <c r="K475" s="456">
        <v>1351.38</v>
      </c>
      <c r="L475" s="456">
        <v>1224</v>
      </c>
      <c r="M475">
        <v>0</v>
      </c>
      <c r="N475">
        <v>0</v>
      </c>
    </row>
    <row r="476" spans="1:14">
      <c r="A476" t="s">
        <v>6820</v>
      </c>
      <c r="B476" t="s">
        <v>2265</v>
      </c>
      <c r="C476">
        <v>746</v>
      </c>
      <c r="D476" t="s">
        <v>2252</v>
      </c>
      <c r="E476" t="s">
        <v>6821</v>
      </c>
      <c r="F476" s="455">
        <v>40109</v>
      </c>
      <c r="G476" s="455">
        <v>46082</v>
      </c>
      <c r="H476" s="455">
        <v>46445</v>
      </c>
      <c r="J476">
        <v>979</v>
      </c>
      <c r="K476" s="456">
        <v>1199.6500000000001</v>
      </c>
      <c r="L476" s="456">
        <v>1041</v>
      </c>
      <c r="M476">
        <v>0</v>
      </c>
      <c r="N476">
        <v>0</v>
      </c>
    </row>
    <row r="477" spans="1:14">
      <c r="A477" t="s">
        <v>1564</v>
      </c>
      <c r="B477" t="s">
        <v>2265</v>
      </c>
      <c r="C477">
        <v>746</v>
      </c>
      <c r="D477" t="s">
        <v>6389</v>
      </c>
      <c r="E477" t="s">
        <v>6384</v>
      </c>
      <c r="J477">
        <v>979</v>
      </c>
      <c r="K477">
        <v>0</v>
      </c>
      <c r="L477">
        <v>0</v>
      </c>
      <c r="N477">
        <v>0</v>
      </c>
    </row>
    <row r="478" spans="1:14">
      <c r="A478" t="s">
        <v>6822</v>
      </c>
      <c r="B478" t="s">
        <v>2265</v>
      </c>
      <c r="C478">
        <v>746</v>
      </c>
      <c r="D478" t="s">
        <v>6389</v>
      </c>
      <c r="E478" t="s">
        <v>6384</v>
      </c>
      <c r="J478">
        <v>999</v>
      </c>
      <c r="K478">
        <v>0</v>
      </c>
      <c r="L478">
        <v>0</v>
      </c>
      <c r="N478">
        <v>0</v>
      </c>
    </row>
    <row r="479" spans="1:14">
      <c r="A479" t="s">
        <v>6823</v>
      </c>
      <c r="B479" t="s">
        <v>2265</v>
      </c>
      <c r="C479">
        <v>746</v>
      </c>
      <c r="D479" t="s">
        <v>6389</v>
      </c>
      <c r="E479" t="s">
        <v>6384</v>
      </c>
      <c r="J479">
        <v>999</v>
      </c>
      <c r="K479">
        <v>0</v>
      </c>
      <c r="L479">
        <v>0</v>
      </c>
      <c r="N479">
        <v>0</v>
      </c>
    </row>
    <row r="480" spans="1:14">
      <c r="A480" t="s">
        <v>6824</v>
      </c>
      <c r="B480" t="s">
        <v>2265</v>
      </c>
      <c r="C480">
        <v>746</v>
      </c>
      <c r="D480" t="s">
        <v>2252</v>
      </c>
      <c r="E480" t="s">
        <v>6825</v>
      </c>
      <c r="F480" s="455">
        <v>45108</v>
      </c>
      <c r="G480" s="455">
        <v>46204</v>
      </c>
      <c r="H480" s="455">
        <v>46568</v>
      </c>
      <c r="J480">
        <v>999</v>
      </c>
      <c r="K480" s="456">
        <v>1359.7</v>
      </c>
      <c r="L480" s="456">
        <v>1216</v>
      </c>
      <c r="M480">
        <v>0</v>
      </c>
      <c r="N480">
        <v>750</v>
      </c>
    </row>
    <row r="481" spans="1:14">
      <c r="A481" t="s">
        <v>6826</v>
      </c>
      <c r="B481" t="s">
        <v>2265</v>
      </c>
      <c r="C481">
        <v>746</v>
      </c>
      <c r="D481" t="s">
        <v>2252</v>
      </c>
      <c r="E481" t="s">
        <v>6827</v>
      </c>
      <c r="F481" s="455">
        <v>38651</v>
      </c>
      <c r="G481" s="455">
        <v>46113</v>
      </c>
      <c r="H481" s="455">
        <v>46477</v>
      </c>
      <c r="J481">
        <v>954</v>
      </c>
      <c r="K481" s="456">
        <v>1240.33</v>
      </c>
      <c r="L481" s="456">
        <v>1104</v>
      </c>
      <c r="M481">
        <v>0</v>
      </c>
      <c r="N481">
        <v>0</v>
      </c>
    </row>
    <row r="482" spans="1:14">
      <c r="A482" t="s">
        <v>6828</v>
      </c>
      <c r="B482" t="s">
        <v>2265</v>
      </c>
      <c r="C482">
        <v>746</v>
      </c>
      <c r="D482" t="s">
        <v>2252</v>
      </c>
      <c r="E482" t="s">
        <v>6829</v>
      </c>
      <c r="F482" s="455">
        <v>40116</v>
      </c>
      <c r="G482" s="455">
        <v>46113</v>
      </c>
      <c r="H482" s="455">
        <v>46477</v>
      </c>
      <c r="J482">
        <v>979</v>
      </c>
      <c r="K482" s="456">
        <v>1204.6500000000001</v>
      </c>
      <c r="L482" s="456">
        <v>1046</v>
      </c>
      <c r="M482">
        <v>0</v>
      </c>
      <c r="N482">
        <v>175</v>
      </c>
    </row>
    <row r="483" spans="1:14">
      <c r="A483" t="s">
        <v>6830</v>
      </c>
      <c r="B483" t="s">
        <v>2265</v>
      </c>
      <c r="C483">
        <v>746</v>
      </c>
      <c r="D483" t="s">
        <v>2252</v>
      </c>
      <c r="E483" t="s">
        <v>6831</v>
      </c>
      <c r="F483" s="455">
        <v>43709</v>
      </c>
      <c r="G483" s="455">
        <v>45901</v>
      </c>
      <c r="H483" s="455">
        <v>46265</v>
      </c>
      <c r="J483" s="456">
        <v>1074</v>
      </c>
      <c r="K483" s="456">
        <v>1125.7</v>
      </c>
      <c r="L483" s="456">
        <v>1231.5</v>
      </c>
      <c r="M483">
        <v>0</v>
      </c>
      <c r="N483">
        <v>0</v>
      </c>
    </row>
    <row r="484" spans="1:14">
      <c r="A484" t="s">
        <v>6832</v>
      </c>
      <c r="B484" t="s">
        <v>2265</v>
      </c>
      <c r="C484">
        <v>746</v>
      </c>
      <c r="D484" t="s">
        <v>2252</v>
      </c>
      <c r="E484" t="s">
        <v>6833</v>
      </c>
      <c r="F484" s="455">
        <v>43609</v>
      </c>
      <c r="G484" s="455">
        <v>46174</v>
      </c>
      <c r="H484" s="455">
        <v>46538</v>
      </c>
      <c r="J484" s="456">
        <v>1024</v>
      </c>
      <c r="K484" s="456">
        <v>1270.7</v>
      </c>
      <c r="L484" s="456">
        <v>1127</v>
      </c>
      <c r="M484">
        <v>0</v>
      </c>
      <c r="N484">
        <v>150</v>
      </c>
    </row>
    <row r="485" spans="1:14">
      <c r="A485" t="s">
        <v>6834</v>
      </c>
      <c r="B485" t="s">
        <v>2265</v>
      </c>
      <c r="C485">
        <v>746</v>
      </c>
      <c r="D485" t="s">
        <v>6389</v>
      </c>
      <c r="E485" t="s">
        <v>6384</v>
      </c>
      <c r="J485">
        <v>979</v>
      </c>
      <c r="K485">
        <v>0</v>
      </c>
      <c r="L485">
        <v>0</v>
      </c>
      <c r="N485">
        <v>0</v>
      </c>
    </row>
    <row r="486" spans="1:14">
      <c r="A486" t="s">
        <v>1584</v>
      </c>
      <c r="B486" t="s">
        <v>2265</v>
      </c>
      <c r="C486">
        <v>746</v>
      </c>
      <c r="D486" t="s">
        <v>6389</v>
      </c>
      <c r="E486" t="s">
        <v>6384</v>
      </c>
      <c r="J486" s="456">
        <v>1049</v>
      </c>
      <c r="K486">
        <v>0</v>
      </c>
      <c r="L486">
        <v>0</v>
      </c>
      <c r="N486">
        <v>0</v>
      </c>
    </row>
    <row r="487" spans="1:14">
      <c r="A487" t="s">
        <v>5883</v>
      </c>
      <c r="B487" t="s">
        <v>2265</v>
      </c>
      <c r="C487">
        <v>746</v>
      </c>
      <c r="D487" t="s">
        <v>6389</v>
      </c>
      <c r="E487" t="s">
        <v>6384</v>
      </c>
      <c r="J487">
        <v>954</v>
      </c>
      <c r="K487">
        <v>0</v>
      </c>
      <c r="L487">
        <v>0</v>
      </c>
      <c r="N487">
        <v>0</v>
      </c>
    </row>
    <row r="488" spans="1:14">
      <c r="A488" t="s">
        <v>1586</v>
      </c>
      <c r="B488" t="s">
        <v>2265</v>
      </c>
      <c r="C488">
        <v>746</v>
      </c>
      <c r="D488" t="s">
        <v>6389</v>
      </c>
      <c r="E488" t="s">
        <v>6384</v>
      </c>
      <c r="J488">
        <v>999</v>
      </c>
      <c r="K488">
        <v>0</v>
      </c>
      <c r="L488">
        <v>0</v>
      </c>
      <c r="N488">
        <v>0</v>
      </c>
    </row>
    <row r="489" spans="1:14">
      <c r="A489" t="s">
        <v>6835</v>
      </c>
      <c r="B489" t="s">
        <v>2265</v>
      </c>
      <c r="C489">
        <v>746</v>
      </c>
      <c r="D489" t="s">
        <v>2252</v>
      </c>
      <c r="E489" t="s">
        <v>6836</v>
      </c>
      <c r="F489" s="455">
        <v>45687</v>
      </c>
      <c r="G489" s="455">
        <v>46110</v>
      </c>
      <c r="H489" s="455">
        <v>46473</v>
      </c>
      <c r="J489">
        <v>954</v>
      </c>
      <c r="K489" s="456">
        <v>1457.65</v>
      </c>
      <c r="L489" s="456">
        <v>1299</v>
      </c>
      <c r="M489">
        <v>0</v>
      </c>
      <c r="N489">
        <v>0</v>
      </c>
    </row>
    <row r="490" spans="1:14">
      <c r="A490" t="s">
        <v>6837</v>
      </c>
      <c r="B490" t="s">
        <v>2265</v>
      </c>
      <c r="C490">
        <v>746</v>
      </c>
      <c r="D490" t="s">
        <v>2251</v>
      </c>
      <c r="E490" t="s">
        <v>6838</v>
      </c>
      <c r="F490" s="455">
        <v>45232</v>
      </c>
      <c r="G490" s="455">
        <v>46082</v>
      </c>
      <c r="H490" s="455">
        <v>46266</v>
      </c>
      <c r="I490" s="455">
        <v>46266</v>
      </c>
      <c r="J490" s="456">
        <v>1024</v>
      </c>
      <c r="K490" s="456">
        <v>1563.7</v>
      </c>
      <c r="L490" s="456">
        <v>1419.5</v>
      </c>
      <c r="M490">
        <v>0</v>
      </c>
      <c r="N490">
        <v>0</v>
      </c>
    </row>
    <row r="491" spans="1:14">
      <c r="A491" t="s">
        <v>6839</v>
      </c>
      <c r="B491" t="s">
        <v>2265</v>
      </c>
      <c r="C491">
        <v>746</v>
      </c>
      <c r="D491" t="s">
        <v>2252</v>
      </c>
      <c r="E491" t="s">
        <v>6840</v>
      </c>
      <c r="F491" s="455">
        <v>43598</v>
      </c>
      <c r="G491" s="455">
        <v>46174</v>
      </c>
      <c r="H491" s="455">
        <v>46538</v>
      </c>
      <c r="J491">
        <v>979</v>
      </c>
      <c r="K491" s="456">
        <v>1227.3800000000001</v>
      </c>
      <c r="L491" s="456">
        <v>1100</v>
      </c>
      <c r="M491">
        <v>0</v>
      </c>
      <c r="N491">
        <v>150</v>
      </c>
    </row>
    <row r="492" spans="1:14">
      <c r="A492" t="s">
        <v>6841</v>
      </c>
      <c r="B492" t="s">
        <v>2265</v>
      </c>
      <c r="C492">
        <v>746</v>
      </c>
      <c r="D492" t="s">
        <v>2252</v>
      </c>
      <c r="E492" t="s">
        <v>6842</v>
      </c>
      <c r="F492" s="455">
        <v>45639</v>
      </c>
      <c r="G492" s="455">
        <v>46066</v>
      </c>
      <c r="H492" s="455">
        <v>46430</v>
      </c>
      <c r="J492">
        <v>979</v>
      </c>
      <c r="K492" s="456">
        <v>1410.33</v>
      </c>
      <c r="L492" s="456">
        <v>1274</v>
      </c>
      <c r="M492">
        <v>0</v>
      </c>
      <c r="N492">
        <v>0</v>
      </c>
    </row>
    <row r="493" spans="1:14">
      <c r="A493" t="s">
        <v>6843</v>
      </c>
      <c r="B493" t="s">
        <v>2265</v>
      </c>
      <c r="C493">
        <v>746</v>
      </c>
      <c r="D493" t="s">
        <v>2252</v>
      </c>
      <c r="E493" t="s">
        <v>6844</v>
      </c>
      <c r="F493" s="455">
        <v>45583</v>
      </c>
      <c r="G493" s="455">
        <v>45948</v>
      </c>
      <c r="H493" s="455">
        <v>46312</v>
      </c>
      <c r="J493">
        <v>979</v>
      </c>
      <c r="K493" s="456">
        <v>1282.3800000000001</v>
      </c>
      <c r="L493" s="456">
        <v>1155</v>
      </c>
      <c r="M493">
        <v>0</v>
      </c>
      <c r="N493">
        <v>150</v>
      </c>
    </row>
    <row r="494" spans="1:14">
      <c r="A494" t="s">
        <v>2425</v>
      </c>
      <c r="B494" t="s">
        <v>2265</v>
      </c>
      <c r="C494">
        <v>746</v>
      </c>
      <c r="D494" t="s">
        <v>6389</v>
      </c>
      <c r="E494" t="s">
        <v>6384</v>
      </c>
      <c r="J494" s="456">
        <v>1049</v>
      </c>
      <c r="K494">
        <v>0</v>
      </c>
      <c r="L494">
        <v>0</v>
      </c>
      <c r="N494">
        <v>0</v>
      </c>
    </row>
    <row r="495" spans="1:14">
      <c r="A495" t="s">
        <v>6845</v>
      </c>
      <c r="B495" t="s">
        <v>2265</v>
      </c>
      <c r="C495">
        <v>746</v>
      </c>
      <c r="D495" t="s">
        <v>2252</v>
      </c>
      <c r="E495" t="s">
        <v>6846</v>
      </c>
      <c r="F495" s="455">
        <v>41976</v>
      </c>
      <c r="G495" s="455">
        <v>46174</v>
      </c>
      <c r="H495" s="455">
        <v>46538</v>
      </c>
      <c r="J495">
        <v>954</v>
      </c>
      <c r="K495" s="456">
        <v>1405.03</v>
      </c>
      <c r="L495" s="456">
        <v>1245</v>
      </c>
      <c r="M495">
        <v>0</v>
      </c>
      <c r="N495">
        <v>175</v>
      </c>
    </row>
    <row r="496" spans="1:14">
      <c r="A496" t="s">
        <v>6847</v>
      </c>
      <c r="B496" t="s">
        <v>2265</v>
      </c>
      <c r="C496">
        <v>746</v>
      </c>
      <c r="D496" t="s">
        <v>2252</v>
      </c>
      <c r="E496" t="s">
        <v>6848</v>
      </c>
      <c r="F496" s="455">
        <v>45139</v>
      </c>
      <c r="G496" s="455">
        <v>45931</v>
      </c>
      <c r="H496" s="455">
        <v>46295</v>
      </c>
      <c r="J496">
        <v>954</v>
      </c>
      <c r="K496" s="456">
        <v>1320.38</v>
      </c>
      <c r="L496" s="456">
        <v>1192.5</v>
      </c>
      <c r="M496">
        <v>0</v>
      </c>
      <c r="N496">
        <v>0</v>
      </c>
    </row>
    <row r="497" spans="1:14">
      <c r="A497" t="s">
        <v>6849</v>
      </c>
      <c r="B497" t="s">
        <v>2265</v>
      </c>
      <c r="C497">
        <v>746</v>
      </c>
      <c r="D497" t="s">
        <v>2252</v>
      </c>
      <c r="E497" t="s">
        <v>6850</v>
      </c>
      <c r="F497" s="455">
        <v>44253</v>
      </c>
      <c r="G497" s="455">
        <v>46084</v>
      </c>
      <c r="H497" s="455">
        <v>46448</v>
      </c>
      <c r="J497" s="456">
        <v>1049</v>
      </c>
      <c r="K497" s="456">
        <v>1454.65</v>
      </c>
      <c r="L497" s="456">
        <v>1296</v>
      </c>
      <c r="M497">
        <v>0</v>
      </c>
      <c r="N497">
        <v>0</v>
      </c>
    </row>
    <row r="498" spans="1:14">
      <c r="A498" t="s">
        <v>6851</v>
      </c>
      <c r="B498" t="s">
        <v>2265</v>
      </c>
      <c r="C498">
        <v>746</v>
      </c>
      <c r="D498" t="s">
        <v>2252</v>
      </c>
      <c r="E498" t="s">
        <v>3167</v>
      </c>
      <c r="F498" s="455">
        <v>44544</v>
      </c>
      <c r="G498" s="455">
        <v>45992</v>
      </c>
      <c r="H498" s="455">
        <v>46356</v>
      </c>
      <c r="J498">
        <v>979</v>
      </c>
      <c r="K498" s="456">
        <v>1325.7</v>
      </c>
      <c r="L498" s="456">
        <v>1181.99</v>
      </c>
      <c r="M498">
        <v>0</v>
      </c>
      <c r="N498">
        <v>750</v>
      </c>
    </row>
    <row r="499" spans="1:14">
      <c r="A499" t="s">
        <v>1534</v>
      </c>
      <c r="B499" t="s">
        <v>2265</v>
      </c>
      <c r="C499">
        <v>746</v>
      </c>
      <c r="D499" t="s">
        <v>6389</v>
      </c>
      <c r="E499" t="s">
        <v>6384</v>
      </c>
      <c r="J499" s="456">
        <v>1024</v>
      </c>
      <c r="K499">
        <v>0</v>
      </c>
      <c r="L499">
        <v>0</v>
      </c>
      <c r="N499">
        <v>0</v>
      </c>
    </row>
    <row r="500" spans="1:14">
      <c r="A500" t="s">
        <v>3198</v>
      </c>
      <c r="B500" t="s">
        <v>2265</v>
      </c>
      <c r="C500">
        <v>746</v>
      </c>
      <c r="D500" t="s">
        <v>2252</v>
      </c>
      <c r="E500" t="s">
        <v>3840</v>
      </c>
      <c r="F500" s="455">
        <v>46200</v>
      </c>
      <c r="G500" s="455">
        <v>46200</v>
      </c>
      <c r="H500" s="455">
        <v>46564</v>
      </c>
      <c r="J500" s="456">
        <v>1074</v>
      </c>
      <c r="K500" s="456">
        <v>1207.5999999999999</v>
      </c>
      <c r="L500" s="456">
        <v>1203</v>
      </c>
      <c r="M500">
        <v>0</v>
      </c>
      <c r="N500">
        <v>0</v>
      </c>
    </row>
    <row r="501" spans="1:14">
      <c r="A501" t="s">
        <v>3051</v>
      </c>
      <c r="B501" t="s">
        <v>2265</v>
      </c>
      <c r="C501">
        <v>746</v>
      </c>
      <c r="D501" t="s">
        <v>2252</v>
      </c>
      <c r="E501" t="s">
        <v>3052</v>
      </c>
      <c r="F501" s="455">
        <v>45842</v>
      </c>
      <c r="G501" s="455">
        <v>46207</v>
      </c>
      <c r="H501" s="455">
        <v>46571</v>
      </c>
      <c r="J501">
        <v>979</v>
      </c>
      <c r="K501" s="456">
        <v>1356.38</v>
      </c>
      <c r="L501" s="456">
        <v>1229</v>
      </c>
      <c r="M501">
        <v>0</v>
      </c>
      <c r="N501">
        <v>750</v>
      </c>
    </row>
    <row r="502" spans="1:14">
      <c r="A502" t="s">
        <v>6852</v>
      </c>
      <c r="B502" t="s">
        <v>2265</v>
      </c>
      <c r="C502">
        <v>746</v>
      </c>
      <c r="D502" t="s">
        <v>2252</v>
      </c>
      <c r="E502" t="s">
        <v>6853</v>
      </c>
      <c r="F502" s="455">
        <v>44967</v>
      </c>
      <c r="G502" s="455">
        <v>46113</v>
      </c>
      <c r="H502" s="455">
        <v>46477</v>
      </c>
      <c r="J502" s="456">
        <v>1049</v>
      </c>
      <c r="K502" s="456">
        <v>1557.65</v>
      </c>
      <c r="L502" s="456">
        <v>1399</v>
      </c>
      <c r="M502">
        <v>0</v>
      </c>
      <c r="N502">
        <v>0</v>
      </c>
    </row>
    <row r="503" spans="1:14">
      <c r="A503" t="s">
        <v>6854</v>
      </c>
      <c r="B503" t="s">
        <v>2265</v>
      </c>
      <c r="C503">
        <v>746</v>
      </c>
      <c r="D503" t="s">
        <v>2252</v>
      </c>
      <c r="E503" t="s">
        <v>6855</v>
      </c>
      <c r="F503" s="455">
        <v>42972</v>
      </c>
      <c r="G503" s="455">
        <v>45901</v>
      </c>
      <c r="H503" s="455">
        <v>46265</v>
      </c>
      <c r="J503">
        <v>954</v>
      </c>
      <c r="K503" s="456">
        <v>1325.7</v>
      </c>
      <c r="L503" s="456">
        <v>1181.5</v>
      </c>
      <c r="M503">
        <v>0</v>
      </c>
      <c r="N503">
        <v>0</v>
      </c>
    </row>
    <row r="504" spans="1:14">
      <c r="A504" t="s">
        <v>6856</v>
      </c>
      <c r="B504" t="s">
        <v>2265</v>
      </c>
      <c r="C504">
        <v>746</v>
      </c>
      <c r="D504" t="s">
        <v>2252</v>
      </c>
      <c r="E504" t="s">
        <v>6857</v>
      </c>
      <c r="F504" s="455">
        <v>45555</v>
      </c>
      <c r="G504" s="455">
        <v>45981</v>
      </c>
      <c r="H504" s="455">
        <v>46345</v>
      </c>
      <c r="J504">
        <v>954</v>
      </c>
      <c r="K504" s="456">
        <v>1305.7</v>
      </c>
      <c r="L504" s="456">
        <v>1161.49</v>
      </c>
      <c r="M504">
        <v>0</v>
      </c>
      <c r="N504">
        <v>750</v>
      </c>
    </row>
    <row r="505" spans="1:14">
      <c r="A505" t="s">
        <v>6031</v>
      </c>
      <c r="B505" t="s">
        <v>2265</v>
      </c>
      <c r="C505">
        <v>746</v>
      </c>
      <c r="D505" t="s">
        <v>6389</v>
      </c>
      <c r="E505" t="s">
        <v>6384</v>
      </c>
      <c r="J505">
        <v>954</v>
      </c>
      <c r="K505">
        <v>0</v>
      </c>
      <c r="L505">
        <v>0</v>
      </c>
      <c r="N505">
        <v>0</v>
      </c>
    </row>
    <row r="506" spans="1:14">
      <c r="A506" t="s">
        <v>2453</v>
      </c>
      <c r="B506" t="s">
        <v>2265</v>
      </c>
      <c r="C506">
        <v>746</v>
      </c>
      <c r="D506" t="s">
        <v>6389</v>
      </c>
      <c r="E506" t="s">
        <v>6384</v>
      </c>
      <c r="J506" s="456">
        <v>1024</v>
      </c>
      <c r="K506">
        <v>0</v>
      </c>
      <c r="L506">
        <v>0</v>
      </c>
      <c r="N506">
        <v>0</v>
      </c>
    </row>
    <row r="507" spans="1:14">
      <c r="A507" t="s">
        <v>2455</v>
      </c>
      <c r="B507" t="s">
        <v>2265</v>
      </c>
      <c r="C507">
        <v>746</v>
      </c>
      <c r="D507" t="s">
        <v>6389</v>
      </c>
      <c r="E507" t="s">
        <v>6384</v>
      </c>
      <c r="J507" s="456">
        <v>1024</v>
      </c>
      <c r="K507">
        <v>0</v>
      </c>
      <c r="L507">
        <v>0</v>
      </c>
      <c r="N507">
        <v>0</v>
      </c>
    </row>
    <row r="508" spans="1:14">
      <c r="A508" t="s">
        <v>6858</v>
      </c>
      <c r="B508" t="s">
        <v>2265</v>
      </c>
      <c r="C508">
        <v>746</v>
      </c>
      <c r="D508" t="s">
        <v>6389</v>
      </c>
      <c r="E508" t="s">
        <v>6384</v>
      </c>
      <c r="J508">
        <v>979</v>
      </c>
      <c r="K508">
        <v>0</v>
      </c>
      <c r="L508">
        <v>0</v>
      </c>
      <c r="N508">
        <v>0</v>
      </c>
    </row>
    <row r="509" spans="1:14">
      <c r="A509" t="s">
        <v>6859</v>
      </c>
      <c r="B509" t="s">
        <v>2265</v>
      </c>
      <c r="C509">
        <v>746</v>
      </c>
      <c r="D509" t="s">
        <v>2252</v>
      </c>
      <c r="E509" t="s">
        <v>6860</v>
      </c>
      <c r="F509" s="455">
        <v>42636</v>
      </c>
      <c r="G509" s="455">
        <v>45931</v>
      </c>
      <c r="H509" s="455">
        <v>46295</v>
      </c>
      <c r="J509" s="456">
        <v>1024</v>
      </c>
      <c r="K509" s="456">
        <v>1217.54</v>
      </c>
      <c r="L509" s="456">
        <v>1111</v>
      </c>
      <c r="M509">
        <v>0</v>
      </c>
      <c r="N509">
        <v>150</v>
      </c>
    </row>
    <row r="510" spans="1:14">
      <c r="A510" t="s">
        <v>1220</v>
      </c>
      <c r="B510" t="s">
        <v>2265</v>
      </c>
      <c r="C510">
        <v>746</v>
      </c>
      <c r="D510" t="s">
        <v>6389</v>
      </c>
      <c r="E510" t="s">
        <v>6384</v>
      </c>
      <c r="J510">
        <v>979</v>
      </c>
      <c r="K510">
        <v>0</v>
      </c>
      <c r="L510">
        <v>0</v>
      </c>
      <c r="N510">
        <v>0</v>
      </c>
    </row>
    <row r="511" spans="1:14">
      <c r="A511" t="s">
        <v>6861</v>
      </c>
      <c r="B511" t="s">
        <v>2265</v>
      </c>
      <c r="C511">
        <v>746</v>
      </c>
      <c r="D511" t="s">
        <v>2252</v>
      </c>
      <c r="E511" t="s">
        <v>6573</v>
      </c>
      <c r="F511" s="455">
        <v>41509</v>
      </c>
      <c r="G511" s="455">
        <v>46174</v>
      </c>
      <c r="H511" s="455">
        <v>46538</v>
      </c>
      <c r="J511">
        <v>979</v>
      </c>
      <c r="K511" s="456">
        <v>1210.54</v>
      </c>
      <c r="L511" s="456">
        <v>1104</v>
      </c>
      <c r="M511">
        <v>0</v>
      </c>
      <c r="N511">
        <v>0</v>
      </c>
    </row>
    <row r="512" spans="1:14">
      <c r="A512" t="s">
        <v>6862</v>
      </c>
      <c r="B512" t="s">
        <v>2265</v>
      </c>
      <c r="C512">
        <v>746</v>
      </c>
      <c r="D512" t="s">
        <v>2252</v>
      </c>
      <c r="E512" t="s">
        <v>6863</v>
      </c>
      <c r="F512" s="455">
        <v>45569</v>
      </c>
      <c r="G512" s="455">
        <v>45995</v>
      </c>
      <c r="H512" s="455">
        <v>46359</v>
      </c>
      <c r="J512" s="456">
        <v>1074</v>
      </c>
      <c r="K512" s="456">
        <v>1455.22</v>
      </c>
      <c r="L512" s="456">
        <v>1364.5</v>
      </c>
      <c r="M512">
        <v>0</v>
      </c>
      <c r="N512">
        <v>0</v>
      </c>
    </row>
    <row r="513" spans="1:14">
      <c r="A513" t="s">
        <v>1923</v>
      </c>
      <c r="B513" t="s">
        <v>2265</v>
      </c>
      <c r="C513">
        <v>746</v>
      </c>
      <c r="D513" t="s">
        <v>6389</v>
      </c>
      <c r="E513" t="s">
        <v>6384</v>
      </c>
      <c r="J513" s="456">
        <v>1074</v>
      </c>
      <c r="K513">
        <v>0</v>
      </c>
      <c r="L513">
        <v>0</v>
      </c>
      <c r="N513">
        <v>0</v>
      </c>
    </row>
    <row r="514" spans="1:14">
      <c r="A514" t="s">
        <v>6127</v>
      </c>
      <c r="B514" t="s">
        <v>2265</v>
      </c>
      <c r="C514">
        <v>746</v>
      </c>
      <c r="D514" t="s">
        <v>6389</v>
      </c>
      <c r="E514" t="s">
        <v>6384</v>
      </c>
      <c r="J514" s="456">
        <v>1049</v>
      </c>
      <c r="K514">
        <v>0</v>
      </c>
      <c r="L514">
        <v>0</v>
      </c>
      <c r="N514">
        <v>0</v>
      </c>
    </row>
    <row r="515" spans="1:14">
      <c r="A515" t="s">
        <v>6864</v>
      </c>
      <c r="B515" t="s">
        <v>2265</v>
      </c>
      <c r="C515">
        <v>746</v>
      </c>
      <c r="D515" t="s">
        <v>2252</v>
      </c>
      <c r="E515" t="s">
        <v>6865</v>
      </c>
      <c r="F515" s="455">
        <v>37179</v>
      </c>
      <c r="G515" s="455">
        <v>46204</v>
      </c>
      <c r="H515" s="455">
        <v>46568</v>
      </c>
      <c r="J515">
        <v>954</v>
      </c>
      <c r="K515" s="456">
        <v>1176.54</v>
      </c>
      <c r="L515" s="456">
        <v>1070</v>
      </c>
      <c r="M515">
        <v>0</v>
      </c>
      <c r="N515">
        <v>225</v>
      </c>
    </row>
    <row r="516" spans="1:14">
      <c r="A516" t="s">
        <v>3849</v>
      </c>
      <c r="B516" t="s">
        <v>2265</v>
      </c>
      <c r="C516">
        <v>746</v>
      </c>
      <c r="D516" t="s">
        <v>6513</v>
      </c>
      <c r="E516" t="s">
        <v>6384</v>
      </c>
      <c r="J516">
        <v>999</v>
      </c>
      <c r="K516">
        <v>0</v>
      </c>
      <c r="L516">
        <v>0</v>
      </c>
      <c r="N516">
        <v>0</v>
      </c>
    </row>
    <row r="517" spans="1:14">
      <c r="A517" t="s">
        <v>2458</v>
      </c>
      <c r="B517" t="s">
        <v>2265</v>
      </c>
      <c r="C517">
        <v>746</v>
      </c>
      <c r="D517" t="s">
        <v>6389</v>
      </c>
      <c r="E517" t="s">
        <v>6384</v>
      </c>
      <c r="J517">
        <v>954</v>
      </c>
      <c r="K517">
        <v>0</v>
      </c>
      <c r="L517">
        <v>0</v>
      </c>
      <c r="N517">
        <v>0</v>
      </c>
    </row>
    <row r="518" spans="1:14">
      <c r="A518" t="s">
        <v>6866</v>
      </c>
      <c r="B518" t="s">
        <v>2265</v>
      </c>
      <c r="C518">
        <v>746</v>
      </c>
      <c r="D518" t="s">
        <v>2252</v>
      </c>
      <c r="E518" t="s">
        <v>6867</v>
      </c>
      <c r="F518" s="455">
        <v>45233</v>
      </c>
      <c r="G518" s="455">
        <v>46082</v>
      </c>
      <c r="H518" s="455">
        <v>46445</v>
      </c>
      <c r="J518">
        <v>954</v>
      </c>
      <c r="K518" s="456">
        <v>1363.17</v>
      </c>
      <c r="L518" s="456">
        <v>1264</v>
      </c>
      <c r="M518">
        <v>0</v>
      </c>
      <c r="N518">
        <v>0</v>
      </c>
    </row>
    <row r="519" spans="1:14">
      <c r="A519" t="s">
        <v>2460</v>
      </c>
      <c r="B519" t="s">
        <v>2265</v>
      </c>
      <c r="C519">
        <v>746</v>
      </c>
      <c r="D519" t="s">
        <v>6389</v>
      </c>
      <c r="E519" t="s">
        <v>6384</v>
      </c>
      <c r="J519">
        <v>954</v>
      </c>
      <c r="K519">
        <v>0</v>
      </c>
      <c r="L519">
        <v>0</v>
      </c>
      <c r="N519">
        <v>0</v>
      </c>
    </row>
    <row r="520" spans="1:14">
      <c r="A520" t="s">
        <v>5750</v>
      </c>
      <c r="B520" t="s">
        <v>2265</v>
      </c>
      <c r="C520">
        <v>746</v>
      </c>
      <c r="D520" t="s">
        <v>6389</v>
      </c>
      <c r="E520" t="s">
        <v>6384</v>
      </c>
      <c r="J520">
        <v>954</v>
      </c>
      <c r="K520">
        <v>0</v>
      </c>
      <c r="L520">
        <v>0</v>
      </c>
      <c r="N520">
        <v>0</v>
      </c>
    </row>
    <row r="521" spans="1:14">
      <c r="A521" t="s">
        <v>2462</v>
      </c>
      <c r="B521" t="s">
        <v>2265</v>
      </c>
      <c r="C521">
        <v>746</v>
      </c>
      <c r="D521" t="s">
        <v>6389</v>
      </c>
      <c r="E521" t="s">
        <v>6384</v>
      </c>
      <c r="J521">
        <v>999</v>
      </c>
      <c r="K521">
        <v>0</v>
      </c>
      <c r="L521">
        <v>0</v>
      </c>
      <c r="N521">
        <v>0</v>
      </c>
    </row>
    <row r="522" spans="1:14">
      <c r="A522" t="s">
        <v>2488</v>
      </c>
      <c r="B522" t="s">
        <v>2266</v>
      </c>
      <c r="C522">
        <v>753</v>
      </c>
      <c r="D522" t="s">
        <v>2252</v>
      </c>
      <c r="E522" t="s">
        <v>4023</v>
      </c>
      <c r="F522" s="455">
        <v>46184</v>
      </c>
      <c r="G522" s="455">
        <v>46184</v>
      </c>
      <c r="H522" s="455">
        <v>46548</v>
      </c>
      <c r="J522" s="456">
        <v>1077</v>
      </c>
      <c r="K522" s="456">
        <v>1184</v>
      </c>
      <c r="L522" s="456">
        <v>1173</v>
      </c>
      <c r="M522">
        <v>0</v>
      </c>
      <c r="N522">
        <v>500</v>
      </c>
    </row>
    <row r="523" spans="1:14">
      <c r="A523" t="s">
        <v>6868</v>
      </c>
      <c r="B523" t="s">
        <v>2266</v>
      </c>
      <c r="C523">
        <v>753</v>
      </c>
      <c r="D523" t="s">
        <v>2252</v>
      </c>
      <c r="E523" t="s">
        <v>6869</v>
      </c>
      <c r="F523" s="455">
        <v>45997</v>
      </c>
      <c r="G523" s="455">
        <v>45997</v>
      </c>
      <c r="H523" s="455">
        <v>46361</v>
      </c>
      <c r="J523" s="456">
        <v>1077</v>
      </c>
      <c r="K523" s="456">
        <v>1230.73</v>
      </c>
      <c r="L523" s="456">
        <v>1179.5</v>
      </c>
      <c r="M523">
        <v>0</v>
      </c>
      <c r="N523">
        <v>0</v>
      </c>
    </row>
    <row r="524" spans="1:14">
      <c r="A524" t="s">
        <v>1227</v>
      </c>
      <c r="B524" t="s">
        <v>2266</v>
      </c>
      <c r="C524">
        <v>753</v>
      </c>
      <c r="D524" t="s">
        <v>2252</v>
      </c>
      <c r="E524" t="s">
        <v>2490</v>
      </c>
      <c r="F524" s="455">
        <v>46121</v>
      </c>
      <c r="G524" s="455">
        <v>46121</v>
      </c>
      <c r="H524" s="455">
        <v>46485</v>
      </c>
      <c r="J524" s="456">
        <v>1077</v>
      </c>
      <c r="K524" s="456">
        <v>1359.53</v>
      </c>
      <c r="L524" s="456">
        <v>1206</v>
      </c>
      <c r="M524" s="456">
        <v>3077.2</v>
      </c>
      <c r="N524">
        <v>0</v>
      </c>
    </row>
    <row r="525" spans="1:14">
      <c r="A525" t="s">
        <v>1956</v>
      </c>
      <c r="B525" t="s">
        <v>2266</v>
      </c>
      <c r="C525">
        <v>753</v>
      </c>
      <c r="D525" t="s">
        <v>2252</v>
      </c>
      <c r="E525" t="s">
        <v>3580</v>
      </c>
      <c r="F525" s="455">
        <v>46206</v>
      </c>
      <c r="G525" s="455">
        <v>46206</v>
      </c>
      <c r="H525" s="455">
        <v>46570</v>
      </c>
      <c r="J525" s="456">
        <v>1077</v>
      </c>
      <c r="K525">
        <v>129</v>
      </c>
      <c r="L525" s="456">
        <v>1206</v>
      </c>
      <c r="M525">
        <v>0</v>
      </c>
      <c r="N525">
        <v>0</v>
      </c>
    </row>
    <row r="526" spans="1:14">
      <c r="A526" t="s">
        <v>6870</v>
      </c>
      <c r="B526" t="s">
        <v>2266</v>
      </c>
      <c r="C526">
        <v>753</v>
      </c>
      <c r="D526" t="s">
        <v>2252</v>
      </c>
      <c r="E526" t="s">
        <v>6871</v>
      </c>
      <c r="F526" s="455">
        <v>40368</v>
      </c>
      <c r="G526" s="455">
        <v>46204</v>
      </c>
      <c r="H526" s="455">
        <v>46568</v>
      </c>
      <c r="J526">
        <v>982</v>
      </c>
      <c r="K526" s="456">
        <v>1073.73</v>
      </c>
      <c r="L526" s="456">
        <v>1023</v>
      </c>
      <c r="M526">
        <v>0</v>
      </c>
      <c r="N526">
        <v>400</v>
      </c>
    </row>
    <row r="527" spans="1:14">
      <c r="A527" t="s">
        <v>6872</v>
      </c>
      <c r="B527" t="s">
        <v>2266</v>
      </c>
      <c r="C527">
        <v>753</v>
      </c>
      <c r="D527" t="s">
        <v>2252</v>
      </c>
      <c r="E527" t="s">
        <v>6873</v>
      </c>
      <c r="F527" s="455">
        <v>45138</v>
      </c>
      <c r="G527" s="455">
        <v>45931</v>
      </c>
      <c r="H527" s="455">
        <v>46295</v>
      </c>
      <c r="J527" s="456">
        <v>1077</v>
      </c>
      <c r="K527" s="456">
        <v>1382.23</v>
      </c>
      <c r="L527" s="456">
        <v>1311.5</v>
      </c>
      <c r="M527">
        <v>0</v>
      </c>
      <c r="N527">
        <v>750</v>
      </c>
    </row>
    <row r="528" spans="1:14">
      <c r="A528" t="s">
        <v>4706</v>
      </c>
      <c r="B528" t="s">
        <v>2266</v>
      </c>
      <c r="C528">
        <v>753</v>
      </c>
      <c r="D528" t="s">
        <v>2252</v>
      </c>
      <c r="E528" t="s">
        <v>3813</v>
      </c>
      <c r="F528" s="455">
        <v>46224</v>
      </c>
      <c r="G528" s="455">
        <v>46224</v>
      </c>
      <c r="H528" s="455">
        <v>46588</v>
      </c>
      <c r="J528" s="456">
        <v>1077</v>
      </c>
      <c r="K528">
        <v>129</v>
      </c>
      <c r="L528" s="456">
        <v>1206</v>
      </c>
      <c r="M528">
        <v>-237</v>
      </c>
      <c r="N528">
        <v>0</v>
      </c>
    </row>
    <row r="529" spans="1:14">
      <c r="A529" t="s">
        <v>1945</v>
      </c>
      <c r="B529" t="s">
        <v>2266</v>
      </c>
      <c r="C529">
        <v>753</v>
      </c>
      <c r="D529" t="s">
        <v>6513</v>
      </c>
      <c r="E529" t="s">
        <v>6384</v>
      </c>
      <c r="J529">
        <v>982</v>
      </c>
      <c r="K529">
        <v>0</v>
      </c>
      <c r="L529">
        <v>0</v>
      </c>
      <c r="N529">
        <v>0</v>
      </c>
    </row>
    <row r="530" spans="1:14">
      <c r="A530" t="s">
        <v>3053</v>
      </c>
      <c r="B530" t="s">
        <v>2266</v>
      </c>
      <c r="C530">
        <v>753</v>
      </c>
      <c r="D530" t="s">
        <v>2252</v>
      </c>
      <c r="E530" t="s">
        <v>3054</v>
      </c>
      <c r="F530" s="455">
        <v>45479</v>
      </c>
      <c r="G530" s="455">
        <v>46209</v>
      </c>
      <c r="H530" s="455">
        <v>46573</v>
      </c>
      <c r="J530" s="456">
        <v>1077</v>
      </c>
      <c r="K530" s="456">
        <v>1475.23</v>
      </c>
      <c r="L530" s="456">
        <v>1405</v>
      </c>
      <c r="M530">
        <v>0</v>
      </c>
      <c r="N530">
        <v>0</v>
      </c>
    </row>
    <row r="531" spans="1:14">
      <c r="A531" t="s">
        <v>2491</v>
      </c>
      <c r="B531" t="s">
        <v>2266</v>
      </c>
      <c r="C531">
        <v>753</v>
      </c>
      <c r="D531" t="s">
        <v>2252</v>
      </c>
      <c r="E531" t="s">
        <v>2492</v>
      </c>
      <c r="F531" s="455">
        <v>45549</v>
      </c>
      <c r="G531" s="455">
        <v>45901</v>
      </c>
      <c r="H531" s="455">
        <v>46265</v>
      </c>
      <c r="J531" s="456">
        <v>1077</v>
      </c>
      <c r="K531" s="456">
        <v>1595.73</v>
      </c>
      <c r="L531" s="456">
        <v>1375.5</v>
      </c>
      <c r="M531">
        <v>578.12</v>
      </c>
      <c r="N531">
        <v>0</v>
      </c>
    </row>
    <row r="532" spans="1:14">
      <c r="A532" t="s">
        <v>6874</v>
      </c>
      <c r="B532" t="s">
        <v>2266</v>
      </c>
      <c r="C532">
        <v>753</v>
      </c>
      <c r="D532" t="s">
        <v>2252</v>
      </c>
      <c r="E532" t="s">
        <v>6875</v>
      </c>
      <c r="F532" s="455">
        <v>45339</v>
      </c>
      <c r="G532" s="455">
        <v>46052</v>
      </c>
      <c r="H532" s="455">
        <v>46416</v>
      </c>
      <c r="J532" s="456">
        <v>1077</v>
      </c>
      <c r="K532" s="456">
        <v>1360.23</v>
      </c>
      <c r="L532" s="456">
        <v>1290</v>
      </c>
      <c r="M532">
        <v>0</v>
      </c>
      <c r="N532">
        <v>0</v>
      </c>
    </row>
    <row r="533" spans="1:14">
      <c r="A533" t="s">
        <v>6876</v>
      </c>
      <c r="B533" t="s">
        <v>2266</v>
      </c>
      <c r="C533">
        <v>753</v>
      </c>
      <c r="D533" t="s">
        <v>2252</v>
      </c>
      <c r="E533" t="s">
        <v>6877</v>
      </c>
      <c r="F533" s="455">
        <v>41621</v>
      </c>
      <c r="G533" s="455">
        <v>45962</v>
      </c>
      <c r="H533" s="455">
        <v>46326</v>
      </c>
      <c r="J533">
        <v>982</v>
      </c>
      <c r="K533" s="456">
        <v>1093.23</v>
      </c>
      <c r="L533" s="456">
        <v>1022.5</v>
      </c>
      <c r="M533">
        <v>0</v>
      </c>
      <c r="N533">
        <v>150</v>
      </c>
    </row>
    <row r="534" spans="1:14">
      <c r="A534" t="s">
        <v>6878</v>
      </c>
      <c r="B534" t="s">
        <v>2266</v>
      </c>
      <c r="C534">
        <v>753</v>
      </c>
      <c r="D534" t="s">
        <v>2252</v>
      </c>
      <c r="E534" t="s">
        <v>6879</v>
      </c>
      <c r="F534" s="455">
        <v>45078</v>
      </c>
      <c r="G534" s="455">
        <v>46202</v>
      </c>
      <c r="H534" s="455">
        <v>46566</v>
      </c>
      <c r="J534" s="456">
        <v>1077</v>
      </c>
      <c r="K534" s="456">
        <v>1524.73</v>
      </c>
      <c r="L534" s="456">
        <v>1474</v>
      </c>
      <c r="M534">
        <v>0</v>
      </c>
      <c r="N534">
        <v>0</v>
      </c>
    </row>
    <row r="535" spans="1:14">
      <c r="A535" t="s">
        <v>2493</v>
      </c>
      <c r="B535" t="s">
        <v>2266</v>
      </c>
      <c r="C535">
        <v>753</v>
      </c>
      <c r="D535" t="s">
        <v>6389</v>
      </c>
      <c r="E535" t="s">
        <v>6384</v>
      </c>
      <c r="J535" s="456">
        <v>1077</v>
      </c>
      <c r="K535">
        <v>0</v>
      </c>
      <c r="L535">
        <v>0</v>
      </c>
      <c r="N535">
        <v>0</v>
      </c>
    </row>
    <row r="536" spans="1:14">
      <c r="A536" t="s">
        <v>1225</v>
      </c>
      <c r="B536" t="s">
        <v>2266</v>
      </c>
      <c r="C536">
        <v>753</v>
      </c>
      <c r="D536" t="s">
        <v>6389</v>
      </c>
      <c r="E536" t="s">
        <v>6384</v>
      </c>
      <c r="J536">
        <v>982</v>
      </c>
      <c r="K536">
        <v>0</v>
      </c>
      <c r="L536">
        <v>0</v>
      </c>
      <c r="N536">
        <v>0</v>
      </c>
    </row>
    <row r="537" spans="1:14">
      <c r="A537" t="s">
        <v>3055</v>
      </c>
      <c r="B537" t="s">
        <v>2266</v>
      </c>
      <c r="C537">
        <v>753</v>
      </c>
      <c r="D537" t="s">
        <v>6389</v>
      </c>
      <c r="E537" t="s">
        <v>6384</v>
      </c>
      <c r="J537">
        <v>982</v>
      </c>
      <c r="K537">
        <v>0</v>
      </c>
      <c r="L537">
        <v>0</v>
      </c>
      <c r="N537">
        <v>0</v>
      </c>
    </row>
    <row r="538" spans="1:14">
      <c r="A538" t="s">
        <v>2494</v>
      </c>
      <c r="B538" t="s">
        <v>2266</v>
      </c>
      <c r="C538">
        <v>753</v>
      </c>
      <c r="D538" t="s">
        <v>2252</v>
      </c>
      <c r="E538" t="s">
        <v>2495</v>
      </c>
      <c r="F538" s="455">
        <v>43344</v>
      </c>
      <c r="G538" s="455">
        <v>46082</v>
      </c>
      <c r="H538" s="455">
        <v>46445</v>
      </c>
      <c r="J538">
        <v>982</v>
      </c>
      <c r="K538" s="456">
        <v>1343.73</v>
      </c>
      <c r="L538" s="456">
        <v>1147</v>
      </c>
      <c r="M538">
        <v>643.73</v>
      </c>
      <c r="N538">
        <v>150</v>
      </c>
    </row>
    <row r="539" spans="1:14">
      <c r="A539" t="s">
        <v>3489</v>
      </c>
      <c r="B539" t="s">
        <v>2266</v>
      </c>
      <c r="C539">
        <v>753</v>
      </c>
      <c r="D539" t="s">
        <v>6389</v>
      </c>
      <c r="E539" t="s">
        <v>6384</v>
      </c>
      <c r="J539">
        <v>982</v>
      </c>
      <c r="K539">
        <v>0</v>
      </c>
      <c r="L539">
        <v>0</v>
      </c>
      <c r="N539">
        <v>0</v>
      </c>
    </row>
    <row r="540" spans="1:14">
      <c r="A540" t="s">
        <v>2496</v>
      </c>
      <c r="B540" t="s">
        <v>2266</v>
      </c>
      <c r="C540">
        <v>753</v>
      </c>
      <c r="D540" t="s">
        <v>6389</v>
      </c>
      <c r="E540" t="s">
        <v>6384</v>
      </c>
      <c r="J540">
        <v>982</v>
      </c>
      <c r="K540">
        <v>0</v>
      </c>
      <c r="L540">
        <v>0</v>
      </c>
      <c r="N540">
        <v>0</v>
      </c>
    </row>
    <row r="541" spans="1:14">
      <c r="A541" t="s">
        <v>6880</v>
      </c>
      <c r="B541" t="s">
        <v>2266</v>
      </c>
      <c r="C541">
        <v>753</v>
      </c>
      <c r="D541" t="s">
        <v>2252</v>
      </c>
      <c r="E541" t="s">
        <v>6881</v>
      </c>
      <c r="F541" s="455">
        <v>40301</v>
      </c>
      <c r="G541" s="455">
        <v>46174</v>
      </c>
      <c r="H541" s="455">
        <v>46538</v>
      </c>
      <c r="J541">
        <v>982</v>
      </c>
      <c r="K541" s="456">
        <v>1093.23</v>
      </c>
      <c r="L541" s="456">
        <v>1023</v>
      </c>
      <c r="M541">
        <v>0</v>
      </c>
      <c r="N541">
        <v>400</v>
      </c>
    </row>
    <row r="542" spans="1:14">
      <c r="A542" t="s">
        <v>1542</v>
      </c>
      <c r="B542" t="s">
        <v>2266</v>
      </c>
      <c r="C542">
        <v>753</v>
      </c>
      <c r="D542" t="s">
        <v>2252</v>
      </c>
      <c r="E542" t="s">
        <v>4484</v>
      </c>
      <c r="F542" s="455">
        <v>46080</v>
      </c>
      <c r="G542" s="455">
        <v>46080</v>
      </c>
      <c r="H542" s="455">
        <v>46444</v>
      </c>
      <c r="J542" s="456">
        <v>1077</v>
      </c>
      <c r="K542" s="456">
        <v>1433.68</v>
      </c>
      <c r="L542" s="456">
        <v>1231</v>
      </c>
      <c r="M542">
        <v>0</v>
      </c>
      <c r="N542">
        <v>0</v>
      </c>
    </row>
    <row r="543" spans="1:14">
      <c r="A543" t="s">
        <v>3552</v>
      </c>
      <c r="B543" t="s">
        <v>2266</v>
      </c>
      <c r="C543">
        <v>753</v>
      </c>
      <c r="D543" t="s">
        <v>6513</v>
      </c>
      <c r="E543" t="s">
        <v>6384</v>
      </c>
      <c r="J543" s="456">
        <v>1077</v>
      </c>
      <c r="K543">
        <v>0</v>
      </c>
      <c r="L543">
        <v>0</v>
      </c>
      <c r="N543">
        <v>0</v>
      </c>
    </row>
    <row r="544" spans="1:14">
      <c r="A544" t="s">
        <v>2498</v>
      </c>
      <c r="B544" t="s">
        <v>2266</v>
      </c>
      <c r="C544">
        <v>753</v>
      </c>
      <c r="D544" t="s">
        <v>6383</v>
      </c>
      <c r="E544" t="s">
        <v>6384</v>
      </c>
      <c r="J544" s="456">
        <v>1077</v>
      </c>
      <c r="K544">
        <v>0</v>
      </c>
      <c r="L544">
        <v>0</v>
      </c>
      <c r="N544">
        <v>0</v>
      </c>
    </row>
    <row r="545" spans="1:14">
      <c r="A545" t="s">
        <v>1525</v>
      </c>
      <c r="B545" t="s">
        <v>2266</v>
      </c>
      <c r="C545">
        <v>753</v>
      </c>
      <c r="D545" t="s">
        <v>6383</v>
      </c>
      <c r="E545" t="s">
        <v>6384</v>
      </c>
      <c r="J545" s="456">
        <v>1077</v>
      </c>
      <c r="K545">
        <v>0</v>
      </c>
      <c r="L545">
        <v>0</v>
      </c>
    </row>
    <row r="546" spans="1:14">
      <c r="A546" t="s">
        <v>6882</v>
      </c>
      <c r="B546" t="s">
        <v>2267</v>
      </c>
      <c r="C546">
        <v>800</v>
      </c>
      <c r="D546" t="s">
        <v>6389</v>
      </c>
      <c r="E546" t="s">
        <v>6384</v>
      </c>
      <c r="J546">
        <v>927</v>
      </c>
      <c r="K546">
        <v>0</v>
      </c>
      <c r="L546">
        <v>0</v>
      </c>
      <c r="N546">
        <v>0</v>
      </c>
    </row>
    <row r="547" spans="1:14">
      <c r="A547" t="s">
        <v>2947</v>
      </c>
      <c r="B547" t="s">
        <v>2267</v>
      </c>
      <c r="C547">
        <v>800</v>
      </c>
      <c r="D547" t="s">
        <v>2252</v>
      </c>
      <c r="E547" t="s">
        <v>2948</v>
      </c>
      <c r="F547" s="455">
        <v>45170</v>
      </c>
      <c r="G547" s="455">
        <v>46235</v>
      </c>
      <c r="H547" s="455">
        <v>46599</v>
      </c>
      <c r="J547">
        <v>927</v>
      </c>
      <c r="K547" s="456">
        <v>1330.33</v>
      </c>
      <c r="L547" s="456">
        <v>1213</v>
      </c>
      <c r="M547">
        <v>0</v>
      </c>
      <c r="N547">
        <v>0</v>
      </c>
    </row>
    <row r="548" spans="1:14">
      <c r="A548" t="s">
        <v>2648</v>
      </c>
      <c r="B548" t="s">
        <v>2267</v>
      </c>
      <c r="C548">
        <v>800</v>
      </c>
      <c r="D548" t="s">
        <v>2251</v>
      </c>
      <c r="E548" t="s">
        <v>2649</v>
      </c>
      <c r="F548" s="455">
        <v>45523</v>
      </c>
      <c r="G548" s="455">
        <v>45888</v>
      </c>
      <c r="H548" s="455">
        <v>46252</v>
      </c>
      <c r="I548" s="455">
        <v>46252</v>
      </c>
      <c r="J548">
        <v>927</v>
      </c>
      <c r="K548">
        <v>960.33</v>
      </c>
      <c r="L548" s="456">
        <v>1234.5</v>
      </c>
      <c r="M548">
        <v>956.92</v>
      </c>
      <c r="N548">
        <v>0</v>
      </c>
    </row>
    <row r="549" spans="1:14">
      <c r="A549" t="s">
        <v>2650</v>
      </c>
      <c r="B549" t="s">
        <v>2267</v>
      </c>
      <c r="C549">
        <v>800</v>
      </c>
      <c r="D549" t="s">
        <v>6508</v>
      </c>
      <c r="E549" t="s">
        <v>6384</v>
      </c>
      <c r="J549">
        <v>927</v>
      </c>
      <c r="K549">
        <v>0</v>
      </c>
      <c r="L549">
        <v>0</v>
      </c>
      <c r="N549">
        <v>0</v>
      </c>
    </row>
    <row r="550" spans="1:14">
      <c r="A550" t="s">
        <v>6883</v>
      </c>
      <c r="B550" t="s">
        <v>2267</v>
      </c>
      <c r="C550">
        <v>800</v>
      </c>
      <c r="D550" t="s">
        <v>2252</v>
      </c>
      <c r="E550" t="s">
        <v>6884</v>
      </c>
      <c r="F550" s="455">
        <v>45245</v>
      </c>
      <c r="G550" s="455">
        <v>46073</v>
      </c>
      <c r="H550" s="455">
        <v>46437</v>
      </c>
      <c r="J550">
        <v>882</v>
      </c>
      <c r="K550">
        <v>907.33</v>
      </c>
      <c r="L550" s="456">
        <v>1040</v>
      </c>
      <c r="M550">
        <v>0</v>
      </c>
      <c r="N550">
        <v>750</v>
      </c>
    </row>
    <row r="551" spans="1:14">
      <c r="A551" t="s">
        <v>6885</v>
      </c>
      <c r="B551" t="s">
        <v>2267</v>
      </c>
      <c r="C551">
        <v>800</v>
      </c>
      <c r="D551" t="s">
        <v>2252</v>
      </c>
      <c r="E551" t="s">
        <v>6886</v>
      </c>
      <c r="F551" s="455">
        <v>46028</v>
      </c>
      <c r="G551" s="455">
        <v>46028</v>
      </c>
      <c r="H551" s="455">
        <v>46392</v>
      </c>
      <c r="J551">
        <v>927</v>
      </c>
      <c r="K551" s="456">
        <v>1172.33</v>
      </c>
      <c r="L551" s="456">
        <v>1083</v>
      </c>
      <c r="M551">
        <v>0</v>
      </c>
      <c r="N551">
        <v>0</v>
      </c>
    </row>
    <row r="552" spans="1:14">
      <c r="A552" t="s">
        <v>2652</v>
      </c>
      <c r="B552" t="s">
        <v>2267</v>
      </c>
      <c r="C552">
        <v>800</v>
      </c>
      <c r="D552" t="s">
        <v>2252</v>
      </c>
      <c r="E552" t="s">
        <v>2951</v>
      </c>
      <c r="F552" s="455">
        <v>46214</v>
      </c>
      <c r="G552" s="455">
        <v>46214</v>
      </c>
      <c r="H552" s="455">
        <v>46578</v>
      </c>
      <c r="J552">
        <v>927</v>
      </c>
      <c r="K552">
        <v>74</v>
      </c>
      <c r="L552" s="456">
        <v>1001</v>
      </c>
      <c r="M552">
        <v>0</v>
      </c>
      <c r="N552">
        <v>0</v>
      </c>
    </row>
    <row r="553" spans="1:14">
      <c r="A553" t="s">
        <v>2952</v>
      </c>
      <c r="B553" t="s">
        <v>2267</v>
      </c>
      <c r="C553">
        <v>800</v>
      </c>
      <c r="D553" t="s">
        <v>6508</v>
      </c>
      <c r="E553" t="s">
        <v>6384</v>
      </c>
      <c r="J553">
        <v>912</v>
      </c>
      <c r="K553">
        <v>0</v>
      </c>
      <c r="L553">
        <v>0</v>
      </c>
      <c r="N553">
        <v>0</v>
      </c>
    </row>
    <row r="554" spans="1:14">
      <c r="A554" t="s">
        <v>2654</v>
      </c>
      <c r="B554" t="s">
        <v>2267</v>
      </c>
      <c r="C554">
        <v>800</v>
      </c>
      <c r="D554" t="s">
        <v>6383</v>
      </c>
      <c r="E554" t="s">
        <v>6384</v>
      </c>
      <c r="J554">
        <v>952</v>
      </c>
      <c r="K554">
        <v>0</v>
      </c>
      <c r="L554">
        <v>0</v>
      </c>
      <c r="N554">
        <v>0</v>
      </c>
    </row>
    <row r="555" spans="1:14">
      <c r="A555" t="s">
        <v>2179</v>
      </c>
      <c r="B555" t="s">
        <v>2267</v>
      </c>
      <c r="C555">
        <v>800</v>
      </c>
      <c r="D555" t="s">
        <v>6389</v>
      </c>
      <c r="E555" t="s">
        <v>6384</v>
      </c>
      <c r="J555">
        <v>902</v>
      </c>
      <c r="K555">
        <v>0</v>
      </c>
      <c r="L555">
        <v>0</v>
      </c>
      <c r="N555">
        <v>0</v>
      </c>
    </row>
    <row r="556" spans="1:14">
      <c r="A556" t="s">
        <v>1592</v>
      </c>
      <c r="B556" t="s">
        <v>2267</v>
      </c>
      <c r="C556">
        <v>800</v>
      </c>
      <c r="D556" t="s">
        <v>6389</v>
      </c>
      <c r="E556" t="s">
        <v>6384</v>
      </c>
      <c r="J556">
        <v>902</v>
      </c>
      <c r="K556">
        <v>0</v>
      </c>
      <c r="L556">
        <v>0</v>
      </c>
      <c r="N556">
        <v>0</v>
      </c>
    </row>
    <row r="557" spans="1:14">
      <c r="A557" t="s">
        <v>2955</v>
      </c>
      <c r="B557" t="s">
        <v>2267</v>
      </c>
      <c r="C557">
        <v>800</v>
      </c>
      <c r="D557" t="s">
        <v>2252</v>
      </c>
      <c r="E557" t="s">
        <v>2956</v>
      </c>
      <c r="F557" s="455">
        <v>44581</v>
      </c>
      <c r="G557" s="455">
        <v>46235</v>
      </c>
      <c r="H557" s="455">
        <v>46599</v>
      </c>
      <c r="J557">
        <v>952</v>
      </c>
      <c r="K557" s="456">
        <v>1323.33</v>
      </c>
      <c r="L557" s="456">
        <v>1234</v>
      </c>
      <c r="M557">
        <v>0</v>
      </c>
      <c r="N557">
        <v>0</v>
      </c>
    </row>
    <row r="558" spans="1:14">
      <c r="A558" t="s">
        <v>1547</v>
      </c>
      <c r="B558" t="s">
        <v>2267</v>
      </c>
      <c r="C558">
        <v>800</v>
      </c>
      <c r="D558" t="s">
        <v>6389</v>
      </c>
      <c r="E558" t="s">
        <v>6384</v>
      </c>
      <c r="J558">
        <v>952</v>
      </c>
      <c r="K558">
        <v>0</v>
      </c>
      <c r="L558">
        <v>0</v>
      </c>
      <c r="N558">
        <v>0</v>
      </c>
    </row>
    <row r="559" spans="1:14">
      <c r="A559" t="s">
        <v>6887</v>
      </c>
      <c r="B559" t="s">
        <v>2267</v>
      </c>
      <c r="C559">
        <v>800</v>
      </c>
      <c r="D559" t="s">
        <v>2252</v>
      </c>
      <c r="E559" t="s">
        <v>6888</v>
      </c>
      <c r="F559" s="455">
        <v>45061</v>
      </c>
      <c r="G559" s="455">
        <v>46143</v>
      </c>
      <c r="H559" s="455">
        <v>46507</v>
      </c>
      <c r="J559">
        <v>952</v>
      </c>
      <c r="K559" s="456">
        <v>1413.28</v>
      </c>
      <c r="L559" s="456">
        <v>1315</v>
      </c>
      <c r="M559">
        <v>0</v>
      </c>
      <c r="N559">
        <v>0</v>
      </c>
    </row>
    <row r="560" spans="1:14">
      <c r="A560" t="s">
        <v>4308</v>
      </c>
      <c r="B560" t="s">
        <v>2267</v>
      </c>
      <c r="C560">
        <v>800</v>
      </c>
      <c r="D560" t="s">
        <v>6389</v>
      </c>
      <c r="E560" t="s">
        <v>6384</v>
      </c>
      <c r="J560">
        <v>902</v>
      </c>
      <c r="K560">
        <v>0</v>
      </c>
      <c r="L560">
        <v>0</v>
      </c>
      <c r="N560">
        <v>0</v>
      </c>
    </row>
    <row r="561" spans="1:14">
      <c r="A561" t="s">
        <v>4368</v>
      </c>
      <c r="B561" t="s">
        <v>2267</v>
      </c>
      <c r="C561">
        <v>800</v>
      </c>
      <c r="D561" t="s">
        <v>2252</v>
      </c>
      <c r="E561" t="s">
        <v>4367</v>
      </c>
      <c r="F561" s="455">
        <v>46241</v>
      </c>
      <c r="G561" s="455">
        <v>46241</v>
      </c>
      <c r="H561" s="455">
        <v>46605</v>
      </c>
      <c r="J561">
        <v>952</v>
      </c>
      <c r="K561">
        <v>803</v>
      </c>
      <c r="L561">
        <v>993</v>
      </c>
      <c r="M561">
        <v>0</v>
      </c>
      <c r="N561">
        <v>500</v>
      </c>
    </row>
    <row r="562" spans="1:14">
      <c r="A562" t="s">
        <v>6889</v>
      </c>
      <c r="B562" t="s">
        <v>2267</v>
      </c>
      <c r="C562">
        <v>800</v>
      </c>
      <c r="D562" t="s">
        <v>6389</v>
      </c>
      <c r="E562" t="s">
        <v>6384</v>
      </c>
      <c r="J562">
        <v>912</v>
      </c>
      <c r="K562">
        <v>0</v>
      </c>
      <c r="L562">
        <v>0</v>
      </c>
      <c r="N562">
        <v>0</v>
      </c>
    </row>
    <row r="563" spans="1:14">
      <c r="A563" t="s">
        <v>3845</v>
      </c>
      <c r="B563" t="s">
        <v>2267</v>
      </c>
      <c r="C563">
        <v>800</v>
      </c>
      <c r="D563" t="s">
        <v>2252</v>
      </c>
      <c r="E563" t="s">
        <v>3844</v>
      </c>
      <c r="F563" s="455">
        <v>46216</v>
      </c>
      <c r="G563" s="455">
        <v>46216</v>
      </c>
      <c r="H563" s="455">
        <v>46580</v>
      </c>
      <c r="J563">
        <v>912</v>
      </c>
      <c r="K563">
        <v>74</v>
      </c>
      <c r="L563">
        <v>986</v>
      </c>
      <c r="M563">
        <v>0</v>
      </c>
      <c r="N563">
        <v>0</v>
      </c>
    </row>
    <row r="564" spans="1:14">
      <c r="A564" t="s">
        <v>2656</v>
      </c>
      <c r="B564" t="s">
        <v>2267</v>
      </c>
      <c r="C564">
        <v>800</v>
      </c>
      <c r="D564" t="s">
        <v>6389</v>
      </c>
      <c r="E564" t="s">
        <v>6384</v>
      </c>
      <c r="J564">
        <v>912</v>
      </c>
      <c r="K564">
        <v>0</v>
      </c>
      <c r="L564">
        <v>0</v>
      </c>
      <c r="N564">
        <v>0</v>
      </c>
    </row>
    <row r="565" spans="1:14">
      <c r="A565" t="s">
        <v>2658</v>
      </c>
      <c r="B565" t="s">
        <v>2267</v>
      </c>
      <c r="C565">
        <v>800</v>
      </c>
      <c r="D565" t="s">
        <v>6389</v>
      </c>
      <c r="E565" t="s">
        <v>6384</v>
      </c>
      <c r="J565">
        <v>912</v>
      </c>
      <c r="K565">
        <v>0</v>
      </c>
      <c r="L565">
        <v>0</v>
      </c>
      <c r="N565">
        <v>0</v>
      </c>
    </row>
    <row r="566" spans="1:14">
      <c r="A566" t="s">
        <v>1531</v>
      </c>
      <c r="B566" t="s">
        <v>2267</v>
      </c>
      <c r="C566">
        <v>800</v>
      </c>
      <c r="D566" t="s">
        <v>6389</v>
      </c>
      <c r="E566" t="s">
        <v>6384</v>
      </c>
      <c r="J566">
        <v>912</v>
      </c>
      <c r="K566">
        <v>0</v>
      </c>
      <c r="L566">
        <v>0</v>
      </c>
      <c r="N566">
        <v>0</v>
      </c>
    </row>
    <row r="567" spans="1:14">
      <c r="A567" t="s">
        <v>2660</v>
      </c>
      <c r="B567" t="s">
        <v>2267</v>
      </c>
      <c r="C567">
        <v>800</v>
      </c>
      <c r="D567" t="s">
        <v>6389</v>
      </c>
      <c r="E567" t="s">
        <v>6384</v>
      </c>
      <c r="J567">
        <v>867</v>
      </c>
      <c r="K567">
        <v>0</v>
      </c>
      <c r="L567">
        <v>0</v>
      </c>
      <c r="N567">
        <v>0</v>
      </c>
    </row>
    <row r="568" spans="1:14">
      <c r="A568" t="s">
        <v>5007</v>
      </c>
      <c r="B568" t="s">
        <v>2267</v>
      </c>
      <c r="C568">
        <v>800</v>
      </c>
      <c r="D568" t="s">
        <v>6513</v>
      </c>
      <c r="E568" t="s">
        <v>6384</v>
      </c>
      <c r="J568">
        <v>962</v>
      </c>
      <c r="K568">
        <v>0</v>
      </c>
      <c r="L568">
        <v>0</v>
      </c>
      <c r="N568">
        <v>0</v>
      </c>
    </row>
    <row r="569" spans="1:14">
      <c r="A569" t="s">
        <v>6890</v>
      </c>
      <c r="B569" t="s">
        <v>2267</v>
      </c>
      <c r="C569">
        <v>800</v>
      </c>
      <c r="D569" t="s">
        <v>2252</v>
      </c>
      <c r="E569" t="s">
        <v>6891</v>
      </c>
      <c r="F569" s="455">
        <v>45063</v>
      </c>
      <c r="G569" s="455">
        <v>46174</v>
      </c>
      <c r="H569" s="455">
        <v>46538</v>
      </c>
      <c r="J569">
        <v>962</v>
      </c>
      <c r="K569" s="456">
        <v>1478.33</v>
      </c>
      <c r="L569" s="456">
        <v>1389</v>
      </c>
      <c r="M569">
        <v>0</v>
      </c>
      <c r="N569">
        <v>0</v>
      </c>
    </row>
    <row r="570" spans="1:14">
      <c r="A570" t="s">
        <v>1520</v>
      </c>
      <c r="B570" t="s">
        <v>2267</v>
      </c>
      <c r="C570">
        <v>800</v>
      </c>
      <c r="D570" t="s">
        <v>6383</v>
      </c>
      <c r="E570" t="s">
        <v>6384</v>
      </c>
      <c r="J570">
        <v>882</v>
      </c>
      <c r="K570">
        <v>0</v>
      </c>
      <c r="L570">
        <v>0</v>
      </c>
      <c r="N570">
        <v>0</v>
      </c>
    </row>
    <row r="571" spans="1:14">
      <c r="A571" t="s">
        <v>6892</v>
      </c>
      <c r="B571" t="s">
        <v>2267</v>
      </c>
      <c r="C571">
        <v>800</v>
      </c>
      <c r="D571" t="s">
        <v>2252</v>
      </c>
      <c r="E571" t="s">
        <v>6893</v>
      </c>
      <c r="F571" s="455">
        <v>44228</v>
      </c>
      <c r="G571" s="455">
        <v>46073</v>
      </c>
      <c r="H571" s="455">
        <v>46437</v>
      </c>
      <c r="J571">
        <v>927</v>
      </c>
      <c r="K571" s="456">
        <v>1296.53</v>
      </c>
      <c r="L571" s="456">
        <v>1163</v>
      </c>
      <c r="M571">
        <v>0</v>
      </c>
      <c r="N571">
        <v>0</v>
      </c>
    </row>
    <row r="572" spans="1:14">
      <c r="A572" t="s">
        <v>1597</v>
      </c>
      <c r="B572" t="s">
        <v>2267</v>
      </c>
      <c r="C572">
        <v>800</v>
      </c>
      <c r="D572" t="s">
        <v>6389</v>
      </c>
      <c r="E572" t="s">
        <v>6384</v>
      </c>
      <c r="J572">
        <v>882</v>
      </c>
      <c r="K572">
        <v>0</v>
      </c>
      <c r="L572">
        <v>0</v>
      </c>
      <c r="N572">
        <v>0</v>
      </c>
    </row>
    <row r="573" spans="1:14">
      <c r="A573" t="s">
        <v>6894</v>
      </c>
      <c r="B573" t="s">
        <v>2267</v>
      </c>
      <c r="C573">
        <v>800</v>
      </c>
      <c r="D573" t="s">
        <v>2252</v>
      </c>
      <c r="E573" t="s">
        <v>6895</v>
      </c>
      <c r="F573" s="455">
        <v>46171</v>
      </c>
      <c r="G573" s="455">
        <v>46171</v>
      </c>
      <c r="H573" s="455">
        <v>46535</v>
      </c>
      <c r="J573">
        <v>927</v>
      </c>
      <c r="K573">
        <v>944.95</v>
      </c>
      <c r="L573">
        <v>921</v>
      </c>
      <c r="M573">
        <v>0</v>
      </c>
      <c r="N573">
        <v>0</v>
      </c>
    </row>
    <row r="574" spans="1:14">
      <c r="A574" t="s">
        <v>6896</v>
      </c>
      <c r="B574" t="s">
        <v>2267</v>
      </c>
      <c r="C574">
        <v>800</v>
      </c>
      <c r="D574" t="s">
        <v>2252</v>
      </c>
      <c r="E574" t="s">
        <v>6897</v>
      </c>
      <c r="F574" s="455">
        <v>45322</v>
      </c>
      <c r="G574" s="455">
        <v>46113</v>
      </c>
      <c r="H574" s="455">
        <v>46477</v>
      </c>
      <c r="J574">
        <v>952</v>
      </c>
      <c r="K574" s="456">
        <v>1491.53</v>
      </c>
      <c r="L574" s="456">
        <v>1324</v>
      </c>
      <c r="M574">
        <v>0</v>
      </c>
      <c r="N574">
        <v>0</v>
      </c>
    </row>
    <row r="575" spans="1:14">
      <c r="A575" t="s">
        <v>6898</v>
      </c>
      <c r="B575" t="s">
        <v>2267</v>
      </c>
      <c r="C575">
        <v>800</v>
      </c>
      <c r="D575" t="s">
        <v>2251</v>
      </c>
      <c r="E575" t="s">
        <v>6899</v>
      </c>
      <c r="F575" s="455">
        <v>45572</v>
      </c>
      <c r="G575" s="455">
        <v>45937</v>
      </c>
      <c r="H575" s="455">
        <v>46301</v>
      </c>
      <c r="I575" s="455">
        <v>46301</v>
      </c>
      <c r="J575">
        <v>952</v>
      </c>
      <c r="K575" s="456">
        <v>1457.58</v>
      </c>
      <c r="L575" s="456">
        <v>1214</v>
      </c>
      <c r="M575">
        <v>0</v>
      </c>
      <c r="N575">
        <v>0</v>
      </c>
    </row>
    <row r="576" spans="1:14">
      <c r="A576" t="s">
        <v>6900</v>
      </c>
      <c r="B576" t="s">
        <v>2267</v>
      </c>
      <c r="C576">
        <v>800</v>
      </c>
      <c r="D576" t="s">
        <v>2252</v>
      </c>
      <c r="E576" t="s">
        <v>6901</v>
      </c>
      <c r="F576" s="455">
        <v>45552</v>
      </c>
      <c r="G576" s="455">
        <v>45978</v>
      </c>
      <c r="H576" s="455">
        <v>46342</v>
      </c>
      <c r="J576">
        <v>952</v>
      </c>
      <c r="K576" s="456">
        <v>1309.58</v>
      </c>
      <c r="L576" s="456">
        <v>1185</v>
      </c>
      <c r="M576">
        <v>0</v>
      </c>
      <c r="N576">
        <v>750</v>
      </c>
    </row>
    <row r="577" spans="1:14">
      <c r="A577" t="s">
        <v>2662</v>
      </c>
      <c r="B577" t="s">
        <v>2267</v>
      </c>
      <c r="C577">
        <v>800</v>
      </c>
      <c r="D577" t="s">
        <v>2252</v>
      </c>
      <c r="E577" t="s">
        <v>2663</v>
      </c>
      <c r="F577" s="455">
        <v>45566</v>
      </c>
      <c r="G577" s="455">
        <v>45992</v>
      </c>
      <c r="H577" s="455">
        <v>46356</v>
      </c>
      <c r="J577">
        <v>902</v>
      </c>
      <c r="K577" s="456">
        <v>1427.58</v>
      </c>
      <c r="L577" s="456">
        <v>1156.5</v>
      </c>
      <c r="M577" s="456">
        <v>1427.58</v>
      </c>
      <c r="N577">
        <v>0</v>
      </c>
    </row>
    <row r="578" spans="1:14">
      <c r="A578" t="s">
        <v>3264</v>
      </c>
      <c r="B578" t="s">
        <v>2267</v>
      </c>
      <c r="C578">
        <v>800</v>
      </c>
      <c r="D578" t="s">
        <v>6389</v>
      </c>
      <c r="E578" t="s">
        <v>6384</v>
      </c>
      <c r="J578">
        <v>927</v>
      </c>
      <c r="K578">
        <v>0</v>
      </c>
      <c r="L578">
        <v>0</v>
      </c>
      <c r="N578">
        <v>0</v>
      </c>
    </row>
    <row r="579" spans="1:14">
      <c r="A579" t="s">
        <v>3479</v>
      </c>
      <c r="B579" t="s">
        <v>2267</v>
      </c>
      <c r="C579">
        <v>800</v>
      </c>
      <c r="D579" t="s">
        <v>6389</v>
      </c>
      <c r="E579" t="s">
        <v>6384</v>
      </c>
      <c r="J579">
        <v>977</v>
      </c>
      <c r="K579">
        <v>0</v>
      </c>
      <c r="L579">
        <v>0</v>
      </c>
      <c r="N579">
        <v>0</v>
      </c>
    </row>
    <row r="580" spans="1:14">
      <c r="A580" t="s">
        <v>4488</v>
      </c>
      <c r="B580" t="s">
        <v>2267</v>
      </c>
      <c r="C580">
        <v>800</v>
      </c>
      <c r="D580" t="s">
        <v>2252</v>
      </c>
      <c r="E580" t="s">
        <v>3478</v>
      </c>
      <c r="F580" s="455">
        <v>46221</v>
      </c>
      <c r="G580" s="455">
        <v>46221</v>
      </c>
      <c r="H580" s="455">
        <v>46585</v>
      </c>
      <c r="J580">
        <v>977</v>
      </c>
      <c r="K580">
        <v>41</v>
      </c>
      <c r="L580" s="456">
        <v>1018</v>
      </c>
      <c r="M580">
        <v>0</v>
      </c>
      <c r="N580">
        <v>500</v>
      </c>
    </row>
    <row r="581" spans="1:14">
      <c r="A581" t="s">
        <v>2702</v>
      </c>
      <c r="B581" t="s">
        <v>2267</v>
      </c>
      <c r="C581">
        <v>800</v>
      </c>
      <c r="D581" t="s">
        <v>2252</v>
      </c>
      <c r="E581" t="s">
        <v>2703</v>
      </c>
      <c r="F581" s="455">
        <v>45899</v>
      </c>
      <c r="G581" s="455">
        <v>45899</v>
      </c>
      <c r="H581" s="455">
        <v>46263</v>
      </c>
      <c r="J581">
        <v>977</v>
      </c>
      <c r="K581">
        <v>138.13999999999999</v>
      </c>
      <c r="L581" s="456">
        <v>1214</v>
      </c>
      <c r="M581">
        <v>0</v>
      </c>
      <c r="N581">
        <v>0</v>
      </c>
    </row>
    <row r="582" spans="1:14">
      <c r="A582" t="s">
        <v>3265</v>
      </c>
      <c r="B582" t="s">
        <v>2267</v>
      </c>
      <c r="C582">
        <v>800</v>
      </c>
      <c r="D582" t="s">
        <v>2252</v>
      </c>
      <c r="E582" t="s">
        <v>4216</v>
      </c>
      <c r="F582" s="455">
        <v>46171</v>
      </c>
      <c r="G582" s="455">
        <v>46171</v>
      </c>
      <c r="H582" s="455">
        <v>46535</v>
      </c>
      <c r="J582">
        <v>977</v>
      </c>
      <c r="K582" s="456">
        <v>1134.95</v>
      </c>
      <c r="L582" s="456">
        <v>1111</v>
      </c>
      <c r="M582">
        <v>-553.63</v>
      </c>
      <c r="N582">
        <v>500</v>
      </c>
    </row>
    <row r="583" spans="1:14">
      <c r="A583" t="s">
        <v>3397</v>
      </c>
      <c r="B583" t="s">
        <v>2267</v>
      </c>
      <c r="C583">
        <v>800</v>
      </c>
      <c r="D583" t="s">
        <v>6389</v>
      </c>
      <c r="E583" t="s">
        <v>6384</v>
      </c>
      <c r="J583">
        <v>882</v>
      </c>
      <c r="K583">
        <v>0</v>
      </c>
      <c r="L583">
        <v>0</v>
      </c>
      <c r="N583">
        <v>0</v>
      </c>
    </row>
    <row r="584" spans="1:14">
      <c r="A584" t="s">
        <v>1589</v>
      </c>
      <c r="B584" t="s">
        <v>2267</v>
      </c>
      <c r="C584">
        <v>800</v>
      </c>
      <c r="D584" t="s">
        <v>6389</v>
      </c>
      <c r="E584" t="s">
        <v>6384</v>
      </c>
      <c r="J584">
        <v>927</v>
      </c>
      <c r="K584">
        <v>0</v>
      </c>
      <c r="L584">
        <v>0</v>
      </c>
      <c r="N584">
        <v>0</v>
      </c>
    </row>
    <row r="585" spans="1:14">
      <c r="A585" t="s">
        <v>6902</v>
      </c>
      <c r="B585" t="s">
        <v>2267</v>
      </c>
      <c r="C585">
        <v>800</v>
      </c>
      <c r="D585" t="s">
        <v>2252</v>
      </c>
      <c r="E585" t="s">
        <v>6903</v>
      </c>
      <c r="F585" s="455">
        <v>45619</v>
      </c>
      <c r="G585" s="455">
        <v>46073</v>
      </c>
      <c r="H585" s="455">
        <v>46437</v>
      </c>
      <c r="J585">
        <v>912</v>
      </c>
      <c r="K585" s="456">
        <v>1335.09</v>
      </c>
      <c r="L585" s="456">
        <v>1194</v>
      </c>
      <c r="M585">
        <v>0</v>
      </c>
      <c r="N585">
        <v>0</v>
      </c>
    </row>
    <row r="586" spans="1:14">
      <c r="A586" t="s">
        <v>3451</v>
      </c>
      <c r="B586" t="s">
        <v>2267</v>
      </c>
      <c r="C586">
        <v>800</v>
      </c>
      <c r="D586" t="s">
        <v>2252</v>
      </c>
      <c r="E586" t="s">
        <v>3450</v>
      </c>
      <c r="F586" s="455">
        <v>46196</v>
      </c>
      <c r="G586" s="455">
        <v>46196</v>
      </c>
      <c r="H586" s="455">
        <v>46560</v>
      </c>
      <c r="J586">
        <v>857</v>
      </c>
      <c r="K586">
        <v>937.2</v>
      </c>
      <c r="L586">
        <v>931</v>
      </c>
      <c r="M586">
        <v>0</v>
      </c>
      <c r="N586">
        <v>0</v>
      </c>
    </row>
    <row r="587" spans="1:14">
      <c r="A587" t="s">
        <v>6292</v>
      </c>
      <c r="B587" t="s">
        <v>2267</v>
      </c>
      <c r="C587">
        <v>800</v>
      </c>
      <c r="D587" t="s">
        <v>6383</v>
      </c>
      <c r="E587" t="s">
        <v>6384</v>
      </c>
      <c r="J587">
        <v>952</v>
      </c>
      <c r="K587">
        <v>0</v>
      </c>
      <c r="L587">
        <v>0</v>
      </c>
      <c r="N587">
        <v>0</v>
      </c>
    </row>
    <row r="588" spans="1:14">
      <c r="A588" t="s">
        <v>6904</v>
      </c>
      <c r="B588" t="s">
        <v>2267</v>
      </c>
      <c r="C588">
        <v>800</v>
      </c>
      <c r="D588" t="s">
        <v>2252</v>
      </c>
      <c r="E588" t="s">
        <v>6905</v>
      </c>
      <c r="F588" s="455">
        <v>40635</v>
      </c>
      <c r="G588" s="455">
        <v>45962</v>
      </c>
      <c r="H588" s="455">
        <v>46326</v>
      </c>
      <c r="J588">
        <v>857</v>
      </c>
      <c r="K588" s="456">
        <v>1061.1400000000001</v>
      </c>
      <c r="L588">
        <v>963</v>
      </c>
      <c r="M588">
        <v>0</v>
      </c>
      <c r="N588">
        <v>150</v>
      </c>
    </row>
    <row r="589" spans="1:14">
      <c r="A589" t="s">
        <v>1958</v>
      </c>
      <c r="B589" t="s">
        <v>2267</v>
      </c>
      <c r="C589">
        <v>800</v>
      </c>
      <c r="D589" t="s">
        <v>6389</v>
      </c>
      <c r="E589" t="s">
        <v>6384</v>
      </c>
      <c r="J589">
        <v>902</v>
      </c>
      <c r="K589">
        <v>0</v>
      </c>
      <c r="L589">
        <v>0</v>
      </c>
      <c r="N589">
        <v>0</v>
      </c>
    </row>
    <row r="590" spans="1:14">
      <c r="A590" t="s">
        <v>3760</v>
      </c>
      <c r="B590" t="s">
        <v>2267</v>
      </c>
      <c r="C590">
        <v>800</v>
      </c>
      <c r="D590" t="s">
        <v>2252</v>
      </c>
      <c r="E590" t="s">
        <v>3759</v>
      </c>
      <c r="F590" s="455">
        <v>46200</v>
      </c>
      <c r="G590" s="455">
        <v>46200</v>
      </c>
      <c r="H590" s="455">
        <v>46564</v>
      </c>
      <c r="J590">
        <v>952</v>
      </c>
      <c r="K590" s="456">
        <v>1030.5999999999999</v>
      </c>
      <c r="L590" s="456">
        <v>1026</v>
      </c>
      <c r="M590">
        <v>0</v>
      </c>
      <c r="N590">
        <v>0</v>
      </c>
    </row>
    <row r="591" spans="1:14">
      <c r="A591" t="s">
        <v>2957</v>
      </c>
      <c r="B591" t="s">
        <v>2267</v>
      </c>
      <c r="C591">
        <v>800</v>
      </c>
      <c r="D591" t="s">
        <v>2252</v>
      </c>
      <c r="E591" t="s">
        <v>2958</v>
      </c>
      <c r="F591" s="455">
        <v>45442</v>
      </c>
      <c r="G591" s="455">
        <v>46233</v>
      </c>
      <c r="H591" s="455">
        <v>46597</v>
      </c>
      <c r="J591">
        <v>902</v>
      </c>
      <c r="K591" s="456">
        <v>1362.14</v>
      </c>
      <c r="L591" s="456">
        <v>1264</v>
      </c>
      <c r="M591">
        <v>0</v>
      </c>
      <c r="N591">
        <v>0</v>
      </c>
    </row>
    <row r="592" spans="1:14">
      <c r="A592" t="s">
        <v>2704</v>
      </c>
      <c r="B592" t="s">
        <v>2267</v>
      </c>
      <c r="C592">
        <v>800</v>
      </c>
      <c r="D592" t="s">
        <v>6383</v>
      </c>
      <c r="E592" t="s">
        <v>6384</v>
      </c>
      <c r="J592">
        <v>952</v>
      </c>
      <c r="K592">
        <v>0</v>
      </c>
      <c r="L592">
        <v>0</v>
      </c>
    </row>
    <row r="593" spans="1:14">
      <c r="A593" t="s">
        <v>2706</v>
      </c>
      <c r="B593" t="s">
        <v>2267</v>
      </c>
      <c r="C593">
        <v>800</v>
      </c>
      <c r="D593" t="s">
        <v>6389</v>
      </c>
      <c r="E593" t="s">
        <v>6384</v>
      </c>
      <c r="J593">
        <v>902</v>
      </c>
      <c r="K593">
        <v>0</v>
      </c>
      <c r="L593">
        <v>0</v>
      </c>
      <c r="N593">
        <v>0</v>
      </c>
    </row>
    <row r="594" spans="1:14">
      <c r="A594" t="s">
        <v>6906</v>
      </c>
      <c r="B594" t="s">
        <v>2268</v>
      </c>
      <c r="C594">
        <v>841</v>
      </c>
      <c r="D594" t="s">
        <v>2252</v>
      </c>
      <c r="E594" t="s">
        <v>6907</v>
      </c>
      <c r="F594" s="455">
        <v>42985</v>
      </c>
      <c r="G594" s="455">
        <v>46113</v>
      </c>
      <c r="H594" s="455">
        <v>46477</v>
      </c>
      <c r="J594" s="456">
        <v>1051</v>
      </c>
      <c r="K594" s="456">
        <v>1026.7</v>
      </c>
      <c r="L594">
        <v>966</v>
      </c>
      <c r="M594">
        <v>0</v>
      </c>
      <c r="N594">
        <v>100</v>
      </c>
    </row>
    <row r="595" spans="1:14">
      <c r="A595" t="s">
        <v>2184</v>
      </c>
      <c r="B595" t="s">
        <v>2268</v>
      </c>
      <c r="C595">
        <v>841</v>
      </c>
      <c r="D595" t="s">
        <v>6389</v>
      </c>
      <c r="E595" t="s">
        <v>6384</v>
      </c>
      <c r="J595" s="456">
        <v>1051</v>
      </c>
      <c r="K595">
        <v>0</v>
      </c>
      <c r="L595">
        <v>0</v>
      </c>
      <c r="N595">
        <v>0</v>
      </c>
    </row>
    <row r="596" spans="1:14">
      <c r="A596" t="s">
        <v>2533</v>
      </c>
      <c r="B596" t="s">
        <v>2268</v>
      </c>
      <c r="C596">
        <v>841</v>
      </c>
      <c r="D596" t="s">
        <v>2252</v>
      </c>
      <c r="E596" t="s">
        <v>1095</v>
      </c>
      <c r="F596" s="455">
        <v>46150</v>
      </c>
      <c r="G596" s="455">
        <v>46150</v>
      </c>
      <c r="H596" s="455">
        <v>46511</v>
      </c>
      <c r="J596" s="456">
        <v>1121</v>
      </c>
      <c r="K596" s="456">
        <v>1454.08</v>
      </c>
      <c r="L596" s="456">
        <v>1250</v>
      </c>
      <c r="M596">
        <v>0</v>
      </c>
      <c r="N596">
        <v>0</v>
      </c>
    </row>
    <row r="597" spans="1:14">
      <c r="A597" t="s">
        <v>6908</v>
      </c>
      <c r="B597" t="s">
        <v>2268</v>
      </c>
      <c r="C597">
        <v>841</v>
      </c>
      <c r="D597" t="s">
        <v>2252</v>
      </c>
      <c r="E597" t="s">
        <v>6909</v>
      </c>
      <c r="F597" s="455">
        <v>40470</v>
      </c>
      <c r="G597" s="455">
        <v>46143</v>
      </c>
      <c r="H597" s="455">
        <v>46507</v>
      </c>
      <c r="J597" s="456">
        <v>1026</v>
      </c>
      <c r="K597" s="456">
        <v>1437.19</v>
      </c>
      <c r="L597" s="456">
        <v>1351</v>
      </c>
      <c r="M597">
        <v>0</v>
      </c>
      <c r="N597">
        <v>100</v>
      </c>
    </row>
    <row r="598" spans="1:14">
      <c r="A598" t="s">
        <v>6910</v>
      </c>
      <c r="B598" t="s">
        <v>2268</v>
      </c>
      <c r="C598">
        <v>841</v>
      </c>
      <c r="D598" t="s">
        <v>6389</v>
      </c>
      <c r="E598" t="s">
        <v>6384</v>
      </c>
      <c r="J598" s="456">
        <v>1146</v>
      </c>
      <c r="K598">
        <v>0</v>
      </c>
      <c r="L598">
        <v>0</v>
      </c>
      <c r="N598">
        <v>0</v>
      </c>
    </row>
    <row r="599" spans="1:14">
      <c r="A599" t="s">
        <v>2960</v>
      </c>
      <c r="B599" t="s">
        <v>2268</v>
      </c>
      <c r="C599">
        <v>841</v>
      </c>
      <c r="D599" t="s">
        <v>2252</v>
      </c>
      <c r="E599" t="s">
        <v>2961</v>
      </c>
      <c r="F599" s="455">
        <v>40509</v>
      </c>
      <c r="G599" s="455">
        <v>46235</v>
      </c>
      <c r="H599" s="455">
        <v>46599</v>
      </c>
      <c r="J599" s="456">
        <v>1051</v>
      </c>
      <c r="K599">
        <v>766.75</v>
      </c>
      <c r="L599" s="456">
        <v>1215</v>
      </c>
      <c r="M599">
        <v>0</v>
      </c>
      <c r="N599">
        <v>100</v>
      </c>
    </row>
    <row r="600" spans="1:14">
      <c r="A600" t="s">
        <v>2534</v>
      </c>
      <c r="B600" t="s">
        <v>2268</v>
      </c>
      <c r="C600">
        <v>841</v>
      </c>
      <c r="D600" t="s">
        <v>6389</v>
      </c>
      <c r="E600" t="s">
        <v>6384</v>
      </c>
      <c r="J600" s="456">
        <v>1146</v>
      </c>
      <c r="K600">
        <v>0</v>
      </c>
      <c r="L600">
        <v>0</v>
      </c>
      <c r="N600">
        <v>0</v>
      </c>
    </row>
    <row r="601" spans="1:14">
      <c r="A601" t="s">
        <v>6911</v>
      </c>
      <c r="B601" t="s">
        <v>2268</v>
      </c>
      <c r="C601">
        <v>841</v>
      </c>
      <c r="D601" t="s">
        <v>6389</v>
      </c>
      <c r="E601" t="s">
        <v>6384</v>
      </c>
      <c r="J601" s="456">
        <v>1146</v>
      </c>
      <c r="K601">
        <v>0</v>
      </c>
      <c r="L601">
        <v>0</v>
      </c>
      <c r="N601">
        <v>0</v>
      </c>
    </row>
    <row r="602" spans="1:14">
      <c r="A602" t="s">
        <v>2536</v>
      </c>
      <c r="B602" t="s">
        <v>2268</v>
      </c>
      <c r="C602">
        <v>841</v>
      </c>
      <c r="D602" t="s">
        <v>6389</v>
      </c>
      <c r="E602" t="s">
        <v>6384</v>
      </c>
      <c r="J602" s="456">
        <v>1121</v>
      </c>
      <c r="K602">
        <v>0</v>
      </c>
      <c r="L602">
        <v>0</v>
      </c>
      <c r="N602">
        <v>0</v>
      </c>
    </row>
    <row r="603" spans="1:14">
      <c r="A603" t="s">
        <v>2962</v>
      </c>
      <c r="B603" t="s">
        <v>2268</v>
      </c>
      <c r="C603">
        <v>841</v>
      </c>
      <c r="D603" t="s">
        <v>2252</v>
      </c>
      <c r="E603" t="s">
        <v>2963</v>
      </c>
      <c r="F603" s="455">
        <v>45869</v>
      </c>
      <c r="G603" s="455">
        <v>46234</v>
      </c>
      <c r="H603" s="455">
        <v>46598</v>
      </c>
      <c r="J603" s="456">
        <v>1121</v>
      </c>
      <c r="K603" s="456">
        <v>1440.75</v>
      </c>
      <c r="L603" s="456">
        <v>1389</v>
      </c>
      <c r="M603">
        <v>0</v>
      </c>
      <c r="N603">
        <v>0</v>
      </c>
    </row>
    <row r="604" spans="1:14">
      <c r="A604" t="s">
        <v>6912</v>
      </c>
      <c r="B604" t="s">
        <v>2268</v>
      </c>
      <c r="C604">
        <v>841</v>
      </c>
      <c r="D604" t="s">
        <v>6389</v>
      </c>
      <c r="E604" t="s">
        <v>6384</v>
      </c>
      <c r="J604" s="456">
        <v>1121</v>
      </c>
      <c r="K604">
        <v>0</v>
      </c>
      <c r="L604">
        <v>0</v>
      </c>
      <c r="N604">
        <v>0</v>
      </c>
    </row>
    <row r="605" spans="1:14">
      <c r="A605" t="s">
        <v>6913</v>
      </c>
      <c r="B605" t="s">
        <v>2268</v>
      </c>
      <c r="C605">
        <v>841</v>
      </c>
      <c r="D605" t="s">
        <v>2252</v>
      </c>
      <c r="E605" t="s">
        <v>6914</v>
      </c>
      <c r="F605" s="455">
        <v>44415</v>
      </c>
      <c r="G605" s="455">
        <v>45901</v>
      </c>
      <c r="H605" s="455">
        <v>46265</v>
      </c>
      <c r="J605" s="456">
        <v>1121</v>
      </c>
      <c r="K605" s="456">
        <v>1329.75</v>
      </c>
      <c r="L605" s="456">
        <v>1277.49</v>
      </c>
      <c r="M605">
        <v>0</v>
      </c>
      <c r="N605">
        <v>0</v>
      </c>
    </row>
    <row r="606" spans="1:14">
      <c r="A606" t="s">
        <v>1581</v>
      </c>
      <c r="B606" t="s">
        <v>2268</v>
      </c>
      <c r="C606">
        <v>841</v>
      </c>
      <c r="D606" t="s">
        <v>6389</v>
      </c>
      <c r="E606" t="s">
        <v>6384</v>
      </c>
      <c r="J606" s="456">
        <v>1131</v>
      </c>
      <c r="K606">
        <v>0</v>
      </c>
      <c r="L606">
        <v>0</v>
      </c>
      <c r="N606">
        <v>0</v>
      </c>
    </row>
    <row r="607" spans="1:14">
      <c r="A607" t="s">
        <v>1572</v>
      </c>
      <c r="B607" t="s">
        <v>2268</v>
      </c>
      <c r="C607">
        <v>841</v>
      </c>
      <c r="D607" t="s">
        <v>6389</v>
      </c>
      <c r="E607" t="s">
        <v>6384</v>
      </c>
      <c r="J607" s="456">
        <v>1036</v>
      </c>
      <c r="K607">
        <v>0</v>
      </c>
      <c r="L607">
        <v>0</v>
      </c>
      <c r="N607">
        <v>0</v>
      </c>
    </row>
    <row r="608" spans="1:14">
      <c r="A608" t="s">
        <v>3972</v>
      </c>
      <c r="B608" t="s">
        <v>2268</v>
      </c>
      <c r="C608">
        <v>841</v>
      </c>
      <c r="D608" t="s">
        <v>6508</v>
      </c>
      <c r="E608" t="s">
        <v>6384</v>
      </c>
      <c r="J608" s="456">
        <v>1131</v>
      </c>
      <c r="K608">
        <v>0</v>
      </c>
      <c r="L608">
        <v>0</v>
      </c>
    </row>
    <row r="609" spans="1:14">
      <c r="A609" t="s">
        <v>6915</v>
      </c>
      <c r="B609" t="s">
        <v>2268</v>
      </c>
      <c r="C609">
        <v>841</v>
      </c>
      <c r="D609" t="s">
        <v>6389</v>
      </c>
      <c r="E609" t="s">
        <v>6384</v>
      </c>
      <c r="J609" s="456">
        <v>1131</v>
      </c>
      <c r="K609">
        <v>0</v>
      </c>
      <c r="L609">
        <v>0</v>
      </c>
      <c r="N609">
        <v>0</v>
      </c>
    </row>
    <row r="610" spans="1:14">
      <c r="A610" t="s">
        <v>6916</v>
      </c>
      <c r="B610" t="s">
        <v>2268</v>
      </c>
      <c r="C610">
        <v>841</v>
      </c>
      <c r="D610" t="s">
        <v>6389</v>
      </c>
      <c r="E610" t="s">
        <v>6384</v>
      </c>
      <c r="J610" s="456">
        <v>1146</v>
      </c>
      <c r="K610">
        <v>0</v>
      </c>
      <c r="L610">
        <v>0</v>
      </c>
      <c r="N610">
        <v>0</v>
      </c>
    </row>
    <row r="611" spans="1:14">
      <c r="A611" t="s">
        <v>5894</v>
      </c>
      <c r="B611" t="s">
        <v>2268</v>
      </c>
      <c r="C611">
        <v>841</v>
      </c>
      <c r="D611" t="s">
        <v>6389</v>
      </c>
      <c r="E611" t="s">
        <v>6384</v>
      </c>
      <c r="J611" s="456">
        <v>1146</v>
      </c>
      <c r="K611">
        <v>0</v>
      </c>
      <c r="L611">
        <v>0</v>
      </c>
      <c r="N611">
        <v>0</v>
      </c>
    </row>
    <row r="612" spans="1:14">
      <c r="A612" t="s">
        <v>6917</v>
      </c>
      <c r="B612" t="s">
        <v>2268</v>
      </c>
      <c r="C612">
        <v>841</v>
      </c>
      <c r="D612" t="s">
        <v>2252</v>
      </c>
      <c r="E612" t="s">
        <v>6918</v>
      </c>
      <c r="F612" s="455">
        <v>40232</v>
      </c>
      <c r="G612" s="455">
        <v>46082</v>
      </c>
      <c r="H612" s="455">
        <v>46445</v>
      </c>
      <c r="J612" s="456">
        <v>1051</v>
      </c>
      <c r="K612" s="456">
        <v>1132.19</v>
      </c>
      <c r="L612" s="456">
        <v>1046</v>
      </c>
      <c r="M612">
        <v>0</v>
      </c>
      <c r="N612">
        <v>100</v>
      </c>
    </row>
    <row r="613" spans="1:14">
      <c r="A613" t="s">
        <v>6919</v>
      </c>
      <c r="B613" t="s">
        <v>2268</v>
      </c>
      <c r="C613">
        <v>841</v>
      </c>
      <c r="D613" t="s">
        <v>6389</v>
      </c>
      <c r="E613" t="s">
        <v>6384</v>
      </c>
      <c r="J613" s="456">
        <v>1146</v>
      </c>
      <c r="K613">
        <v>0</v>
      </c>
      <c r="L613">
        <v>0</v>
      </c>
      <c r="N613">
        <v>0</v>
      </c>
    </row>
    <row r="614" spans="1:14">
      <c r="A614" t="s">
        <v>6920</v>
      </c>
      <c r="B614" t="s">
        <v>2268</v>
      </c>
      <c r="C614">
        <v>841</v>
      </c>
      <c r="D614" t="s">
        <v>2251</v>
      </c>
      <c r="E614" t="s">
        <v>4795</v>
      </c>
      <c r="F614" s="455">
        <v>45504</v>
      </c>
      <c r="G614" s="455">
        <v>46234</v>
      </c>
      <c r="H614" s="455">
        <v>46261</v>
      </c>
      <c r="I614" s="455">
        <v>46261</v>
      </c>
      <c r="J614" s="456">
        <v>1121</v>
      </c>
      <c r="K614" s="456">
        <v>1469.75</v>
      </c>
      <c r="L614" s="456">
        <v>1627</v>
      </c>
      <c r="M614">
        <v>0</v>
      </c>
      <c r="N614">
        <v>0</v>
      </c>
    </row>
    <row r="615" spans="1:14">
      <c r="A615" t="s">
        <v>6921</v>
      </c>
      <c r="B615" t="s">
        <v>2268</v>
      </c>
      <c r="C615">
        <v>841</v>
      </c>
      <c r="D615" t="s">
        <v>2252</v>
      </c>
      <c r="E615" t="s">
        <v>6922</v>
      </c>
      <c r="F615" s="455">
        <v>41684</v>
      </c>
      <c r="G615" s="455">
        <v>46204</v>
      </c>
      <c r="H615" s="455">
        <v>46568</v>
      </c>
      <c r="J615" s="456">
        <v>1026</v>
      </c>
      <c r="K615" s="456">
        <v>1146.24</v>
      </c>
      <c r="L615" s="456">
        <v>1075</v>
      </c>
      <c r="M615" s="456">
        <v>-1187.3399999999999</v>
      </c>
      <c r="N615">
        <v>150</v>
      </c>
    </row>
    <row r="616" spans="1:14">
      <c r="A616" t="s">
        <v>6923</v>
      </c>
      <c r="B616" t="s">
        <v>2268</v>
      </c>
      <c r="C616">
        <v>841</v>
      </c>
      <c r="D616" t="s">
        <v>2252</v>
      </c>
      <c r="E616" t="s">
        <v>6924</v>
      </c>
      <c r="F616" s="455">
        <v>44728</v>
      </c>
      <c r="G616" s="455">
        <v>45078</v>
      </c>
      <c r="J616" s="456">
        <v>1121</v>
      </c>
      <c r="K616" s="456">
        <v>2023.24</v>
      </c>
      <c r="L616" s="456">
        <v>1951.5</v>
      </c>
      <c r="M616">
        <v>0</v>
      </c>
      <c r="N616">
        <v>0</v>
      </c>
    </row>
    <row r="617" spans="1:14">
      <c r="A617" t="s">
        <v>2964</v>
      </c>
      <c r="B617" t="s">
        <v>2268</v>
      </c>
      <c r="C617">
        <v>841</v>
      </c>
      <c r="D617" t="s">
        <v>2252</v>
      </c>
      <c r="E617" t="s">
        <v>1115</v>
      </c>
      <c r="F617" s="455">
        <v>46219</v>
      </c>
      <c r="G617" s="455">
        <v>46219</v>
      </c>
      <c r="H617" s="455">
        <v>46583</v>
      </c>
      <c r="J617" s="456">
        <v>1121</v>
      </c>
      <c r="K617">
        <v>96</v>
      </c>
      <c r="L617" s="456">
        <v>1185</v>
      </c>
      <c r="M617">
        <v>0</v>
      </c>
      <c r="N617">
        <v>500</v>
      </c>
    </row>
    <row r="618" spans="1:14">
      <c r="A618" t="s">
        <v>4587</v>
      </c>
      <c r="B618" t="s">
        <v>2268</v>
      </c>
      <c r="C618">
        <v>841</v>
      </c>
      <c r="D618" t="s">
        <v>6389</v>
      </c>
      <c r="E618" t="s">
        <v>6384</v>
      </c>
      <c r="J618" s="456">
        <v>1131</v>
      </c>
      <c r="K618">
        <v>0</v>
      </c>
      <c r="L618">
        <v>0</v>
      </c>
      <c r="N618">
        <v>0</v>
      </c>
    </row>
    <row r="619" spans="1:14">
      <c r="A619" t="s">
        <v>2966</v>
      </c>
      <c r="B619" t="s">
        <v>2268</v>
      </c>
      <c r="C619">
        <v>841</v>
      </c>
      <c r="D619" t="s">
        <v>2252</v>
      </c>
      <c r="E619" t="s">
        <v>2967</v>
      </c>
      <c r="F619" s="455">
        <v>42091</v>
      </c>
      <c r="G619" s="455">
        <v>46235</v>
      </c>
      <c r="H619" s="455">
        <v>46599</v>
      </c>
      <c r="J619" s="456">
        <v>1036</v>
      </c>
      <c r="K619" s="456">
        <v>1378.24</v>
      </c>
      <c r="L619" s="456">
        <v>1307</v>
      </c>
      <c r="M619">
        <v>0</v>
      </c>
      <c r="N619">
        <v>450</v>
      </c>
    </row>
    <row r="620" spans="1:14">
      <c r="A620" t="s">
        <v>3497</v>
      </c>
      <c r="B620" t="s">
        <v>2268</v>
      </c>
      <c r="C620">
        <v>841</v>
      </c>
      <c r="D620" t="s">
        <v>2252</v>
      </c>
      <c r="E620" t="s">
        <v>3496</v>
      </c>
      <c r="F620" s="455">
        <v>46186</v>
      </c>
      <c r="G620" s="455">
        <v>46186</v>
      </c>
      <c r="H620" s="455">
        <v>46550</v>
      </c>
      <c r="J620" s="456">
        <v>1131</v>
      </c>
      <c r="K620" s="456">
        <v>1270.2</v>
      </c>
      <c r="L620" s="456">
        <v>1260</v>
      </c>
      <c r="M620">
        <v>0</v>
      </c>
      <c r="N620">
        <v>0</v>
      </c>
    </row>
    <row r="621" spans="1:14">
      <c r="A621" t="s">
        <v>3344</v>
      </c>
      <c r="B621" t="s">
        <v>2268</v>
      </c>
      <c r="C621">
        <v>841</v>
      </c>
      <c r="D621" t="s">
        <v>2252</v>
      </c>
      <c r="E621" t="s">
        <v>3343</v>
      </c>
      <c r="F621" s="455">
        <v>46200</v>
      </c>
      <c r="G621" s="455">
        <v>46200</v>
      </c>
      <c r="H621" s="455">
        <v>46564</v>
      </c>
      <c r="J621" s="456">
        <v>1131</v>
      </c>
      <c r="K621" s="456">
        <v>1264.5999999999999</v>
      </c>
      <c r="L621" s="456">
        <v>1260</v>
      </c>
      <c r="M621">
        <v>0</v>
      </c>
      <c r="N621">
        <v>0</v>
      </c>
    </row>
    <row r="622" spans="1:14">
      <c r="A622" t="s">
        <v>1563</v>
      </c>
      <c r="B622" t="s">
        <v>2269</v>
      </c>
      <c r="C622">
        <v>845</v>
      </c>
      <c r="D622" t="s">
        <v>6389</v>
      </c>
      <c r="E622" t="s">
        <v>6384</v>
      </c>
      <c r="J622" s="456">
        <v>1288</v>
      </c>
      <c r="K622">
        <v>0</v>
      </c>
      <c r="L622">
        <v>0</v>
      </c>
      <c r="N622">
        <v>0</v>
      </c>
    </row>
    <row r="623" spans="1:14">
      <c r="A623" t="s">
        <v>6925</v>
      </c>
      <c r="B623" t="s">
        <v>2269</v>
      </c>
      <c r="C623">
        <v>845</v>
      </c>
      <c r="D623" t="s">
        <v>6389</v>
      </c>
      <c r="E623" t="s">
        <v>6384</v>
      </c>
      <c r="J623" s="456">
        <v>1313</v>
      </c>
      <c r="K623">
        <v>0</v>
      </c>
      <c r="L623">
        <v>0</v>
      </c>
      <c r="N623">
        <v>0</v>
      </c>
    </row>
    <row r="624" spans="1:14">
      <c r="A624" t="s">
        <v>6926</v>
      </c>
      <c r="B624" t="s">
        <v>2269</v>
      </c>
      <c r="C624">
        <v>845</v>
      </c>
      <c r="D624" t="s">
        <v>2252</v>
      </c>
      <c r="E624" t="s">
        <v>6927</v>
      </c>
      <c r="F624" s="455">
        <v>38047</v>
      </c>
      <c r="G624" s="455">
        <v>45962</v>
      </c>
      <c r="H624" s="455">
        <v>46326</v>
      </c>
      <c r="J624" s="456">
        <v>1243</v>
      </c>
      <c r="K624" s="456">
        <v>1469.92</v>
      </c>
      <c r="L624" s="456">
        <v>1356.5</v>
      </c>
      <c r="M624">
        <v>0</v>
      </c>
      <c r="N624">
        <v>150</v>
      </c>
    </row>
    <row r="625" spans="1:14">
      <c r="A625" t="s">
        <v>3391</v>
      </c>
      <c r="B625" t="s">
        <v>2269</v>
      </c>
      <c r="C625">
        <v>845</v>
      </c>
      <c r="D625" t="s">
        <v>6513</v>
      </c>
      <c r="E625" t="s">
        <v>6384</v>
      </c>
      <c r="J625" s="456">
        <v>1263</v>
      </c>
      <c r="K625">
        <v>0</v>
      </c>
      <c r="L625">
        <v>0</v>
      </c>
      <c r="N625">
        <v>0</v>
      </c>
    </row>
    <row r="626" spans="1:14">
      <c r="A626" t="s">
        <v>6928</v>
      </c>
      <c r="B626" t="s">
        <v>2269</v>
      </c>
      <c r="C626">
        <v>845</v>
      </c>
      <c r="D626" t="s">
        <v>2252</v>
      </c>
      <c r="E626" t="s">
        <v>6929</v>
      </c>
      <c r="F626" s="455">
        <v>44470</v>
      </c>
      <c r="G626" s="455">
        <v>45901</v>
      </c>
      <c r="H626" s="455">
        <v>46265</v>
      </c>
      <c r="J626" s="456">
        <v>1243</v>
      </c>
      <c r="K626" s="456">
        <v>1680.59</v>
      </c>
      <c r="L626" s="456">
        <v>1537.5</v>
      </c>
      <c r="M626">
        <v>0</v>
      </c>
      <c r="N626">
        <v>0</v>
      </c>
    </row>
    <row r="627" spans="1:14">
      <c r="A627" t="s">
        <v>6930</v>
      </c>
      <c r="B627" t="s">
        <v>2269</v>
      </c>
      <c r="C627">
        <v>845</v>
      </c>
      <c r="D627" t="s">
        <v>2252</v>
      </c>
      <c r="E627" t="s">
        <v>6931</v>
      </c>
      <c r="F627" s="455">
        <v>45086</v>
      </c>
      <c r="G627" s="455">
        <v>46174</v>
      </c>
      <c r="H627" s="455">
        <v>46538</v>
      </c>
      <c r="J627" s="456">
        <v>1313</v>
      </c>
      <c r="K627" s="456">
        <v>1672.59</v>
      </c>
      <c r="L627" s="456">
        <v>1530</v>
      </c>
      <c r="M627">
        <v>-0.3</v>
      </c>
      <c r="N627">
        <v>150</v>
      </c>
    </row>
    <row r="628" spans="1:14">
      <c r="A628" t="s">
        <v>2124</v>
      </c>
      <c r="B628" t="s">
        <v>2269</v>
      </c>
      <c r="C628">
        <v>845</v>
      </c>
      <c r="D628" t="s">
        <v>6513</v>
      </c>
      <c r="E628" t="s">
        <v>6384</v>
      </c>
      <c r="J628" s="456">
        <v>1243</v>
      </c>
      <c r="K628">
        <v>0</v>
      </c>
      <c r="L628">
        <v>0</v>
      </c>
      <c r="N628">
        <v>0</v>
      </c>
    </row>
    <row r="629" spans="1:14">
      <c r="A629" t="s">
        <v>6932</v>
      </c>
      <c r="B629" t="s">
        <v>2269</v>
      </c>
      <c r="C629">
        <v>845</v>
      </c>
      <c r="D629" t="s">
        <v>2252</v>
      </c>
      <c r="E629" t="s">
        <v>6933</v>
      </c>
      <c r="F629" s="455">
        <v>44652</v>
      </c>
      <c r="G629" s="455">
        <v>46113</v>
      </c>
      <c r="H629" s="455">
        <v>46477</v>
      </c>
      <c r="J629" s="456">
        <v>1218</v>
      </c>
      <c r="K629" s="456">
        <v>1736.2</v>
      </c>
      <c r="L629" s="456">
        <v>1549</v>
      </c>
      <c r="M629">
        <v>0</v>
      </c>
      <c r="N629">
        <v>0</v>
      </c>
    </row>
    <row r="630" spans="1:14">
      <c r="A630" t="s">
        <v>1517</v>
      </c>
      <c r="B630" t="s">
        <v>2269</v>
      </c>
      <c r="C630">
        <v>845</v>
      </c>
      <c r="D630" t="s">
        <v>6389</v>
      </c>
      <c r="E630" t="s">
        <v>6384</v>
      </c>
      <c r="J630" s="456">
        <v>1243</v>
      </c>
      <c r="K630">
        <v>0</v>
      </c>
      <c r="L630">
        <v>0</v>
      </c>
      <c r="N630">
        <v>0</v>
      </c>
    </row>
    <row r="631" spans="1:14">
      <c r="A631" t="s">
        <v>6934</v>
      </c>
      <c r="B631" t="s">
        <v>2269</v>
      </c>
      <c r="C631">
        <v>845</v>
      </c>
      <c r="D631" t="s">
        <v>2252</v>
      </c>
      <c r="E631" t="s">
        <v>6935</v>
      </c>
      <c r="F631" s="455">
        <v>44866</v>
      </c>
      <c r="G631" s="455">
        <v>45962</v>
      </c>
      <c r="H631" s="455">
        <v>46326</v>
      </c>
      <c r="J631" s="456">
        <v>1313</v>
      </c>
      <c r="K631" s="456">
        <v>1625.92</v>
      </c>
      <c r="L631" s="456">
        <v>1512.49</v>
      </c>
      <c r="M631">
        <v>0</v>
      </c>
      <c r="N631">
        <v>0</v>
      </c>
    </row>
    <row r="632" spans="1:14">
      <c r="A632" t="s">
        <v>2572</v>
      </c>
      <c r="B632" t="s">
        <v>2269</v>
      </c>
      <c r="C632">
        <v>845</v>
      </c>
      <c r="D632" t="s">
        <v>6389</v>
      </c>
      <c r="E632" t="s">
        <v>6384</v>
      </c>
      <c r="J632" s="456">
        <v>1288</v>
      </c>
      <c r="K632">
        <v>0</v>
      </c>
      <c r="L632">
        <v>0</v>
      </c>
      <c r="N632">
        <v>0</v>
      </c>
    </row>
    <row r="633" spans="1:14">
      <c r="A633" t="s">
        <v>3385</v>
      </c>
      <c r="B633" t="s">
        <v>2269</v>
      </c>
      <c r="C633">
        <v>845</v>
      </c>
      <c r="D633" t="s">
        <v>6508</v>
      </c>
      <c r="E633" t="s">
        <v>6384</v>
      </c>
      <c r="J633" s="456">
        <v>1263</v>
      </c>
      <c r="K633">
        <v>0</v>
      </c>
      <c r="L633">
        <v>0</v>
      </c>
      <c r="N633">
        <v>0</v>
      </c>
    </row>
    <row r="634" spans="1:14">
      <c r="A634" t="s">
        <v>4796</v>
      </c>
      <c r="B634" t="s">
        <v>2269</v>
      </c>
      <c r="C634">
        <v>845</v>
      </c>
      <c r="D634" t="s">
        <v>6383</v>
      </c>
      <c r="E634" t="s">
        <v>6384</v>
      </c>
      <c r="J634" s="456">
        <v>1338</v>
      </c>
      <c r="K634">
        <v>0</v>
      </c>
      <c r="L634">
        <v>0</v>
      </c>
    </row>
    <row r="635" spans="1:14">
      <c r="A635" t="s">
        <v>6936</v>
      </c>
      <c r="B635" t="s">
        <v>2269</v>
      </c>
      <c r="C635">
        <v>845</v>
      </c>
      <c r="D635" t="s">
        <v>2252</v>
      </c>
      <c r="E635" t="s">
        <v>6937</v>
      </c>
      <c r="F635" s="455">
        <v>45292</v>
      </c>
      <c r="G635" s="455">
        <v>46081</v>
      </c>
      <c r="H635" s="455">
        <v>46445</v>
      </c>
      <c r="J635" s="456">
        <v>1263</v>
      </c>
      <c r="K635" s="456">
        <v>1515.54</v>
      </c>
      <c r="L635" s="456">
        <v>1364</v>
      </c>
      <c r="M635">
        <v>0</v>
      </c>
      <c r="N635">
        <v>0</v>
      </c>
    </row>
    <row r="636" spans="1:14">
      <c r="A636" t="s">
        <v>6938</v>
      </c>
      <c r="B636" t="s">
        <v>2269</v>
      </c>
      <c r="C636">
        <v>845</v>
      </c>
      <c r="D636" t="s">
        <v>2252</v>
      </c>
      <c r="E636" t="s">
        <v>6939</v>
      </c>
      <c r="F636" s="455">
        <v>44287</v>
      </c>
      <c r="G636" s="455">
        <v>46183</v>
      </c>
      <c r="H636" s="455">
        <v>46547</v>
      </c>
      <c r="J636" s="456">
        <v>1338</v>
      </c>
      <c r="K636" s="456">
        <v>1492.92</v>
      </c>
      <c r="L636" s="456">
        <v>1380</v>
      </c>
      <c r="M636">
        <v>0</v>
      </c>
      <c r="N636">
        <v>250</v>
      </c>
    </row>
    <row r="637" spans="1:14">
      <c r="A637" t="s">
        <v>2585</v>
      </c>
      <c r="B637" t="s">
        <v>2269</v>
      </c>
      <c r="C637">
        <v>845</v>
      </c>
      <c r="D637" t="s">
        <v>6389</v>
      </c>
      <c r="E637" t="s">
        <v>6384</v>
      </c>
      <c r="J637" s="456">
        <v>1263</v>
      </c>
      <c r="K637">
        <v>0</v>
      </c>
      <c r="L637">
        <v>0</v>
      </c>
      <c r="N637">
        <v>0</v>
      </c>
    </row>
    <row r="638" spans="1:14">
      <c r="A638" t="s">
        <v>6940</v>
      </c>
      <c r="B638" t="s">
        <v>2269</v>
      </c>
      <c r="C638">
        <v>845</v>
      </c>
      <c r="D638" t="s">
        <v>2252</v>
      </c>
      <c r="E638" t="s">
        <v>6941</v>
      </c>
      <c r="F638" s="455">
        <v>44256</v>
      </c>
      <c r="G638" s="455">
        <v>46113</v>
      </c>
      <c r="H638" s="455">
        <v>46477</v>
      </c>
      <c r="J638" s="456">
        <v>1338</v>
      </c>
      <c r="K638" s="456">
        <v>1847.87</v>
      </c>
      <c r="L638" s="456">
        <v>1549</v>
      </c>
      <c r="M638">
        <v>0</v>
      </c>
      <c r="N638">
        <v>0</v>
      </c>
    </row>
    <row r="639" spans="1:14">
      <c r="A639" t="s">
        <v>2148</v>
      </c>
      <c r="B639" t="s">
        <v>2269</v>
      </c>
      <c r="C639">
        <v>845</v>
      </c>
      <c r="D639" t="s">
        <v>2252</v>
      </c>
      <c r="E639" t="s">
        <v>3059</v>
      </c>
      <c r="F639" s="455">
        <v>46230</v>
      </c>
      <c r="G639" s="455">
        <v>46230</v>
      </c>
      <c r="H639" s="455">
        <v>46594</v>
      </c>
      <c r="J639" s="456">
        <v>1313</v>
      </c>
      <c r="K639">
        <v>129</v>
      </c>
      <c r="L639" s="456">
        <v>1442</v>
      </c>
      <c r="M639">
        <v>0</v>
      </c>
      <c r="N639">
        <v>0</v>
      </c>
    </row>
    <row r="640" spans="1:14">
      <c r="A640" t="s">
        <v>6942</v>
      </c>
      <c r="B640" t="s">
        <v>2269</v>
      </c>
      <c r="C640">
        <v>845</v>
      </c>
      <c r="D640" t="s">
        <v>2252</v>
      </c>
      <c r="E640" t="s">
        <v>6943</v>
      </c>
      <c r="F640" s="455">
        <v>44169</v>
      </c>
      <c r="G640" s="455">
        <v>45992</v>
      </c>
      <c r="H640" s="455">
        <v>46356</v>
      </c>
      <c r="J640" s="456">
        <v>1288</v>
      </c>
      <c r="K640" s="456">
        <v>1518.59</v>
      </c>
      <c r="L640" s="456">
        <v>1376</v>
      </c>
      <c r="M640">
        <v>0</v>
      </c>
      <c r="N640">
        <v>150</v>
      </c>
    </row>
    <row r="641" spans="1:14">
      <c r="A641" t="s">
        <v>3851</v>
      </c>
      <c r="B641" t="s">
        <v>2269</v>
      </c>
      <c r="C641">
        <v>845</v>
      </c>
      <c r="D641" t="s">
        <v>2252</v>
      </c>
      <c r="E641" t="s">
        <v>6944</v>
      </c>
      <c r="F641" s="455">
        <v>46160</v>
      </c>
      <c r="G641" s="455">
        <v>46160</v>
      </c>
      <c r="H641" s="455">
        <v>46524</v>
      </c>
      <c r="J641" s="456">
        <v>1313</v>
      </c>
      <c r="K641" s="456">
        <v>1632.95</v>
      </c>
      <c r="L641" s="456">
        <v>1442</v>
      </c>
      <c r="M641">
        <v>0</v>
      </c>
      <c r="N641">
        <v>0</v>
      </c>
    </row>
    <row r="642" spans="1:14">
      <c r="A642" t="s">
        <v>2607</v>
      </c>
      <c r="B642" t="s">
        <v>2269</v>
      </c>
      <c r="C642">
        <v>845</v>
      </c>
      <c r="D642" t="s">
        <v>2252</v>
      </c>
      <c r="E642" t="s">
        <v>2608</v>
      </c>
      <c r="F642" s="455">
        <v>44317</v>
      </c>
      <c r="G642" s="455">
        <v>46143</v>
      </c>
      <c r="H642" s="455">
        <v>46507</v>
      </c>
      <c r="J642" s="456">
        <v>1338</v>
      </c>
      <c r="K642" s="456">
        <v>1988.54</v>
      </c>
      <c r="L642" s="456">
        <v>1641</v>
      </c>
      <c r="M642" s="456">
        <v>1196.54</v>
      </c>
      <c r="N642">
        <v>150</v>
      </c>
    </row>
    <row r="643" spans="1:14">
      <c r="A643" t="s">
        <v>2609</v>
      </c>
      <c r="B643" t="s">
        <v>2269</v>
      </c>
      <c r="C643">
        <v>845</v>
      </c>
      <c r="D643" t="s">
        <v>6389</v>
      </c>
      <c r="E643" t="s">
        <v>6384</v>
      </c>
      <c r="J643" s="456">
        <v>1313</v>
      </c>
      <c r="K643">
        <v>0</v>
      </c>
      <c r="L643">
        <v>0</v>
      </c>
      <c r="N643">
        <v>0</v>
      </c>
    </row>
    <row r="644" spans="1:14">
      <c r="A644" t="s">
        <v>6945</v>
      </c>
      <c r="B644" t="s">
        <v>2269</v>
      </c>
      <c r="C644">
        <v>845</v>
      </c>
      <c r="D644" t="s">
        <v>2252</v>
      </c>
      <c r="E644" t="s">
        <v>6946</v>
      </c>
      <c r="F644" s="455">
        <v>44470</v>
      </c>
      <c r="G644" s="455">
        <v>45931</v>
      </c>
      <c r="H644" s="455">
        <v>46295</v>
      </c>
      <c r="J644" s="456">
        <v>1243</v>
      </c>
      <c r="K644">
        <v>950.59</v>
      </c>
      <c r="L644" s="456">
        <v>1307.5</v>
      </c>
      <c r="M644">
        <v>0</v>
      </c>
      <c r="N644">
        <v>0</v>
      </c>
    </row>
    <row r="645" spans="1:14">
      <c r="A645" t="s">
        <v>1536</v>
      </c>
      <c r="B645" t="s">
        <v>2269</v>
      </c>
      <c r="C645">
        <v>845</v>
      </c>
      <c r="D645" t="s">
        <v>6389</v>
      </c>
      <c r="E645" t="s">
        <v>6384</v>
      </c>
      <c r="J645" s="456">
        <v>1218</v>
      </c>
      <c r="K645">
        <v>0</v>
      </c>
      <c r="L645">
        <v>0</v>
      </c>
      <c r="N645">
        <v>0</v>
      </c>
    </row>
    <row r="646" spans="1:14">
      <c r="A646" t="s">
        <v>1557</v>
      </c>
      <c r="B646" t="s">
        <v>2269</v>
      </c>
      <c r="C646">
        <v>845</v>
      </c>
      <c r="D646" t="s">
        <v>6389</v>
      </c>
      <c r="E646" t="s">
        <v>6384</v>
      </c>
      <c r="J646" s="456">
        <v>1338</v>
      </c>
      <c r="K646">
        <v>0</v>
      </c>
      <c r="L646">
        <v>0</v>
      </c>
      <c r="N646">
        <v>0</v>
      </c>
    </row>
    <row r="647" spans="1:14">
      <c r="A647" t="s">
        <v>6947</v>
      </c>
      <c r="B647" t="s">
        <v>2269</v>
      </c>
      <c r="C647">
        <v>845</v>
      </c>
      <c r="D647" t="s">
        <v>2252</v>
      </c>
      <c r="E647" t="s">
        <v>6948</v>
      </c>
      <c r="F647" s="455">
        <v>45748</v>
      </c>
      <c r="G647" s="455">
        <v>46113</v>
      </c>
      <c r="H647" s="455">
        <v>46477</v>
      </c>
      <c r="J647" s="456">
        <v>1313</v>
      </c>
      <c r="K647" s="456">
        <v>1705.87</v>
      </c>
      <c r="L647" s="456">
        <v>1549</v>
      </c>
      <c r="M647">
        <v>0</v>
      </c>
      <c r="N647">
        <v>0</v>
      </c>
    </row>
    <row r="648" spans="1:14">
      <c r="A648" t="s">
        <v>6949</v>
      </c>
      <c r="B648" t="s">
        <v>2269</v>
      </c>
      <c r="C648">
        <v>845</v>
      </c>
      <c r="D648" t="s">
        <v>2252</v>
      </c>
      <c r="E648" t="s">
        <v>6950</v>
      </c>
      <c r="F648" s="455">
        <v>41061</v>
      </c>
      <c r="G648" s="455">
        <v>46174</v>
      </c>
      <c r="H648" s="455">
        <v>46538</v>
      </c>
      <c r="J648" s="456">
        <v>1288</v>
      </c>
      <c r="K648" s="456">
        <v>1458.59</v>
      </c>
      <c r="L648" s="456">
        <v>1316</v>
      </c>
      <c r="M648">
        <v>0</v>
      </c>
      <c r="N648">
        <v>0</v>
      </c>
    </row>
    <row r="649" spans="1:14">
      <c r="A649" t="s">
        <v>6951</v>
      </c>
      <c r="B649" t="s">
        <v>2269</v>
      </c>
      <c r="C649">
        <v>845</v>
      </c>
      <c r="D649" t="s">
        <v>6389</v>
      </c>
      <c r="E649" t="s">
        <v>6384</v>
      </c>
      <c r="J649" s="456">
        <v>1218</v>
      </c>
      <c r="K649">
        <v>0</v>
      </c>
      <c r="L649">
        <v>0</v>
      </c>
      <c r="N649">
        <v>0</v>
      </c>
    </row>
    <row r="650" spans="1:14">
      <c r="A650" t="s">
        <v>4424</v>
      </c>
      <c r="B650" t="s">
        <v>2269</v>
      </c>
      <c r="C650">
        <v>845</v>
      </c>
      <c r="D650" t="s">
        <v>6389</v>
      </c>
      <c r="E650" t="s">
        <v>6384</v>
      </c>
      <c r="J650" s="456">
        <v>1338</v>
      </c>
      <c r="K650">
        <v>0</v>
      </c>
      <c r="L650">
        <v>0</v>
      </c>
      <c r="N650">
        <v>0</v>
      </c>
    </row>
    <row r="651" spans="1:14">
      <c r="A651" t="s">
        <v>4691</v>
      </c>
      <c r="B651" t="s">
        <v>2269</v>
      </c>
      <c r="C651">
        <v>845</v>
      </c>
      <c r="D651" t="s">
        <v>6508</v>
      </c>
      <c r="E651" t="s">
        <v>6384</v>
      </c>
      <c r="J651" s="456">
        <v>1263</v>
      </c>
      <c r="K651">
        <v>0</v>
      </c>
      <c r="L651">
        <v>0</v>
      </c>
      <c r="N651">
        <v>0</v>
      </c>
    </row>
    <row r="652" spans="1:14">
      <c r="A652" t="s">
        <v>3060</v>
      </c>
      <c r="B652" t="s">
        <v>2269</v>
      </c>
      <c r="C652">
        <v>845</v>
      </c>
      <c r="D652" t="s">
        <v>2252</v>
      </c>
      <c r="E652" t="s">
        <v>3061</v>
      </c>
      <c r="F652" s="455">
        <v>42856</v>
      </c>
      <c r="G652" s="455">
        <v>46235</v>
      </c>
      <c r="H652" s="455">
        <v>46599</v>
      </c>
      <c r="J652" s="456">
        <v>1288</v>
      </c>
      <c r="K652" s="456">
        <v>1668.59</v>
      </c>
      <c r="L652" s="456">
        <v>1526</v>
      </c>
      <c r="M652">
        <v>0</v>
      </c>
      <c r="N652">
        <v>250</v>
      </c>
    </row>
    <row r="653" spans="1:14">
      <c r="A653" t="s">
        <v>5976</v>
      </c>
      <c r="B653" t="s">
        <v>2269</v>
      </c>
      <c r="C653">
        <v>845</v>
      </c>
      <c r="D653" t="s">
        <v>6389</v>
      </c>
      <c r="E653" t="s">
        <v>6384</v>
      </c>
      <c r="J653" s="456">
        <v>1263</v>
      </c>
      <c r="K653">
        <v>0</v>
      </c>
      <c r="L653">
        <v>0</v>
      </c>
      <c r="N653">
        <v>0</v>
      </c>
    </row>
    <row r="654" spans="1:14">
      <c r="A654" t="s">
        <v>2674</v>
      </c>
      <c r="B654" t="s">
        <v>2270</v>
      </c>
      <c r="C654">
        <v>900</v>
      </c>
      <c r="D654" t="s">
        <v>2251</v>
      </c>
      <c r="E654" t="s">
        <v>2675</v>
      </c>
      <c r="F654" s="455">
        <v>44470</v>
      </c>
      <c r="G654" s="455">
        <v>45931</v>
      </c>
      <c r="H654" s="455">
        <v>46295</v>
      </c>
      <c r="I654" s="455">
        <v>46295</v>
      </c>
      <c r="J654" s="456">
        <v>1227</v>
      </c>
      <c r="K654" s="456">
        <v>1812.73</v>
      </c>
      <c r="L654" s="456">
        <v>1493.5</v>
      </c>
      <c r="M654">
        <v>305.73</v>
      </c>
      <c r="N654">
        <v>250</v>
      </c>
    </row>
    <row r="655" spans="1:14">
      <c r="A655" t="s">
        <v>6952</v>
      </c>
      <c r="B655" t="s">
        <v>2270</v>
      </c>
      <c r="C655">
        <v>900</v>
      </c>
      <c r="D655" t="s">
        <v>6953</v>
      </c>
      <c r="E655" t="s">
        <v>6384</v>
      </c>
      <c r="J655" s="456">
        <v>1177</v>
      </c>
      <c r="K655">
        <v>0</v>
      </c>
      <c r="L655">
        <v>0</v>
      </c>
      <c r="N655">
        <v>0</v>
      </c>
    </row>
    <row r="656" spans="1:14">
      <c r="A656" t="s">
        <v>6954</v>
      </c>
      <c r="B656" t="s">
        <v>2270</v>
      </c>
      <c r="C656">
        <v>900</v>
      </c>
      <c r="D656" t="s">
        <v>2252</v>
      </c>
      <c r="E656" t="s">
        <v>6955</v>
      </c>
      <c r="F656" s="455">
        <v>44958</v>
      </c>
      <c r="G656" s="455">
        <v>46073</v>
      </c>
      <c r="H656" s="455">
        <v>46437</v>
      </c>
      <c r="J656" s="456">
        <v>1227</v>
      </c>
      <c r="K656" s="456">
        <v>1695.68</v>
      </c>
      <c r="L656" s="456">
        <v>1543</v>
      </c>
      <c r="M656">
        <v>0</v>
      </c>
      <c r="N656">
        <v>0</v>
      </c>
    </row>
    <row r="657" spans="1:14">
      <c r="A657" t="s">
        <v>6956</v>
      </c>
      <c r="B657" t="s">
        <v>2270</v>
      </c>
      <c r="C657">
        <v>900</v>
      </c>
      <c r="D657" t="s">
        <v>2252</v>
      </c>
      <c r="E657" t="s">
        <v>6957</v>
      </c>
      <c r="F657" s="455">
        <v>44501</v>
      </c>
      <c r="G657" s="455">
        <v>46143</v>
      </c>
      <c r="H657" s="455">
        <v>46507</v>
      </c>
      <c r="J657" s="456">
        <v>1177</v>
      </c>
      <c r="K657" s="456">
        <v>1657.67</v>
      </c>
      <c r="L657" s="456">
        <v>1406</v>
      </c>
      <c r="M657">
        <v>0</v>
      </c>
      <c r="N657">
        <v>750</v>
      </c>
    </row>
    <row r="658" spans="1:14">
      <c r="A658" t="s">
        <v>1895</v>
      </c>
      <c r="B658" t="s">
        <v>2270</v>
      </c>
      <c r="C658">
        <v>900</v>
      </c>
      <c r="D658" t="s">
        <v>2252</v>
      </c>
      <c r="E658" t="s">
        <v>3439</v>
      </c>
      <c r="F658" s="455">
        <v>46200</v>
      </c>
      <c r="G658" s="455">
        <v>46200</v>
      </c>
      <c r="H658" s="455">
        <v>46564</v>
      </c>
      <c r="J658" s="456">
        <v>1202</v>
      </c>
      <c r="K658" s="456">
        <v>1280.5999999999999</v>
      </c>
      <c r="L658" s="456">
        <v>1276</v>
      </c>
      <c r="M658">
        <v>0</v>
      </c>
      <c r="N658">
        <v>0</v>
      </c>
    </row>
    <row r="659" spans="1:14">
      <c r="A659" t="s">
        <v>2676</v>
      </c>
      <c r="B659" t="s">
        <v>2270</v>
      </c>
      <c r="C659">
        <v>900</v>
      </c>
      <c r="D659" t="s">
        <v>2252</v>
      </c>
      <c r="E659" t="s">
        <v>3062</v>
      </c>
      <c r="F659" s="455">
        <v>46228</v>
      </c>
      <c r="G659" s="455">
        <v>46228</v>
      </c>
      <c r="H659" s="455">
        <v>46592</v>
      </c>
      <c r="J659" s="456">
        <v>1152</v>
      </c>
      <c r="K659">
        <v>74</v>
      </c>
      <c r="L659" s="456">
        <v>1226</v>
      </c>
      <c r="M659">
        <v>0</v>
      </c>
      <c r="N659">
        <v>0</v>
      </c>
    </row>
    <row r="660" spans="1:14">
      <c r="A660" t="s">
        <v>4416</v>
      </c>
      <c r="B660" t="s">
        <v>2270</v>
      </c>
      <c r="C660">
        <v>900</v>
      </c>
      <c r="D660" t="s">
        <v>2250</v>
      </c>
      <c r="E660" t="s">
        <v>6958</v>
      </c>
      <c r="F660" s="455">
        <v>44138</v>
      </c>
      <c r="G660" s="455">
        <v>45901</v>
      </c>
      <c r="H660" s="455">
        <v>46265</v>
      </c>
      <c r="I660" s="455">
        <v>46265</v>
      </c>
      <c r="J660" s="456">
        <v>1202</v>
      </c>
      <c r="K660" s="456">
        <v>1867.73</v>
      </c>
      <c r="L660" s="456">
        <v>1575.5</v>
      </c>
      <c r="M660">
        <v>0</v>
      </c>
      <c r="N660">
        <v>0</v>
      </c>
    </row>
    <row r="661" spans="1:14">
      <c r="A661" t="s">
        <v>2678</v>
      </c>
      <c r="B661" t="s">
        <v>2270</v>
      </c>
      <c r="C661">
        <v>900</v>
      </c>
      <c r="D661" t="s">
        <v>2252</v>
      </c>
      <c r="E661" t="s">
        <v>3063</v>
      </c>
      <c r="F661" s="455">
        <v>46235</v>
      </c>
      <c r="G661" s="455">
        <v>46235</v>
      </c>
      <c r="H661" s="455">
        <v>46599</v>
      </c>
      <c r="J661" s="456">
        <v>1137</v>
      </c>
      <c r="K661">
        <v>74</v>
      </c>
      <c r="L661" s="456">
        <v>1211</v>
      </c>
      <c r="M661">
        <v>0</v>
      </c>
      <c r="N661">
        <v>0</v>
      </c>
    </row>
    <row r="662" spans="1:14">
      <c r="A662" t="s">
        <v>1908</v>
      </c>
      <c r="B662" t="s">
        <v>2270</v>
      </c>
      <c r="C662">
        <v>900</v>
      </c>
      <c r="D662" t="s">
        <v>6508</v>
      </c>
      <c r="E662" t="s">
        <v>6384</v>
      </c>
      <c r="J662" s="456">
        <v>1162</v>
      </c>
      <c r="K662">
        <v>0</v>
      </c>
      <c r="L662">
        <v>0</v>
      </c>
      <c r="N662">
        <v>0</v>
      </c>
    </row>
    <row r="663" spans="1:14">
      <c r="A663" t="s">
        <v>4208</v>
      </c>
      <c r="B663" t="s">
        <v>2270</v>
      </c>
      <c r="C663">
        <v>900</v>
      </c>
      <c r="D663" t="s">
        <v>6389</v>
      </c>
      <c r="E663" t="s">
        <v>6384</v>
      </c>
      <c r="J663" s="456">
        <v>1162</v>
      </c>
      <c r="K663">
        <v>0</v>
      </c>
      <c r="L663">
        <v>0</v>
      </c>
      <c r="N663">
        <v>0</v>
      </c>
    </row>
    <row r="664" spans="1:14">
      <c r="A664" t="s">
        <v>6959</v>
      </c>
      <c r="B664" t="s">
        <v>2270</v>
      </c>
      <c r="C664">
        <v>900</v>
      </c>
      <c r="D664" t="s">
        <v>6389</v>
      </c>
      <c r="E664" t="s">
        <v>6384</v>
      </c>
      <c r="J664" s="456">
        <v>1212</v>
      </c>
      <c r="K664">
        <v>0</v>
      </c>
      <c r="L664">
        <v>0</v>
      </c>
      <c r="N664">
        <v>0</v>
      </c>
    </row>
    <row r="665" spans="1:14">
      <c r="A665" t="s">
        <v>6960</v>
      </c>
      <c r="B665" t="s">
        <v>2270</v>
      </c>
      <c r="C665">
        <v>900</v>
      </c>
      <c r="D665" t="s">
        <v>6389</v>
      </c>
      <c r="E665" t="s">
        <v>6384</v>
      </c>
      <c r="J665" s="456">
        <v>1162</v>
      </c>
      <c r="K665">
        <v>0</v>
      </c>
      <c r="L665">
        <v>0</v>
      </c>
      <c r="N665">
        <v>0</v>
      </c>
    </row>
    <row r="666" spans="1:14">
      <c r="A666" t="s">
        <v>6961</v>
      </c>
      <c r="B666" t="s">
        <v>2270</v>
      </c>
      <c r="C666">
        <v>900</v>
      </c>
      <c r="D666" t="s">
        <v>2252</v>
      </c>
      <c r="E666" t="s">
        <v>6962</v>
      </c>
      <c r="F666" s="455">
        <v>45521</v>
      </c>
      <c r="G666" s="455">
        <v>45946</v>
      </c>
      <c r="H666" s="455">
        <v>46310</v>
      </c>
      <c r="J666" s="456">
        <v>1132</v>
      </c>
      <c r="K666" s="456">
        <v>1508.72</v>
      </c>
      <c r="L666" s="456">
        <v>1398.5</v>
      </c>
      <c r="M666">
        <v>0</v>
      </c>
      <c r="N666">
        <v>750</v>
      </c>
    </row>
    <row r="667" spans="1:14">
      <c r="A667" t="s">
        <v>6963</v>
      </c>
      <c r="B667" t="s">
        <v>2270</v>
      </c>
      <c r="C667">
        <v>900</v>
      </c>
      <c r="D667" t="s">
        <v>2252</v>
      </c>
      <c r="E667" t="s">
        <v>6964</v>
      </c>
      <c r="F667" s="455">
        <v>45958</v>
      </c>
      <c r="G667" s="455">
        <v>45958</v>
      </c>
      <c r="H667" s="455">
        <v>46322</v>
      </c>
      <c r="J667" s="456">
        <v>1162</v>
      </c>
      <c r="K667" s="456">
        <v>1327.72</v>
      </c>
      <c r="L667" s="456">
        <v>1217.49</v>
      </c>
      <c r="M667">
        <v>0</v>
      </c>
      <c r="N667">
        <v>750</v>
      </c>
    </row>
    <row r="668" spans="1:14">
      <c r="A668" t="s">
        <v>6965</v>
      </c>
      <c r="B668" t="s">
        <v>2270</v>
      </c>
      <c r="C668">
        <v>900</v>
      </c>
      <c r="D668" t="s">
        <v>2252</v>
      </c>
      <c r="E668" t="s">
        <v>6966</v>
      </c>
      <c r="F668" s="455">
        <v>45809</v>
      </c>
      <c r="G668" s="455">
        <v>46173</v>
      </c>
      <c r="H668" s="455">
        <v>46536</v>
      </c>
      <c r="J668" s="456">
        <v>1227</v>
      </c>
      <c r="K668" s="456">
        <v>1738.68</v>
      </c>
      <c r="L668" s="456">
        <v>1586</v>
      </c>
      <c r="M668">
        <v>0</v>
      </c>
      <c r="N668">
        <v>0</v>
      </c>
    </row>
    <row r="669" spans="1:14">
      <c r="A669" t="s">
        <v>2127</v>
      </c>
      <c r="B669" t="s">
        <v>2270</v>
      </c>
      <c r="C669">
        <v>900</v>
      </c>
      <c r="D669" t="s">
        <v>2252</v>
      </c>
      <c r="E669" t="s">
        <v>3816</v>
      </c>
      <c r="F669" s="455">
        <v>46193</v>
      </c>
      <c r="G669" s="455">
        <v>46193</v>
      </c>
      <c r="H669" s="455">
        <v>46557</v>
      </c>
      <c r="J669" s="456">
        <v>1227</v>
      </c>
      <c r="K669" s="456">
        <v>1308.4000000000001</v>
      </c>
      <c r="L669" s="456">
        <v>1301</v>
      </c>
      <c r="M669">
        <v>0</v>
      </c>
      <c r="N669">
        <v>0</v>
      </c>
    </row>
    <row r="670" spans="1:14">
      <c r="A670" t="s">
        <v>3877</v>
      </c>
      <c r="B670" t="s">
        <v>2270</v>
      </c>
      <c r="C670">
        <v>900</v>
      </c>
      <c r="D670" t="s">
        <v>2252</v>
      </c>
      <c r="E670" t="s">
        <v>3876</v>
      </c>
      <c r="F670" s="455">
        <v>46214</v>
      </c>
      <c r="G670" s="455">
        <v>46214</v>
      </c>
      <c r="H670" s="455">
        <v>46578</v>
      </c>
      <c r="J670" s="456">
        <v>1202</v>
      </c>
      <c r="K670">
        <v>74</v>
      </c>
      <c r="L670" s="456">
        <v>1276</v>
      </c>
      <c r="M670">
        <v>0</v>
      </c>
      <c r="N670">
        <v>0</v>
      </c>
    </row>
    <row r="671" spans="1:14">
      <c r="A671" t="s">
        <v>6967</v>
      </c>
      <c r="B671" t="s">
        <v>2270</v>
      </c>
      <c r="C671">
        <v>900</v>
      </c>
      <c r="D671" t="s">
        <v>2252</v>
      </c>
      <c r="E671" t="s">
        <v>6968</v>
      </c>
      <c r="F671" s="455">
        <v>43525</v>
      </c>
      <c r="G671" s="455">
        <v>46082</v>
      </c>
      <c r="H671" s="455">
        <v>46445</v>
      </c>
      <c r="J671" s="456">
        <v>1107</v>
      </c>
      <c r="K671" s="456">
        <v>1412.67</v>
      </c>
      <c r="L671" s="456">
        <v>1294</v>
      </c>
      <c r="M671">
        <v>0</v>
      </c>
      <c r="N671">
        <v>250</v>
      </c>
    </row>
    <row r="672" spans="1:14">
      <c r="A672" t="s">
        <v>1935</v>
      </c>
      <c r="B672" t="s">
        <v>2270</v>
      </c>
      <c r="C672">
        <v>900</v>
      </c>
      <c r="D672" t="s">
        <v>2252</v>
      </c>
      <c r="E672" t="s">
        <v>6969</v>
      </c>
      <c r="F672" s="455">
        <v>46127</v>
      </c>
      <c r="G672" s="455">
        <v>46127</v>
      </c>
      <c r="H672" s="455">
        <v>46491</v>
      </c>
      <c r="J672" s="456">
        <v>1152</v>
      </c>
      <c r="K672" s="456">
        <v>1330.88</v>
      </c>
      <c r="L672" s="456">
        <v>1261</v>
      </c>
      <c r="M672">
        <v>0</v>
      </c>
      <c r="N672">
        <v>0</v>
      </c>
    </row>
    <row r="673" spans="1:14">
      <c r="A673" t="s">
        <v>2680</v>
      </c>
      <c r="B673" t="s">
        <v>2270</v>
      </c>
      <c r="C673">
        <v>900</v>
      </c>
      <c r="D673" t="s">
        <v>2251</v>
      </c>
      <c r="E673" t="s">
        <v>1092</v>
      </c>
      <c r="F673" s="455">
        <v>45848</v>
      </c>
      <c r="G673" s="455">
        <v>46213</v>
      </c>
      <c r="H673" s="455">
        <v>46265</v>
      </c>
      <c r="I673" s="455">
        <v>46265</v>
      </c>
      <c r="J673" s="456">
        <v>1107</v>
      </c>
      <c r="K673" s="456">
        <v>1657.72</v>
      </c>
      <c r="L673" s="456">
        <v>1410.5</v>
      </c>
      <c r="M673" s="456">
        <v>22315.84</v>
      </c>
      <c r="N673">
        <v>0</v>
      </c>
    </row>
    <row r="674" spans="1:14">
      <c r="A674" t="s">
        <v>6970</v>
      </c>
      <c r="B674" t="s">
        <v>2270</v>
      </c>
      <c r="C674">
        <v>900</v>
      </c>
      <c r="D674" t="s">
        <v>6389</v>
      </c>
      <c r="E674" t="s">
        <v>6384</v>
      </c>
      <c r="J674" s="456">
        <v>1162</v>
      </c>
      <c r="K674">
        <v>0</v>
      </c>
      <c r="L674">
        <v>0</v>
      </c>
      <c r="N674">
        <v>0</v>
      </c>
    </row>
    <row r="675" spans="1:14">
      <c r="A675" t="s">
        <v>6971</v>
      </c>
      <c r="B675" t="s">
        <v>2270</v>
      </c>
      <c r="C675">
        <v>900</v>
      </c>
      <c r="D675" t="s">
        <v>2252</v>
      </c>
      <c r="E675" t="s">
        <v>6972</v>
      </c>
      <c r="F675" s="455">
        <v>43193</v>
      </c>
      <c r="G675" s="455">
        <v>46113</v>
      </c>
      <c r="H675" s="455">
        <v>46477</v>
      </c>
      <c r="J675" s="456">
        <v>1162</v>
      </c>
      <c r="K675" s="456">
        <v>1523.68</v>
      </c>
      <c r="L675" s="456">
        <v>1371</v>
      </c>
      <c r="M675">
        <v>0</v>
      </c>
      <c r="N675">
        <v>0</v>
      </c>
    </row>
    <row r="676" spans="1:14">
      <c r="A676" t="s">
        <v>6973</v>
      </c>
      <c r="B676" t="s">
        <v>2270</v>
      </c>
      <c r="C676">
        <v>900</v>
      </c>
      <c r="D676" t="s">
        <v>2252</v>
      </c>
      <c r="E676" t="s">
        <v>6974</v>
      </c>
      <c r="F676" s="455">
        <v>43770</v>
      </c>
      <c r="G676" s="455">
        <v>46113</v>
      </c>
      <c r="H676" s="455">
        <v>46477</v>
      </c>
      <c r="J676" s="456">
        <v>1162</v>
      </c>
      <c r="K676" s="456">
        <v>1483.68</v>
      </c>
      <c r="L676" s="456">
        <v>1303</v>
      </c>
      <c r="M676">
        <v>0</v>
      </c>
      <c r="N676">
        <v>250</v>
      </c>
    </row>
    <row r="677" spans="1:14">
      <c r="A677" t="s">
        <v>6975</v>
      </c>
      <c r="B677" t="s">
        <v>2270</v>
      </c>
      <c r="C677">
        <v>900</v>
      </c>
      <c r="D677" t="s">
        <v>2252</v>
      </c>
      <c r="E677" t="s">
        <v>6976</v>
      </c>
      <c r="F677" s="455">
        <v>45387</v>
      </c>
      <c r="G677" s="455">
        <v>46178</v>
      </c>
      <c r="H677" s="455">
        <v>46542</v>
      </c>
      <c r="J677" s="456">
        <v>1162</v>
      </c>
      <c r="K677" s="456">
        <v>1630.72</v>
      </c>
      <c r="L677" s="456">
        <v>1521</v>
      </c>
      <c r="M677">
        <v>0</v>
      </c>
      <c r="N677">
        <v>0</v>
      </c>
    </row>
    <row r="678" spans="1:14">
      <c r="A678" t="s">
        <v>6977</v>
      </c>
      <c r="B678" t="s">
        <v>2270</v>
      </c>
      <c r="C678">
        <v>900</v>
      </c>
      <c r="D678" t="s">
        <v>2252</v>
      </c>
      <c r="E678" t="s">
        <v>6978</v>
      </c>
      <c r="F678" s="455">
        <v>45663</v>
      </c>
      <c r="G678" s="455">
        <v>46073</v>
      </c>
      <c r="H678" s="455">
        <v>46437</v>
      </c>
      <c r="J678" s="456">
        <v>1227</v>
      </c>
      <c r="K678" s="456">
        <v>2353.35</v>
      </c>
      <c r="L678" s="456">
        <v>1299</v>
      </c>
      <c r="M678">
        <v>0</v>
      </c>
      <c r="N678">
        <v>0</v>
      </c>
    </row>
    <row r="679" spans="1:14">
      <c r="A679" t="s">
        <v>6979</v>
      </c>
      <c r="B679" t="s">
        <v>2270</v>
      </c>
      <c r="C679">
        <v>900</v>
      </c>
      <c r="D679" t="s">
        <v>2252</v>
      </c>
      <c r="E679" t="s">
        <v>6980</v>
      </c>
      <c r="F679" s="455">
        <v>44225</v>
      </c>
      <c r="G679" s="455">
        <v>46073</v>
      </c>
      <c r="H679" s="455">
        <v>46437</v>
      </c>
      <c r="J679" s="456">
        <v>1227</v>
      </c>
      <c r="K679" s="456">
        <v>1587.29</v>
      </c>
      <c r="L679" s="456">
        <v>1451</v>
      </c>
      <c r="M679">
        <v>0</v>
      </c>
      <c r="N679">
        <v>0</v>
      </c>
    </row>
    <row r="680" spans="1:14">
      <c r="A680" t="s">
        <v>2692</v>
      </c>
      <c r="B680" t="s">
        <v>2270</v>
      </c>
      <c r="C680">
        <v>900</v>
      </c>
      <c r="D680" t="s">
        <v>6389</v>
      </c>
      <c r="E680" t="s">
        <v>6384</v>
      </c>
      <c r="J680" s="456">
        <v>1227</v>
      </c>
      <c r="K680">
        <v>0</v>
      </c>
      <c r="L680">
        <v>0</v>
      </c>
      <c r="N680">
        <v>0</v>
      </c>
    </row>
    <row r="681" spans="1:14">
      <c r="A681" t="s">
        <v>2694</v>
      </c>
      <c r="B681" t="s">
        <v>2270</v>
      </c>
      <c r="C681">
        <v>900</v>
      </c>
      <c r="D681" t="s">
        <v>2252</v>
      </c>
      <c r="E681" t="s">
        <v>2695</v>
      </c>
      <c r="F681" s="455">
        <v>45594</v>
      </c>
      <c r="G681" s="455">
        <v>46020</v>
      </c>
      <c r="H681" s="455">
        <v>46384</v>
      </c>
      <c r="J681" s="456">
        <v>1177</v>
      </c>
      <c r="K681" s="456">
        <v>1985.35</v>
      </c>
      <c r="L681" s="456">
        <v>1633</v>
      </c>
      <c r="M681">
        <v>35</v>
      </c>
      <c r="N681">
        <v>0</v>
      </c>
    </row>
    <row r="682" spans="1:14">
      <c r="A682" t="s">
        <v>1943</v>
      </c>
      <c r="B682" t="s">
        <v>2270</v>
      </c>
      <c r="C682">
        <v>900</v>
      </c>
      <c r="D682" t="s">
        <v>2252</v>
      </c>
      <c r="E682" t="s">
        <v>6981</v>
      </c>
      <c r="F682" s="455">
        <v>46146</v>
      </c>
      <c r="G682" s="455">
        <v>46146</v>
      </c>
      <c r="H682" s="455">
        <v>46510</v>
      </c>
      <c r="J682" s="456">
        <v>1152</v>
      </c>
      <c r="K682" s="456">
        <v>1290.95</v>
      </c>
      <c r="L682" s="456">
        <v>1261</v>
      </c>
      <c r="M682">
        <v>0</v>
      </c>
      <c r="N682">
        <v>0</v>
      </c>
    </row>
    <row r="683" spans="1:14">
      <c r="A683" t="s">
        <v>1899</v>
      </c>
      <c r="B683" t="s">
        <v>2270</v>
      </c>
      <c r="C683">
        <v>900</v>
      </c>
      <c r="D683" t="s">
        <v>2252</v>
      </c>
      <c r="E683" t="s">
        <v>3654</v>
      </c>
      <c r="F683" s="455">
        <v>46218</v>
      </c>
      <c r="G683" s="455">
        <v>46218</v>
      </c>
      <c r="H683" s="455">
        <v>46582</v>
      </c>
      <c r="J683" s="456">
        <v>1202</v>
      </c>
      <c r="K683">
        <v>-36</v>
      </c>
      <c r="L683" s="456">
        <v>1276</v>
      </c>
      <c r="M683">
        <v>-97</v>
      </c>
      <c r="N683">
        <v>0</v>
      </c>
    </row>
    <row r="684" spans="1:14">
      <c r="A684" t="s">
        <v>2696</v>
      </c>
      <c r="B684" t="s">
        <v>2270</v>
      </c>
      <c r="C684">
        <v>900</v>
      </c>
      <c r="D684" t="s">
        <v>2252</v>
      </c>
      <c r="E684" t="s">
        <v>2697</v>
      </c>
      <c r="F684" s="455">
        <v>46161</v>
      </c>
      <c r="G684" s="455">
        <v>46161</v>
      </c>
      <c r="H684" s="455">
        <v>46525</v>
      </c>
      <c r="J684" s="456">
        <v>1152</v>
      </c>
      <c r="K684" s="456">
        <v>1400.95</v>
      </c>
      <c r="L684" s="456">
        <v>1226</v>
      </c>
      <c r="M684">
        <v>71.010000000000005</v>
      </c>
      <c r="N684">
        <v>0</v>
      </c>
    </row>
    <row r="685" spans="1:14">
      <c r="A685" t="s">
        <v>4765</v>
      </c>
      <c r="B685" t="s">
        <v>2270</v>
      </c>
      <c r="C685">
        <v>900</v>
      </c>
      <c r="D685" t="s">
        <v>2251</v>
      </c>
      <c r="E685" t="s">
        <v>4556</v>
      </c>
      <c r="F685" s="455">
        <v>45138</v>
      </c>
      <c r="G685" s="455">
        <v>45931</v>
      </c>
      <c r="H685" s="455">
        <v>46295</v>
      </c>
      <c r="I685" s="455">
        <v>46295</v>
      </c>
      <c r="J685" s="456">
        <v>1202</v>
      </c>
      <c r="K685" s="456">
        <v>1751.35</v>
      </c>
      <c r="L685" s="456">
        <v>1596</v>
      </c>
      <c r="M685">
        <v>0</v>
      </c>
      <c r="N685">
        <v>0</v>
      </c>
    </row>
    <row r="686" spans="1:14">
      <c r="A686" t="s">
        <v>2129</v>
      </c>
      <c r="B686" t="s">
        <v>2271</v>
      </c>
      <c r="C686">
        <v>909</v>
      </c>
      <c r="D686" t="s">
        <v>2252</v>
      </c>
      <c r="E686" t="s">
        <v>3826</v>
      </c>
      <c r="F686" s="455">
        <v>46172</v>
      </c>
      <c r="G686" s="455">
        <v>46172</v>
      </c>
      <c r="H686" s="455">
        <v>46536</v>
      </c>
      <c r="J686" s="456">
        <v>1188</v>
      </c>
      <c r="K686" s="456">
        <v>1277</v>
      </c>
      <c r="L686" s="456">
        <v>1262</v>
      </c>
      <c r="M686">
        <v>0</v>
      </c>
      <c r="N686">
        <v>0</v>
      </c>
    </row>
    <row r="687" spans="1:14">
      <c r="A687" t="s">
        <v>2554</v>
      </c>
      <c r="B687" t="s">
        <v>2271</v>
      </c>
      <c r="C687">
        <v>909</v>
      </c>
      <c r="D687" t="s">
        <v>2252</v>
      </c>
      <c r="E687" t="s">
        <v>2555</v>
      </c>
      <c r="F687" s="455">
        <v>37895</v>
      </c>
      <c r="G687" s="455">
        <v>46235</v>
      </c>
      <c r="H687" s="455">
        <v>46599</v>
      </c>
      <c r="J687" s="456">
        <v>1118</v>
      </c>
      <c r="K687" s="456">
        <v>1634.61</v>
      </c>
      <c r="L687" s="456">
        <v>1362</v>
      </c>
      <c r="M687">
        <v>584.61</v>
      </c>
      <c r="N687">
        <v>250</v>
      </c>
    </row>
    <row r="688" spans="1:14">
      <c r="A688" t="s">
        <v>2556</v>
      </c>
      <c r="B688" t="s">
        <v>2271</v>
      </c>
      <c r="C688">
        <v>909</v>
      </c>
      <c r="D688" t="s">
        <v>2252</v>
      </c>
      <c r="E688" t="s">
        <v>2557</v>
      </c>
      <c r="F688" s="455">
        <v>46178</v>
      </c>
      <c r="G688" s="455">
        <v>46178</v>
      </c>
      <c r="H688" s="455">
        <v>46542</v>
      </c>
      <c r="J688" s="456">
        <v>1173</v>
      </c>
      <c r="K688" s="456">
        <v>1413.4</v>
      </c>
      <c r="L688" s="456">
        <v>1247</v>
      </c>
      <c r="M688">
        <v>707.4</v>
      </c>
      <c r="N688">
        <v>0</v>
      </c>
    </row>
    <row r="689" spans="1:14">
      <c r="A689" t="s">
        <v>6982</v>
      </c>
      <c r="B689" t="s">
        <v>2271</v>
      </c>
      <c r="C689">
        <v>909</v>
      </c>
      <c r="D689" t="s">
        <v>2252</v>
      </c>
      <c r="E689" t="s">
        <v>6983</v>
      </c>
      <c r="F689" s="455">
        <v>43800</v>
      </c>
      <c r="G689" s="455">
        <v>46108</v>
      </c>
      <c r="H689" s="455">
        <v>46472</v>
      </c>
      <c r="J689" s="456">
        <v>1188</v>
      </c>
      <c r="K689" s="456">
        <v>1455.22</v>
      </c>
      <c r="L689" s="456">
        <v>1312</v>
      </c>
      <c r="M689">
        <v>0</v>
      </c>
      <c r="N689">
        <v>150</v>
      </c>
    </row>
    <row r="690" spans="1:14">
      <c r="A690" t="s">
        <v>6984</v>
      </c>
      <c r="B690" t="s">
        <v>2271</v>
      </c>
      <c r="C690">
        <v>909</v>
      </c>
      <c r="D690" t="s">
        <v>2252</v>
      </c>
      <c r="E690" t="s">
        <v>6985</v>
      </c>
      <c r="F690" s="455">
        <v>42640</v>
      </c>
      <c r="G690" s="455">
        <v>46113</v>
      </c>
      <c r="H690" s="455">
        <v>46477</v>
      </c>
      <c r="J690" s="456">
        <v>1163</v>
      </c>
      <c r="K690" s="456">
        <v>1450.22</v>
      </c>
      <c r="L690" s="456">
        <v>1301</v>
      </c>
      <c r="M690">
        <v>0</v>
      </c>
      <c r="N690">
        <v>250</v>
      </c>
    </row>
    <row r="691" spans="1:14">
      <c r="A691" t="s">
        <v>2558</v>
      </c>
      <c r="B691" t="s">
        <v>2271</v>
      </c>
      <c r="C691">
        <v>909</v>
      </c>
      <c r="D691" t="s">
        <v>2252</v>
      </c>
      <c r="E691" t="s">
        <v>2559</v>
      </c>
      <c r="F691" s="455">
        <v>45632</v>
      </c>
      <c r="G691" s="455">
        <v>46073</v>
      </c>
      <c r="H691" s="455">
        <v>46437</v>
      </c>
      <c r="J691" s="456">
        <v>1173</v>
      </c>
      <c r="K691" s="456">
        <v>1759.22</v>
      </c>
      <c r="L691" s="456">
        <v>1435</v>
      </c>
      <c r="M691" s="456">
        <v>1059.22</v>
      </c>
      <c r="N691">
        <v>0</v>
      </c>
    </row>
    <row r="692" spans="1:14">
      <c r="A692" t="s">
        <v>6986</v>
      </c>
      <c r="B692" t="s">
        <v>2271</v>
      </c>
      <c r="C692">
        <v>909</v>
      </c>
      <c r="D692" t="s">
        <v>2252</v>
      </c>
      <c r="E692" t="s">
        <v>6987</v>
      </c>
      <c r="F692" s="455">
        <v>44470</v>
      </c>
      <c r="G692" s="455">
        <v>45931</v>
      </c>
      <c r="H692" s="455">
        <v>46295</v>
      </c>
      <c r="J692" s="456">
        <v>1143</v>
      </c>
      <c r="K692" s="456">
        <v>1167.27</v>
      </c>
      <c r="L692" s="456">
        <v>1282.5</v>
      </c>
      <c r="M692">
        <v>0</v>
      </c>
      <c r="N692">
        <v>0</v>
      </c>
    </row>
    <row r="693" spans="1:14">
      <c r="A693" t="s">
        <v>2562</v>
      </c>
      <c r="B693" t="s">
        <v>2271</v>
      </c>
      <c r="C693">
        <v>909</v>
      </c>
      <c r="D693" t="s">
        <v>2252</v>
      </c>
      <c r="E693" t="s">
        <v>1111</v>
      </c>
      <c r="F693" s="455">
        <v>46234</v>
      </c>
      <c r="G693" s="455">
        <v>46234</v>
      </c>
      <c r="H693" s="455">
        <v>46598</v>
      </c>
      <c r="J693" s="456">
        <v>1213</v>
      </c>
      <c r="K693">
        <v>129</v>
      </c>
      <c r="L693" s="456">
        <v>1342</v>
      </c>
      <c r="M693">
        <v>-24</v>
      </c>
      <c r="N693">
        <v>0</v>
      </c>
    </row>
    <row r="694" spans="1:14">
      <c r="A694" t="s">
        <v>2564</v>
      </c>
      <c r="B694" t="s">
        <v>2271</v>
      </c>
      <c r="C694">
        <v>909</v>
      </c>
      <c r="D694" t="s">
        <v>2252</v>
      </c>
      <c r="E694" t="s">
        <v>2565</v>
      </c>
      <c r="F694" s="455">
        <v>45731</v>
      </c>
      <c r="G694" s="455">
        <v>46096</v>
      </c>
      <c r="H694" s="455">
        <v>46459</v>
      </c>
      <c r="J694" s="456">
        <v>1173</v>
      </c>
      <c r="K694" s="456">
        <v>1776.22</v>
      </c>
      <c r="L694" s="456">
        <v>1454</v>
      </c>
      <c r="M694">
        <v>856.22</v>
      </c>
      <c r="N694">
        <v>0</v>
      </c>
    </row>
    <row r="695" spans="1:14">
      <c r="A695" t="s">
        <v>6988</v>
      </c>
      <c r="B695" t="s">
        <v>2271</v>
      </c>
      <c r="C695">
        <v>909</v>
      </c>
      <c r="D695" t="s">
        <v>2252</v>
      </c>
      <c r="E695" t="s">
        <v>6989</v>
      </c>
      <c r="F695" s="455">
        <v>45051</v>
      </c>
      <c r="G695" s="455">
        <v>46143</v>
      </c>
      <c r="H695" s="455">
        <v>46507</v>
      </c>
      <c r="J695" s="456">
        <v>1143</v>
      </c>
      <c r="K695" s="456">
        <v>1567.56</v>
      </c>
      <c r="L695" s="456">
        <v>1454</v>
      </c>
      <c r="M695">
        <v>0</v>
      </c>
      <c r="N695">
        <v>0</v>
      </c>
    </row>
    <row r="696" spans="1:14">
      <c r="A696" t="s">
        <v>6990</v>
      </c>
      <c r="B696" t="s">
        <v>2271</v>
      </c>
      <c r="C696">
        <v>909</v>
      </c>
      <c r="D696" t="s">
        <v>2252</v>
      </c>
      <c r="E696" t="s">
        <v>6991</v>
      </c>
      <c r="F696" s="455">
        <v>41185</v>
      </c>
      <c r="G696" s="455">
        <v>46174</v>
      </c>
      <c r="H696" s="455">
        <v>46538</v>
      </c>
      <c r="J696" s="456">
        <v>1118</v>
      </c>
      <c r="K696" s="456">
        <v>1311.27</v>
      </c>
      <c r="L696" s="456">
        <v>1177</v>
      </c>
      <c r="M696">
        <v>0</v>
      </c>
      <c r="N696">
        <v>0</v>
      </c>
    </row>
    <row r="697" spans="1:14">
      <c r="A697" t="s">
        <v>6992</v>
      </c>
      <c r="B697" t="s">
        <v>2271</v>
      </c>
      <c r="C697">
        <v>909</v>
      </c>
      <c r="D697" t="s">
        <v>2252</v>
      </c>
      <c r="E697" t="s">
        <v>6993</v>
      </c>
      <c r="F697" s="455">
        <v>44295</v>
      </c>
      <c r="G697" s="455">
        <v>45962</v>
      </c>
      <c r="H697" s="455">
        <v>46326</v>
      </c>
      <c r="J697" s="456">
        <v>1223</v>
      </c>
      <c r="K697" s="456">
        <v>1165.6099999999999</v>
      </c>
      <c r="L697" s="456">
        <v>1560.49</v>
      </c>
      <c r="M697">
        <v>0</v>
      </c>
      <c r="N697">
        <v>0</v>
      </c>
    </row>
    <row r="698" spans="1:14">
      <c r="A698" t="s">
        <v>2625</v>
      </c>
      <c r="B698" t="s">
        <v>2271</v>
      </c>
      <c r="C698">
        <v>909</v>
      </c>
      <c r="D698" t="s">
        <v>2251</v>
      </c>
      <c r="E698" t="s">
        <v>2626</v>
      </c>
      <c r="F698" s="455">
        <v>45881</v>
      </c>
      <c r="G698" s="455">
        <v>46246</v>
      </c>
      <c r="H698" s="455">
        <v>46246</v>
      </c>
      <c r="I698" s="455">
        <v>46246</v>
      </c>
      <c r="J698" s="456">
        <v>1188</v>
      </c>
      <c r="K698">
        <v>878.27</v>
      </c>
      <c r="L698" s="456">
        <v>1746.4</v>
      </c>
      <c r="M698">
        <v>878.27</v>
      </c>
      <c r="N698">
        <v>0</v>
      </c>
    </row>
    <row r="699" spans="1:14">
      <c r="A699" t="s">
        <v>2627</v>
      </c>
      <c r="B699" t="s">
        <v>2271</v>
      </c>
      <c r="C699">
        <v>909</v>
      </c>
      <c r="D699" t="s">
        <v>6383</v>
      </c>
      <c r="E699" t="s">
        <v>6384</v>
      </c>
      <c r="J699" s="456">
        <v>1213</v>
      </c>
      <c r="K699">
        <v>0</v>
      </c>
      <c r="L699">
        <v>0</v>
      </c>
    </row>
    <row r="700" spans="1:14">
      <c r="A700" t="s">
        <v>3065</v>
      </c>
      <c r="B700" t="s">
        <v>2271</v>
      </c>
      <c r="C700">
        <v>909</v>
      </c>
      <c r="D700" t="s">
        <v>2252</v>
      </c>
      <c r="E700" t="s">
        <v>3066</v>
      </c>
      <c r="F700" s="455">
        <v>44421</v>
      </c>
      <c r="G700" s="455">
        <v>46235</v>
      </c>
      <c r="H700" s="455">
        <v>46599</v>
      </c>
      <c r="J700" s="456">
        <v>1223</v>
      </c>
      <c r="K700" s="456">
        <v>1719.61</v>
      </c>
      <c r="L700" s="456">
        <v>1615</v>
      </c>
      <c r="M700">
        <v>0</v>
      </c>
      <c r="N700">
        <v>0</v>
      </c>
    </row>
    <row r="701" spans="1:14">
      <c r="A701" t="s">
        <v>6994</v>
      </c>
      <c r="B701" t="s">
        <v>2271</v>
      </c>
      <c r="C701">
        <v>909</v>
      </c>
      <c r="D701" t="s">
        <v>2252</v>
      </c>
      <c r="E701" t="s">
        <v>6995</v>
      </c>
      <c r="F701" s="455">
        <v>44914</v>
      </c>
      <c r="G701" s="455">
        <v>46073</v>
      </c>
      <c r="H701" s="455">
        <v>46437</v>
      </c>
      <c r="J701" s="456">
        <v>1188</v>
      </c>
      <c r="K701" s="456">
        <v>1596.22</v>
      </c>
      <c r="L701" s="456">
        <v>1447</v>
      </c>
      <c r="M701">
        <v>-155.32</v>
      </c>
      <c r="N701">
        <v>0</v>
      </c>
    </row>
    <row r="702" spans="1:14">
      <c r="A702" t="s">
        <v>2629</v>
      </c>
      <c r="B702" t="s">
        <v>2271</v>
      </c>
      <c r="C702">
        <v>909</v>
      </c>
      <c r="D702" t="s">
        <v>2252</v>
      </c>
      <c r="E702" t="s">
        <v>3067</v>
      </c>
      <c r="F702" s="455">
        <v>46242</v>
      </c>
      <c r="G702" s="455">
        <v>46242</v>
      </c>
      <c r="H702" s="455">
        <v>46606</v>
      </c>
      <c r="J702" s="456">
        <v>1213</v>
      </c>
      <c r="K702" s="456">
        <v>1462</v>
      </c>
      <c r="L702" s="456">
        <v>1367</v>
      </c>
      <c r="M702">
        <v>0</v>
      </c>
      <c r="N702">
        <v>0</v>
      </c>
    </row>
    <row r="703" spans="1:14">
      <c r="A703" t="s">
        <v>1527</v>
      </c>
      <c r="B703" t="s">
        <v>2271</v>
      </c>
      <c r="C703">
        <v>909</v>
      </c>
      <c r="D703" t="s">
        <v>6513</v>
      </c>
      <c r="E703" t="s">
        <v>6384</v>
      </c>
      <c r="J703" s="456">
        <v>1173</v>
      </c>
      <c r="K703">
        <v>0</v>
      </c>
      <c r="L703">
        <v>0</v>
      </c>
      <c r="N703">
        <v>0</v>
      </c>
    </row>
    <row r="704" spans="1:14">
      <c r="A704" t="s">
        <v>6996</v>
      </c>
      <c r="B704" t="s">
        <v>2271</v>
      </c>
      <c r="C704">
        <v>909</v>
      </c>
      <c r="D704" t="s">
        <v>2252</v>
      </c>
      <c r="E704" t="s">
        <v>6997</v>
      </c>
      <c r="F704" s="455">
        <v>40854</v>
      </c>
      <c r="G704" s="455">
        <v>46113</v>
      </c>
      <c r="H704" s="455">
        <v>46477</v>
      </c>
      <c r="J704" s="456">
        <v>1143</v>
      </c>
      <c r="K704" s="456">
        <v>1438.22</v>
      </c>
      <c r="L704" s="456">
        <v>1289</v>
      </c>
      <c r="M704">
        <v>0</v>
      </c>
      <c r="N704">
        <v>0</v>
      </c>
    </row>
    <row r="705" spans="1:14">
      <c r="A705" t="s">
        <v>6998</v>
      </c>
      <c r="B705" t="s">
        <v>2271</v>
      </c>
      <c r="C705">
        <v>909</v>
      </c>
      <c r="D705" t="s">
        <v>2252</v>
      </c>
      <c r="E705" t="s">
        <v>2965</v>
      </c>
      <c r="F705" s="455">
        <v>46151</v>
      </c>
      <c r="G705" s="455">
        <v>46151</v>
      </c>
      <c r="H705" s="455">
        <v>46515</v>
      </c>
      <c r="J705" s="456">
        <v>1213</v>
      </c>
      <c r="K705" s="456">
        <v>1371.95</v>
      </c>
      <c r="L705" s="456">
        <v>1342</v>
      </c>
      <c r="M705">
        <v>0</v>
      </c>
      <c r="N705">
        <v>0</v>
      </c>
    </row>
    <row r="706" spans="1:14">
      <c r="A706" t="s">
        <v>6999</v>
      </c>
      <c r="B706" t="s">
        <v>2271</v>
      </c>
      <c r="C706">
        <v>909</v>
      </c>
      <c r="D706" t="s">
        <v>2252</v>
      </c>
      <c r="E706" t="s">
        <v>7000</v>
      </c>
      <c r="F706" s="455">
        <v>45570</v>
      </c>
      <c r="G706" s="455">
        <v>46073</v>
      </c>
      <c r="H706" s="455">
        <v>46437</v>
      </c>
      <c r="J706" s="456">
        <v>1173</v>
      </c>
      <c r="K706" s="456">
        <v>1632.87</v>
      </c>
      <c r="L706" s="456">
        <v>1454</v>
      </c>
      <c r="M706">
        <v>0</v>
      </c>
      <c r="N706">
        <v>0</v>
      </c>
    </row>
    <row r="707" spans="1:14">
      <c r="A707" t="s">
        <v>3069</v>
      </c>
      <c r="B707" t="s">
        <v>2271</v>
      </c>
      <c r="C707">
        <v>909</v>
      </c>
      <c r="D707" t="s">
        <v>2252</v>
      </c>
      <c r="E707" t="s">
        <v>3070</v>
      </c>
      <c r="F707" s="455">
        <v>43435</v>
      </c>
      <c r="G707" s="455">
        <v>46204</v>
      </c>
      <c r="H707" s="455">
        <v>46568</v>
      </c>
      <c r="J707" s="456">
        <v>1143</v>
      </c>
      <c r="K707" s="456">
        <v>1094.27</v>
      </c>
      <c r="L707" s="456">
        <v>1210</v>
      </c>
      <c r="M707">
        <v>0</v>
      </c>
      <c r="N707">
        <v>0</v>
      </c>
    </row>
    <row r="708" spans="1:14">
      <c r="A708" t="s">
        <v>7001</v>
      </c>
      <c r="B708" t="s">
        <v>2271</v>
      </c>
      <c r="C708">
        <v>909</v>
      </c>
      <c r="D708" t="s">
        <v>2252</v>
      </c>
      <c r="E708" t="s">
        <v>7002</v>
      </c>
      <c r="F708" s="455">
        <v>42705</v>
      </c>
      <c r="G708" s="455">
        <v>46113</v>
      </c>
      <c r="H708" s="455">
        <v>46477</v>
      </c>
      <c r="J708" s="456">
        <v>1118</v>
      </c>
      <c r="K708" s="456">
        <v>1405.22</v>
      </c>
      <c r="L708" s="456">
        <v>1256</v>
      </c>
      <c r="M708">
        <v>0</v>
      </c>
      <c r="N708">
        <v>201</v>
      </c>
    </row>
    <row r="709" spans="1:14">
      <c r="A709" t="s">
        <v>7003</v>
      </c>
      <c r="B709" t="s">
        <v>2271</v>
      </c>
      <c r="C709">
        <v>909</v>
      </c>
      <c r="D709" t="s">
        <v>2252</v>
      </c>
      <c r="E709" t="s">
        <v>7004</v>
      </c>
      <c r="F709" s="455">
        <v>45596</v>
      </c>
      <c r="G709" s="455">
        <v>46022</v>
      </c>
      <c r="H709" s="455">
        <v>46386</v>
      </c>
      <c r="J709" s="456">
        <v>1173</v>
      </c>
      <c r="K709" s="456">
        <v>1558.61</v>
      </c>
      <c r="L709" s="456">
        <v>1454</v>
      </c>
      <c r="M709">
        <v>0</v>
      </c>
      <c r="N709">
        <v>0</v>
      </c>
    </row>
    <row r="710" spans="1:14">
      <c r="A710" t="s">
        <v>5773</v>
      </c>
      <c r="B710" t="s">
        <v>2271</v>
      </c>
      <c r="C710">
        <v>909</v>
      </c>
      <c r="D710" t="s">
        <v>2252</v>
      </c>
      <c r="E710" t="s">
        <v>7005</v>
      </c>
      <c r="F710" s="455">
        <v>46116</v>
      </c>
      <c r="G710" s="455">
        <v>46116</v>
      </c>
      <c r="H710" s="455">
        <v>46480</v>
      </c>
      <c r="J710" s="456">
        <v>1238</v>
      </c>
      <c r="K710" s="456">
        <v>1469.23</v>
      </c>
      <c r="L710" s="456">
        <v>1367</v>
      </c>
      <c r="M710">
        <v>0</v>
      </c>
      <c r="N710">
        <v>0</v>
      </c>
    </row>
    <row r="711" spans="1:14">
      <c r="A711" t="s">
        <v>1567</v>
      </c>
      <c r="B711" t="s">
        <v>2271</v>
      </c>
      <c r="C711">
        <v>909</v>
      </c>
      <c r="D711" t="s">
        <v>6389</v>
      </c>
      <c r="E711" t="s">
        <v>6384</v>
      </c>
      <c r="J711" s="456">
        <v>1163</v>
      </c>
      <c r="K711">
        <v>0</v>
      </c>
      <c r="L711">
        <v>0</v>
      </c>
      <c r="N711">
        <v>0</v>
      </c>
    </row>
    <row r="712" spans="1:14">
      <c r="A712" t="s">
        <v>1550</v>
      </c>
      <c r="B712" t="s">
        <v>2271</v>
      </c>
      <c r="C712">
        <v>909</v>
      </c>
      <c r="D712" t="s">
        <v>6513</v>
      </c>
      <c r="E712" t="s">
        <v>6384</v>
      </c>
      <c r="J712" s="456">
        <v>1173</v>
      </c>
      <c r="K712">
        <v>0</v>
      </c>
      <c r="L712">
        <v>0</v>
      </c>
      <c r="N712">
        <v>0</v>
      </c>
    </row>
    <row r="713" spans="1:14">
      <c r="A713" t="s">
        <v>2640</v>
      </c>
      <c r="B713" t="s">
        <v>2271</v>
      </c>
      <c r="C713">
        <v>909</v>
      </c>
      <c r="D713" t="s">
        <v>6383</v>
      </c>
      <c r="E713" t="s">
        <v>6384</v>
      </c>
      <c r="J713" s="456">
        <v>1238</v>
      </c>
      <c r="K713">
        <v>0</v>
      </c>
      <c r="L713">
        <v>0</v>
      </c>
      <c r="N713">
        <v>0</v>
      </c>
    </row>
    <row r="714" spans="1:14">
      <c r="A714" t="s">
        <v>7006</v>
      </c>
      <c r="B714" t="s">
        <v>2271</v>
      </c>
      <c r="C714">
        <v>909</v>
      </c>
      <c r="D714" t="s">
        <v>2252</v>
      </c>
      <c r="E714" t="s">
        <v>7007</v>
      </c>
      <c r="F714" s="455">
        <v>43580</v>
      </c>
      <c r="G714" s="455">
        <v>46023</v>
      </c>
      <c r="J714" s="456">
        <v>1163</v>
      </c>
      <c r="K714" s="456">
        <v>1585.61</v>
      </c>
      <c r="L714" s="456">
        <v>1480.48</v>
      </c>
      <c r="M714">
        <v>0</v>
      </c>
      <c r="N714">
        <v>250</v>
      </c>
    </row>
    <row r="715" spans="1:14">
      <c r="A715" t="s">
        <v>7008</v>
      </c>
      <c r="B715" t="s">
        <v>2271</v>
      </c>
      <c r="C715">
        <v>909</v>
      </c>
      <c r="D715" t="s">
        <v>6513</v>
      </c>
      <c r="E715" t="s">
        <v>6384</v>
      </c>
      <c r="J715" s="456">
        <v>1173</v>
      </c>
      <c r="K715">
        <v>0</v>
      </c>
      <c r="L715">
        <v>0</v>
      </c>
      <c r="N715">
        <v>0</v>
      </c>
    </row>
    <row r="716" spans="1:14">
      <c r="A716" t="s">
        <v>3072</v>
      </c>
      <c r="B716" t="s">
        <v>2271</v>
      </c>
      <c r="C716">
        <v>909</v>
      </c>
      <c r="D716" t="s">
        <v>2252</v>
      </c>
      <c r="E716" t="s">
        <v>3073</v>
      </c>
      <c r="F716" s="455">
        <v>44409</v>
      </c>
      <c r="G716" s="455">
        <v>46235</v>
      </c>
      <c r="H716" s="455">
        <v>46599</v>
      </c>
      <c r="J716" s="456">
        <v>1143</v>
      </c>
      <c r="K716" s="456">
        <v>1698.61</v>
      </c>
      <c r="L716" s="456">
        <v>1424</v>
      </c>
      <c r="M716">
        <v>0</v>
      </c>
      <c r="N716">
        <v>0</v>
      </c>
    </row>
    <row r="717" spans="1:14">
      <c r="A717" t="s">
        <v>7009</v>
      </c>
      <c r="B717" t="s">
        <v>2271</v>
      </c>
      <c r="C717">
        <v>909</v>
      </c>
      <c r="D717" t="s">
        <v>2252</v>
      </c>
      <c r="E717" t="s">
        <v>7010</v>
      </c>
      <c r="F717" s="455">
        <v>41881</v>
      </c>
      <c r="G717" s="455">
        <v>46054</v>
      </c>
      <c r="J717" s="456">
        <v>1118</v>
      </c>
      <c r="K717" s="456">
        <v>1567.27</v>
      </c>
      <c r="L717" s="456">
        <v>1432.48</v>
      </c>
      <c r="M717">
        <v>0</v>
      </c>
      <c r="N717">
        <v>0</v>
      </c>
    </row>
    <row r="718" spans="1:14">
      <c r="A718" t="s">
        <v>7011</v>
      </c>
      <c r="B718" t="s">
        <v>2271</v>
      </c>
      <c r="C718">
        <v>909</v>
      </c>
      <c r="D718" t="s">
        <v>2252</v>
      </c>
      <c r="E718" t="s">
        <v>7012</v>
      </c>
      <c r="F718" s="455">
        <v>44470</v>
      </c>
      <c r="G718" s="455">
        <v>45931</v>
      </c>
      <c r="H718" s="455">
        <v>46295</v>
      </c>
      <c r="J718" s="456">
        <v>1128</v>
      </c>
      <c r="K718" s="456">
        <v>1522.27</v>
      </c>
      <c r="L718" s="456">
        <v>1387.49</v>
      </c>
      <c r="M718">
        <v>0</v>
      </c>
      <c r="N718">
        <v>0</v>
      </c>
    </row>
    <row r="719" spans="1:14">
      <c r="A719" t="s">
        <v>7013</v>
      </c>
      <c r="B719" t="s">
        <v>2271</v>
      </c>
      <c r="C719">
        <v>909</v>
      </c>
      <c r="D719" t="s">
        <v>2252</v>
      </c>
      <c r="E719" t="s">
        <v>7014</v>
      </c>
      <c r="F719" s="455">
        <v>44927</v>
      </c>
      <c r="G719" s="455">
        <v>46082</v>
      </c>
      <c r="H719" s="455">
        <v>46445</v>
      </c>
      <c r="J719" s="456">
        <v>1188</v>
      </c>
      <c r="K719" s="456">
        <v>1618.22</v>
      </c>
      <c r="L719" s="456">
        <v>1469</v>
      </c>
      <c r="M719">
        <v>0</v>
      </c>
      <c r="N719">
        <v>0</v>
      </c>
    </row>
    <row r="720" spans="1:14">
      <c r="A720" t="s">
        <v>2173</v>
      </c>
      <c r="B720" t="s">
        <v>2271</v>
      </c>
      <c r="C720">
        <v>909</v>
      </c>
      <c r="D720" t="s">
        <v>6508</v>
      </c>
      <c r="E720" t="s">
        <v>6384</v>
      </c>
      <c r="J720" s="456">
        <v>1163</v>
      </c>
      <c r="K720">
        <v>0</v>
      </c>
      <c r="L720">
        <v>0</v>
      </c>
      <c r="N720">
        <v>0</v>
      </c>
    </row>
    <row r="721" spans="1:14">
      <c r="A721" t="s">
        <v>2134</v>
      </c>
      <c r="B721" t="s">
        <v>2271</v>
      </c>
      <c r="C721">
        <v>909</v>
      </c>
      <c r="D721" t="s">
        <v>6513</v>
      </c>
      <c r="E721" t="s">
        <v>6384</v>
      </c>
      <c r="J721" s="456">
        <v>1128</v>
      </c>
      <c r="K721">
        <v>0</v>
      </c>
      <c r="L721">
        <v>0</v>
      </c>
      <c r="N721">
        <v>0</v>
      </c>
    </row>
    <row r="722" spans="1:14">
      <c r="A722" t="s">
        <v>7015</v>
      </c>
      <c r="B722" t="s">
        <v>2272</v>
      </c>
      <c r="C722">
        <v>921</v>
      </c>
      <c r="D722" t="s">
        <v>2252</v>
      </c>
      <c r="E722" t="s">
        <v>7016</v>
      </c>
      <c r="F722" s="455">
        <v>45997</v>
      </c>
      <c r="G722" s="455">
        <v>45997</v>
      </c>
      <c r="H722" s="455">
        <v>46361</v>
      </c>
      <c r="J722" s="456">
        <v>1096</v>
      </c>
      <c r="K722" s="456">
        <v>1406.67</v>
      </c>
      <c r="L722" s="456">
        <v>1353.5</v>
      </c>
      <c r="M722">
        <v>0</v>
      </c>
      <c r="N722">
        <v>0</v>
      </c>
    </row>
    <row r="723" spans="1:14">
      <c r="A723" t="s">
        <v>7017</v>
      </c>
      <c r="B723" t="s">
        <v>2272</v>
      </c>
      <c r="C723">
        <v>921</v>
      </c>
      <c r="D723" t="s">
        <v>2252</v>
      </c>
      <c r="E723" t="s">
        <v>7018</v>
      </c>
      <c r="F723" s="455">
        <v>45978</v>
      </c>
      <c r="G723" s="455">
        <v>45978</v>
      </c>
      <c r="H723" s="455">
        <v>46342</v>
      </c>
      <c r="J723" s="456">
        <v>1096</v>
      </c>
      <c r="K723" s="456">
        <v>1451.66</v>
      </c>
      <c r="L723" s="456">
        <v>1359.49</v>
      </c>
      <c r="M723">
        <v>0</v>
      </c>
      <c r="N723">
        <v>0</v>
      </c>
    </row>
    <row r="724" spans="1:14">
      <c r="A724" t="s">
        <v>7019</v>
      </c>
      <c r="B724" t="s">
        <v>2272</v>
      </c>
      <c r="C724">
        <v>921</v>
      </c>
      <c r="D724" t="s">
        <v>2252</v>
      </c>
      <c r="E724" t="s">
        <v>7020</v>
      </c>
      <c r="F724" s="455">
        <v>45989</v>
      </c>
      <c r="G724" s="455">
        <v>45989</v>
      </c>
      <c r="H724" s="455">
        <v>46353</v>
      </c>
      <c r="J724" s="456">
        <v>1096</v>
      </c>
      <c r="K724" s="456">
        <v>1406.67</v>
      </c>
      <c r="L724" s="456">
        <v>1353.5</v>
      </c>
      <c r="M724">
        <v>0</v>
      </c>
      <c r="N724">
        <v>0</v>
      </c>
    </row>
    <row r="725" spans="1:14">
      <c r="A725" t="s">
        <v>2517</v>
      </c>
      <c r="B725" t="s">
        <v>2272</v>
      </c>
      <c r="C725">
        <v>921</v>
      </c>
      <c r="D725" t="s">
        <v>2252</v>
      </c>
      <c r="E725" t="s">
        <v>3074</v>
      </c>
      <c r="F725" s="455">
        <v>46223</v>
      </c>
      <c r="G725" s="455">
        <v>46223</v>
      </c>
      <c r="H725" s="455">
        <v>46587</v>
      </c>
      <c r="J725" s="456">
        <v>1096</v>
      </c>
      <c r="K725">
        <v>154</v>
      </c>
      <c r="L725" s="456">
        <v>1250</v>
      </c>
      <c r="M725">
        <v>0</v>
      </c>
      <c r="N725">
        <v>0</v>
      </c>
    </row>
    <row r="726" spans="1:14">
      <c r="A726" t="s">
        <v>1808</v>
      </c>
      <c r="B726" t="s">
        <v>2272</v>
      </c>
      <c r="C726">
        <v>921</v>
      </c>
      <c r="D726" t="s">
        <v>2252</v>
      </c>
      <c r="E726" t="s">
        <v>7021</v>
      </c>
      <c r="F726" s="455">
        <v>46186</v>
      </c>
      <c r="G726" s="455">
        <v>46186</v>
      </c>
      <c r="H726" s="455">
        <v>46550</v>
      </c>
      <c r="J726">
        <v>976</v>
      </c>
      <c r="K726" s="456">
        <v>1193.2</v>
      </c>
      <c r="L726" s="456">
        <v>1050</v>
      </c>
      <c r="M726">
        <v>0</v>
      </c>
      <c r="N726">
        <v>0</v>
      </c>
    </row>
    <row r="727" spans="1:14">
      <c r="A727" t="s">
        <v>7022</v>
      </c>
      <c r="B727" t="s">
        <v>2272</v>
      </c>
      <c r="C727">
        <v>921</v>
      </c>
      <c r="D727" t="s">
        <v>2252</v>
      </c>
      <c r="E727" t="s">
        <v>7023</v>
      </c>
      <c r="F727" s="455">
        <v>45687</v>
      </c>
      <c r="G727" s="455">
        <v>46073</v>
      </c>
      <c r="H727" s="455">
        <v>46437</v>
      </c>
      <c r="J727" s="456">
        <v>1071</v>
      </c>
      <c r="K727" s="456">
        <v>1587.62</v>
      </c>
      <c r="L727" s="456">
        <v>1526</v>
      </c>
      <c r="M727">
        <v>0</v>
      </c>
      <c r="N727">
        <v>0</v>
      </c>
    </row>
    <row r="728" spans="1:14">
      <c r="A728" t="s">
        <v>7024</v>
      </c>
      <c r="B728" t="s">
        <v>2272</v>
      </c>
      <c r="C728">
        <v>921</v>
      </c>
      <c r="D728" t="s">
        <v>2252</v>
      </c>
      <c r="E728" t="s">
        <v>7025</v>
      </c>
      <c r="F728" s="455">
        <v>46143</v>
      </c>
      <c r="G728" s="455">
        <v>46143</v>
      </c>
      <c r="H728" s="455">
        <v>46507</v>
      </c>
      <c r="J728" s="456">
        <v>1071</v>
      </c>
      <c r="K728" s="456">
        <v>1352.95</v>
      </c>
      <c r="L728" s="456">
        <v>1180</v>
      </c>
      <c r="M728">
        <v>35</v>
      </c>
      <c r="N728">
        <v>0</v>
      </c>
    </row>
    <row r="729" spans="1:14">
      <c r="A729" t="s">
        <v>1574</v>
      </c>
      <c r="B729" t="s">
        <v>2272</v>
      </c>
      <c r="C729">
        <v>921</v>
      </c>
      <c r="D729" t="s">
        <v>2252</v>
      </c>
      <c r="E729" t="s">
        <v>3881</v>
      </c>
      <c r="F729" s="455">
        <v>46199</v>
      </c>
      <c r="G729" s="455">
        <v>46199</v>
      </c>
      <c r="H729" s="455">
        <v>46563</v>
      </c>
      <c r="J729" s="456">
        <v>1071</v>
      </c>
      <c r="K729" s="456">
        <v>1150</v>
      </c>
      <c r="L729" s="456">
        <v>1145</v>
      </c>
      <c r="M729">
        <v>0</v>
      </c>
      <c r="N729">
        <v>0</v>
      </c>
    </row>
    <row r="730" spans="1:14">
      <c r="A730" t="s">
        <v>7026</v>
      </c>
      <c r="B730" t="s">
        <v>2272</v>
      </c>
      <c r="C730">
        <v>921</v>
      </c>
      <c r="D730" t="s">
        <v>2252</v>
      </c>
      <c r="E730" t="s">
        <v>7027</v>
      </c>
      <c r="F730" s="455">
        <v>45691</v>
      </c>
      <c r="G730" s="455">
        <v>46062</v>
      </c>
      <c r="H730" s="455">
        <v>46426</v>
      </c>
      <c r="J730" s="456">
        <v>1096</v>
      </c>
      <c r="K730" s="456">
        <v>1602.17</v>
      </c>
      <c r="L730" s="456">
        <v>1530</v>
      </c>
      <c r="M730">
        <v>0</v>
      </c>
      <c r="N730">
        <v>0</v>
      </c>
    </row>
    <row r="731" spans="1:14">
      <c r="A731" t="s">
        <v>1568</v>
      </c>
      <c r="B731" t="s">
        <v>2272</v>
      </c>
      <c r="C731">
        <v>921</v>
      </c>
      <c r="D731" t="s">
        <v>2252</v>
      </c>
      <c r="E731" t="s">
        <v>7028</v>
      </c>
      <c r="F731" s="455">
        <v>46133</v>
      </c>
      <c r="G731" s="455">
        <v>46133</v>
      </c>
      <c r="H731" s="455">
        <v>46497</v>
      </c>
      <c r="J731" s="456">
        <v>1096</v>
      </c>
      <c r="K731" s="456">
        <v>1260.4000000000001</v>
      </c>
      <c r="L731" s="456">
        <v>1225</v>
      </c>
      <c r="M731">
        <v>-4.05</v>
      </c>
      <c r="N731">
        <v>0</v>
      </c>
    </row>
    <row r="732" spans="1:14">
      <c r="A732" t="s">
        <v>1546</v>
      </c>
      <c r="B732" t="s">
        <v>2272</v>
      </c>
      <c r="C732">
        <v>921</v>
      </c>
      <c r="D732" t="s">
        <v>2252</v>
      </c>
      <c r="E732" t="s">
        <v>2519</v>
      </c>
      <c r="F732" s="455">
        <v>46111</v>
      </c>
      <c r="G732" s="455">
        <v>46111</v>
      </c>
      <c r="H732" s="455">
        <v>46475</v>
      </c>
      <c r="J732" s="456">
        <v>1096</v>
      </c>
      <c r="K732" s="456">
        <v>1425.09</v>
      </c>
      <c r="L732" s="456">
        <v>1225</v>
      </c>
      <c r="M732" s="456">
        <v>1425.09</v>
      </c>
      <c r="N732">
        <v>0</v>
      </c>
    </row>
    <row r="733" spans="1:14">
      <c r="A733" t="s">
        <v>7029</v>
      </c>
      <c r="B733" t="s">
        <v>2272</v>
      </c>
      <c r="C733">
        <v>921</v>
      </c>
      <c r="D733" t="s">
        <v>2252</v>
      </c>
      <c r="E733" t="s">
        <v>7030</v>
      </c>
      <c r="F733" s="455">
        <v>44378</v>
      </c>
      <c r="G733" s="455">
        <v>46204</v>
      </c>
      <c r="H733" s="455">
        <v>46568</v>
      </c>
      <c r="J733" s="456">
        <v>1096</v>
      </c>
      <c r="K733" s="456">
        <v>1531.67</v>
      </c>
      <c r="L733" s="456">
        <v>1479</v>
      </c>
      <c r="M733">
        <v>0</v>
      </c>
      <c r="N733">
        <v>0</v>
      </c>
    </row>
    <row r="734" spans="1:14">
      <c r="A734" t="s">
        <v>7031</v>
      </c>
      <c r="B734" t="s">
        <v>2272</v>
      </c>
      <c r="C734">
        <v>921</v>
      </c>
      <c r="D734" t="s">
        <v>2252</v>
      </c>
      <c r="E734" t="s">
        <v>7032</v>
      </c>
      <c r="F734" s="455">
        <v>45687</v>
      </c>
      <c r="G734" s="455">
        <v>46073</v>
      </c>
      <c r="H734" s="455">
        <v>46437</v>
      </c>
      <c r="J734" s="456">
        <v>1071</v>
      </c>
      <c r="K734" s="456">
        <v>1583.12</v>
      </c>
      <c r="L734" s="456">
        <v>1502</v>
      </c>
      <c r="M734">
        <v>0</v>
      </c>
      <c r="N734">
        <v>0</v>
      </c>
    </row>
    <row r="735" spans="1:14">
      <c r="A735" t="s">
        <v>7033</v>
      </c>
      <c r="B735" t="s">
        <v>2272</v>
      </c>
      <c r="C735">
        <v>921</v>
      </c>
      <c r="D735" t="s">
        <v>2252</v>
      </c>
      <c r="E735" t="s">
        <v>7034</v>
      </c>
      <c r="F735" s="455">
        <v>45955</v>
      </c>
      <c r="G735" s="455">
        <v>45955</v>
      </c>
      <c r="H735" s="455">
        <v>46319</v>
      </c>
      <c r="J735">
        <v>976</v>
      </c>
      <c r="K735">
        <v>739.66</v>
      </c>
      <c r="L735" s="456">
        <v>1147.5</v>
      </c>
      <c r="M735">
        <v>0</v>
      </c>
      <c r="N735">
        <v>750</v>
      </c>
    </row>
    <row r="736" spans="1:14">
      <c r="A736" t="s">
        <v>7035</v>
      </c>
      <c r="B736" t="s">
        <v>2272</v>
      </c>
      <c r="C736">
        <v>921</v>
      </c>
      <c r="D736" t="s">
        <v>2252</v>
      </c>
      <c r="E736" t="s">
        <v>7036</v>
      </c>
      <c r="F736" s="455">
        <v>46092</v>
      </c>
      <c r="G736" s="455">
        <v>46092</v>
      </c>
      <c r="H736" s="455">
        <v>46456</v>
      </c>
      <c r="J736" s="456">
        <v>1071</v>
      </c>
      <c r="K736" s="456">
        <v>1261.6199999999999</v>
      </c>
      <c r="L736" s="456">
        <v>1200</v>
      </c>
      <c r="M736">
        <v>0</v>
      </c>
      <c r="N736">
        <v>0</v>
      </c>
    </row>
    <row r="737" spans="1:14">
      <c r="A737" t="s">
        <v>7037</v>
      </c>
      <c r="B737" t="s">
        <v>2272</v>
      </c>
      <c r="C737">
        <v>921</v>
      </c>
      <c r="D737" t="s">
        <v>2252</v>
      </c>
      <c r="E737" t="s">
        <v>7038</v>
      </c>
      <c r="F737" s="455">
        <v>43851</v>
      </c>
      <c r="G737" s="455">
        <v>46073</v>
      </c>
      <c r="H737" s="455">
        <v>46437</v>
      </c>
      <c r="J737" s="456">
        <v>1071</v>
      </c>
      <c r="K737" s="456">
        <v>1492.12</v>
      </c>
      <c r="L737" s="456">
        <v>1405</v>
      </c>
      <c r="M737">
        <v>0</v>
      </c>
      <c r="N737">
        <v>250</v>
      </c>
    </row>
    <row r="738" spans="1:14">
      <c r="A738" t="s">
        <v>1562</v>
      </c>
      <c r="B738" t="s">
        <v>2272</v>
      </c>
      <c r="C738">
        <v>921</v>
      </c>
      <c r="D738" t="s">
        <v>2251</v>
      </c>
      <c r="E738" t="s">
        <v>1829</v>
      </c>
      <c r="F738" s="455">
        <v>46123</v>
      </c>
      <c r="G738" s="455">
        <v>46123</v>
      </c>
      <c r="H738" s="455">
        <v>46487</v>
      </c>
      <c r="I738" s="455">
        <v>46305</v>
      </c>
      <c r="J738" s="456">
        <v>1096</v>
      </c>
      <c r="K738" s="456">
        <v>1225.8699999999999</v>
      </c>
      <c r="L738" s="456">
        <v>1172</v>
      </c>
      <c r="M738">
        <v>0</v>
      </c>
      <c r="N738">
        <v>500</v>
      </c>
    </row>
    <row r="739" spans="1:14">
      <c r="A739" t="s">
        <v>7039</v>
      </c>
      <c r="B739" t="s">
        <v>2272</v>
      </c>
      <c r="C739">
        <v>921</v>
      </c>
      <c r="D739" t="s">
        <v>6953</v>
      </c>
      <c r="E739" t="s">
        <v>6384</v>
      </c>
      <c r="J739" s="456">
        <v>1096</v>
      </c>
      <c r="K739">
        <v>0</v>
      </c>
      <c r="L739">
        <v>0</v>
      </c>
      <c r="N739">
        <v>0</v>
      </c>
    </row>
    <row r="740" spans="1:14">
      <c r="A740" t="s">
        <v>7040</v>
      </c>
      <c r="B740" t="s">
        <v>2272</v>
      </c>
      <c r="C740">
        <v>921</v>
      </c>
      <c r="D740" t="s">
        <v>2252</v>
      </c>
      <c r="E740" t="s">
        <v>7041</v>
      </c>
      <c r="F740" s="455">
        <v>41330</v>
      </c>
      <c r="G740" s="455">
        <v>45931</v>
      </c>
      <c r="H740" s="455">
        <v>46295</v>
      </c>
      <c r="J740" s="456">
        <v>1001</v>
      </c>
      <c r="K740" s="456">
        <v>1204.6600000000001</v>
      </c>
      <c r="L740" s="456">
        <v>1112.5</v>
      </c>
      <c r="M740">
        <v>0</v>
      </c>
      <c r="N740">
        <v>200</v>
      </c>
    </row>
    <row r="741" spans="1:14">
      <c r="A741" t="s">
        <v>7042</v>
      </c>
      <c r="B741" t="s">
        <v>2272</v>
      </c>
      <c r="C741">
        <v>921</v>
      </c>
      <c r="D741" t="s">
        <v>2252</v>
      </c>
      <c r="E741" t="s">
        <v>7043</v>
      </c>
      <c r="F741" s="455">
        <v>46060</v>
      </c>
      <c r="G741" s="455">
        <v>46060</v>
      </c>
      <c r="H741" s="455">
        <v>46424</v>
      </c>
      <c r="J741" s="456">
        <v>1096</v>
      </c>
      <c r="K741" s="456">
        <v>1302.17</v>
      </c>
      <c r="L741" s="456">
        <v>1230</v>
      </c>
      <c r="M741">
        <v>0</v>
      </c>
      <c r="N741">
        <v>0</v>
      </c>
    </row>
    <row r="742" spans="1:14">
      <c r="A742" t="s">
        <v>7044</v>
      </c>
      <c r="B742" t="s">
        <v>2272</v>
      </c>
      <c r="C742">
        <v>921</v>
      </c>
      <c r="D742" t="s">
        <v>2252</v>
      </c>
      <c r="E742" t="s">
        <v>7045</v>
      </c>
      <c r="F742" s="455">
        <v>45535</v>
      </c>
      <c r="G742" s="455">
        <v>45962</v>
      </c>
      <c r="H742" s="455">
        <v>46326</v>
      </c>
      <c r="J742" s="456">
        <v>1071</v>
      </c>
      <c r="K742" s="456">
        <v>1660.17</v>
      </c>
      <c r="L742" s="456">
        <v>1587.49</v>
      </c>
      <c r="M742">
        <v>0</v>
      </c>
      <c r="N742">
        <v>750</v>
      </c>
    </row>
    <row r="743" spans="1:14">
      <c r="A743" t="s">
        <v>1919</v>
      </c>
      <c r="B743" t="s">
        <v>2272</v>
      </c>
      <c r="C743">
        <v>921</v>
      </c>
      <c r="D743" t="s">
        <v>2252</v>
      </c>
      <c r="E743" t="s">
        <v>1920</v>
      </c>
      <c r="F743" s="455">
        <v>46101</v>
      </c>
      <c r="G743" s="455">
        <v>46101</v>
      </c>
      <c r="H743" s="455">
        <v>46465</v>
      </c>
      <c r="J743" s="456">
        <v>1071</v>
      </c>
      <c r="K743" s="456">
        <v>1308.1600000000001</v>
      </c>
      <c r="L743" s="456">
        <v>1225</v>
      </c>
      <c r="M743">
        <v>0</v>
      </c>
      <c r="N743">
        <v>0</v>
      </c>
    </row>
    <row r="744" spans="1:14">
      <c r="A744" t="s">
        <v>7046</v>
      </c>
      <c r="B744" t="s">
        <v>2272</v>
      </c>
      <c r="C744">
        <v>921</v>
      </c>
      <c r="D744" t="s">
        <v>2252</v>
      </c>
      <c r="E744" t="s">
        <v>7047</v>
      </c>
      <c r="F744" s="455">
        <v>46039</v>
      </c>
      <c r="G744" s="455">
        <v>46039</v>
      </c>
      <c r="H744" s="455">
        <v>46403</v>
      </c>
      <c r="J744">
        <v>976</v>
      </c>
      <c r="K744" s="456">
        <v>1258.67</v>
      </c>
      <c r="L744" s="456">
        <v>1206</v>
      </c>
      <c r="M744">
        <v>0</v>
      </c>
      <c r="N744">
        <v>0</v>
      </c>
    </row>
    <row r="745" spans="1:14">
      <c r="A745" t="s">
        <v>1784</v>
      </c>
      <c r="B745" t="s">
        <v>2272</v>
      </c>
      <c r="C745">
        <v>921</v>
      </c>
      <c r="D745" t="s">
        <v>2252</v>
      </c>
      <c r="E745" t="s">
        <v>7048</v>
      </c>
      <c r="F745" s="455">
        <v>46163</v>
      </c>
      <c r="G745" s="455">
        <v>46163</v>
      </c>
      <c r="H745" s="455">
        <v>46527</v>
      </c>
      <c r="J745" s="456">
        <v>1071</v>
      </c>
      <c r="K745" s="456">
        <v>1229.95</v>
      </c>
      <c r="L745" s="456">
        <v>1200</v>
      </c>
      <c r="M745">
        <v>0</v>
      </c>
      <c r="N745">
        <v>0</v>
      </c>
    </row>
    <row r="746" spans="1:14">
      <c r="A746" t="s">
        <v>2527</v>
      </c>
      <c r="B746" t="s">
        <v>2272</v>
      </c>
      <c r="C746">
        <v>921</v>
      </c>
      <c r="D746" t="s">
        <v>6383</v>
      </c>
      <c r="E746" t="s">
        <v>6384</v>
      </c>
      <c r="J746" s="456">
        <v>1096</v>
      </c>
      <c r="K746">
        <v>0</v>
      </c>
      <c r="L746">
        <v>0</v>
      </c>
    </row>
    <row r="747" spans="1:14">
      <c r="A747" t="s">
        <v>3076</v>
      </c>
      <c r="B747" t="s">
        <v>2272</v>
      </c>
      <c r="C747">
        <v>921</v>
      </c>
      <c r="D747" t="s">
        <v>2252</v>
      </c>
      <c r="E747" t="s">
        <v>3077</v>
      </c>
      <c r="F747" s="455">
        <v>43678</v>
      </c>
      <c r="G747" s="455">
        <v>46235</v>
      </c>
      <c r="H747" s="455">
        <v>46599</v>
      </c>
      <c r="J747" s="456">
        <v>1096</v>
      </c>
      <c r="K747" s="456">
        <v>1632.67</v>
      </c>
      <c r="L747" s="456">
        <v>1580</v>
      </c>
      <c r="M747">
        <v>0</v>
      </c>
      <c r="N747">
        <v>250</v>
      </c>
    </row>
    <row r="748" spans="1:14">
      <c r="A748" t="s">
        <v>2529</v>
      </c>
      <c r="B748" t="s">
        <v>2272</v>
      </c>
      <c r="C748">
        <v>921</v>
      </c>
      <c r="D748" t="s">
        <v>2252</v>
      </c>
      <c r="E748" t="s">
        <v>3078</v>
      </c>
      <c r="F748" s="455">
        <v>46210</v>
      </c>
      <c r="G748" s="455">
        <v>46210</v>
      </c>
      <c r="H748" s="455">
        <v>46574</v>
      </c>
      <c r="J748" s="456">
        <v>1096</v>
      </c>
      <c r="K748">
        <v>395</v>
      </c>
      <c r="L748" s="456">
        <v>1217</v>
      </c>
      <c r="M748">
        <v>0</v>
      </c>
      <c r="N748">
        <v>900</v>
      </c>
    </row>
    <row r="749" spans="1:14">
      <c r="A749" t="s">
        <v>3634</v>
      </c>
      <c r="B749" t="s">
        <v>2272</v>
      </c>
      <c r="C749">
        <v>921</v>
      </c>
      <c r="D749" t="s">
        <v>2250</v>
      </c>
      <c r="E749" t="s">
        <v>7049</v>
      </c>
      <c r="F749" s="455">
        <v>45505</v>
      </c>
      <c r="G749" s="455">
        <v>45901</v>
      </c>
      <c r="H749" s="455">
        <v>46265</v>
      </c>
      <c r="I749" s="455">
        <v>46265</v>
      </c>
      <c r="J749" s="456">
        <v>1096</v>
      </c>
      <c r="K749" s="456">
        <v>1713.17</v>
      </c>
      <c r="L749" s="456">
        <v>1640.5</v>
      </c>
      <c r="M749">
        <v>0</v>
      </c>
      <c r="N749">
        <v>0</v>
      </c>
    </row>
    <row r="750" spans="1:14">
      <c r="A750" t="s">
        <v>1524</v>
      </c>
      <c r="B750" t="s">
        <v>2272</v>
      </c>
      <c r="C750">
        <v>921</v>
      </c>
      <c r="D750" t="s">
        <v>2252</v>
      </c>
      <c r="E750" t="s">
        <v>4264</v>
      </c>
      <c r="F750" s="455">
        <v>46165</v>
      </c>
      <c r="G750" s="455">
        <v>46165</v>
      </c>
      <c r="H750" s="455">
        <v>46529</v>
      </c>
      <c r="J750" s="456">
        <v>1071</v>
      </c>
      <c r="K750" s="456">
        <v>1209.95</v>
      </c>
      <c r="L750" s="456">
        <v>1180</v>
      </c>
      <c r="M750">
        <v>0</v>
      </c>
      <c r="N750">
        <v>0</v>
      </c>
    </row>
    <row r="751" spans="1:14">
      <c r="A751" t="s">
        <v>7050</v>
      </c>
      <c r="B751" t="s">
        <v>2272</v>
      </c>
      <c r="C751">
        <v>921</v>
      </c>
      <c r="D751" t="s">
        <v>2252</v>
      </c>
      <c r="E751" t="s">
        <v>7051</v>
      </c>
      <c r="F751" s="455">
        <v>43490</v>
      </c>
      <c r="G751" s="455">
        <v>46073</v>
      </c>
      <c r="H751" s="455">
        <v>46437</v>
      </c>
      <c r="J751">
        <v>976</v>
      </c>
      <c r="K751" s="456">
        <v>1181.6199999999999</v>
      </c>
      <c r="L751" s="456">
        <v>1120</v>
      </c>
      <c r="M751">
        <v>0</v>
      </c>
      <c r="N751">
        <v>250</v>
      </c>
    </row>
    <row r="752" spans="1:14">
      <c r="A752" t="s">
        <v>7052</v>
      </c>
      <c r="B752" t="s">
        <v>2272</v>
      </c>
      <c r="C752">
        <v>921</v>
      </c>
      <c r="D752" t="s">
        <v>2252</v>
      </c>
      <c r="E752" t="s">
        <v>7053</v>
      </c>
      <c r="F752" s="455">
        <v>46081</v>
      </c>
      <c r="G752" s="455">
        <v>46081</v>
      </c>
      <c r="H752" s="455">
        <v>46445</v>
      </c>
      <c r="J752" s="456">
        <v>1071</v>
      </c>
      <c r="K752" s="456">
        <v>1254.1199999999999</v>
      </c>
      <c r="L752" s="456">
        <v>1167</v>
      </c>
      <c r="M752">
        <v>0</v>
      </c>
      <c r="N752">
        <v>500</v>
      </c>
    </row>
    <row r="753" spans="1:14">
      <c r="A753" t="s">
        <v>2531</v>
      </c>
      <c r="B753" t="s">
        <v>2272</v>
      </c>
      <c r="C753">
        <v>921</v>
      </c>
      <c r="D753" t="s">
        <v>2252</v>
      </c>
      <c r="E753" t="s">
        <v>3079</v>
      </c>
      <c r="F753" s="455">
        <v>46227</v>
      </c>
      <c r="G753" s="455">
        <v>46227</v>
      </c>
      <c r="H753" s="455">
        <v>46591</v>
      </c>
      <c r="J753" s="456">
        <v>1071</v>
      </c>
      <c r="K753">
        <v>129</v>
      </c>
      <c r="L753" s="456">
        <v>1200</v>
      </c>
      <c r="M753">
        <v>0</v>
      </c>
      <c r="N753">
        <v>0</v>
      </c>
    </row>
    <row r="754" spans="1:14">
      <c r="A754" t="s">
        <v>6059</v>
      </c>
      <c r="B754" t="s">
        <v>2273</v>
      </c>
      <c r="C754">
        <v>988</v>
      </c>
      <c r="D754" t="s">
        <v>2252</v>
      </c>
      <c r="E754" t="s">
        <v>7054</v>
      </c>
      <c r="F754" s="455">
        <v>46079</v>
      </c>
      <c r="G754" s="455">
        <v>46079</v>
      </c>
      <c r="H754" s="455">
        <v>46443</v>
      </c>
      <c r="J754" s="456">
        <v>1149</v>
      </c>
      <c r="K754" s="456">
        <v>1431.91</v>
      </c>
      <c r="L754" s="456">
        <v>1258</v>
      </c>
      <c r="M754">
        <v>0</v>
      </c>
      <c r="N754">
        <v>0</v>
      </c>
    </row>
    <row r="755" spans="1:14">
      <c r="A755" t="s">
        <v>7055</v>
      </c>
      <c r="B755" t="s">
        <v>2273</v>
      </c>
      <c r="C755">
        <v>988</v>
      </c>
      <c r="D755" t="s">
        <v>2252</v>
      </c>
      <c r="E755" t="s">
        <v>7056</v>
      </c>
      <c r="F755" s="455">
        <v>45715</v>
      </c>
      <c r="G755" s="455">
        <v>46080</v>
      </c>
      <c r="H755" s="455">
        <v>46444</v>
      </c>
      <c r="J755" s="456">
        <v>1149</v>
      </c>
      <c r="K755" s="456">
        <v>1786.58</v>
      </c>
      <c r="L755" s="456">
        <v>1623</v>
      </c>
      <c r="M755">
        <v>0</v>
      </c>
      <c r="N755">
        <v>0</v>
      </c>
    </row>
    <row r="756" spans="1:14">
      <c r="A756" t="s">
        <v>2413</v>
      </c>
      <c r="B756" t="s">
        <v>2273</v>
      </c>
      <c r="C756">
        <v>988</v>
      </c>
      <c r="D756" t="s">
        <v>2252</v>
      </c>
      <c r="E756" t="s">
        <v>3080</v>
      </c>
      <c r="F756" s="455">
        <v>46214</v>
      </c>
      <c r="G756" s="455">
        <v>46214</v>
      </c>
      <c r="H756" s="455">
        <v>46578</v>
      </c>
      <c r="J756" s="456">
        <v>1149</v>
      </c>
      <c r="K756">
        <v>86</v>
      </c>
      <c r="L756" s="456">
        <v>1223</v>
      </c>
      <c r="M756">
        <v>0</v>
      </c>
      <c r="N756">
        <v>0</v>
      </c>
    </row>
    <row r="757" spans="1:14">
      <c r="A757" t="s">
        <v>7057</v>
      </c>
      <c r="B757" t="s">
        <v>2273</v>
      </c>
      <c r="C757">
        <v>988</v>
      </c>
      <c r="D757" t="s">
        <v>2252</v>
      </c>
      <c r="E757" t="s">
        <v>7058</v>
      </c>
      <c r="F757" s="455">
        <v>45383</v>
      </c>
      <c r="G757" s="455">
        <v>45992</v>
      </c>
      <c r="H757" s="455">
        <v>46356</v>
      </c>
      <c r="J757" s="456">
        <v>1099</v>
      </c>
      <c r="K757" s="456">
        <v>1776.96</v>
      </c>
      <c r="L757" s="456">
        <v>1612</v>
      </c>
      <c r="M757">
        <v>0</v>
      </c>
      <c r="N757">
        <v>0</v>
      </c>
    </row>
    <row r="758" spans="1:14">
      <c r="A758" t="s">
        <v>7059</v>
      </c>
      <c r="B758" t="s">
        <v>2273</v>
      </c>
      <c r="C758">
        <v>988</v>
      </c>
      <c r="D758" t="s">
        <v>2252</v>
      </c>
      <c r="E758" t="s">
        <v>7060</v>
      </c>
      <c r="F758" s="455">
        <v>45164</v>
      </c>
      <c r="G758" s="455">
        <v>45901</v>
      </c>
      <c r="H758" s="455">
        <v>46265</v>
      </c>
      <c r="J758" s="456">
        <v>1074</v>
      </c>
      <c r="K758" s="456">
        <v>1492.31</v>
      </c>
      <c r="L758" s="456">
        <v>1610</v>
      </c>
      <c r="M758">
        <v>0</v>
      </c>
      <c r="N758">
        <v>0</v>
      </c>
    </row>
    <row r="759" spans="1:14">
      <c r="A759" t="s">
        <v>7061</v>
      </c>
      <c r="B759" t="s">
        <v>2273</v>
      </c>
      <c r="C759">
        <v>988</v>
      </c>
      <c r="D759" t="s">
        <v>2252</v>
      </c>
      <c r="E759" t="s">
        <v>7062</v>
      </c>
      <c r="F759" s="455">
        <v>45806</v>
      </c>
      <c r="G759" s="455">
        <v>46171</v>
      </c>
      <c r="H759" s="455">
        <v>46535</v>
      </c>
      <c r="J759" s="456">
        <v>1124</v>
      </c>
      <c r="K759" s="456">
        <v>1604.58</v>
      </c>
      <c r="L759" s="456">
        <v>1441</v>
      </c>
      <c r="M759">
        <v>0</v>
      </c>
      <c r="N759">
        <v>750</v>
      </c>
    </row>
    <row r="760" spans="1:14">
      <c r="A760" t="s">
        <v>7063</v>
      </c>
      <c r="B760" t="s">
        <v>2273</v>
      </c>
      <c r="C760">
        <v>988</v>
      </c>
      <c r="D760" t="s">
        <v>2252</v>
      </c>
      <c r="E760" t="s">
        <v>7064</v>
      </c>
      <c r="F760" s="455">
        <v>42675</v>
      </c>
      <c r="G760" s="455">
        <v>46143</v>
      </c>
      <c r="H760" s="455">
        <v>46507</v>
      </c>
      <c r="J760" s="456">
        <v>1029</v>
      </c>
      <c r="K760" s="456">
        <v>1602.58</v>
      </c>
      <c r="L760" s="456">
        <v>1439</v>
      </c>
      <c r="M760">
        <v>0</v>
      </c>
      <c r="N760">
        <v>500</v>
      </c>
    </row>
    <row r="761" spans="1:14">
      <c r="A761" t="s">
        <v>7065</v>
      </c>
      <c r="B761" t="s">
        <v>2273</v>
      </c>
      <c r="C761">
        <v>988</v>
      </c>
      <c r="D761" t="s">
        <v>2252</v>
      </c>
      <c r="E761" t="s">
        <v>7066</v>
      </c>
      <c r="F761" s="455">
        <v>46149</v>
      </c>
      <c r="G761" s="455">
        <v>46149</v>
      </c>
      <c r="H761" s="455">
        <v>46513</v>
      </c>
      <c r="J761" s="456">
        <v>1124</v>
      </c>
      <c r="K761" s="456">
        <v>1256.95</v>
      </c>
      <c r="L761" s="456">
        <v>1233</v>
      </c>
      <c r="M761">
        <v>0</v>
      </c>
      <c r="N761">
        <v>0</v>
      </c>
    </row>
    <row r="762" spans="1:14">
      <c r="A762" t="s">
        <v>7067</v>
      </c>
      <c r="B762" t="s">
        <v>2273</v>
      </c>
      <c r="C762">
        <v>988</v>
      </c>
      <c r="D762" t="s">
        <v>2252</v>
      </c>
      <c r="E762" t="s">
        <v>7068</v>
      </c>
      <c r="F762" s="455">
        <v>44256</v>
      </c>
      <c r="G762" s="455">
        <v>46082</v>
      </c>
      <c r="H762" s="455">
        <v>46445</v>
      </c>
      <c r="J762" s="456">
        <v>1054</v>
      </c>
      <c r="K762" s="456">
        <v>1571.6</v>
      </c>
      <c r="L762" s="456">
        <v>1356</v>
      </c>
      <c r="M762">
        <v>0</v>
      </c>
      <c r="N762">
        <v>0</v>
      </c>
    </row>
    <row r="763" spans="1:14">
      <c r="A763" t="s">
        <v>1825</v>
      </c>
      <c r="B763" t="s">
        <v>2273</v>
      </c>
      <c r="C763">
        <v>988</v>
      </c>
      <c r="D763" t="s">
        <v>2252</v>
      </c>
      <c r="E763" t="s">
        <v>1826</v>
      </c>
      <c r="F763" s="455">
        <v>46113</v>
      </c>
      <c r="G763" s="455">
        <v>46113</v>
      </c>
      <c r="H763" s="455">
        <v>46477</v>
      </c>
      <c r="J763" s="456">
        <v>1099</v>
      </c>
      <c r="K763" s="456">
        <v>1599.73</v>
      </c>
      <c r="L763" s="456">
        <v>1208</v>
      </c>
      <c r="M763">
        <v>35</v>
      </c>
      <c r="N763">
        <v>0</v>
      </c>
    </row>
    <row r="764" spans="1:14">
      <c r="A764" t="s">
        <v>7069</v>
      </c>
      <c r="B764" t="s">
        <v>2273</v>
      </c>
      <c r="C764">
        <v>988</v>
      </c>
      <c r="D764" t="s">
        <v>2252</v>
      </c>
      <c r="E764" t="s">
        <v>7070</v>
      </c>
      <c r="F764" s="455">
        <v>43343</v>
      </c>
      <c r="G764" s="455">
        <v>46082</v>
      </c>
      <c r="H764" s="455">
        <v>46445</v>
      </c>
      <c r="J764" s="456">
        <v>1029</v>
      </c>
      <c r="K764" s="456">
        <v>1678.6</v>
      </c>
      <c r="L764" s="456">
        <v>1463</v>
      </c>
      <c r="M764">
        <v>0</v>
      </c>
      <c r="N764">
        <v>250</v>
      </c>
    </row>
    <row r="765" spans="1:14">
      <c r="A765" t="s">
        <v>7071</v>
      </c>
      <c r="B765" t="s">
        <v>2273</v>
      </c>
      <c r="C765">
        <v>988</v>
      </c>
      <c r="D765" t="s">
        <v>2252</v>
      </c>
      <c r="E765" t="s">
        <v>7072</v>
      </c>
      <c r="F765" s="455">
        <v>31929</v>
      </c>
      <c r="G765" s="455">
        <v>46083</v>
      </c>
      <c r="H765" s="455">
        <v>46447</v>
      </c>
      <c r="J765" s="456">
        <v>1029</v>
      </c>
      <c r="K765" s="456">
        <v>1661.6</v>
      </c>
      <c r="L765" s="456">
        <v>1446</v>
      </c>
      <c r="M765">
        <v>0</v>
      </c>
      <c r="N765">
        <v>825</v>
      </c>
    </row>
    <row r="766" spans="1:14">
      <c r="A766" t="s">
        <v>3081</v>
      </c>
      <c r="B766" t="s">
        <v>2273</v>
      </c>
      <c r="C766">
        <v>988</v>
      </c>
      <c r="D766" t="s">
        <v>2252</v>
      </c>
      <c r="E766" t="s">
        <v>3082</v>
      </c>
      <c r="F766" s="455">
        <v>45474</v>
      </c>
      <c r="G766" s="455">
        <v>46235</v>
      </c>
      <c r="H766" s="455">
        <v>46599</v>
      </c>
      <c r="J766" s="456">
        <v>1099</v>
      </c>
      <c r="K766" s="456">
        <v>1912.97</v>
      </c>
      <c r="L766" s="456">
        <v>1690</v>
      </c>
      <c r="M766">
        <v>0</v>
      </c>
      <c r="N766">
        <v>0</v>
      </c>
    </row>
    <row r="767" spans="1:14">
      <c r="A767" t="s">
        <v>7073</v>
      </c>
      <c r="B767" t="s">
        <v>2273</v>
      </c>
      <c r="C767">
        <v>988</v>
      </c>
      <c r="D767" t="s">
        <v>2252</v>
      </c>
      <c r="E767" t="s">
        <v>7074</v>
      </c>
      <c r="F767" s="455">
        <v>45168</v>
      </c>
      <c r="G767" s="455">
        <v>45901</v>
      </c>
      <c r="H767" s="455">
        <v>46265</v>
      </c>
      <c r="J767" s="456">
        <v>1054</v>
      </c>
      <c r="K767" s="456">
        <v>1817.97</v>
      </c>
      <c r="L767" s="456">
        <v>1594.5</v>
      </c>
      <c r="M767">
        <v>0</v>
      </c>
      <c r="N767">
        <v>750</v>
      </c>
    </row>
    <row r="768" spans="1:14">
      <c r="A768" t="s">
        <v>7075</v>
      </c>
      <c r="B768" t="s">
        <v>2273</v>
      </c>
      <c r="C768">
        <v>988</v>
      </c>
      <c r="D768" t="s">
        <v>2252</v>
      </c>
      <c r="E768" t="s">
        <v>7076</v>
      </c>
      <c r="F768" s="455">
        <v>44628</v>
      </c>
      <c r="G768" s="455">
        <v>46082</v>
      </c>
      <c r="H768" s="455">
        <v>46445</v>
      </c>
      <c r="J768" s="456">
        <v>1074</v>
      </c>
      <c r="K768" s="456">
        <v>1708.92</v>
      </c>
      <c r="L768" s="456">
        <v>1471</v>
      </c>
      <c r="M768">
        <v>0</v>
      </c>
      <c r="N768">
        <v>150</v>
      </c>
    </row>
    <row r="769" spans="1:14">
      <c r="A769" t="s">
        <v>3288</v>
      </c>
      <c r="B769" t="s">
        <v>2273</v>
      </c>
      <c r="C769">
        <v>988</v>
      </c>
      <c r="D769" t="s">
        <v>2252</v>
      </c>
      <c r="E769" t="s">
        <v>7077</v>
      </c>
      <c r="F769" s="455">
        <v>46165</v>
      </c>
      <c r="G769" s="455">
        <v>46165</v>
      </c>
      <c r="H769" s="455">
        <v>46529</v>
      </c>
      <c r="J769" s="456">
        <v>1074</v>
      </c>
      <c r="K769" s="456">
        <v>1177.95</v>
      </c>
      <c r="L769" s="456">
        <v>1148</v>
      </c>
      <c r="M769">
        <v>0</v>
      </c>
      <c r="N769">
        <v>0</v>
      </c>
    </row>
    <row r="770" spans="1:14">
      <c r="A770" t="s">
        <v>4557</v>
      </c>
      <c r="B770" t="s">
        <v>2273</v>
      </c>
      <c r="C770">
        <v>988</v>
      </c>
      <c r="D770" t="s">
        <v>2250</v>
      </c>
      <c r="E770" t="s">
        <v>7078</v>
      </c>
      <c r="F770" s="455">
        <v>45930</v>
      </c>
      <c r="G770" s="455">
        <v>45930</v>
      </c>
      <c r="H770" s="455">
        <v>46294</v>
      </c>
      <c r="I770" s="455">
        <v>46294</v>
      </c>
      <c r="J770" s="456">
        <v>1149</v>
      </c>
      <c r="K770" s="456">
        <v>1798.97</v>
      </c>
      <c r="L770" s="456">
        <v>1575.5</v>
      </c>
      <c r="M770">
        <v>0</v>
      </c>
      <c r="N770">
        <v>750</v>
      </c>
    </row>
    <row r="771" spans="1:14">
      <c r="A771" t="s">
        <v>7079</v>
      </c>
      <c r="B771" t="s">
        <v>2273</v>
      </c>
      <c r="C771">
        <v>988</v>
      </c>
      <c r="D771" t="s">
        <v>2252</v>
      </c>
      <c r="E771" t="s">
        <v>7080</v>
      </c>
      <c r="F771" s="455">
        <v>45619</v>
      </c>
      <c r="G771" s="455">
        <v>46113</v>
      </c>
      <c r="J771" s="456">
        <v>1149</v>
      </c>
      <c r="K771" s="456">
        <v>1461.65</v>
      </c>
      <c r="L771" s="456">
        <v>1254.5</v>
      </c>
      <c r="M771">
        <v>0</v>
      </c>
      <c r="N771">
        <v>0</v>
      </c>
    </row>
    <row r="772" spans="1:14">
      <c r="A772" t="s">
        <v>1780</v>
      </c>
      <c r="B772" t="s">
        <v>2273</v>
      </c>
      <c r="C772">
        <v>988</v>
      </c>
      <c r="D772" t="s">
        <v>2252</v>
      </c>
      <c r="E772" t="s">
        <v>1781</v>
      </c>
      <c r="F772" s="455">
        <v>46143</v>
      </c>
      <c r="G772" s="455">
        <v>46143</v>
      </c>
      <c r="H772" s="455">
        <v>46507</v>
      </c>
      <c r="J772" s="456">
        <v>1124</v>
      </c>
      <c r="K772" s="456">
        <v>1262.95</v>
      </c>
      <c r="L772" s="456">
        <v>1233</v>
      </c>
      <c r="M772">
        <v>0</v>
      </c>
      <c r="N772">
        <v>0</v>
      </c>
    </row>
    <row r="773" spans="1:14">
      <c r="A773" t="s">
        <v>7081</v>
      </c>
      <c r="B773" t="s">
        <v>2273</v>
      </c>
      <c r="C773">
        <v>988</v>
      </c>
      <c r="D773" t="s">
        <v>2252</v>
      </c>
      <c r="E773" t="s">
        <v>7082</v>
      </c>
      <c r="F773" s="455">
        <v>46143</v>
      </c>
      <c r="G773" s="455">
        <v>46143</v>
      </c>
      <c r="H773" s="455">
        <v>46507</v>
      </c>
      <c r="J773" s="456">
        <v>1124</v>
      </c>
      <c r="K773" s="456">
        <v>1262.95</v>
      </c>
      <c r="L773" s="456">
        <v>1233</v>
      </c>
      <c r="M773">
        <v>0</v>
      </c>
      <c r="N773">
        <v>0</v>
      </c>
    </row>
    <row r="774" spans="1:14">
      <c r="A774" t="s">
        <v>7083</v>
      </c>
      <c r="B774" t="s">
        <v>2273</v>
      </c>
      <c r="C774">
        <v>988</v>
      </c>
      <c r="D774" t="s">
        <v>2250</v>
      </c>
      <c r="E774" t="s">
        <v>7084</v>
      </c>
      <c r="F774" s="455">
        <v>41362</v>
      </c>
      <c r="G774" s="455">
        <v>45931</v>
      </c>
      <c r="H774" s="455">
        <v>46295</v>
      </c>
      <c r="I774" s="455">
        <v>46295</v>
      </c>
      <c r="J774" s="456">
        <v>1054</v>
      </c>
      <c r="K774" s="456">
        <v>1513.63</v>
      </c>
      <c r="L774" s="456">
        <v>1364.49</v>
      </c>
      <c r="M774">
        <v>0</v>
      </c>
      <c r="N774">
        <v>250</v>
      </c>
    </row>
    <row r="775" spans="1:14">
      <c r="A775" t="s">
        <v>7085</v>
      </c>
      <c r="B775" t="s">
        <v>2273</v>
      </c>
      <c r="C775">
        <v>988</v>
      </c>
      <c r="D775" t="s">
        <v>2252</v>
      </c>
      <c r="E775" t="s">
        <v>7086</v>
      </c>
      <c r="F775" s="455">
        <v>45673</v>
      </c>
      <c r="G775" s="455">
        <v>46073</v>
      </c>
      <c r="H775" s="455">
        <v>46437</v>
      </c>
      <c r="J775" s="456">
        <v>1149</v>
      </c>
      <c r="K775" s="456">
        <v>1588.58</v>
      </c>
      <c r="L775" s="456">
        <v>1425</v>
      </c>
      <c r="M775">
        <v>0</v>
      </c>
      <c r="N775">
        <v>0</v>
      </c>
    </row>
    <row r="776" spans="1:14">
      <c r="A776" t="s">
        <v>1796</v>
      </c>
      <c r="B776" t="s">
        <v>2273</v>
      </c>
      <c r="C776">
        <v>988</v>
      </c>
      <c r="D776" t="s">
        <v>2252</v>
      </c>
      <c r="E776" t="s">
        <v>1797</v>
      </c>
      <c r="F776" s="455">
        <v>46120</v>
      </c>
      <c r="G776" s="455">
        <v>46120</v>
      </c>
      <c r="H776" s="455">
        <v>46484</v>
      </c>
      <c r="J776" s="456">
        <v>1054</v>
      </c>
      <c r="K776" s="456">
        <v>1272.4100000000001</v>
      </c>
      <c r="L776" s="456">
        <v>1130</v>
      </c>
      <c r="M776">
        <v>0</v>
      </c>
      <c r="N776">
        <v>500</v>
      </c>
    </row>
    <row r="777" spans="1:14">
      <c r="A777" t="s">
        <v>7087</v>
      </c>
      <c r="B777" t="s">
        <v>2273</v>
      </c>
      <c r="C777">
        <v>988</v>
      </c>
      <c r="D777" t="s">
        <v>2252</v>
      </c>
      <c r="E777" t="s">
        <v>7088</v>
      </c>
      <c r="F777" s="455">
        <v>45560</v>
      </c>
      <c r="G777" s="455">
        <v>45986</v>
      </c>
      <c r="H777" s="455">
        <v>46350</v>
      </c>
      <c r="J777" s="456">
        <v>1149</v>
      </c>
      <c r="K777" s="456">
        <v>1863.96</v>
      </c>
      <c r="L777" s="456">
        <v>1699</v>
      </c>
      <c r="M777">
        <v>0</v>
      </c>
      <c r="N777">
        <v>750</v>
      </c>
    </row>
    <row r="778" spans="1:14">
      <c r="A778" t="s">
        <v>7089</v>
      </c>
      <c r="B778" t="s">
        <v>2273</v>
      </c>
      <c r="C778">
        <v>988</v>
      </c>
      <c r="D778" t="s">
        <v>2252</v>
      </c>
      <c r="E778" t="s">
        <v>7090</v>
      </c>
      <c r="F778" s="455">
        <v>44660</v>
      </c>
      <c r="G778" s="455">
        <v>46113</v>
      </c>
      <c r="H778" s="455">
        <v>46477</v>
      </c>
      <c r="J778" s="456">
        <v>1124</v>
      </c>
      <c r="K778" s="456">
        <v>1816.58</v>
      </c>
      <c r="L778" s="456">
        <v>1653</v>
      </c>
      <c r="M778">
        <v>0</v>
      </c>
      <c r="N778">
        <v>0</v>
      </c>
    </row>
    <row r="779" spans="1:14">
      <c r="A779" t="s">
        <v>7091</v>
      </c>
      <c r="B779" t="s">
        <v>2273</v>
      </c>
      <c r="C779">
        <v>988</v>
      </c>
      <c r="D779" t="s">
        <v>2252</v>
      </c>
      <c r="E779" t="s">
        <v>7092</v>
      </c>
      <c r="F779" s="455">
        <v>46095</v>
      </c>
      <c r="G779" s="455">
        <v>46095</v>
      </c>
      <c r="H779" s="455">
        <v>46459</v>
      </c>
      <c r="J779" s="456">
        <v>1074</v>
      </c>
      <c r="K779" s="456">
        <v>1347.19</v>
      </c>
      <c r="L779" s="456">
        <v>1183</v>
      </c>
      <c r="M779">
        <v>-660</v>
      </c>
      <c r="N779">
        <v>0</v>
      </c>
    </row>
    <row r="780" spans="1:14">
      <c r="A780" t="s">
        <v>7093</v>
      </c>
      <c r="B780" t="s">
        <v>2273</v>
      </c>
      <c r="C780">
        <v>988</v>
      </c>
      <c r="D780" t="s">
        <v>2252</v>
      </c>
      <c r="E780" t="s">
        <v>7094</v>
      </c>
      <c r="F780" s="455">
        <v>42231</v>
      </c>
      <c r="G780" s="455">
        <v>45992</v>
      </c>
      <c r="H780" s="455">
        <v>46356</v>
      </c>
      <c r="J780" s="456">
        <v>1029</v>
      </c>
      <c r="K780" s="456">
        <v>1585.96</v>
      </c>
      <c r="L780" s="456">
        <v>1421</v>
      </c>
      <c r="M780">
        <v>0</v>
      </c>
      <c r="N780">
        <v>325</v>
      </c>
    </row>
    <row r="781" spans="1:14">
      <c r="A781" t="s">
        <v>2441</v>
      </c>
      <c r="B781" t="s">
        <v>2273</v>
      </c>
      <c r="C781">
        <v>988</v>
      </c>
      <c r="D781" t="s">
        <v>2252</v>
      </c>
      <c r="E781" t="s">
        <v>2442</v>
      </c>
      <c r="F781" s="455">
        <v>38257</v>
      </c>
      <c r="G781" s="455">
        <v>46082</v>
      </c>
      <c r="H781" s="455">
        <v>46445</v>
      </c>
      <c r="J781" s="456">
        <v>1029</v>
      </c>
      <c r="K781" s="456">
        <v>1496.31</v>
      </c>
      <c r="L781" s="456">
        <v>1218</v>
      </c>
      <c r="M781">
        <v>546.30999999999995</v>
      </c>
      <c r="N781">
        <v>0</v>
      </c>
    </row>
    <row r="782" spans="1:14">
      <c r="A782" t="s">
        <v>2443</v>
      </c>
      <c r="B782" t="s">
        <v>2273</v>
      </c>
      <c r="C782">
        <v>988</v>
      </c>
      <c r="D782" t="s">
        <v>2252</v>
      </c>
      <c r="E782" t="s">
        <v>3083</v>
      </c>
      <c r="F782" s="455">
        <v>46209</v>
      </c>
      <c r="G782" s="455">
        <v>46209</v>
      </c>
      <c r="H782" s="455">
        <v>46573</v>
      </c>
      <c r="J782" s="456">
        <v>1149</v>
      </c>
      <c r="K782">
        <v>41</v>
      </c>
      <c r="L782" s="456">
        <v>1225</v>
      </c>
      <c r="M782">
        <v>0</v>
      </c>
      <c r="N782">
        <v>500</v>
      </c>
    </row>
    <row r="783" spans="1:14">
      <c r="A783" t="s">
        <v>1927</v>
      </c>
      <c r="B783" t="s">
        <v>2273</v>
      </c>
      <c r="C783">
        <v>988</v>
      </c>
      <c r="D783" t="s">
        <v>2252</v>
      </c>
      <c r="E783" t="s">
        <v>2445</v>
      </c>
      <c r="F783" s="455">
        <v>46094</v>
      </c>
      <c r="G783" s="455">
        <v>46094</v>
      </c>
      <c r="H783" s="455">
        <v>46458</v>
      </c>
      <c r="J783" s="456">
        <v>1054</v>
      </c>
      <c r="K783" s="456">
        <v>1467.58</v>
      </c>
      <c r="L783" s="456">
        <v>1163</v>
      </c>
      <c r="M783" s="456">
        <v>1467.58</v>
      </c>
      <c r="N783">
        <v>0</v>
      </c>
    </row>
    <row r="784" spans="1:14">
      <c r="A784" t="s">
        <v>2446</v>
      </c>
      <c r="B784" t="s">
        <v>2273</v>
      </c>
      <c r="C784">
        <v>988</v>
      </c>
      <c r="D784" t="s">
        <v>2252</v>
      </c>
      <c r="E784" t="s">
        <v>2447</v>
      </c>
      <c r="F784" s="455">
        <v>46087</v>
      </c>
      <c r="G784" s="455">
        <v>46088</v>
      </c>
      <c r="H784" s="455">
        <v>46452</v>
      </c>
      <c r="J784" s="456">
        <v>1099</v>
      </c>
      <c r="K784" s="456">
        <v>1566.58</v>
      </c>
      <c r="L784" s="456">
        <v>1258</v>
      </c>
      <c r="M784">
        <v>0</v>
      </c>
      <c r="N784">
        <v>0</v>
      </c>
    </row>
    <row r="785" spans="1:14">
      <c r="A785" t="s">
        <v>2448</v>
      </c>
      <c r="B785" t="s">
        <v>2273</v>
      </c>
      <c r="C785">
        <v>988</v>
      </c>
      <c r="D785" t="s">
        <v>2252</v>
      </c>
      <c r="E785" t="s">
        <v>3084</v>
      </c>
      <c r="F785" s="455">
        <v>46242</v>
      </c>
      <c r="G785" s="455">
        <v>46242</v>
      </c>
      <c r="H785" s="455">
        <v>46606</v>
      </c>
      <c r="J785" s="456">
        <v>1149</v>
      </c>
      <c r="K785">
        <v>924</v>
      </c>
      <c r="L785" s="456">
        <v>1190</v>
      </c>
      <c r="M785">
        <v>-96</v>
      </c>
      <c r="N785">
        <v>500</v>
      </c>
    </row>
    <row r="786" spans="1:14">
      <c r="A786" t="s">
        <v>7095</v>
      </c>
      <c r="B786" t="s">
        <v>2273</v>
      </c>
      <c r="C786">
        <v>988</v>
      </c>
      <c r="D786" t="s">
        <v>2252</v>
      </c>
      <c r="E786" t="s">
        <v>7096</v>
      </c>
      <c r="F786" s="455">
        <v>46097</v>
      </c>
      <c r="G786" s="455">
        <v>46097</v>
      </c>
      <c r="H786" s="455">
        <v>46461</v>
      </c>
      <c r="J786" s="456">
        <v>1124</v>
      </c>
      <c r="K786" s="456">
        <v>1373.06</v>
      </c>
      <c r="L786" s="456">
        <v>1233</v>
      </c>
      <c r="M786">
        <v>0</v>
      </c>
      <c r="N786">
        <v>0</v>
      </c>
    </row>
    <row r="787" spans="1:14">
      <c r="A787" t="s">
        <v>2449</v>
      </c>
      <c r="B787" t="s">
        <v>2273</v>
      </c>
      <c r="C787">
        <v>988</v>
      </c>
      <c r="D787" t="s">
        <v>6383</v>
      </c>
      <c r="E787" t="s">
        <v>6384</v>
      </c>
      <c r="J787" s="456">
        <v>1124</v>
      </c>
      <c r="K787">
        <v>0</v>
      </c>
      <c r="L787">
        <v>0</v>
      </c>
    </row>
    <row r="788" spans="1:14">
      <c r="A788" t="s">
        <v>1573</v>
      </c>
      <c r="B788" t="s">
        <v>2273</v>
      </c>
      <c r="C788">
        <v>988</v>
      </c>
      <c r="D788" t="s">
        <v>2252</v>
      </c>
      <c r="E788" t="s">
        <v>1107</v>
      </c>
      <c r="F788" s="455">
        <v>46144</v>
      </c>
      <c r="G788" s="455">
        <v>46144</v>
      </c>
      <c r="H788" s="455">
        <v>46508</v>
      </c>
      <c r="J788" s="456">
        <v>1124</v>
      </c>
      <c r="K788" s="456">
        <v>1307.6500000000001</v>
      </c>
      <c r="L788" s="456">
        <v>1271</v>
      </c>
      <c r="M788">
        <v>0</v>
      </c>
      <c r="N788">
        <v>0</v>
      </c>
    </row>
    <row r="789" spans="1:14">
      <c r="A789" t="s">
        <v>2451</v>
      </c>
      <c r="B789" t="s">
        <v>2273</v>
      </c>
      <c r="C789">
        <v>988</v>
      </c>
      <c r="D789" t="s">
        <v>2252</v>
      </c>
      <c r="E789" t="s">
        <v>2452</v>
      </c>
      <c r="F789" s="455">
        <v>45226</v>
      </c>
      <c r="G789" s="455">
        <v>45992</v>
      </c>
      <c r="H789" s="455">
        <v>46356</v>
      </c>
      <c r="J789" s="456">
        <v>1029</v>
      </c>
      <c r="K789" s="456">
        <v>1924.63</v>
      </c>
      <c r="L789" s="456">
        <v>1585.99</v>
      </c>
      <c r="M789" s="456">
        <v>1924.63</v>
      </c>
      <c r="N789">
        <v>0</v>
      </c>
    </row>
    <row r="790" spans="1:14">
      <c r="A790" t="s">
        <v>3872</v>
      </c>
      <c r="B790" t="s">
        <v>2273</v>
      </c>
      <c r="C790">
        <v>988</v>
      </c>
      <c r="D790" t="s">
        <v>2252</v>
      </c>
      <c r="E790" t="s">
        <v>3871</v>
      </c>
      <c r="F790" s="455">
        <v>46179</v>
      </c>
      <c r="G790" s="455">
        <v>46179</v>
      </c>
      <c r="H790" s="455">
        <v>46538</v>
      </c>
      <c r="J790" s="456">
        <v>1054</v>
      </c>
      <c r="K790" s="456">
        <v>1143</v>
      </c>
      <c r="L790" s="456">
        <v>1130</v>
      </c>
      <c r="M790">
        <v>0</v>
      </c>
      <c r="N790">
        <v>500</v>
      </c>
    </row>
    <row r="791" spans="1:14">
      <c r="A791" t="s">
        <v>4604</v>
      </c>
      <c r="B791" t="s">
        <v>2273</v>
      </c>
      <c r="C791">
        <v>988</v>
      </c>
      <c r="D791" t="s">
        <v>2250</v>
      </c>
      <c r="E791" t="s">
        <v>7097</v>
      </c>
      <c r="F791" s="455">
        <v>45540</v>
      </c>
      <c r="G791" s="455">
        <v>45906</v>
      </c>
      <c r="H791" s="455">
        <v>46270</v>
      </c>
      <c r="I791" s="455">
        <v>46270</v>
      </c>
      <c r="J791" s="456">
        <v>1099</v>
      </c>
      <c r="K791" s="456">
        <v>1860.3</v>
      </c>
      <c r="L791" s="456">
        <v>1620.49</v>
      </c>
      <c r="M791">
        <v>0</v>
      </c>
      <c r="N791">
        <v>0</v>
      </c>
    </row>
    <row r="792" spans="1:14">
      <c r="A792" t="s">
        <v>2476</v>
      </c>
      <c r="B792" t="s">
        <v>2273</v>
      </c>
      <c r="C792">
        <v>988</v>
      </c>
      <c r="D792" t="s">
        <v>2250</v>
      </c>
      <c r="E792" t="s">
        <v>2477</v>
      </c>
      <c r="F792" s="455">
        <v>45397</v>
      </c>
      <c r="G792" s="455">
        <v>46235</v>
      </c>
      <c r="H792" s="455">
        <v>46255</v>
      </c>
      <c r="I792" s="455">
        <v>46255</v>
      </c>
      <c r="J792" s="456">
        <v>1124</v>
      </c>
      <c r="K792" s="456">
        <v>1472.65</v>
      </c>
      <c r="L792" s="456">
        <v>1629</v>
      </c>
      <c r="M792" s="456">
        <v>6760.28</v>
      </c>
      <c r="N792">
        <v>150</v>
      </c>
    </row>
    <row r="793" spans="1:14">
      <c r="A793" t="s">
        <v>2478</v>
      </c>
      <c r="B793" t="s">
        <v>2273</v>
      </c>
      <c r="C793">
        <v>988</v>
      </c>
      <c r="D793" t="s">
        <v>2252</v>
      </c>
      <c r="E793" t="s">
        <v>2479</v>
      </c>
      <c r="F793" s="455">
        <v>46148</v>
      </c>
      <c r="G793" s="455">
        <v>46148</v>
      </c>
      <c r="H793" s="455">
        <v>46512</v>
      </c>
      <c r="J793" s="456">
        <v>1124</v>
      </c>
      <c r="K793" s="456">
        <v>1404.95</v>
      </c>
      <c r="L793" s="456">
        <v>1233</v>
      </c>
      <c r="M793" s="456">
        <v>1404.95</v>
      </c>
      <c r="N793">
        <v>0</v>
      </c>
    </row>
    <row r="794" spans="1:14">
      <c r="A794" t="s">
        <v>7098</v>
      </c>
      <c r="B794" t="s">
        <v>2273</v>
      </c>
      <c r="C794">
        <v>988</v>
      </c>
      <c r="D794" t="s">
        <v>2252</v>
      </c>
      <c r="E794" t="s">
        <v>4648</v>
      </c>
      <c r="F794" s="455">
        <v>41821</v>
      </c>
      <c r="G794" s="455">
        <v>46082</v>
      </c>
      <c r="H794" s="455">
        <v>46445</v>
      </c>
      <c r="J794" s="456">
        <v>1054</v>
      </c>
      <c r="K794" s="456">
        <v>1186.6500000000001</v>
      </c>
      <c r="L794">
        <v>980</v>
      </c>
      <c r="M794">
        <v>0</v>
      </c>
      <c r="N794">
        <v>0</v>
      </c>
    </row>
    <row r="795" spans="1:14">
      <c r="A795" t="s">
        <v>2480</v>
      </c>
      <c r="B795" t="s">
        <v>2273</v>
      </c>
      <c r="C795">
        <v>988</v>
      </c>
      <c r="D795" t="s">
        <v>6383</v>
      </c>
      <c r="E795" t="s">
        <v>6384</v>
      </c>
      <c r="J795" s="456">
        <v>1149</v>
      </c>
      <c r="K795">
        <v>0</v>
      </c>
      <c r="L795">
        <v>0</v>
      </c>
    </row>
    <row r="796" spans="1:14">
      <c r="A796" t="s">
        <v>6281</v>
      </c>
      <c r="B796" t="s">
        <v>2273</v>
      </c>
      <c r="C796">
        <v>988</v>
      </c>
      <c r="D796" t="s">
        <v>2252</v>
      </c>
      <c r="E796" t="s">
        <v>7099</v>
      </c>
      <c r="F796" s="455">
        <v>46172</v>
      </c>
      <c r="G796" s="455">
        <v>46172</v>
      </c>
      <c r="H796" s="455">
        <v>46536</v>
      </c>
      <c r="J796" s="456">
        <v>1124</v>
      </c>
      <c r="K796" s="456">
        <v>1215</v>
      </c>
      <c r="L796" s="456">
        <v>1200</v>
      </c>
      <c r="M796">
        <v>0</v>
      </c>
      <c r="N796">
        <v>500</v>
      </c>
    </row>
    <row r="797" spans="1:14">
      <c r="A797" t="s">
        <v>7100</v>
      </c>
      <c r="B797" t="s">
        <v>2273</v>
      </c>
      <c r="C797">
        <v>988</v>
      </c>
      <c r="D797" t="s">
        <v>2252</v>
      </c>
      <c r="E797" t="s">
        <v>7101</v>
      </c>
      <c r="F797" s="455">
        <v>38815</v>
      </c>
      <c r="G797" s="455">
        <v>46082</v>
      </c>
      <c r="H797" s="455">
        <v>46445</v>
      </c>
      <c r="J797" s="456">
        <v>1029</v>
      </c>
      <c r="K797" s="456">
        <v>1406.92</v>
      </c>
      <c r="L797" s="456">
        <v>1169</v>
      </c>
      <c r="M797">
        <v>0</v>
      </c>
      <c r="N797">
        <v>200</v>
      </c>
    </row>
    <row r="798" spans="1:14">
      <c r="A798" t="s">
        <v>7102</v>
      </c>
      <c r="B798" t="s">
        <v>2273</v>
      </c>
      <c r="C798">
        <v>988</v>
      </c>
      <c r="D798" t="s">
        <v>2252</v>
      </c>
      <c r="E798" t="s">
        <v>7103</v>
      </c>
      <c r="F798" s="455">
        <v>45930</v>
      </c>
      <c r="G798" s="455">
        <v>45930</v>
      </c>
      <c r="H798" s="455">
        <v>46294</v>
      </c>
      <c r="J798" s="456">
        <v>1054</v>
      </c>
      <c r="K798" s="456">
        <v>1470.3</v>
      </c>
      <c r="L798" s="456">
        <v>1480.5</v>
      </c>
      <c r="M798">
        <v>-129.69999999999999</v>
      </c>
      <c r="N798">
        <v>750</v>
      </c>
    </row>
    <row r="799" spans="1:14">
      <c r="A799" t="s">
        <v>1938</v>
      </c>
      <c r="B799" t="s">
        <v>2273</v>
      </c>
      <c r="C799">
        <v>988</v>
      </c>
      <c r="D799" t="s">
        <v>2252</v>
      </c>
      <c r="E799" t="s">
        <v>4065</v>
      </c>
      <c r="F799" s="455">
        <v>46130</v>
      </c>
      <c r="G799" s="455">
        <v>46130</v>
      </c>
      <c r="H799" s="455">
        <v>46494</v>
      </c>
      <c r="J799" s="456">
        <v>1054</v>
      </c>
      <c r="K799" s="456">
        <v>1263.69</v>
      </c>
      <c r="L799" s="456">
        <v>1163</v>
      </c>
      <c r="M799">
        <v>0</v>
      </c>
      <c r="N799">
        <v>0</v>
      </c>
    </row>
    <row r="800" spans="1:14">
      <c r="A800" t="s">
        <v>7104</v>
      </c>
      <c r="B800" t="s">
        <v>2273</v>
      </c>
      <c r="C800">
        <v>988</v>
      </c>
      <c r="D800" t="s">
        <v>2252</v>
      </c>
      <c r="E800" t="s">
        <v>7105</v>
      </c>
      <c r="F800" s="455">
        <v>44652</v>
      </c>
      <c r="G800" s="455">
        <v>46113</v>
      </c>
      <c r="H800" s="455">
        <v>46477</v>
      </c>
      <c r="J800" s="456">
        <v>1074</v>
      </c>
      <c r="K800" s="456">
        <v>1679.92</v>
      </c>
      <c r="L800" s="456">
        <v>1442</v>
      </c>
      <c r="M800">
        <v>0</v>
      </c>
      <c r="N800">
        <v>0</v>
      </c>
    </row>
    <row r="801" spans="1:14">
      <c r="A801" t="s">
        <v>2482</v>
      </c>
      <c r="B801" t="s">
        <v>2273</v>
      </c>
      <c r="C801">
        <v>988</v>
      </c>
      <c r="D801" t="s">
        <v>6383</v>
      </c>
      <c r="E801" t="s">
        <v>6384</v>
      </c>
      <c r="J801" s="456">
        <v>1074</v>
      </c>
      <c r="K801">
        <v>0</v>
      </c>
      <c r="L801">
        <v>0</v>
      </c>
    </row>
    <row r="802" spans="1:14">
      <c r="A802" t="s">
        <v>2484</v>
      </c>
      <c r="B802" t="s">
        <v>2273</v>
      </c>
      <c r="C802">
        <v>988</v>
      </c>
      <c r="D802" t="s">
        <v>6383</v>
      </c>
      <c r="E802" t="s">
        <v>6384</v>
      </c>
      <c r="J802" s="456">
        <v>1099</v>
      </c>
      <c r="K802">
        <v>0</v>
      </c>
      <c r="L802">
        <v>0</v>
      </c>
    </row>
    <row r="803" spans="1:14">
      <c r="A803" t="s">
        <v>1555</v>
      </c>
      <c r="B803" t="s">
        <v>2273</v>
      </c>
      <c r="C803">
        <v>988</v>
      </c>
      <c r="D803" t="s">
        <v>2252</v>
      </c>
      <c r="E803" t="s">
        <v>7106</v>
      </c>
      <c r="F803" s="455">
        <v>46104</v>
      </c>
      <c r="G803" s="455">
        <v>46104</v>
      </c>
      <c r="H803" s="455">
        <v>46468</v>
      </c>
      <c r="J803" s="456">
        <v>1149</v>
      </c>
      <c r="K803" s="456">
        <v>1490.13</v>
      </c>
      <c r="L803" s="456">
        <v>1258</v>
      </c>
      <c r="M803">
        <v>0</v>
      </c>
      <c r="N803">
        <v>0</v>
      </c>
    </row>
    <row r="804" spans="1:14">
      <c r="A804" t="s">
        <v>7107</v>
      </c>
      <c r="B804" t="s">
        <v>2273</v>
      </c>
      <c r="C804">
        <v>988</v>
      </c>
      <c r="D804" t="s">
        <v>2252</v>
      </c>
      <c r="E804" t="s">
        <v>7108</v>
      </c>
      <c r="F804" s="455">
        <v>46129</v>
      </c>
      <c r="G804" s="455">
        <v>46129</v>
      </c>
      <c r="H804" s="455">
        <v>46493</v>
      </c>
      <c r="J804" s="456">
        <v>1074</v>
      </c>
      <c r="K804" s="456">
        <v>1292.8399999999999</v>
      </c>
      <c r="L804" s="456">
        <v>1183</v>
      </c>
      <c r="M804">
        <v>0</v>
      </c>
      <c r="N804">
        <v>0</v>
      </c>
    </row>
    <row r="805" spans="1:14">
      <c r="A805" t="s">
        <v>1791</v>
      </c>
      <c r="B805" t="s">
        <v>2273</v>
      </c>
      <c r="C805">
        <v>988</v>
      </c>
      <c r="D805" t="s">
        <v>2252</v>
      </c>
      <c r="E805" t="s">
        <v>7109</v>
      </c>
      <c r="F805" s="455">
        <v>46106</v>
      </c>
      <c r="G805" s="455">
        <v>46106</v>
      </c>
      <c r="H805" s="455">
        <v>46470</v>
      </c>
      <c r="J805" s="456">
        <v>1124</v>
      </c>
      <c r="K805" s="456">
        <v>1428.98</v>
      </c>
      <c r="L805" s="456">
        <v>1198</v>
      </c>
      <c r="M805">
        <v>0</v>
      </c>
      <c r="N805">
        <v>0</v>
      </c>
    </row>
    <row r="806" spans="1:14">
      <c r="A806" t="s">
        <v>3703</v>
      </c>
      <c r="B806" t="s">
        <v>2273</v>
      </c>
      <c r="C806">
        <v>988</v>
      </c>
      <c r="D806" t="s">
        <v>2252</v>
      </c>
      <c r="E806" t="s">
        <v>7110</v>
      </c>
      <c r="F806" s="455">
        <v>46127</v>
      </c>
      <c r="G806" s="455">
        <v>46127</v>
      </c>
      <c r="H806" s="455">
        <v>46491</v>
      </c>
      <c r="J806" s="456">
        <v>1099</v>
      </c>
      <c r="K806" s="456">
        <v>1291.5999999999999</v>
      </c>
      <c r="L806" s="456">
        <v>1175</v>
      </c>
      <c r="M806">
        <v>0</v>
      </c>
      <c r="N806">
        <v>500</v>
      </c>
    </row>
    <row r="807" spans="1:14">
      <c r="A807" t="s">
        <v>3168</v>
      </c>
      <c r="B807" t="s">
        <v>2273</v>
      </c>
      <c r="C807">
        <v>988</v>
      </c>
      <c r="D807" t="s">
        <v>6675</v>
      </c>
      <c r="E807" t="s">
        <v>6384</v>
      </c>
      <c r="J807" s="456">
        <v>1099</v>
      </c>
      <c r="K807">
        <v>0</v>
      </c>
      <c r="L807">
        <v>0</v>
      </c>
      <c r="N807">
        <v>0</v>
      </c>
    </row>
    <row r="808" spans="1:14">
      <c r="A808" t="s">
        <v>2487</v>
      </c>
      <c r="B808" t="s">
        <v>2273</v>
      </c>
      <c r="C808">
        <v>988</v>
      </c>
      <c r="D808" t="s">
        <v>2252</v>
      </c>
      <c r="E808" t="s">
        <v>3089</v>
      </c>
      <c r="F808" s="455">
        <v>46235</v>
      </c>
      <c r="G808" s="455">
        <v>46235</v>
      </c>
      <c r="H808" s="455">
        <v>46599</v>
      </c>
      <c r="J808" s="456">
        <v>1074</v>
      </c>
      <c r="K808">
        <v>41</v>
      </c>
      <c r="L808" s="456">
        <v>1115</v>
      </c>
      <c r="M808">
        <v>0</v>
      </c>
      <c r="N808">
        <v>500</v>
      </c>
    </row>
    <row r="809" spans="1:14">
      <c r="A809" t="s">
        <v>1931</v>
      </c>
      <c r="B809" t="s">
        <v>2273</v>
      </c>
      <c r="C809">
        <v>988</v>
      </c>
      <c r="D809" t="s">
        <v>2252</v>
      </c>
      <c r="E809" t="s">
        <v>1932</v>
      </c>
      <c r="F809" s="455">
        <v>46113</v>
      </c>
      <c r="G809" s="455">
        <v>46113</v>
      </c>
      <c r="H809" s="455">
        <v>46477</v>
      </c>
      <c r="J809" s="456">
        <v>1029</v>
      </c>
      <c r="K809" s="456">
        <v>1364.93</v>
      </c>
      <c r="L809" s="456">
        <v>1138</v>
      </c>
      <c r="M809">
        <v>0</v>
      </c>
      <c r="N809">
        <v>0</v>
      </c>
    </row>
    <row r="810" spans="1:14">
      <c r="A810" t="s">
        <v>1961</v>
      </c>
      <c r="B810" t="s">
        <v>2274</v>
      </c>
      <c r="C810">
        <v>1000</v>
      </c>
      <c r="D810" t="s">
        <v>2252</v>
      </c>
      <c r="E810" t="s">
        <v>1788</v>
      </c>
      <c r="F810" s="455">
        <v>46122</v>
      </c>
      <c r="G810" s="455">
        <v>46122</v>
      </c>
      <c r="H810" s="455">
        <v>46486</v>
      </c>
      <c r="J810" s="456">
        <v>1112</v>
      </c>
      <c r="K810" s="456">
        <v>1305.81</v>
      </c>
      <c r="L810" s="456">
        <v>1221</v>
      </c>
      <c r="M810">
        <v>0</v>
      </c>
      <c r="N810">
        <v>0</v>
      </c>
    </row>
    <row r="811" spans="1:14">
      <c r="A811" t="s">
        <v>1541</v>
      </c>
      <c r="B811" t="s">
        <v>2274</v>
      </c>
      <c r="C811">
        <v>1000</v>
      </c>
      <c r="D811" t="s">
        <v>2252</v>
      </c>
      <c r="E811" t="s">
        <v>3641</v>
      </c>
      <c r="F811" s="455">
        <v>46182</v>
      </c>
      <c r="G811" s="455">
        <v>46182</v>
      </c>
      <c r="H811" s="455">
        <v>46546</v>
      </c>
      <c r="J811" s="456">
        <v>1112</v>
      </c>
      <c r="K811" s="456">
        <v>1199.8</v>
      </c>
      <c r="L811" s="456">
        <v>1188</v>
      </c>
      <c r="M811">
        <v>0</v>
      </c>
      <c r="N811">
        <v>500</v>
      </c>
    </row>
    <row r="812" spans="1:14">
      <c r="A812" t="s">
        <v>7111</v>
      </c>
      <c r="B812" t="s">
        <v>2274</v>
      </c>
      <c r="C812">
        <v>1000</v>
      </c>
      <c r="D812" t="s">
        <v>2252</v>
      </c>
      <c r="E812" t="s">
        <v>7112</v>
      </c>
      <c r="F812" s="455">
        <v>44323</v>
      </c>
      <c r="G812" s="455">
        <v>46174</v>
      </c>
      <c r="H812" s="455">
        <v>46538</v>
      </c>
      <c r="J812" s="456">
        <v>1162</v>
      </c>
      <c r="K812" s="456">
        <v>1609.45</v>
      </c>
      <c r="L812" s="456">
        <v>1502</v>
      </c>
      <c r="M812">
        <v>0</v>
      </c>
      <c r="N812">
        <v>0</v>
      </c>
    </row>
    <row r="813" spans="1:14">
      <c r="A813" t="s">
        <v>7113</v>
      </c>
      <c r="B813" t="s">
        <v>2274</v>
      </c>
      <c r="C813">
        <v>1000</v>
      </c>
      <c r="D813" t="s">
        <v>2252</v>
      </c>
      <c r="E813" t="s">
        <v>7114</v>
      </c>
      <c r="F813" s="455">
        <v>43642</v>
      </c>
      <c r="G813" s="455">
        <v>45901</v>
      </c>
      <c r="H813" s="455">
        <v>46265</v>
      </c>
      <c r="J813" s="456">
        <v>1112</v>
      </c>
      <c r="K813" s="456">
        <v>1363.45</v>
      </c>
      <c r="L813" s="456">
        <v>1449.97</v>
      </c>
      <c r="M813">
        <v>0</v>
      </c>
      <c r="N813">
        <v>250</v>
      </c>
    </row>
    <row r="814" spans="1:14">
      <c r="A814" t="s">
        <v>2664</v>
      </c>
      <c r="B814" t="s">
        <v>2274</v>
      </c>
      <c r="C814">
        <v>1000</v>
      </c>
      <c r="D814" t="s">
        <v>6383</v>
      </c>
      <c r="E814" t="s">
        <v>6384</v>
      </c>
      <c r="J814" s="456">
        <v>1112</v>
      </c>
      <c r="K814">
        <v>0</v>
      </c>
      <c r="L814">
        <v>0</v>
      </c>
      <c r="N814">
        <v>0</v>
      </c>
    </row>
    <row r="815" spans="1:14">
      <c r="A815" t="s">
        <v>3303</v>
      </c>
      <c r="B815" t="s">
        <v>2274</v>
      </c>
      <c r="C815">
        <v>1000</v>
      </c>
      <c r="D815" t="s">
        <v>2252</v>
      </c>
      <c r="E815" t="s">
        <v>7115</v>
      </c>
      <c r="F815" s="455">
        <v>46193</v>
      </c>
      <c r="G815" s="455">
        <v>46193</v>
      </c>
      <c r="H815" s="455">
        <v>46557</v>
      </c>
      <c r="J815" s="456">
        <v>1112</v>
      </c>
      <c r="K815" s="456">
        <v>1193.4000000000001</v>
      </c>
      <c r="L815" s="456">
        <v>1186</v>
      </c>
      <c r="M815">
        <v>0</v>
      </c>
      <c r="N815">
        <v>0</v>
      </c>
    </row>
    <row r="816" spans="1:14">
      <c r="A816" t="s">
        <v>3426</v>
      </c>
      <c r="B816" t="s">
        <v>2274</v>
      </c>
      <c r="C816">
        <v>1000</v>
      </c>
      <c r="D816" t="s">
        <v>2252</v>
      </c>
      <c r="E816" t="s">
        <v>7116</v>
      </c>
      <c r="F816" s="455">
        <v>46172</v>
      </c>
      <c r="G816" s="455">
        <v>46172</v>
      </c>
      <c r="H816" s="455">
        <v>46536</v>
      </c>
      <c r="J816" s="456">
        <v>1067</v>
      </c>
      <c r="K816" s="456">
        <v>1298</v>
      </c>
      <c r="L816" s="456">
        <v>1141</v>
      </c>
      <c r="M816">
        <v>0</v>
      </c>
      <c r="N816">
        <v>0</v>
      </c>
    </row>
    <row r="817" spans="1:14">
      <c r="A817" t="s">
        <v>2666</v>
      </c>
      <c r="B817" t="s">
        <v>2274</v>
      </c>
      <c r="C817">
        <v>1000</v>
      </c>
      <c r="D817" t="s">
        <v>2252</v>
      </c>
      <c r="E817" t="s">
        <v>2667</v>
      </c>
      <c r="F817" s="455">
        <v>44593</v>
      </c>
      <c r="G817" s="455">
        <v>46072</v>
      </c>
      <c r="H817" s="455">
        <v>46436</v>
      </c>
      <c r="J817" s="456">
        <v>1137</v>
      </c>
      <c r="K817" s="456">
        <v>1982.4</v>
      </c>
      <c r="L817" s="456">
        <v>1643</v>
      </c>
      <c r="M817" s="456">
        <v>1982.4</v>
      </c>
      <c r="N817">
        <v>0</v>
      </c>
    </row>
    <row r="818" spans="1:14">
      <c r="A818" t="s">
        <v>1965</v>
      </c>
      <c r="B818" t="s">
        <v>2274</v>
      </c>
      <c r="C818">
        <v>1000</v>
      </c>
      <c r="D818" t="s">
        <v>2252</v>
      </c>
      <c r="E818" t="s">
        <v>1953</v>
      </c>
      <c r="F818" s="455">
        <v>46129</v>
      </c>
      <c r="G818" s="455">
        <v>46129</v>
      </c>
      <c r="H818" s="455">
        <v>46493</v>
      </c>
      <c r="J818" s="456">
        <v>1087</v>
      </c>
      <c r="K818" s="456">
        <v>1423.78</v>
      </c>
      <c r="L818" s="456">
        <v>1221</v>
      </c>
      <c r="M818" s="456">
        <v>1422.45</v>
      </c>
      <c r="N818">
        <v>0</v>
      </c>
    </row>
    <row r="819" spans="1:14">
      <c r="A819" t="s">
        <v>7117</v>
      </c>
      <c r="B819" t="s">
        <v>2274</v>
      </c>
      <c r="C819">
        <v>1000</v>
      </c>
      <c r="D819" t="s">
        <v>2252</v>
      </c>
      <c r="E819" t="s">
        <v>7118</v>
      </c>
      <c r="F819" s="455">
        <v>46091</v>
      </c>
      <c r="G819" s="455">
        <v>46091</v>
      </c>
      <c r="H819" s="455">
        <v>46455</v>
      </c>
      <c r="J819" s="456">
        <v>1137</v>
      </c>
      <c r="K819" s="456">
        <v>1363.4</v>
      </c>
      <c r="L819" s="456">
        <v>1247</v>
      </c>
      <c r="M819">
        <v>0</v>
      </c>
      <c r="N819">
        <v>0</v>
      </c>
    </row>
    <row r="820" spans="1:14">
      <c r="A820" t="s">
        <v>2668</v>
      </c>
      <c r="B820" t="s">
        <v>2274</v>
      </c>
      <c r="C820">
        <v>1000</v>
      </c>
      <c r="D820" t="s">
        <v>6383</v>
      </c>
      <c r="E820" t="s">
        <v>6384</v>
      </c>
      <c r="J820" s="456">
        <v>1137</v>
      </c>
      <c r="K820">
        <v>0</v>
      </c>
      <c r="L820">
        <v>0</v>
      </c>
      <c r="N820">
        <v>0</v>
      </c>
    </row>
    <row r="821" spans="1:14">
      <c r="A821" t="s">
        <v>7119</v>
      </c>
      <c r="B821" t="s">
        <v>2274</v>
      </c>
      <c r="C821">
        <v>1000</v>
      </c>
      <c r="D821" t="s">
        <v>2251</v>
      </c>
      <c r="E821" t="s">
        <v>7120</v>
      </c>
      <c r="F821" s="455">
        <v>45113</v>
      </c>
      <c r="G821" s="455">
        <v>45931</v>
      </c>
      <c r="H821" s="455">
        <v>46295</v>
      </c>
      <c r="I821" s="455">
        <v>46295</v>
      </c>
      <c r="J821" s="456">
        <v>1087</v>
      </c>
      <c r="K821" s="456">
        <v>1659.45</v>
      </c>
      <c r="L821" s="456">
        <v>1551.5</v>
      </c>
      <c r="M821">
        <v>0</v>
      </c>
      <c r="N821">
        <v>750</v>
      </c>
    </row>
    <row r="822" spans="1:14">
      <c r="A822" t="s">
        <v>1967</v>
      </c>
      <c r="B822" t="s">
        <v>2274</v>
      </c>
      <c r="C822">
        <v>1000</v>
      </c>
      <c r="D822" t="s">
        <v>2252</v>
      </c>
      <c r="E822" t="s">
        <v>2670</v>
      </c>
      <c r="F822" s="455">
        <v>46135</v>
      </c>
      <c r="G822" s="455">
        <v>46135</v>
      </c>
      <c r="H822" s="455">
        <v>46499</v>
      </c>
      <c r="J822" s="456">
        <v>1087</v>
      </c>
      <c r="K822" s="456">
        <v>1385.73</v>
      </c>
      <c r="L822" s="456">
        <v>1196</v>
      </c>
      <c r="M822">
        <v>985.05</v>
      </c>
      <c r="N822">
        <v>0</v>
      </c>
    </row>
    <row r="823" spans="1:14">
      <c r="A823" t="s">
        <v>7121</v>
      </c>
      <c r="B823" t="s">
        <v>2274</v>
      </c>
      <c r="C823">
        <v>1000</v>
      </c>
      <c r="D823" t="s">
        <v>2252</v>
      </c>
      <c r="E823" t="s">
        <v>7122</v>
      </c>
      <c r="F823" s="455">
        <v>43717</v>
      </c>
      <c r="G823" s="455">
        <v>46113</v>
      </c>
      <c r="H823" s="455">
        <v>46477</v>
      </c>
      <c r="J823" s="456">
        <v>1087</v>
      </c>
      <c r="K823" s="456">
        <v>1619.4</v>
      </c>
      <c r="L823" s="456">
        <v>1441</v>
      </c>
      <c r="M823">
        <v>0</v>
      </c>
      <c r="N823">
        <v>250</v>
      </c>
    </row>
    <row r="824" spans="1:14">
      <c r="A824" t="s">
        <v>1230</v>
      </c>
      <c r="B824" t="s">
        <v>2274</v>
      </c>
      <c r="C824">
        <v>1000</v>
      </c>
      <c r="D824" t="s">
        <v>6953</v>
      </c>
      <c r="E824" t="s">
        <v>6384</v>
      </c>
      <c r="J824" s="456">
        <v>1112</v>
      </c>
      <c r="K824">
        <v>0</v>
      </c>
      <c r="L824">
        <v>0</v>
      </c>
      <c r="N824">
        <v>0</v>
      </c>
    </row>
    <row r="825" spans="1:14">
      <c r="A825" t="s">
        <v>1823</v>
      </c>
      <c r="B825" t="s">
        <v>2274</v>
      </c>
      <c r="C825">
        <v>1000</v>
      </c>
      <c r="D825" t="s">
        <v>2252</v>
      </c>
      <c r="E825" t="s">
        <v>7123</v>
      </c>
      <c r="F825" s="455">
        <v>46128</v>
      </c>
      <c r="G825" s="455">
        <v>46128</v>
      </c>
      <c r="H825" s="455">
        <v>46492</v>
      </c>
      <c r="J825" s="456">
        <v>1162</v>
      </c>
      <c r="K825" s="456">
        <v>1336.08</v>
      </c>
      <c r="L825" s="456">
        <v>1271</v>
      </c>
      <c r="M825">
        <v>0</v>
      </c>
      <c r="N825">
        <v>0</v>
      </c>
    </row>
    <row r="826" spans="1:14">
      <c r="A826" t="s">
        <v>6051</v>
      </c>
      <c r="B826" t="s">
        <v>2274</v>
      </c>
      <c r="C826">
        <v>1000</v>
      </c>
      <c r="D826" t="s">
        <v>2252</v>
      </c>
      <c r="E826" t="s">
        <v>3192</v>
      </c>
      <c r="F826" s="455">
        <v>46142</v>
      </c>
      <c r="G826" s="455">
        <v>46142</v>
      </c>
      <c r="H826" s="455">
        <v>46506</v>
      </c>
      <c r="J826" s="456">
        <v>1162</v>
      </c>
      <c r="K826" s="456">
        <v>1477.95</v>
      </c>
      <c r="L826" s="456">
        <v>1296</v>
      </c>
      <c r="M826">
        <v>0</v>
      </c>
      <c r="N826">
        <v>0</v>
      </c>
    </row>
    <row r="827" spans="1:14">
      <c r="A827" t="s">
        <v>2131</v>
      </c>
      <c r="B827" t="s">
        <v>2274</v>
      </c>
      <c r="C827">
        <v>1000</v>
      </c>
      <c r="D827" t="s">
        <v>2252</v>
      </c>
      <c r="E827" t="s">
        <v>3239</v>
      </c>
      <c r="F827" s="455">
        <v>46186</v>
      </c>
      <c r="G827" s="455">
        <v>46186</v>
      </c>
      <c r="H827" s="455">
        <v>46550</v>
      </c>
      <c r="J827" s="456">
        <v>1067</v>
      </c>
      <c r="K827" s="456">
        <v>1176.2</v>
      </c>
      <c r="L827" s="456">
        <v>1166</v>
      </c>
      <c r="M827">
        <v>0</v>
      </c>
      <c r="N827">
        <v>0</v>
      </c>
    </row>
    <row r="828" spans="1:14">
      <c r="A828" t="s">
        <v>7124</v>
      </c>
      <c r="B828" t="s">
        <v>2274</v>
      </c>
      <c r="C828">
        <v>1000</v>
      </c>
      <c r="D828" t="s">
        <v>6953</v>
      </c>
      <c r="E828" t="s">
        <v>6384</v>
      </c>
      <c r="J828" s="456">
        <v>1112</v>
      </c>
      <c r="K828">
        <v>0</v>
      </c>
      <c r="L828">
        <v>0</v>
      </c>
      <c r="N828">
        <v>0</v>
      </c>
    </row>
    <row r="829" spans="1:14">
      <c r="A829" t="s">
        <v>4012</v>
      </c>
      <c r="B829" t="s">
        <v>2274</v>
      </c>
      <c r="C829">
        <v>1000</v>
      </c>
      <c r="D829" t="s">
        <v>2250</v>
      </c>
      <c r="E829" t="s">
        <v>7125</v>
      </c>
      <c r="F829" s="455">
        <v>44369</v>
      </c>
      <c r="G829" s="455">
        <v>45901</v>
      </c>
      <c r="H829" s="455">
        <v>46265</v>
      </c>
      <c r="I829" s="455">
        <v>46265</v>
      </c>
      <c r="J829" s="456">
        <v>1112</v>
      </c>
      <c r="K829" s="456">
        <v>1717.45</v>
      </c>
      <c r="L829" s="456">
        <v>1581.5</v>
      </c>
      <c r="M829">
        <v>917</v>
      </c>
      <c r="N829">
        <v>0</v>
      </c>
    </row>
    <row r="830" spans="1:14">
      <c r="A830" t="s">
        <v>7126</v>
      </c>
      <c r="B830" t="s">
        <v>2274</v>
      </c>
      <c r="C830">
        <v>1000</v>
      </c>
      <c r="D830" t="s">
        <v>2252</v>
      </c>
      <c r="E830" t="s">
        <v>7127</v>
      </c>
      <c r="F830" s="455">
        <v>45231</v>
      </c>
      <c r="G830" s="455">
        <v>46082</v>
      </c>
      <c r="H830" s="455">
        <v>46445</v>
      </c>
      <c r="J830" s="456">
        <v>1112</v>
      </c>
      <c r="K830" s="456">
        <v>1627.4</v>
      </c>
      <c r="L830" s="456">
        <v>1477</v>
      </c>
      <c r="M830">
        <v>0</v>
      </c>
      <c r="N830">
        <v>750</v>
      </c>
    </row>
    <row r="831" spans="1:14">
      <c r="A831" t="s">
        <v>1839</v>
      </c>
      <c r="B831" t="s">
        <v>2274</v>
      </c>
      <c r="C831">
        <v>1000</v>
      </c>
      <c r="D831" t="s">
        <v>2252</v>
      </c>
      <c r="E831" t="s">
        <v>1840</v>
      </c>
      <c r="F831" s="455">
        <v>46172</v>
      </c>
      <c r="G831" s="455">
        <v>46172</v>
      </c>
      <c r="H831" s="455">
        <v>46536</v>
      </c>
      <c r="J831" s="456">
        <v>1042</v>
      </c>
      <c r="K831" s="456">
        <v>1166</v>
      </c>
      <c r="L831" s="456">
        <v>1151</v>
      </c>
      <c r="M831">
        <v>-56.73</v>
      </c>
      <c r="N831">
        <v>0</v>
      </c>
    </row>
    <row r="832" spans="1:14">
      <c r="A832" t="s">
        <v>1551</v>
      </c>
      <c r="B832" t="s">
        <v>2274</v>
      </c>
      <c r="C832">
        <v>1000</v>
      </c>
      <c r="D832" t="s">
        <v>2252</v>
      </c>
      <c r="E832" t="s">
        <v>4468</v>
      </c>
      <c r="F832" s="455">
        <v>46203</v>
      </c>
      <c r="G832" s="455">
        <v>46203</v>
      </c>
      <c r="H832" s="455">
        <v>46567</v>
      </c>
      <c r="J832" s="456">
        <v>1042</v>
      </c>
      <c r="K832" s="456">
        <v>1119.4000000000001</v>
      </c>
      <c r="L832" s="456">
        <v>1116</v>
      </c>
      <c r="M832">
        <v>0</v>
      </c>
      <c r="N832">
        <v>0</v>
      </c>
    </row>
    <row r="833" spans="1:14">
      <c r="A833" t="s">
        <v>7128</v>
      </c>
      <c r="B833" t="s">
        <v>2274</v>
      </c>
      <c r="C833">
        <v>1000</v>
      </c>
      <c r="D833" t="s">
        <v>2252</v>
      </c>
      <c r="E833" t="s">
        <v>7129</v>
      </c>
      <c r="F833" s="455">
        <v>46083</v>
      </c>
      <c r="G833" s="455">
        <v>46083</v>
      </c>
      <c r="H833" s="455">
        <v>46447</v>
      </c>
      <c r="J833" s="456">
        <v>1072</v>
      </c>
      <c r="K833" s="456">
        <v>1316.45</v>
      </c>
      <c r="L833" s="456">
        <v>1181</v>
      </c>
      <c r="M833">
        <v>0</v>
      </c>
      <c r="N833">
        <v>0</v>
      </c>
    </row>
    <row r="834" spans="1:14">
      <c r="A834" t="s">
        <v>3582</v>
      </c>
      <c r="B834" t="s">
        <v>2274</v>
      </c>
      <c r="C834">
        <v>1000</v>
      </c>
      <c r="D834" t="s">
        <v>2252</v>
      </c>
      <c r="E834" t="s">
        <v>7130</v>
      </c>
      <c r="F834" s="455">
        <v>46158</v>
      </c>
      <c r="G834" s="455">
        <v>46158</v>
      </c>
      <c r="H834" s="455">
        <v>46522</v>
      </c>
      <c r="J834" s="456">
        <v>1087</v>
      </c>
      <c r="K834" s="456">
        <v>1186.95</v>
      </c>
      <c r="L834" s="456">
        <v>1163</v>
      </c>
      <c r="M834">
        <v>0</v>
      </c>
      <c r="N834">
        <v>500</v>
      </c>
    </row>
    <row r="835" spans="1:14">
      <c r="A835" t="s">
        <v>7131</v>
      </c>
      <c r="B835" t="s">
        <v>2274</v>
      </c>
      <c r="C835">
        <v>1000</v>
      </c>
      <c r="D835" t="s">
        <v>2252</v>
      </c>
      <c r="E835" t="s">
        <v>7132</v>
      </c>
      <c r="F835" s="455">
        <v>46140</v>
      </c>
      <c r="G835" s="455">
        <v>46140</v>
      </c>
      <c r="H835" s="455">
        <v>46504</v>
      </c>
      <c r="J835" s="456">
        <v>1137</v>
      </c>
      <c r="K835" s="456">
        <v>1276.71</v>
      </c>
      <c r="L835" s="456">
        <v>1246</v>
      </c>
      <c r="M835">
        <v>0</v>
      </c>
      <c r="N835">
        <v>0</v>
      </c>
    </row>
    <row r="836" spans="1:14">
      <c r="A836" t="s">
        <v>7133</v>
      </c>
      <c r="B836" t="s">
        <v>2274</v>
      </c>
      <c r="C836">
        <v>1000</v>
      </c>
      <c r="D836" t="s">
        <v>2252</v>
      </c>
      <c r="E836" t="s">
        <v>7134</v>
      </c>
      <c r="F836" s="455">
        <v>46094</v>
      </c>
      <c r="G836" s="455">
        <v>46094</v>
      </c>
      <c r="H836" s="455">
        <v>46458</v>
      </c>
      <c r="J836" s="456">
        <v>1087</v>
      </c>
      <c r="K836" s="456">
        <v>1225.45</v>
      </c>
      <c r="L836" s="456">
        <v>1118</v>
      </c>
      <c r="M836">
        <v>0</v>
      </c>
      <c r="N836">
        <v>500</v>
      </c>
    </row>
    <row r="837" spans="1:14">
      <c r="A837" t="s">
        <v>4722</v>
      </c>
      <c r="B837" t="s">
        <v>2274</v>
      </c>
      <c r="C837">
        <v>1000</v>
      </c>
      <c r="D837" t="s">
        <v>2250</v>
      </c>
      <c r="E837" t="s">
        <v>7135</v>
      </c>
      <c r="F837" s="455">
        <v>45078</v>
      </c>
      <c r="G837" s="455">
        <v>45901</v>
      </c>
      <c r="H837" s="455">
        <v>46265</v>
      </c>
      <c r="I837" s="455">
        <v>46265</v>
      </c>
      <c r="J837" s="456">
        <v>1137</v>
      </c>
      <c r="K837" s="456">
        <v>1834.45</v>
      </c>
      <c r="L837" s="456">
        <v>1698.5</v>
      </c>
      <c r="M837">
        <v>0</v>
      </c>
      <c r="N837">
        <v>0</v>
      </c>
    </row>
    <row r="838" spans="1:14">
      <c r="A838" t="s">
        <v>7136</v>
      </c>
      <c r="B838" t="s">
        <v>2275</v>
      </c>
      <c r="C838">
        <v>1066</v>
      </c>
      <c r="D838" t="s">
        <v>2252</v>
      </c>
      <c r="E838" t="s">
        <v>7137</v>
      </c>
      <c r="F838" s="455">
        <v>45967</v>
      </c>
      <c r="G838" s="455">
        <v>45967</v>
      </c>
      <c r="H838" s="455">
        <v>46331</v>
      </c>
      <c r="J838" s="456">
        <v>1232</v>
      </c>
      <c r="K838" s="456">
        <v>1422.34</v>
      </c>
      <c r="L838" s="456">
        <v>1367.5</v>
      </c>
      <c r="M838">
        <v>0</v>
      </c>
      <c r="N838">
        <v>0</v>
      </c>
    </row>
    <row r="839" spans="1:14">
      <c r="A839" t="s">
        <v>7138</v>
      </c>
      <c r="B839" t="s">
        <v>2275</v>
      </c>
      <c r="C839">
        <v>1066</v>
      </c>
      <c r="D839" t="s">
        <v>2252</v>
      </c>
      <c r="E839" t="s">
        <v>5016</v>
      </c>
      <c r="F839" s="455">
        <v>46083</v>
      </c>
      <c r="G839" s="455">
        <v>46083</v>
      </c>
      <c r="H839" s="455">
        <v>46447</v>
      </c>
      <c r="J839" s="456">
        <v>1232</v>
      </c>
      <c r="K839" s="456">
        <v>1546.33</v>
      </c>
      <c r="L839" s="456">
        <v>1453</v>
      </c>
      <c r="M839">
        <v>0</v>
      </c>
      <c r="N839">
        <v>0</v>
      </c>
    </row>
    <row r="840" spans="1:14">
      <c r="A840" t="s">
        <v>7139</v>
      </c>
      <c r="B840" t="s">
        <v>2275</v>
      </c>
      <c r="C840">
        <v>1066</v>
      </c>
      <c r="D840" t="s">
        <v>2252</v>
      </c>
      <c r="E840" t="s">
        <v>7140</v>
      </c>
      <c r="F840" s="455">
        <v>45990</v>
      </c>
      <c r="G840" s="455">
        <v>45990</v>
      </c>
      <c r="H840" s="455">
        <v>46354</v>
      </c>
      <c r="J840" s="456">
        <v>1232</v>
      </c>
      <c r="K840" s="456">
        <v>1375.34</v>
      </c>
      <c r="L840" s="456">
        <v>1321</v>
      </c>
      <c r="M840">
        <v>0</v>
      </c>
      <c r="N840">
        <v>750</v>
      </c>
    </row>
    <row r="841" spans="1:14">
      <c r="A841" t="s">
        <v>7141</v>
      </c>
      <c r="B841" t="s">
        <v>2275</v>
      </c>
      <c r="C841">
        <v>1066</v>
      </c>
      <c r="D841" t="s">
        <v>2252</v>
      </c>
      <c r="E841" t="s">
        <v>7142</v>
      </c>
      <c r="F841" s="455">
        <v>45992</v>
      </c>
      <c r="G841" s="455">
        <v>45992</v>
      </c>
      <c r="H841" s="455">
        <v>46356</v>
      </c>
      <c r="J841" s="456">
        <v>1232</v>
      </c>
      <c r="K841" s="456">
        <v>1402.34</v>
      </c>
      <c r="L841" s="456">
        <v>1347.5</v>
      </c>
      <c r="M841">
        <v>0</v>
      </c>
      <c r="N841">
        <v>0</v>
      </c>
    </row>
    <row r="842" spans="1:14">
      <c r="A842" t="s">
        <v>2520</v>
      </c>
      <c r="B842" t="s">
        <v>2275</v>
      </c>
      <c r="C842">
        <v>1066</v>
      </c>
      <c r="D842" t="s">
        <v>2252</v>
      </c>
      <c r="E842" t="s">
        <v>3090</v>
      </c>
      <c r="F842" s="455">
        <v>46235</v>
      </c>
      <c r="G842" s="455">
        <v>46235</v>
      </c>
      <c r="H842" s="455">
        <v>46599</v>
      </c>
      <c r="J842" s="456">
        <v>1137</v>
      </c>
      <c r="K842">
        <v>74</v>
      </c>
      <c r="L842" s="456">
        <v>1211</v>
      </c>
      <c r="M842">
        <v>0</v>
      </c>
      <c r="N842">
        <v>0</v>
      </c>
    </row>
    <row r="843" spans="1:14">
      <c r="A843" t="s">
        <v>3179</v>
      </c>
      <c r="B843" t="s">
        <v>2275</v>
      </c>
      <c r="C843">
        <v>1066</v>
      </c>
      <c r="D843" t="s">
        <v>2252</v>
      </c>
      <c r="E843" t="s">
        <v>3723</v>
      </c>
      <c r="F843" s="455">
        <v>46209</v>
      </c>
      <c r="G843" s="455">
        <v>46209</v>
      </c>
      <c r="H843" s="455">
        <v>46573</v>
      </c>
      <c r="J843" s="456">
        <v>1137</v>
      </c>
      <c r="K843">
        <v>74</v>
      </c>
      <c r="L843" s="456">
        <v>1211</v>
      </c>
      <c r="M843">
        <v>0</v>
      </c>
      <c r="N843">
        <v>0</v>
      </c>
    </row>
    <row r="844" spans="1:14">
      <c r="A844" t="s">
        <v>1218</v>
      </c>
      <c r="B844" t="s">
        <v>2275</v>
      </c>
      <c r="C844">
        <v>1066</v>
      </c>
      <c r="D844" t="s">
        <v>2252</v>
      </c>
      <c r="E844" t="s">
        <v>1103</v>
      </c>
      <c r="F844" s="455">
        <v>46092</v>
      </c>
      <c r="G844" s="455">
        <v>46092</v>
      </c>
      <c r="H844" s="455">
        <v>46456</v>
      </c>
      <c r="J844" s="456">
        <v>1232</v>
      </c>
      <c r="K844" s="456">
        <v>1573.83</v>
      </c>
      <c r="L844" s="456">
        <v>1341</v>
      </c>
      <c r="M844" s="456">
        <v>1073.83</v>
      </c>
      <c r="N844">
        <v>0</v>
      </c>
    </row>
    <row r="845" spans="1:14">
      <c r="A845" t="s">
        <v>7143</v>
      </c>
      <c r="B845" t="s">
        <v>2275</v>
      </c>
      <c r="C845">
        <v>1066</v>
      </c>
      <c r="D845" t="s">
        <v>2252</v>
      </c>
      <c r="E845" t="s">
        <v>7144</v>
      </c>
      <c r="F845" s="455">
        <v>46070</v>
      </c>
      <c r="G845" s="455">
        <v>46070</v>
      </c>
      <c r="H845" s="455">
        <v>46434</v>
      </c>
      <c r="J845" s="456">
        <v>1232</v>
      </c>
      <c r="K845" s="456">
        <v>1434.83</v>
      </c>
      <c r="L845" s="456">
        <v>1361</v>
      </c>
      <c r="M845">
        <v>0</v>
      </c>
      <c r="N845">
        <v>0</v>
      </c>
    </row>
    <row r="846" spans="1:14">
      <c r="A846" t="s">
        <v>1598</v>
      </c>
      <c r="B846" t="s">
        <v>2275</v>
      </c>
      <c r="C846">
        <v>1066</v>
      </c>
      <c r="D846" t="s">
        <v>2252</v>
      </c>
      <c r="E846" t="s">
        <v>7145</v>
      </c>
      <c r="F846" s="455">
        <v>46143</v>
      </c>
      <c r="G846" s="455">
        <v>46143</v>
      </c>
      <c r="H846" s="455">
        <v>46507</v>
      </c>
      <c r="J846" s="456">
        <v>1232</v>
      </c>
      <c r="K846" s="456">
        <v>1364.95</v>
      </c>
      <c r="L846" s="456">
        <v>1341</v>
      </c>
      <c r="M846">
        <v>-35.06</v>
      </c>
      <c r="N846">
        <v>0</v>
      </c>
    </row>
    <row r="847" spans="1:14">
      <c r="A847" t="s">
        <v>7146</v>
      </c>
      <c r="B847" t="s">
        <v>2275</v>
      </c>
      <c r="C847">
        <v>1066</v>
      </c>
      <c r="D847" t="s">
        <v>2252</v>
      </c>
      <c r="E847" t="s">
        <v>7147</v>
      </c>
      <c r="F847" s="455">
        <v>42896</v>
      </c>
      <c r="G847" s="455">
        <v>46174</v>
      </c>
      <c r="H847" s="455">
        <v>46538</v>
      </c>
      <c r="J847" s="456">
        <v>1137</v>
      </c>
      <c r="K847" s="456">
        <v>1565.83</v>
      </c>
      <c r="L847" s="456">
        <v>1492</v>
      </c>
      <c r="M847">
        <v>0</v>
      </c>
      <c r="N847">
        <v>300</v>
      </c>
    </row>
    <row r="848" spans="1:14">
      <c r="A848" t="s">
        <v>7148</v>
      </c>
      <c r="B848" t="s">
        <v>2275</v>
      </c>
      <c r="C848">
        <v>1066</v>
      </c>
      <c r="D848" t="s">
        <v>2252</v>
      </c>
      <c r="E848" t="s">
        <v>7149</v>
      </c>
      <c r="F848" s="455">
        <v>46032</v>
      </c>
      <c r="G848" s="455">
        <v>46032</v>
      </c>
      <c r="H848" s="455">
        <v>46396</v>
      </c>
      <c r="J848" s="456">
        <v>1232</v>
      </c>
      <c r="K848" s="456">
        <v>1449.34</v>
      </c>
      <c r="L848" s="456">
        <v>1395</v>
      </c>
      <c r="M848">
        <v>0</v>
      </c>
      <c r="N848">
        <v>0</v>
      </c>
    </row>
    <row r="849" spans="1:14">
      <c r="A849" t="s">
        <v>1595</v>
      </c>
      <c r="B849" t="s">
        <v>2275</v>
      </c>
      <c r="C849">
        <v>1066</v>
      </c>
      <c r="D849" t="s">
        <v>2252</v>
      </c>
      <c r="E849" t="s">
        <v>7150</v>
      </c>
      <c r="F849" s="455">
        <v>46172</v>
      </c>
      <c r="G849" s="455">
        <v>46172</v>
      </c>
      <c r="H849" s="455">
        <v>46536</v>
      </c>
      <c r="J849" s="456">
        <v>1137</v>
      </c>
      <c r="K849" s="456">
        <v>1226</v>
      </c>
      <c r="L849" s="456">
        <v>1211</v>
      </c>
      <c r="M849">
        <v>0</v>
      </c>
      <c r="N849">
        <v>0</v>
      </c>
    </row>
    <row r="850" spans="1:14">
      <c r="A850" t="s">
        <v>2186</v>
      </c>
      <c r="B850" t="s">
        <v>2276</v>
      </c>
      <c r="C850">
        <v>1100</v>
      </c>
      <c r="D850" t="s">
        <v>2252</v>
      </c>
      <c r="E850" t="s">
        <v>3135</v>
      </c>
      <c r="F850" s="455">
        <v>46150</v>
      </c>
      <c r="G850" s="455">
        <v>46150</v>
      </c>
      <c r="H850" s="455">
        <v>46514</v>
      </c>
      <c r="J850" s="456">
        <v>1235</v>
      </c>
      <c r="K850" s="456">
        <v>1373.95</v>
      </c>
      <c r="L850" s="456">
        <v>1344</v>
      </c>
      <c r="M850">
        <v>0</v>
      </c>
      <c r="N850">
        <v>0</v>
      </c>
    </row>
    <row r="851" spans="1:14">
      <c r="A851" t="s">
        <v>2671</v>
      </c>
      <c r="B851" t="s">
        <v>2276</v>
      </c>
      <c r="C851">
        <v>1100</v>
      </c>
      <c r="D851" t="s">
        <v>2252</v>
      </c>
      <c r="E851" t="s">
        <v>2672</v>
      </c>
      <c r="F851" s="455">
        <v>45658</v>
      </c>
      <c r="G851" s="455">
        <v>46022</v>
      </c>
      <c r="J851" s="456">
        <v>1235</v>
      </c>
      <c r="K851" s="456">
        <v>2075.9</v>
      </c>
      <c r="L851" s="456">
        <v>1714.5</v>
      </c>
      <c r="M851" s="456">
        <v>2285.6799999999998</v>
      </c>
      <c r="N851">
        <v>0</v>
      </c>
    </row>
    <row r="852" spans="1:14">
      <c r="A852" t="s">
        <v>7151</v>
      </c>
      <c r="B852" t="s">
        <v>2276</v>
      </c>
      <c r="C852">
        <v>1100</v>
      </c>
      <c r="D852" t="s">
        <v>2252</v>
      </c>
      <c r="E852" t="s">
        <v>7152</v>
      </c>
      <c r="F852" s="455">
        <v>45982</v>
      </c>
      <c r="G852" s="455">
        <v>45982</v>
      </c>
      <c r="H852" s="455">
        <v>46346</v>
      </c>
      <c r="J852" s="456">
        <v>1235</v>
      </c>
      <c r="K852" s="456">
        <v>1485.9</v>
      </c>
      <c r="L852" s="456">
        <v>1324.48</v>
      </c>
      <c r="M852">
        <v>-15.49</v>
      </c>
      <c r="N852">
        <v>0</v>
      </c>
    </row>
    <row r="853" spans="1:14">
      <c r="A853" t="s">
        <v>1556</v>
      </c>
      <c r="B853" t="s">
        <v>2276</v>
      </c>
      <c r="C853">
        <v>1100</v>
      </c>
      <c r="D853" t="s">
        <v>2252</v>
      </c>
      <c r="E853" t="s">
        <v>2673</v>
      </c>
      <c r="F853" s="455">
        <v>46142</v>
      </c>
      <c r="G853" s="455">
        <v>46142</v>
      </c>
      <c r="H853" s="455">
        <v>46506</v>
      </c>
      <c r="J853" s="456">
        <v>1235</v>
      </c>
      <c r="K853" s="456">
        <v>1532.95</v>
      </c>
      <c r="L853" s="456">
        <v>1344</v>
      </c>
      <c r="M853">
        <v>562.95000000000005</v>
      </c>
      <c r="N853">
        <v>0</v>
      </c>
    </row>
    <row r="854" spans="1:14">
      <c r="A854" t="s">
        <v>1519</v>
      </c>
      <c r="B854" t="s">
        <v>2276</v>
      </c>
      <c r="C854">
        <v>1100</v>
      </c>
      <c r="D854" t="s">
        <v>2252</v>
      </c>
      <c r="E854" t="s">
        <v>7153</v>
      </c>
      <c r="F854" s="455">
        <v>46151</v>
      </c>
      <c r="G854" s="455">
        <v>46151</v>
      </c>
      <c r="H854" s="455">
        <v>46515</v>
      </c>
      <c r="J854" s="456">
        <v>1210</v>
      </c>
      <c r="K854" s="456">
        <v>1498.95</v>
      </c>
      <c r="L854" s="456">
        <v>1319</v>
      </c>
      <c r="M854">
        <v>0</v>
      </c>
      <c r="N854">
        <v>0</v>
      </c>
    </row>
    <row r="855" spans="1:14">
      <c r="A855" t="s">
        <v>3529</v>
      </c>
      <c r="B855" t="s">
        <v>2276</v>
      </c>
      <c r="C855">
        <v>1100</v>
      </c>
      <c r="D855" t="s">
        <v>2252</v>
      </c>
      <c r="E855" t="s">
        <v>3528</v>
      </c>
      <c r="F855" s="455">
        <v>46214</v>
      </c>
      <c r="G855" s="455">
        <v>46214</v>
      </c>
      <c r="H855" s="455">
        <v>46578</v>
      </c>
      <c r="J855" s="456">
        <v>1210</v>
      </c>
      <c r="K855">
        <v>74</v>
      </c>
      <c r="L855" s="456">
        <v>1284</v>
      </c>
      <c r="M855">
        <v>0</v>
      </c>
      <c r="N855">
        <v>0</v>
      </c>
    </row>
    <row r="856" spans="1:14">
      <c r="A856" t="s">
        <v>7154</v>
      </c>
      <c r="B856" t="s">
        <v>2276</v>
      </c>
      <c r="C856">
        <v>1100</v>
      </c>
      <c r="D856" t="s">
        <v>2252</v>
      </c>
      <c r="E856" t="s">
        <v>7155</v>
      </c>
      <c r="F856" s="455">
        <v>46055</v>
      </c>
      <c r="G856" s="455">
        <v>46055</v>
      </c>
      <c r="H856" s="455">
        <v>46419</v>
      </c>
      <c r="J856" s="456">
        <v>1210</v>
      </c>
      <c r="K856" s="456">
        <v>1524.9</v>
      </c>
      <c r="L856" s="456">
        <v>1364</v>
      </c>
      <c r="M856">
        <v>0</v>
      </c>
      <c r="N856">
        <v>0</v>
      </c>
    </row>
    <row r="857" spans="1:14">
      <c r="A857" t="s">
        <v>7156</v>
      </c>
      <c r="B857" t="s">
        <v>2276</v>
      </c>
      <c r="C857">
        <v>1100</v>
      </c>
      <c r="D857" t="s">
        <v>2252</v>
      </c>
      <c r="E857" t="s">
        <v>7157</v>
      </c>
      <c r="F857" s="455">
        <v>45047</v>
      </c>
      <c r="G857" s="455">
        <v>46143</v>
      </c>
      <c r="H857" s="455">
        <v>46507</v>
      </c>
      <c r="J857" s="456">
        <v>1210</v>
      </c>
      <c r="K857" s="456">
        <v>1743.9</v>
      </c>
      <c r="L857" s="456">
        <v>1583</v>
      </c>
      <c r="M857">
        <v>0</v>
      </c>
      <c r="N857">
        <v>0</v>
      </c>
    </row>
    <row r="858" spans="1:14">
      <c r="A858" t="s">
        <v>5879</v>
      </c>
      <c r="B858" t="s">
        <v>2276</v>
      </c>
      <c r="C858">
        <v>1100</v>
      </c>
      <c r="D858" t="s">
        <v>2252</v>
      </c>
      <c r="E858" t="s">
        <v>7158</v>
      </c>
      <c r="F858" s="455">
        <v>45979</v>
      </c>
      <c r="G858" s="455">
        <v>45979</v>
      </c>
      <c r="H858" s="455">
        <v>46343</v>
      </c>
      <c r="J858" s="456">
        <v>1235</v>
      </c>
      <c r="K858" s="456">
        <v>1473.9</v>
      </c>
      <c r="L858" s="456">
        <v>1312.5</v>
      </c>
      <c r="M858">
        <v>0</v>
      </c>
      <c r="N858">
        <v>0</v>
      </c>
    </row>
    <row r="859" spans="1:14">
      <c r="A859" t="s">
        <v>7159</v>
      </c>
      <c r="B859" t="s">
        <v>2276</v>
      </c>
      <c r="C859">
        <v>1100</v>
      </c>
      <c r="D859" t="s">
        <v>2252</v>
      </c>
      <c r="E859" t="s">
        <v>7160</v>
      </c>
      <c r="F859" s="455">
        <v>45979</v>
      </c>
      <c r="G859" s="455">
        <v>45979</v>
      </c>
      <c r="H859" s="455">
        <v>46343</v>
      </c>
      <c r="J859" s="456">
        <v>1235</v>
      </c>
      <c r="K859" s="456">
        <v>1451.89</v>
      </c>
      <c r="L859" s="456">
        <v>1318.49</v>
      </c>
      <c r="M859">
        <v>0</v>
      </c>
      <c r="N859">
        <v>0</v>
      </c>
    </row>
    <row r="860" spans="1:14">
      <c r="A860" t="s">
        <v>3091</v>
      </c>
      <c r="B860" t="s">
        <v>2276</v>
      </c>
      <c r="C860">
        <v>1100</v>
      </c>
      <c r="D860" t="s">
        <v>2252</v>
      </c>
      <c r="E860" t="s">
        <v>3092</v>
      </c>
      <c r="F860" s="455">
        <v>45899</v>
      </c>
      <c r="G860" s="455">
        <v>45899</v>
      </c>
      <c r="H860" s="455">
        <v>46263</v>
      </c>
      <c r="J860" s="456">
        <v>1235</v>
      </c>
      <c r="K860" s="456">
        <v>1681.9</v>
      </c>
      <c r="L860" s="456">
        <v>1484.5</v>
      </c>
      <c r="M860">
        <v>0</v>
      </c>
      <c r="N860">
        <v>750</v>
      </c>
    </row>
    <row r="861" spans="1:14">
      <c r="A861" t="s">
        <v>1969</v>
      </c>
      <c r="B861" t="s">
        <v>2276</v>
      </c>
      <c r="C861">
        <v>1100</v>
      </c>
      <c r="D861" t="s">
        <v>2252</v>
      </c>
      <c r="E861" t="s">
        <v>7161</v>
      </c>
      <c r="F861" s="455">
        <v>46178</v>
      </c>
      <c r="G861" s="455">
        <v>46178</v>
      </c>
      <c r="H861" s="455">
        <v>46542</v>
      </c>
      <c r="J861" s="456">
        <v>1235</v>
      </c>
      <c r="K861" s="456">
        <v>1357.4</v>
      </c>
      <c r="L861" s="456">
        <v>1344</v>
      </c>
      <c r="M861">
        <v>0</v>
      </c>
      <c r="N861">
        <v>0</v>
      </c>
    </row>
    <row r="862" spans="1:14">
      <c r="A862" t="s">
        <v>7162</v>
      </c>
      <c r="B862" t="s">
        <v>2276</v>
      </c>
      <c r="C862">
        <v>1100</v>
      </c>
      <c r="D862" t="s">
        <v>2252</v>
      </c>
      <c r="E862" t="s">
        <v>7163</v>
      </c>
      <c r="F862" s="455">
        <v>45661</v>
      </c>
      <c r="G862" s="455">
        <v>46025</v>
      </c>
      <c r="H862" s="455">
        <v>46389</v>
      </c>
      <c r="J862" s="456">
        <v>1260</v>
      </c>
      <c r="K862" s="456">
        <v>1638.9</v>
      </c>
      <c r="L862" s="456">
        <v>1478</v>
      </c>
      <c r="M862">
        <v>0</v>
      </c>
      <c r="N862">
        <v>750</v>
      </c>
    </row>
    <row r="863" spans="1:14">
      <c r="A863" t="s">
        <v>7164</v>
      </c>
      <c r="B863" t="s">
        <v>2276</v>
      </c>
      <c r="C863">
        <v>1100</v>
      </c>
      <c r="D863" t="s">
        <v>6953</v>
      </c>
      <c r="E863" t="s">
        <v>6384</v>
      </c>
      <c r="J863" s="456">
        <v>1210</v>
      </c>
      <c r="K863">
        <v>0</v>
      </c>
      <c r="L863">
        <v>0</v>
      </c>
      <c r="N863">
        <v>0</v>
      </c>
    </row>
    <row r="864" spans="1:14">
      <c r="A864" t="s">
        <v>5821</v>
      </c>
      <c r="B864" t="s">
        <v>2276</v>
      </c>
      <c r="C864">
        <v>1100</v>
      </c>
      <c r="D864" t="s">
        <v>2252</v>
      </c>
      <c r="E864" t="s">
        <v>7165</v>
      </c>
      <c r="F864" s="455">
        <v>46025</v>
      </c>
      <c r="G864" s="455">
        <v>46025</v>
      </c>
      <c r="H864" s="455">
        <v>46389</v>
      </c>
      <c r="J864" s="456">
        <v>1210</v>
      </c>
      <c r="K864" s="456">
        <v>1436.9</v>
      </c>
      <c r="L864" s="456">
        <v>1275.99</v>
      </c>
      <c r="M864">
        <v>0</v>
      </c>
      <c r="N864">
        <v>0</v>
      </c>
    </row>
    <row r="865" spans="1:14">
      <c r="A865" t="s">
        <v>7166</v>
      </c>
      <c r="B865" t="s">
        <v>2276</v>
      </c>
      <c r="C865">
        <v>1100</v>
      </c>
      <c r="D865" t="s">
        <v>2252</v>
      </c>
      <c r="E865" t="s">
        <v>7167</v>
      </c>
      <c r="F865" s="455">
        <v>44682</v>
      </c>
      <c r="G865" s="455">
        <v>46143</v>
      </c>
      <c r="H865" s="455">
        <v>46507</v>
      </c>
      <c r="J865" s="456">
        <v>1165</v>
      </c>
      <c r="K865" s="456">
        <v>1645.85</v>
      </c>
      <c r="L865" s="456">
        <v>1470</v>
      </c>
      <c r="M865">
        <v>0</v>
      </c>
      <c r="N865">
        <v>0</v>
      </c>
    </row>
    <row r="866" spans="1:14">
      <c r="A866" t="s">
        <v>1559</v>
      </c>
      <c r="B866" t="s">
        <v>1029</v>
      </c>
      <c r="C866">
        <v>1109</v>
      </c>
      <c r="D866" t="s">
        <v>6953</v>
      </c>
      <c r="E866" t="s">
        <v>6384</v>
      </c>
      <c r="J866" s="456">
        <v>1610</v>
      </c>
      <c r="K866">
        <v>0</v>
      </c>
      <c r="L866">
        <v>0</v>
      </c>
      <c r="N866">
        <v>0</v>
      </c>
    </row>
    <row r="867" spans="1:14">
      <c r="A867" t="s">
        <v>3093</v>
      </c>
      <c r="B867" t="s">
        <v>1029</v>
      </c>
      <c r="C867">
        <v>1109</v>
      </c>
      <c r="D867" t="s">
        <v>2252</v>
      </c>
      <c r="E867" t="s">
        <v>3094</v>
      </c>
      <c r="F867" s="455">
        <v>45478</v>
      </c>
      <c r="G867" s="455">
        <v>46208</v>
      </c>
      <c r="H867" s="455">
        <v>46571</v>
      </c>
      <c r="J867" s="456">
        <v>1705</v>
      </c>
      <c r="K867" s="456">
        <v>2196.33</v>
      </c>
      <c r="L867" s="456">
        <v>2122</v>
      </c>
      <c r="M867">
        <v>0</v>
      </c>
      <c r="N867">
        <v>0</v>
      </c>
    </row>
    <row r="868" spans="1:14">
      <c r="A868" t="s">
        <v>1818</v>
      </c>
      <c r="B868" t="s">
        <v>1029</v>
      </c>
      <c r="C868">
        <v>1109</v>
      </c>
      <c r="D868" t="s">
        <v>2252</v>
      </c>
      <c r="E868" t="s">
        <v>7168</v>
      </c>
      <c r="F868" s="455">
        <v>46143</v>
      </c>
      <c r="G868" s="455">
        <v>46173</v>
      </c>
      <c r="J868" s="456">
        <v>1680</v>
      </c>
      <c r="K868">
        <v>939.95</v>
      </c>
      <c r="L868">
        <v>916</v>
      </c>
      <c r="M868">
        <v>0</v>
      </c>
      <c r="N868">
        <v>0</v>
      </c>
    </row>
    <row r="869" spans="1:14">
      <c r="A869" t="s">
        <v>7169</v>
      </c>
      <c r="B869" t="s">
        <v>1029</v>
      </c>
      <c r="C869">
        <v>1109</v>
      </c>
      <c r="D869" t="s">
        <v>2252</v>
      </c>
      <c r="E869" t="s">
        <v>4406</v>
      </c>
      <c r="F869" s="455">
        <v>46051</v>
      </c>
      <c r="G869" s="455">
        <v>46052</v>
      </c>
      <c r="H869" s="455">
        <v>46417</v>
      </c>
      <c r="J869" s="456">
        <v>1585</v>
      </c>
      <c r="K869" s="456">
        <v>1959.82</v>
      </c>
      <c r="L869" s="456">
        <v>1866</v>
      </c>
      <c r="M869">
        <v>0</v>
      </c>
      <c r="N869">
        <v>0</v>
      </c>
    </row>
    <row r="870" spans="1:14">
      <c r="A870" t="s">
        <v>7170</v>
      </c>
      <c r="B870" t="s">
        <v>1029</v>
      </c>
      <c r="C870">
        <v>1109</v>
      </c>
      <c r="D870" t="s">
        <v>2252</v>
      </c>
      <c r="E870" t="s">
        <v>7171</v>
      </c>
      <c r="F870" s="455">
        <v>44505</v>
      </c>
      <c r="G870" s="455">
        <v>45961</v>
      </c>
      <c r="H870" s="455">
        <v>46325</v>
      </c>
      <c r="J870" s="456">
        <v>1610</v>
      </c>
      <c r="K870" s="456">
        <v>1663.25</v>
      </c>
      <c r="L870" s="456">
        <v>1642.49</v>
      </c>
      <c r="M870">
        <v>0</v>
      </c>
      <c r="N870">
        <v>0</v>
      </c>
    </row>
    <row r="871" spans="1:14">
      <c r="A871" t="s">
        <v>2537</v>
      </c>
      <c r="B871" t="s">
        <v>1029</v>
      </c>
      <c r="C871">
        <v>1109</v>
      </c>
      <c r="D871" t="s">
        <v>6383</v>
      </c>
      <c r="E871" t="s">
        <v>6384</v>
      </c>
      <c r="J871" s="456">
        <v>1705</v>
      </c>
      <c r="K871">
        <v>0</v>
      </c>
      <c r="L871">
        <v>0</v>
      </c>
      <c r="N871">
        <v>0</v>
      </c>
    </row>
    <row r="872" spans="1:14">
      <c r="A872" t="s">
        <v>7172</v>
      </c>
      <c r="B872" t="s">
        <v>1029</v>
      </c>
      <c r="C872">
        <v>1109</v>
      </c>
      <c r="D872" t="s">
        <v>2252</v>
      </c>
      <c r="E872" t="s">
        <v>7173</v>
      </c>
      <c r="F872" s="455">
        <v>45954</v>
      </c>
      <c r="G872" s="455">
        <v>45954</v>
      </c>
      <c r="H872" s="455">
        <v>46318</v>
      </c>
      <c r="J872" s="456">
        <v>1705</v>
      </c>
      <c r="K872" s="456">
        <v>2000.82</v>
      </c>
      <c r="L872" s="456">
        <v>1906.48</v>
      </c>
      <c r="M872">
        <v>0</v>
      </c>
      <c r="N872">
        <v>0</v>
      </c>
    </row>
    <row r="873" spans="1:14">
      <c r="A873" t="s">
        <v>3096</v>
      </c>
      <c r="B873" t="s">
        <v>1029</v>
      </c>
      <c r="C873">
        <v>1109</v>
      </c>
      <c r="D873" t="s">
        <v>2252</v>
      </c>
      <c r="E873" t="s">
        <v>3097</v>
      </c>
      <c r="F873" s="455">
        <v>45139</v>
      </c>
      <c r="G873" s="455">
        <v>46235</v>
      </c>
      <c r="H873" s="455">
        <v>46599</v>
      </c>
      <c r="J873" s="456">
        <v>1585</v>
      </c>
      <c r="K873" s="456">
        <v>2118.33</v>
      </c>
      <c r="L873" s="456">
        <v>2044</v>
      </c>
      <c r="M873">
        <v>0</v>
      </c>
      <c r="N873">
        <v>0</v>
      </c>
    </row>
    <row r="874" spans="1:14">
      <c r="A874" t="s">
        <v>7174</v>
      </c>
      <c r="B874" t="s">
        <v>1029</v>
      </c>
      <c r="C874">
        <v>1109</v>
      </c>
      <c r="D874" t="s">
        <v>2252</v>
      </c>
      <c r="E874" t="s">
        <v>7175</v>
      </c>
      <c r="F874" s="455">
        <v>45504</v>
      </c>
      <c r="G874" s="455">
        <v>45930</v>
      </c>
      <c r="H874" s="455">
        <v>46294</v>
      </c>
      <c r="J874" s="456">
        <v>1680</v>
      </c>
      <c r="K874" s="456">
        <v>2155.8200000000002</v>
      </c>
      <c r="L874" s="456">
        <v>2061.4899999999998</v>
      </c>
      <c r="M874">
        <v>0</v>
      </c>
      <c r="N874">
        <v>0</v>
      </c>
    </row>
    <row r="875" spans="1:14">
      <c r="A875" t="s">
        <v>7176</v>
      </c>
      <c r="B875" t="s">
        <v>1029</v>
      </c>
      <c r="C875">
        <v>1109</v>
      </c>
      <c r="D875" t="s">
        <v>2252</v>
      </c>
      <c r="E875" t="s">
        <v>7177</v>
      </c>
      <c r="F875" s="455">
        <v>46002</v>
      </c>
      <c r="G875" s="455">
        <v>46002</v>
      </c>
      <c r="H875" s="455">
        <v>46366</v>
      </c>
      <c r="J875" s="456">
        <v>1680</v>
      </c>
      <c r="K875" s="456">
        <v>1924.83</v>
      </c>
      <c r="L875" s="456">
        <v>1869.5</v>
      </c>
      <c r="M875">
        <v>0</v>
      </c>
      <c r="N875">
        <v>0</v>
      </c>
    </row>
    <row r="876" spans="1:14">
      <c r="A876" t="s">
        <v>1570</v>
      </c>
      <c r="B876" t="s">
        <v>1029</v>
      </c>
      <c r="C876">
        <v>1109</v>
      </c>
      <c r="D876" t="s">
        <v>2252</v>
      </c>
      <c r="E876" t="s">
        <v>7178</v>
      </c>
      <c r="F876" s="455">
        <v>46143</v>
      </c>
      <c r="G876" s="455">
        <v>46143</v>
      </c>
      <c r="H876" s="455">
        <v>46507</v>
      </c>
      <c r="J876" s="456">
        <v>1705</v>
      </c>
      <c r="K876" s="456">
        <v>1843.95</v>
      </c>
      <c r="L876" s="456">
        <v>1814</v>
      </c>
      <c r="M876">
        <v>0</v>
      </c>
      <c r="N876">
        <v>0</v>
      </c>
    </row>
    <row r="877" spans="1:14">
      <c r="A877" t="s">
        <v>7179</v>
      </c>
      <c r="B877" t="s">
        <v>1029</v>
      </c>
      <c r="C877">
        <v>1109</v>
      </c>
      <c r="D877" t="s">
        <v>2252</v>
      </c>
      <c r="E877" t="s">
        <v>7180</v>
      </c>
      <c r="F877" s="455">
        <v>45257</v>
      </c>
      <c r="G877" s="455">
        <v>46073</v>
      </c>
      <c r="H877" s="455">
        <v>46437</v>
      </c>
      <c r="J877" s="456">
        <v>1705</v>
      </c>
      <c r="K877" s="456">
        <v>2043.33</v>
      </c>
      <c r="L877" s="456">
        <v>1969</v>
      </c>
      <c r="M877">
        <v>0</v>
      </c>
      <c r="N877">
        <v>0</v>
      </c>
    </row>
    <row r="878" spans="1:14">
      <c r="A878" t="s">
        <v>3098</v>
      </c>
      <c r="B878" t="s">
        <v>1029</v>
      </c>
      <c r="C878">
        <v>1109</v>
      </c>
      <c r="D878" t="s">
        <v>2252</v>
      </c>
      <c r="E878" t="s">
        <v>3099</v>
      </c>
      <c r="F878" s="455">
        <v>45493</v>
      </c>
      <c r="G878" s="455">
        <v>46223</v>
      </c>
      <c r="H878" s="455">
        <v>46587</v>
      </c>
      <c r="J878" s="456">
        <v>1705</v>
      </c>
      <c r="K878" s="456">
        <v>1932.82</v>
      </c>
      <c r="L878" s="456">
        <v>2089</v>
      </c>
      <c r="M878">
        <v>0</v>
      </c>
      <c r="N878">
        <v>750</v>
      </c>
    </row>
    <row r="879" spans="1:14">
      <c r="A879" t="s">
        <v>2539</v>
      </c>
      <c r="B879" t="s">
        <v>1029</v>
      </c>
      <c r="C879">
        <v>1109</v>
      </c>
      <c r="D879" t="s">
        <v>2252</v>
      </c>
      <c r="E879" t="s">
        <v>3100</v>
      </c>
      <c r="F879" s="455">
        <v>46224</v>
      </c>
      <c r="G879" s="455">
        <v>46224</v>
      </c>
      <c r="H879" s="455">
        <v>46588</v>
      </c>
      <c r="J879" s="456">
        <v>1585</v>
      </c>
      <c r="K879">
        <v>41</v>
      </c>
      <c r="L879" s="456">
        <v>1626</v>
      </c>
      <c r="M879">
        <v>-459</v>
      </c>
      <c r="N879">
        <v>500</v>
      </c>
    </row>
    <row r="880" spans="1:14">
      <c r="A880" t="s">
        <v>2541</v>
      </c>
      <c r="B880" t="s">
        <v>1029</v>
      </c>
      <c r="C880">
        <v>1109</v>
      </c>
      <c r="D880" t="s">
        <v>2252</v>
      </c>
      <c r="E880" t="s">
        <v>2542</v>
      </c>
      <c r="F880" s="455">
        <v>46025</v>
      </c>
      <c r="G880" s="455">
        <v>46025</v>
      </c>
      <c r="H880" s="455">
        <v>46389</v>
      </c>
      <c r="J880" s="456">
        <v>1680</v>
      </c>
      <c r="K880" s="456">
        <v>2226.33</v>
      </c>
      <c r="L880" s="456">
        <v>1933.99</v>
      </c>
      <c r="M880">
        <v>926.33</v>
      </c>
      <c r="N880">
        <v>0</v>
      </c>
    </row>
    <row r="881" spans="1:14">
      <c r="A881" t="s">
        <v>2543</v>
      </c>
      <c r="B881" t="s">
        <v>1029</v>
      </c>
      <c r="C881">
        <v>1109</v>
      </c>
      <c r="D881" t="s">
        <v>2252</v>
      </c>
      <c r="E881" t="s">
        <v>4230</v>
      </c>
      <c r="F881" s="455">
        <v>46189</v>
      </c>
      <c r="G881" s="455">
        <v>46189</v>
      </c>
      <c r="H881" s="455">
        <v>46553</v>
      </c>
      <c r="J881" s="456">
        <v>1680</v>
      </c>
      <c r="K881" s="456">
        <v>1693</v>
      </c>
      <c r="L881" s="456">
        <v>1684</v>
      </c>
      <c r="M881">
        <v>0</v>
      </c>
      <c r="N881">
        <v>0</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674DEF-74F1-4334-B08A-D732A93A27B5}">
  <sheetPr>
    <tabColor theme="6" tint="-0.499984740745262"/>
  </sheetPr>
  <dimension ref="A1:M233"/>
  <sheetViews>
    <sheetView workbookViewId="0">
      <selection sqref="A1:XFD1048576"/>
    </sheetView>
  </sheetViews>
  <sheetFormatPr defaultRowHeight="14.4"/>
  <sheetData>
    <row r="1" spans="1:13">
      <c r="A1" t="s">
        <v>2301</v>
      </c>
      <c r="B1" t="s">
        <v>1760</v>
      </c>
      <c r="C1" t="s">
        <v>2231</v>
      </c>
      <c r="D1" t="s">
        <v>1138</v>
      </c>
      <c r="E1" t="s">
        <v>7181</v>
      </c>
      <c r="F1" t="s">
        <v>7182</v>
      </c>
      <c r="G1" t="s">
        <v>2110</v>
      </c>
      <c r="H1" t="s">
        <v>1515</v>
      </c>
      <c r="I1" t="s">
        <v>7183</v>
      </c>
      <c r="J1" t="s">
        <v>2740</v>
      </c>
      <c r="K1" t="s">
        <v>7184</v>
      </c>
      <c r="L1" t="s">
        <v>6382</v>
      </c>
      <c r="M1" t="s">
        <v>6381</v>
      </c>
    </row>
    <row r="2" spans="1:13">
      <c r="A2" t="s">
        <v>1751</v>
      </c>
      <c r="B2" t="s">
        <v>3752</v>
      </c>
      <c r="C2" t="s">
        <v>2258</v>
      </c>
      <c r="D2" t="s">
        <v>7185</v>
      </c>
      <c r="E2" s="455">
        <v>46143</v>
      </c>
      <c r="F2" s="455">
        <v>46465</v>
      </c>
      <c r="G2" s="455">
        <v>46151</v>
      </c>
      <c r="H2" t="s">
        <v>7186</v>
      </c>
      <c r="I2" t="s">
        <v>1518</v>
      </c>
      <c r="J2">
        <v>797</v>
      </c>
      <c r="K2">
        <v>797</v>
      </c>
      <c r="L2">
        <v>0</v>
      </c>
      <c r="M2">
        <v>0</v>
      </c>
    </row>
    <row r="3" spans="1:13">
      <c r="A3" t="s">
        <v>1751</v>
      </c>
      <c r="B3" t="s">
        <v>2393</v>
      </c>
      <c r="C3" t="s">
        <v>2258</v>
      </c>
      <c r="D3" t="s">
        <v>2394</v>
      </c>
      <c r="E3" s="455">
        <v>46128</v>
      </c>
      <c r="F3" s="455">
        <v>46203</v>
      </c>
      <c r="G3" s="455">
        <v>46203</v>
      </c>
      <c r="H3" t="s">
        <v>7187</v>
      </c>
      <c r="I3" t="s">
        <v>1523</v>
      </c>
      <c r="J3">
        <v>842</v>
      </c>
      <c r="K3">
        <v>965</v>
      </c>
      <c r="L3">
        <v>0</v>
      </c>
      <c r="M3">
        <v>726.7</v>
      </c>
    </row>
    <row r="4" spans="1:13">
      <c r="A4" t="s">
        <v>1751</v>
      </c>
      <c r="B4" t="s">
        <v>2395</v>
      </c>
      <c r="C4" t="s">
        <v>2258</v>
      </c>
      <c r="D4" t="s">
        <v>2396</v>
      </c>
      <c r="E4" s="455">
        <v>46129</v>
      </c>
      <c r="F4" s="455">
        <v>46203</v>
      </c>
      <c r="G4" s="455">
        <v>46200</v>
      </c>
      <c r="H4" t="s">
        <v>7188</v>
      </c>
      <c r="I4" t="s">
        <v>1518</v>
      </c>
      <c r="J4" s="456">
        <v>7857</v>
      </c>
      <c r="K4">
        <v>923</v>
      </c>
      <c r="L4">
        <v>0</v>
      </c>
      <c r="M4">
        <v>775</v>
      </c>
    </row>
    <row r="5" spans="1:13">
      <c r="A5" t="s">
        <v>1751</v>
      </c>
      <c r="B5" t="s">
        <v>4191</v>
      </c>
      <c r="C5" t="s">
        <v>2258</v>
      </c>
      <c r="D5" t="s">
        <v>1095</v>
      </c>
      <c r="E5" s="455">
        <v>46146</v>
      </c>
      <c r="F5" s="455">
        <v>46149</v>
      </c>
      <c r="G5" s="455">
        <v>46149</v>
      </c>
      <c r="H5" t="s">
        <v>7189</v>
      </c>
      <c r="I5" t="s">
        <v>1523</v>
      </c>
      <c r="J5">
        <v>817</v>
      </c>
      <c r="K5" s="456">
        <v>1880</v>
      </c>
      <c r="L5">
        <v>0</v>
      </c>
      <c r="M5">
        <v>0</v>
      </c>
    </row>
    <row r="6" spans="1:13">
      <c r="A6" t="s">
        <v>1751</v>
      </c>
      <c r="B6" t="s">
        <v>3457</v>
      </c>
      <c r="C6" t="s">
        <v>2265</v>
      </c>
      <c r="D6" t="s">
        <v>7190</v>
      </c>
      <c r="E6" s="455">
        <v>46141</v>
      </c>
      <c r="F6" s="455">
        <v>46203</v>
      </c>
      <c r="G6" s="455">
        <v>46141</v>
      </c>
      <c r="H6" t="s">
        <v>1467</v>
      </c>
      <c r="I6" t="s">
        <v>1518</v>
      </c>
      <c r="J6">
        <v>979</v>
      </c>
      <c r="K6">
        <v>994</v>
      </c>
      <c r="L6">
        <v>0</v>
      </c>
      <c r="M6">
        <v>0</v>
      </c>
    </row>
    <row r="7" spans="1:13">
      <c r="A7" t="s">
        <v>1751</v>
      </c>
      <c r="B7" t="s">
        <v>6804</v>
      </c>
      <c r="C7" t="s">
        <v>2265</v>
      </c>
      <c r="D7" t="s">
        <v>6805</v>
      </c>
      <c r="E7" s="455">
        <v>46205</v>
      </c>
      <c r="F7" s="455">
        <v>46295</v>
      </c>
      <c r="G7" s="455">
        <v>46295</v>
      </c>
      <c r="H7" t="s">
        <v>1471</v>
      </c>
      <c r="I7" t="s">
        <v>1523</v>
      </c>
      <c r="J7" s="456">
        <v>1049</v>
      </c>
      <c r="K7" s="456">
        <v>1276</v>
      </c>
      <c r="L7">
        <v>0</v>
      </c>
      <c r="M7">
        <v>0</v>
      </c>
    </row>
    <row r="8" spans="1:13">
      <c r="A8" t="s">
        <v>1751</v>
      </c>
      <c r="B8" t="s">
        <v>6816</v>
      </c>
      <c r="C8" t="s">
        <v>2265</v>
      </c>
      <c r="D8" t="s">
        <v>6817</v>
      </c>
      <c r="E8" s="455">
        <v>46210</v>
      </c>
      <c r="F8" s="455">
        <v>46269</v>
      </c>
      <c r="G8" s="455">
        <v>46269</v>
      </c>
      <c r="H8" t="s">
        <v>7188</v>
      </c>
      <c r="I8" t="s">
        <v>1523</v>
      </c>
      <c r="J8">
        <v>954</v>
      </c>
      <c r="K8" s="456">
        <v>1363</v>
      </c>
      <c r="L8">
        <v>0</v>
      </c>
      <c r="M8">
        <v>0</v>
      </c>
    </row>
    <row r="9" spans="1:13">
      <c r="A9" t="s">
        <v>1751</v>
      </c>
      <c r="B9" t="s">
        <v>6551</v>
      </c>
      <c r="C9" t="s">
        <v>2261</v>
      </c>
      <c r="D9" t="s">
        <v>7192</v>
      </c>
      <c r="E9" s="455">
        <v>46057</v>
      </c>
      <c r="F9" s="455">
        <v>46112</v>
      </c>
      <c r="G9" s="455">
        <v>46112</v>
      </c>
      <c r="H9" t="s">
        <v>7188</v>
      </c>
      <c r="I9" t="s">
        <v>1523</v>
      </c>
      <c r="J9">
        <v>880</v>
      </c>
      <c r="K9" s="456">
        <v>2876.7</v>
      </c>
      <c r="L9">
        <v>0</v>
      </c>
      <c r="M9">
        <v>0</v>
      </c>
    </row>
    <row r="10" spans="1:13">
      <c r="A10" t="s">
        <v>1751</v>
      </c>
      <c r="B10" t="s">
        <v>2986</v>
      </c>
      <c r="C10" t="s">
        <v>2261</v>
      </c>
      <c r="D10" t="s">
        <v>2987</v>
      </c>
      <c r="E10" s="455">
        <v>46104</v>
      </c>
      <c r="F10" s="455">
        <v>46295</v>
      </c>
      <c r="G10" s="455">
        <v>46176</v>
      </c>
      <c r="H10" t="s">
        <v>7193</v>
      </c>
      <c r="I10" t="s">
        <v>1518</v>
      </c>
      <c r="J10">
        <v>785</v>
      </c>
      <c r="K10">
        <v>885</v>
      </c>
      <c r="L10">
        <v>0</v>
      </c>
      <c r="M10">
        <v>0</v>
      </c>
    </row>
    <row r="11" spans="1:13">
      <c r="A11" t="s">
        <v>1751</v>
      </c>
      <c r="B11" t="s">
        <v>1565</v>
      </c>
      <c r="C11" t="s">
        <v>2261</v>
      </c>
      <c r="D11" t="s">
        <v>2144</v>
      </c>
      <c r="E11" s="455">
        <v>46104</v>
      </c>
      <c r="F11" s="455">
        <v>46182</v>
      </c>
      <c r="G11" s="455">
        <v>46114</v>
      </c>
      <c r="H11" t="s">
        <v>7194</v>
      </c>
      <c r="I11" t="s">
        <v>1518</v>
      </c>
      <c r="J11">
        <v>760</v>
      </c>
      <c r="K11">
        <v>910</v>
      </c>
      <c r="L11">
        <v>0</v>
      </c>
      <c r="M11">
        <v>0</v>
      </c>
    </row>
    <row r="12" spans="1:13">
      <c r="A12" t="s">
        <v>1751</v>
      </c>
      <c r="B12" t="s">
        <v>2407</v>
      </c>
      <c r="C12" t="s">
        <v>2261</v>
      </c>
      <c r="D12" t="s">
        <v>2408</v>
      </c>
      <c r="E12" s="455">
        <v>46135</v>
      </c>
      <c r="F12" s="455">
        <v>46234</v>
      </c>
      <c r="G12" s="455">
        <v>46182</v>
      </c>
      <c r="H12" t="s">
        <v>7193</v>
      </c>
      <c r="I12" t="s">
        <v>1518</v>
      </c>
      <c r="J12">
        <v>815</v>
      </c>
      <c r="K12">
        <v>999</v>
      </c>
      <c r="L12">
        <v>0</v>
      </c>
      <c r="M12" s="456">
        <v>5943.26</v>
      </c>
    </row>
    <row r="13" spans="1:13">
      <c r="A13" t="s">
        <v>1751</v>
      </c>
      <c r="B13" t="s">
        <v>2409</v>
      </c>
      <c r="C13" t="s">
        <v>2261</v>
      </c>
      <c r="D13" t="s">
        <v>2410</v>
      </c>
      <c r="E13" s="455">
        <v>46150</v>
      </c>
      <c r="F13" s="455">
        <v>46171</v>
      </c>
      <c r="G13" s="455">
        <v>46171</v>
      </c>
      <c r="H13" t="s">
        <v>1167</v>
      </c>
      <c r="I13" t="s">
        <v>1523</v>
      </c>
      <c r="J13">
        <v>815</v>
      </c>
      <c r="K13" s="456">
        <v>1678</v>
      </c>
      <c r="L13">
        <v>0</v>
      </c>
      <c r="M13" s="456">
        <v>3635.76</v>
      </c>
    </row>
    <row r="14" spans="1:13">
      <c r="A14" t="s">
        <v>1751</v>
      </c>
      <c r="B14" t="s">
        <v>2411</v>
      </c>
      <c r="C14" t="s">
        <v>2261</v>
      </c>
      <c r="D14" t="s">
        <v>2412</v>
      </c>
      <c r="E14" s="455">
        <v>46178</v>
      </c>
      <c r="F14" s="455">
        <v>46449</v>
      </c>
      <c r="G14" s="455">
        <v>46232</v>
      </c>
      <c r="H14" t="s">
        <v>7193</v>
      </c>
      <c r="I14" t="s">
        <v>1518</v>
      </c>
      <c r="J14">
        <v>865</v>
      </c>
      <c r="K14" s="456">
        <v>2085</v>
      </c>
      <c r="L14">
        <v>0</v>
      </c>
      <c r="M14" s="456">
        <v>3536.78</v>
      </c>
    </row>
    <row r="15" spans="1:13">
      <c r="A15" t="s">
        <v>1751</v>
      </c>
      <c r="B15" t="s">
        <v>2413</v>
      </c>
      <c r="C15" t="s">
        <v>2273</v>
      </c>
      <c r="D15" t="s">
        <v>2414</v>
      </c>
      <c r="E15" s="455">
        <v>46164</v>
      </c>
      <c r="F15" s="455">
        <v>46203</v>
      </c>
      <c r="G15" s="455">
        <v>46203</v>
      </c>
      <c r="H15" t="s">
        <v>7195</v>
      </c>
      <c r="I15" t="s">
        <v>1523</v>
      </c>
      <c r="J15" s="456">
        <v>1149</v>
      </c>
      <c r="K15" s="456">
        <v>1626</v>
      </c>
      <c r="L15">
        <v>0</v>
      </c>
      <c r="M15">
        <v>938.04</v>
      </c>
    </row>
    <row r="16" spans="1:13">
      <c r="A16" t="s">
        <v>1751</v>
      </c>
      <c r="B16" t="s">
        <v>7065</v>
      </c>
      <c r="C16" t="s">
        <v>2273</v>
      </c>
      <c r="D16" t="s">
        <v>1781</v>
      </c>
      <c r="E16" s="455">
        <v>46142</v>
      </c>
      <c r="F16" s="455">
        <v>46143</v>
      </c>
      <c r="G16" s="455">
        <v>46143</v>
      </c>
      <c r="H16" t="s">
        <v>7195</v>
      </c>
      <c r="I16" t="s">
        <v>1523</v>
      </c>
      <c r="J16" s="456">
        <v>1124</v>
      </c>
      <c r="K16" s="456">
        <v>3304</v>
      </c>
      <c r="L16">
        <v>0</v>
      </c>
      <c r="M16">
        <v>0</v>
      </c>
    </row>
    <row r="17" spans="1:13">
      <c r="A17" t="s">
        <v>1751</v>
      </c>
      <c r="B17" t="s">
        <v>1522</v>
      </c>
      <c r="C17" t="s">
        <v>2265</v>
      </c>
      <c r="D17" t="s">
        <v>2151</v>
      </c>
      <c r="E17" s="455">
        <v>46092</v>
      </c>
      <c r="F17" s="455">
        <v>46295</v>
      </c>
      <c r="G17" s="455">
        <v>46092</v>
      </c>
      <c r="H17" t="s">
        <v>1467</v>
      </c>
      <c r="I17" t="s">
        <v>1518</v>
      </c>
      <c r="J17" s="456">
        <v>1024</v>
      </c>
      <c r="K17" s="456">
        <v>1175</v>
      </c>
      <c r="L17">
        <v>0</v>
      </c>
      <c r="M17">
        <v>0</v>
      </c>
    </row>
    <row r="18" spans="1:13">
      <c r="A18" t="s">
        <v>1751</v>
      </c>
      <c r="B18" t="s">
        <v>1564</v>
      </c>
      <c r="C18" t="s">
        <v>2265</v>
      </c>
      <c r="D18" t="s">
        <v>7196</v>
      </c>
      <c r="E18" s="455">
        <v>46053</v>
      </c>
      <c r="F18" s="455">
        <v>46053</v>
      </c>
      <c r="G18" s="455">
        <v>46053</v>
      </c>
      <c r="H18" t="s">
        <v>1467</v>
      </c>
      <c r="I18" t="s">
        <v>1523</v>
      </c>
      <c r="J18">
        <v>979</v>
      </c>
      <c r="K18" s="456">
        <v>1056</v>
      </c>
      <c r="L18">
        <v>0</v>
      </c>
      <c r="M18">
        <v>0</v>
      </c>
    </row>
    <row r="19" spans="1:13">
      <c r="A19" t="s">
        <v>1751</v>
      </c>
      <c r="B19" t="s">
        <v>6822</v>
      </c>
      <c r="C19" t="s">
        <v>2265</v>
      </c>
      <c r="D19" t="s">
        <v>7197</v>
      </c>
      <c r="E19" s="455">
        <v>46064</v>
      </c>
      <c r="F19" s="455">
        <v>46125</v>
      </c>
      <c r="G19" s="455">
        <v>46125</v>
      </c>
      <c r="H19" t="s">
        <v>7187</v>
      </c>
      <c r="I19" t="s">
        <v>1523</v>
      </c>
      <c r="J19">
        <v>999</v>
      </c>
      <c r="K19" s="456">
        <v>2660</v>
      </c>
      <c r="L19">
        <v>0</v>
      </c>
      <c r="M19">
        <v>0</v>
      </c>
    </row>
    <row r="20" spans="1:13">
      <c r="A20" t="s">
        <v>1751</v>
      </c>
      <c r="B20" t="s">
        <v>6823</v>
      </c>
      <c r="C20" t="s">
        <v>2265</v>
      </c>
      <c r="D20" t="s">
        <v>7198</v>
      </c>
      <c r="E20" s="455">
        <v>45993</v>
      </c>
      <c r="F20" s="455">
        <v>46069</v>
      </c>
      <c r="G20" s="455">
        <v>46069</v>
      </c>
      <c r="H20" t="s">
        <v>7189</v>
      </c>
      <c r="I20" t="s">
        <v>1523</v>
      </c>
      <c r="J20">
        <v>999</v>
      </c>
      <c r="K20" s="456">
        <v>2280</v>
      </c>
      <c r="L20">
        <v>0</v>
      </c>
      <c r="M20">
        <v>0</v>
      </c>
    </row>
    <row r="21" spans="1:13">
      <c r="A21" t="s">
        <v>1751</v>
      </c>
      <c r="B21" t="s">
        <v>1584</v>
      </c>
      <c r="C21" t="s">
        <v>2265</v>
      </c>
      <c r="D21" t="s">
        <v>7199</v>
      </c>
      <c r="E21" s="455">
        <v>46034</v>
      </c>
      <c r="F21" s="455">
        <v>46109</v>
      </c>
      <c r="G21" s="455">
        <v>46109</v>
      </c>
      <c r="H21" t="s">
        <v>7188</v>
      </c>
      <c r="I21" t="s">
        <v>1523</v>
      </c>
      <c r="J21" s="456">
        <v>1049</v>
      </c>
      <c r="K21" s="456">
        <v>2854.4</v>
      </c>
      <c r="L21">
        <v>0</v>
      </c>
      <c r="M21">
        <v>0</v>
      </c>
    </row>
    <row r="22" spans="1:13">
      <c r="A22" t="s">
        <v>1751</v>
      </c>
      <c r="B22" t="s">
        <v>1586</v>
      </c>
      <c r="C22" t="s">
        <v>2265</v>
      </c>
      <c r="D22" t="s">
        <v>7200</v>
      </c>
      <c r="E22" s="455">
        <v>46099</v>
      </c>
      <c r="F22" s="455">
        <v>46099</v>
      </c>
      <c r="G22" s="455">
        <v>46099</v>
      </c>
      <c r="H22" t="s">
        <v>7186</v>
      </c>
      <c r="I22" t="s">
        <v>1523</v>
      </c>
      <c r="J22">
        <v>999</v>
      </c>
      <c r="K22" s="456">
        <v>1320</v>
      </c>
      <c r="L22">
        <v>0</v>
      </c>
      <c r="M22">
        <v>0</v>
      </c>
    </row>
    <row r="23" spans="1:13">
      <c r="A23" t="s">
        <v>1751</v>
      </c>
      <c r="B23" t="s">
        <v>6064</v>
      </c>
      <c r="C23" t="s">
        <v>2258</v>
      </c>
      <c r="D23" t="s">
        <v>6421</v>
      </c>
      <c r="E23" s="455">
        <v>46239</v>
      </c>
      <c r="F23" s="455">
        <v>46273</v>
      </c>
      <c r="G23" s="455">
        <v>46273</v>
      </c>
      <c r="H23" t="s">
        <v>7188</v>
      </c>
      <c r="I23" t="s">
        <v>1523</v>
      </c>
      <c r="J23">
        <v>797</v>
      </c>
      <c r="K23" s="456">
        <v>1594</v>
      </c>
      <c r="L23">
        <v>0</v>
      </c>
      <c r="M23">
        <v>0</v>
      </c>
    </row>
    <row r="24" spans="1:13">
      <c r="A24" t="s">
        <v>1751</v>
      </c>
      <c r="B24" t="s">
        <v>2415</v>
      </c>
      <c r="C24" t="s">
        <v>2258</v>
      </c>
      <c r="D24" t="s">
        <v>2416</v>
      </c>
      <c r="E24" s="455">
        <v>46125</v>
      </c>
      <c r="F24" s="455">
        <v>46204</v>
      </c>
      <c r="G24" s="455">
        <v>46204</v>
      </c>
      <c r="H24" t="s">
        <v>7193</v>
      </c>
      <c r="I24" t="s">
        <v>1523</v>
      </c>
      <c r="J24">
        <v>827</v>
      </c>
      <c r="K24">
        <v>832</v>
      </c>
      <c r="L24">
        <v>0</v>
      </c>
      <c r="M24" s="456">
        <v>18182.18</v>
      </c>
    </row>
    <row r="25" spans="1:13">
      <c r="A25" t="s">
        <v>1751</v>
      </c>
      <c r="B25" t="s">
        <v>2417</v>
      </c>
      <c r="C25" t="s">
        <v>2258</v>
      </c>
      <c r="D25" t="s">
        <v>2418</v>
      </c>
      <c r="E25" s="455">
        <v>46160</v>
      </c>
      <c r="F25" s="455">
        <v>46234</v>
      </c>
      <c r="G25" s="455">
        <v>46234</v>
      </c>
      <c r="H25" t="s">
        <v>7201</v>
      </c>
      <c r="I25" t="s">
        <v>1523</v>
      </c>
      <c r="J25">
        <v>772</v>
      </c>
      <c r="K25">
        <v>896</v>
      </c>
      <c r="L25">
        <v>150</v>
      </c>
      <c r="M25">
        <v>507.9</v>
      </c>
    </row>
    <row r="26" spans="1:13">
      <c r="A26" t="s">
        <v>1751</v>
      </c>
      <c r="B26" t="s">
        <v>2419</v>
      </c>
      <c r="C26" t="s">
        <v>2258</v>
      </c>
      <c r="D26" t="s">
        <v>2420</v>
      </c>
      <c r="E26" s="455">
        <v>46157</v>
      </c>
      <c r="F26" s="455">
        <v>46265</v>
      </c>
      <c r="G26" s="455">
        <v>46265</v>
      </c>
      <c r="H26" t="s">
        <v>7193</v>
      </c>
      <c r="I26" t="s">
        <v>1523</v>
      </c>
      <c r="J26">
        <v>772</v>
      </c>
      <c r="K26" s="456">
        <v>1995.85</v>
      </c>
      <c r="L26">
        <v>0</v>
      </c>
      <c r="M26" s="456">
        <v>15200.91</v>
      </c>
    </row>
    <row r="27" spans="1:13">
      <c r="A27" t="s">
        <v>1751</v>
      </c>
      <c r="B27" t="s">
        <v>1571</v>
      </c>
      <c r="C27" t="s">
        <v>2258</v>
      </c>
      <c r="D27" t="s">
        <v>7202</v>
      </c>
      <c r="E27" s="455">
        <v>46114</v>
      </c>
      <c r="F27" s="455">
        <v>46114</v>
      </c>
      <c r="G27" s="455">
        <v>46114</v>
      </c>
      <c r="H27" t="s">
        <v>1467</v>
      </c>
      <c r="I27" t="s">
        <v>1523</v>
      </c>
      <c r="J27">
        <v>877</v>
      </c>
      <c r="K27" s="456">
        <v>1205</v>
      </c>
      <c r="L27">
        <v>0</v>
      </c>
      <c r="M27">
        <v>0</v>
      </c>
    </row>
    <row r="28" spans="1:13">
      <c r="A28" t="s">
        <v>1751</v>
      </c>
      <c r="B28" t="s">
        <v>6837</v>
      </c>
      <c r="C28" t="s">
        <v>2265</v>
      </c>
      <c r="D28" t="s">
        <v>6838</v>
      </c>
      <c r="E28" s="455">
        <v>46146</v>
      </c>
      <c r="F28" s="455">
        <v>46266</v>
      </c>
      <c r="G28" s="455">
        <v>46266</v>
      </c>
      <c r="H28" t="s">
        <v>7203</v>
      </c>
      <c r="I28" t="s">
        <v>1523</v>
      </c>
      <c r="J28" s="456">
        <v>1024</v>
      </c>
      <c r="K28" s="456">
        <v>2515</v>
      </c>
      <c r="L28">
        <v>0</v>
      </c>
      <c r="M28">
        <v>0</v>
      </c>
    </row>
    <row r="29" spans="1:13">
      <c r="A29" t="s">
        <v>1751</v>
      </c>
      <c r="B29" t="s">
        <v>2425</v>
      </c>
      <c r="C29" t="s">
        <v>2265</v>
      </c>
      <c r="D29" t="s">
        <v>2426</v>
      </c>
      <c r="E29" s="455">
        <v>46157</v>
      </c>
      <c r="F29" s="455">
        <v>46190</v>
      </c>
      <c r="G29" s="455">
        <v>46190</v>
      </c>
      <c r="H29" t="s">
        <v>7194</v>
      </c>
      <c r="I29" t="s">
        <v>1523</v>
      </c>
      <c r="J29" s="456">
        <v>1049</v>
      </c>
      <c r="K29" s="456">
        <v>1280</v>
      </c>
      <c r="L29">
        <v>0</v>
      </c>
      <c r="M29" s="456">
        <v>3869.54</v>
      </c>
    </row>
    <row r="30" spans="1:13">
      <c r="A30" t="s">
        <v>1751</v>
      </c>
      <c r="B30" t="s">
        <v>1545</v>
      </c>
      <c r="C30" t="s">
        <v>2258</v>
      </c>
      <c r="D30" t="s">
        <v>7204</v>
      </c>
      <c r="E30" s="455">
        <v>46011</v>
      </c>
      <c r="F30" s="455">
        <v>46081</v>
      </c>
      <c r="G30" s="455">
        <v>46081</v>
      </c>
      <c r="H30" t="s">
        <v>7189</v>
      </c>
      <c r="I30" t="s">
        <v>1523</v>
      </c>
      <c r="J30">
        <v>842</v>
      </c>
      <c r="K30">
        <v>926</v>
      </c>
      <c r="L30">
        <v>0</v>
      </c>
      <c r="M30">
        <v>0</v>
      </c>
    </row>
    <row r="31" spans="1:13">
      <c r="A31" t="s">
        <v>1751</v>
      </c>
      <c r="B31" t="s">
        <v>1599</v>
      </c>
      <c r="C31" t="s">
        <v>2258</v>
      </c>
      <c r="D31" t="s">
        <v>7205</v>
      </c>
      <c r="E31" s="455">
        <v>46059</v>
      </c>
      <c r="F31" s="455">
        <v>46141</v>
      </c>
      <c r="G31" s="455">
        <v>46141</v>
      </c>
      <c r="H31" t="s">
        <v>7206</v>
      </c>
      <c r="I31" t="s">
        <v>1523</v>
      </c>
      <c r="J31">
        <v>817</v>
      </c>
      <c r="K31">
        <v>940</v>
      </c>
      <c r="L31">
        <v>0</v>
      </c>
      <c r="M31">
        <v>0</v>
      </c>
    </row>
    <row r="32" spans="1:13">
      <c r="A32" t="s">
        <v>1751</v>
      </c>
      <c r="B32" t="s">
        <v>6442</v>
      </c>
      <c r="C32" t="s">
        <v>2258</v>
      </c>
      <c r="D32" t="s">
        <v>7207</v>
      </c>
      <c r="E32" s="455">
        <v>45993</v>
      </c>
      <c r="F32" s="455">
        <v>46087</v>
      </c>
      <c r="G32" s="455">
        <v>46087</v>
      </c>
      <c r="H32" t="s">
        <v>7208</v>
      </c>
      <c r="I32" t="s">
        <v>1523</v>
      </c>
      <c r="J32">
        <v>827</v>
      </c>
      <c r="K32" s="456">
        <v>2000</v>
      </c>
      <c r="L32">
        <v>0</v>
      </c>
      <c r="M32">
        <v>0</v>
      </c>
    </row>
    <row r="33" spans="1:13">
      <c r="A33" t="s">
        <v>1751</v>
      </c>
      <c r="B33" t="s">
        <v>1534</v>
      </c>
      <c r="C33" t="s">
        <v>2265</v>
      </c>
      <c r="D33" t="s">
        <v>7209</v>
      </c>
      <c r="E33" s="455">
        <v>46069</v>
      </c>
      <c r="F33" s="455">
        <v>46356</v>
      </c>
      <c r="G33" s="455">
        <v>46069</v>
      </c>
      <c r="H33" t="s">
        <v>1467</v>
      </c>
      <c r="I33" t="s">
        <v>1518</v>
      </c>
      <c r="J33" s="456">
        <v>1024</v>
      </c>
      <c r="K33" s="456">
        <v>1205</v>
      </c>
      <c r="L33">
        <v>0</v>
      </c>
      <c r="M33">
        <v>0</v>
      </c>
    </row>
    <row r="34" spans="1:13">
      <c r="A34" t="s">
        <v>1751</v>
      </c>
      <c r="B34" t="s">
        <v>1528</v>
      </c>
      <c r="C34" t="s">
        <v>2261</v>
      </c>
      <c r="D34" t="s">
        <v>2164</v>
      </c>
      <c r="E34" s="455">
        <v>46073</v>
      </c>
      <c r="F34" s="455">
        <v>46142</v>
      </c>
      <c r="G34" s="455">
        <v>46078</v>
      </c>
      <c r="H34" t="s">
        <v>1467</v>
      </c>
      <c r="I34" t="s">
        <v>1518</v>
      </c>
      <c r="J34">
        <v>785</v>
      </c>
      <c r="K34" s="456">
        <v>1005</v>
      </c>
      <c r="L34">
        <v>0</v>
      </c>
      <c r="M34">
        <v>0</v>
      </c>
    </row>
    <row r="35" spans="1:13">
      <c r="A35" t="s">
        <v>1751</v>
      </c>
      <c r="B35" t="s">
        <v>1554</v>
      </c>
      <c r="C35" t="s">
        <v>2261</v>
      </c>
      <c r="D35" t="s">
        <v>7210</v>
      </c>
      <c r="E35" s="455">
        <v>46053</v>
      </c>
      <c r="F35" s="455">
        <v>46053</v>
      </c>
      <c r="G35" s="455">
        <v>46053</v>
      </c>
      <c r="H35" t="s">
        <v>1467</v>
      </c>
      <c r="I35" t="s">
        <v>1523</v>
      </c>
      <c r="J35">
        <v>785</v>
      </c>
      <c r="K35" s="456">
        <v>1035</v>
      </c>
      <c r="L35">
        <v>0</v>
      </c>
      <c r="M35">
        <v>0</v>
      </c>
    </row>
    <row r="36" spans="1:13">
      <c r="A36" t="s">
        <v>1751</v>
      </c>
      <c r="B36" t="s">
        <v>1594</v>
      </c>
      <c r="C36" t="s">
        <v>2261</v>
      </c>
      <c r="D36" t="s">
        <v>7211</v>
      </c>
      <c r="E36" s="455">
        <v>46101</v>
      </c>
      <c r="F36" s="455">
        <v>46203</v>
      </c>
      <c r="G36" s="455">
        <v>46140</v>
      </c>
      <c r="H36" t="s">
        <v>7208</v>
      </c>
      <c r="I36" t="s">
        <v>1518</v>
      </c>
      <c r="J36">
        <v>855</v>
      </c>
      <c r="K36" s="456">
        <v>1219</v>
      </c>
      <c r="L36">
        <v>0</v>
      </c>
      <c r="M36">
        <v>0</v>
      </c>
    </row>
    <row r="37" spans="1:13">
      <c r="A37" t="s">
        <v>1751</v>
      </c>
      <c r="B37" t="s">
        <v>1521</v>
      </c>
      <c r="C37" t="s">
        <v>2261</v>
      </c>
      <c r="D37" t="s">
        <v>2150</v>
      </c>
      <c r="E37" s="455">
        <v>46086</v>
      </c>
      <c r="F37" s="455">
        <v>46353</v>
      </c>
      <c r="G37" s="455">
        <v>46086</v>
      </c>
      <c r="H37" t="s">
        <v>1467</v>
      </c>
      <c r="I37" t="s">
        <v>1518</v>
      </c>
      <c r="J37">
        <v>865</v>
      </c>
      <c r="K37" s="456">
        <v>1070</v>
      </c>
      <c r="L37">
        <v>0</v>
      </c>
      <c r="M37" s="456">
        <v>9482.35</v>
      </c>
    </row>
    <row r="38" spans="1:13">
      <c r="A38" t="s">
        <v>1751</v>
      </c>
      <c r="B38" t="s">
        <v>2437</v>
      </c>
      <c r="C38" t="s">
        <v>2261</v>
      </c>
      <c r="D38" t="s">
        <v>2438</v>
      </c>
      <c r="E38" s="455">
        <v>46125</v>
      </c>
      <c r="F38" s="455">
        <v>46525</v>
      </c>
      <c r="G38" s="455">
        <v>46204</v>
      </c>
      <c r="H38" t="s">
        <v>7193</v>
      </c>
      <c r="I38" t="s">
        <v>1518</v>
      </c>
      <c r="J38">
        <v>770</v>
      </c>
      <c r="K38" s="456">
        <v>1840</v>
      </c>
      <c r="L38">
        <v>0</v>
      </c>
      <c r="M38" s="456">
        <v>7420.29</v>
      </c>
    </row>
    <row r="39" spans="1:13">
      <c r="A39" t="s">
        <v>1751</v>
      </c>
      <c r="B39" t="s">
        <v>6308</v>
      </c>
      <c r="C39" t="s">
        <v>2258</v>
      </c>
      <c r="D39" t="s">
        <v>1099</v>
      </c>
      <c r="E39" s="455">
        <v>46148</v>
      </c>
      <c r="F39" s="455">
        <v>46150</v>
      </c>
      <c r="G39" s="455">
        <v>46150</v>
      </c>
      <c r="H39" t="s">
        <v>7195</v>
      </c>
      <c r="I39" t="s">
        <v>1523</v>
      </c>
      <c r="J39">
        <v>827</v>
      </c>
      <c r="K39" s="456">
        <v>2185.4</v>
      </c>
      <c r="L39">
        <v>0</v>
      </c>
      <c r="M39">
        <v>0</v>
      </c>
    </row>
    <row r="40" spans="1:13">
      <c r="A40" t="s">
        <v>1751</v>
      </c>
      <c r="B40" t="s">
        <v>4070</v>
      </c>
      <c r="C40" t="s">
        <v>2258</v>
      </c>
      <c r="D40" t="s">
        <v>4196</v>
      </c>
      <c r="E40" s="455">
        <v>46183</v>
      </c>
      <c r="F40" s="455">
        <v>46234</v>
      </c>
      <c r="G40" s="455">
        <v>46234</v>
      </c>
      <c r="H40" t="s">
        <v>7195</v>
      </c>
      <c r="I40" t="s">
        <v>1523</v>
      </c>
      <c r="J40">
        <v>797</v>
      </c>
      <c r="K40" s="456">
        <v>1070</v>
      </c>
      <c r="L40">
        <v>150</v>
      </c>
      <c r="M40">
        <v>0</v>
      </c>
    </row>
    <row r="41" spans="1:13">
      <c r="A41" t="s">
        <v>1751</v>
      </c>
      <c r="B41" t="s">
        <v>2941</v>
      </c>
      <c r="C41" t="s">
        <v>2258</v>
      </c>
      <c r="D41" t="s">
        <v>7212</v>
      </c>
      <c r="E41" s="455">
        <v>46155</v>
      </c>
      <c r="F41" s="455">
        <v>46234</v>
      </c>
      <c r="G41" s="455">
        <v>46155</v>
      </c>
      <c r="H41" t="s">
        <v>7213</v>
      </c>
      <c r="I41" t="s">
        <v>1518</v>
      </c>
      <c r="J41">
        <v>772</v>
      </c>
      <c r="K41">
        <v>940</v>
      </c>
      <c r="L41">
        <v>0</v>
      </c>
      <c r="M41">
        <v>0</v>
      </c>
    </row>
    <row r="42" spans="1:13">
      <c r="A42" t="s">
        <v>1751</v>
      </c>
      <c r="B42" t="s">
        <v>2944</v>
      </c>
      <c r="C42" t="s">
        <v>2258</v>
      </c>
      <c r="D42" t="s">
        <v>2945</v>
      </c>
      <c r="E42" s="455">
        <v>46032</v>
      </c>
      <c r="F42" s="455">
        <v>46111</v>
      </c>
      <c r="G42" s="455">
        <v>46111</v>
      </c>
      <c r="H42" t="s">
        <v>7189</v>
      </c>
      <c r="I42" t="s">
        <v>1523</v>
      </c>
      <c r="J42">
        <v>877</v>
      </c>
      <c r="K42" s="456">
        <v>2352.65</v>
      </c>
      <c r="L42">
        <v>0</v>
      </c>
      <c r="M42">
        <v>0</v>
      </c>
    </row>
    <row r="43" spans="1:13">
      <c r="A43" t="s">
        <v>1751</v>
      </c>
      <c r="B43" t="s">
        <v>3332</v>
      </c>
      <c r="C43" t="s">
        <v>2258</v>
      </c>
      <c r="D43" t="s">
        <v>7214</v>
      </c>
      <c r="E43" s="455">
        <v>46073</v>
      </c>
      <c r="F43" s="455">
        <v>46142</v>
      </c>
      <c r="G43" s="455">
        <v>46142</v>
      </c>
      <c r="H43" t="s">
        <v>7203</v>
      </c>
      <c r="I43" t="s">
        <v>1523</v>
      </c>
      <c r="J43">
        <v>782</v>
      </c>
      <c r="K43">
        <v>946</v>
      </c>
      <c r="L43">
        <v>0</v>
      </c>
      <c r="M43">
        <v>0</v>
      </c>
    </row>
    <row r="44" spans="1:13">
      <c r="A44" t="s">
        <v>1751</v>
      </c>
      <c r="B44" t="s">
        <v>1579</v>
      </c>
      <c r="C44" t="s">
        <v>2258</v>
      </c>
      <c r="D44" t="s">
        <v>7215</v>
      </c>
      <c r="E44" s="455">
        <v>46119</v>
      </c>
      <c r="F44" s="455">
        <v>46133</v>
      </c>
      <c r="G44" s="455">
        <v>46119</v>
      </c>
      <c r="H44" t="s">
        <v>1467</v>
      </c>
      <c r="I44" t="s">
        <v>1518</v>
      </c>
      <c r="J44">
        <v>877</v>
      </c>
      <c r="K44" s="456">
        <v>1055</v>
      </c>
      <c r="L44">
        <v>0</v>
      </c>
      <c r="M44">
        <v>0</v>
      </c>
    </row>
    <row r="45" spans="1:13">
      <c r="A45" t="s">
        <v>1751</v>
      </c>
      <c r="B45" t="s">
        <v>7083</v>
      </c>
      <c r="C45" t="s">
        <v>2273</v>
      </c>
      <c r="D45" t="s">
        <v>7084</v>
      </c>
      <c r="E45" s="455">
        <v>46216</v>
      </c>
      <c r="F45" s="455">
        <v>46295</v>
      </c>
      <c r="G45" s="455">
        <v>46295</v>
      </c>
      <c r="H45" t="s">
        <v>7189</v>
      </c>
      <c r="I45" t="s">
        <v>1523</v>
      </c>
      <c r="J45" s="456">
        <v>1054</v>
      </c>
      <c r="K45" s="456">
        <v>1343</v>
      </c>
      <c r="L45">
        <v>250</v>
      </c>
      <c r="M45">
        <v>0</v>
      </c>
    </row>
    <row r="46" spans="1:13">
      <c r="A46" t="s">
        <v>1751</v>
      </c>
      <c r="B46" t="s">
        <v>2448</v>
      </c>
      <c r="C46" t="s">
        <v>2273</v>
      </c>
      <c r="D46" t="s">
        <v>1126</v>
      </c>
      <c r="E46" s="455">
        <v>46178</v>
      </c>
      <c r="F46" s="455">
        <v>46265</v>
      </c>
      <c r="G46" s="455">
        <v>46210</v>
      </c>
      <c r="H46" t="s">
        <v>7193</v>
      </c>
      <c r="I46" t="s">
        <v>1518</v>
      </c>
      <c r="J46" s="456">
        <v>1149</v>
      </c>
      <c r="K46" s="456">
        <v>1653</v>
      </c>
      <c r="L46">
        <v>0</v>
      </c>
      <c r="M46" s="456">
        <v>6749.18</v>
      </c>
    </row>
    <row r="47" spans="1:13">
      <c r="A47" t="s">
        <v>1751</v>
      </c>
      <c r="B47" t="s">
        <v>2449</v>
      </c>
      <c r="C47" t="s">
        <v>2273</v>
      </c>
      <c r="D47" t="s">
        <v>2450</v>
      </c>
      <c r="E47" s="455">
        <v>46163</v>
      </c>
      <c r="F47" s="455">
        <v>46231</v>
      </c>
      <c r="G47" s="455">
        <v>46231</v>
      </c>
      <c r="H47" t="s">
        <v>7203</v>
      </c>
      <c r="I47" t="s">
        <v>1523</v>
      </c>
      <c r="J47" s="456">
        <v>1124</v>
      </c>
      <c r="K47" s="456">
        <v>3250</v>
      </c>
      <c r="L47">
        <v>750</v>
      </c>
      <c r="M47" s="456">
        <v>2581.9899999999998</v>
      </c>
    </row>
    <row r="48" spans="1:13">
      <c r="A48" t="s">
        <v>1751</v>
      </c>
      <c r="B48" t="s">
        <v>1573</v>
      </c>
      <c r="C48" t="s">
        <v>2273</v>
      </c>
      <c r="D48" t="s">
        <v>2157</v>
      </c>
      <c r="E48" s="455">
        <v>46104</v>
      </c>
      <c r="F48" s="455">
        <v>46136</v>
      </c>
      <c r="G48" s="455">
        <v>46136</v>
      </c>
      <c r="H48" t="s">
        <v>7193</v>
      </c>
      <c r="I48" t="s">
        <v>1523</v>
      </c>
      <c r="J48" s="456">
        <v>1124</v>
      </c>
      <c r="K48" s="456">
        <v>3304</v>
      </c>
      <c r="L48">
        <v>0</v>
      </c>
      <c r="M48">
        <v>0</v>
      </c>
    </row>
    <row r="49" spans="1:13">
      <c r="A49" t="s">
        <v>1751</v>
      </c>
      <c r="B49" t="s">
        <v>2453</v>
      </c>
      <c r="C49" t="s">
        <v>2265</v>
      </c>
      <c r="D49" t="s">
        <v>2454</v>
      </c>
      <c r="E49" s="455">
        <v>46113</v>
      </c>
      <c r="F49" s="455">
        <v>46235</v>
      </c>
      <c r="G49" s="455">
        <v>46235</v>
      </c>
      <c r="H49" t="s">
        <v>7188</v>
      </c>
      <c r="I49" t="s">
        <v>1523</v>
      </c>
      <c r="J49" s="456">
        <v>1024</v>
      </c>
      <c r="K49" s="456">
        <v>2695.08</v>
      </c>
      <c r="L49">
        <v>0</v>
      </c>
      <c r="M49">
        <v>382.4</v>
      </c>
    </row>
    <row r="50" spans="1:13">
      <c r="A50" t="s">
        <v>1751</v>
      </c>
      <c r="B50" t="s">
        <v>2455</v>
      </c>
      <c r="C50" t="s">
        <v>2265</v>
      </c>
      <c r="D50" t="s">
        <v>2456</v>
      </c>
      <c r="E50" s="455">
        <v>46125</v>
      </c>
      <c r="F50" s="455">
        <v>46208</v>
      </c>
      <c r="G50" s="455">
        <v>46171</v>
      </c>
      <c r="H50" t="s">
        <v>7193</v>
      </c>
      <c r="I50" t="s">
        <v>1518</v>
      </c>
      <c r="J50" s="456">
        <v>1024</v>
      </c>
      <c r="K50" s="456">
        <v>1197</v>
      </c>
      <c r="L50">
        <v>0</v>
      </c>
      <c r="M50" s="456">
        <v>9536.9</v>
      </c>
    </row>
    <row r="51" spans="1:13">
      <c r="A51" t="s">
        <v>1751</v>
      </c>
      <c r="B51" t="s">
        <v>6858</v>
      </c>
      <c r="C51" t="s">
        <v>2265</v>
      </c>
      <c r="D51" t="s">
        <v>7216</v>
      </c>
      <c r="E51" s="455">
        <v>46008</v>
      </c>
      <c r="F51" s="455">
        <v>46067</v>
      </c>
      <c r="G51" s="455">
        <v>46066</v>
      </c>
      <c r="H51" t="s">
        <v>7217</v>
      </c>
      <c r="I51" t="s">
        <v>1518</v>
      </c>
      <c r="J51">
        <v>979</v>
      </c>
      <c r="K51" s="456">
        <v>1115</v>
      </c>
      <c r="L51">
        <v>0</v>
      </c>
      <c r="M51">
        <v>0</v>
      </c>
    </row>
    <row r="52" spans="1:13">
      <c r="A52" t="s">
        <v>1751</v>
      </c>
      <c r="B52" t="s">
        <v>1220</v>
      </c>
      <c r="C52" t="s">
        <v>2265</v>
      </c>
      <c r="D52" t="s">
        <v>7218</v>
      </c>
      <c r="E52" s="455">
        <v>46036</v>
      </c>
      <c r="F52" s="455">
        <v>46081</v>
      </c>
      <c r="G52" s="455">
        <v>46055</v>
      </c>
      <c r="H52" t="s">
        <v>7208</v>
      </c>
      <c r="I52" t="s">
        <v>1518</v>
      </c>
      <c r="J52">
        <v>979</v>
      </c>
      <c r="K52" s="456">
        <v>1255</v>
      </c>
      <c r="L52">
        <v>0</v>
      </c>
      <c r="M52">
        <v>0</v>
      </c>
    </row>
    <row r="53" spans="1:13">
      <c r="A53" t="s">
        <v>1751</v>
      </c>
      <c r="B53" t="s">
        <v>1923</v>
      </c>
      <c r="C53" t="s">
        <v>2265</v>
      </c>
      <c r="D53" t="s">
        <v>2457</v>
      </c>
      <c r="E53" s="455">
        <v>46073</v>
      </c>
      <c r="F53" s="455">
        <v>46195</v>
      </c>
      <c r="G53" s="455">
        <v>46195</v>
      </c>
      <c r="H53" t="s">
        <v>1471</v>
      </c>
      <c r="I53" t="s">
        <v>1523</v>
      </c>
      <c r="J53" s="456">
        <v>1074</v>
      </c>
      <c r="K53" s="456">
        <v>4523.6000000000004</v>
      </c>
      <c r="L53">
        <v>0</v>
      </c>
      <c r="M53" s="456">
        <v>2863.71</v>
      </c>
    </row>
    <row r="54" spans="1:13">
      <c r="A54" t="s">
        <v>1751</v>
      </c>
      <c r="B54" t="s">
        <v>2458</v>
      </c>
      <c r="C54" t="s">
        <v>2265</v>
      </c>
      <c r="D54" t="s">
        <v>2459</v>
      </c>
      <c r="E54" s="455">
        <v>46130</v>
      </c>
      <c r="F54" s="455">
        <v>46191</v>
      </c>
      <c r="G54" s="455">
        <v>46191</v>
      </c>
      <c r="H54" t="s">
        <v>7187</v>
      </c>
      <c r="I54" t="s">
        <v>1523</v>
      </c>
      <c r="J54">
        <v>954</v>
      </c>
      <c r="K54" s="456">
        <v>2592</v>
      </c>
      <c r="L54">
        <v>0</v>
      </c>
      <c r="M54">
        <v>405.64</v>
      </c>
    </row>
    <row r="55" spans="1:13">
      <c r="A55" t="s">
        <v>1751</v>
      </c>
      <c r="B55" t="s">
        <v>2460</v>
      </c>
      <c r="C55" t="s">
        <v>2265</v>
      </c>
      <c r="D55" t="s">
        <v>2461</v>
      </c>
      <c r="E55" s="455">
        <v>46237</v>
      </c>
      <c r="F55" s="455">
        <v>46538</v>
      </c>
      <c r="G55" s="455">
        <v>46237</v>
      </c>
      <c r="H55" t="s">
        <v>1467</v>
      </c>
      <c r="I55" t="s">
        <v>1518</v>
      </c>
      <c r="J55">
        <v>954</v>
      </c>
      <c r="K55" s="456">
        <v>1942</v>
      </c>
      <c r="L55">
        <v>0</v>
      </c>
      <c r="M55">
        <v>660.15</v>
      </c>
    </row>
    <row r="56" spans="1:13">
      <c r="A56" t="s">
        <v>1751</v>
      </c>
      <c r="B56" t="s">
        <v>1561</v>
      </c>
      <c r="C56" t="s">
        <v>2261</v>
      </c>
      <c r="D56" t="s">
        <v>7219</v>
      </c>
      <c r="E56" s="455">
        <v>45990</v>
      </c>
      <c r="F56" s="455">
        <v>46055</v>
      </c>
      <c r="G56" s="455">
        <v>46055</v>
      </c>
      <c r="H56" t="s">
        <v>7189</v>
      </c>
      <c r="I56" t="s">
        <v>1523</v>
      </c>
      <c r="J56">
        <v>830</v>
      </c>
      <c r="K56" s="456">
        <v>2014</v>
      </c>
      <c r="L56">
        <v>0</v>
      </c>
      <c r="M56">
        <v>0</v>
      </c>
    </row>
    <row r="57" spans="1:13">
      <c r="A57" t="s">
        <v>1751</v>
      </c>
      <c r="B57" t="s">
        <v>2466</v>
      </c>
      <c r="C57" t="s">
        <v>2261</v>
      </c>
      <c r="D57" t="s">
        <v>2467</v>
      </c>
      <c r="E57" s="455">
        <v>46125</v>
      </c>
      <c r="F57" s="455">
        <v>46170</v>
      </c>
      <c r="G57" s="455">
        <v>46170</v>
      </c>
      <c r="H57" t="s">
        <v>7193</v>
      </c>
      <c r="I57" t="s">
        <v>1523</v>
      </c>
      <c r="J57">
        <v>830</v>
      </c>
      <c r="K57" s="456">
        <v>1862</v>
      </c>
      <c r="L57">
        <v>0</v>
      </c>
      <c r="M57" s="456">
        <v>6421.86</v>
      </c>
    </row>
    <row r="58" spans="1:13">
      <c r="A58" t="s">
        <v>1751</v>
      </c>
      <c r="B58" t="s">
        <v>1593</v>
      </c>
      <c r="C58" t="s">
        <v>2261</v>
      </c>
      <c r="D58" t="s">
        <v>7220</v>
      </c>
      <c r="E58" s="455">
        <v>46119</v>
      </c>
      <c r="F58" s="455">
        <v>46491</v>
      </c>
      <c r="G58" s="455">
        <v>46127</v>
      </c>
      <c r="H58" t="s">
        <v>1467</v>
      </c>
      <c r="I58" t="s">
        <v>1518</v>
      </c>
      <c r="J58">
        <v>805</v>
      </c>
      <c r="K58" s="456">
        <v>1910</v>
      </c>
      <c r="L58">
        <v>0</v>
      </c>
      <c r="M58">
        <v>0</v>
      </c>
    </row>
    <row r="59" spans="1:13">
      <c r="A59" t="s">
        <v>1751</v>
      </c>
      <c r="B59" t="s">
        <v>2470</v>
      </c>
      <c r="C59" t="s">
        <v>2261</v>
      </c>
      <c r="D59" t="s">
        <v>2471</v>
      </c>
      <c r="E59" s="455">
        <v>46164</v>
      </c>
      <c r="F59" s="455">
        <v>46295</v>
      </c>
      <c r="G59" s="455">
        <v>46224</v>
      </c>
      <c r="H59" t="s">
        <v>7203</v>
      </c>
      <c r="I59" t="s">
        <v>1518</v>
      </c>
      <c r="J59">
        <v>760</v>
      </c>
      <c r="K59">
        <v>935</v>
      </c>
      <c r="L59">
        <v>0</v>
      </c>
      <c r="M59">
        <v>652.45000000000005</v>
      </c>
    </row>
    <row r="60" spans="1:13">
      <c r="A60" t="s">
        <v>1751</v>
      </c>
      <c r="B60" t="s">
        <v>2472</v>
      </c>
      <c r="C60" t="s">
        <v>2261</v>
      </c>
      <c r="D60" t="s">
        <v>2473</v>
      </c>
      <c r="E60" s="455">
        <v>46104</v>
      </c>
      <c r="F60" s="455">
        <v>46359</v>
      </c>
      <c r="G60" s="455">
        <v>46204</v>
      </c>
      <c r="H60" t="s">
        <v>7193</v>
      </c>
      <c r="I60" t="s">
        <v>1518</v>
      </c>
      <c r="J60">
        <v>760</v>
      </c>
      <c r="K60">
        <v>784</v>
      </c>
      <c r="L60">
        <v>0</v>
      </c>
      <c r="M60" s="456">
        <v>9749.16</v>
      </c>
    </row>
    <row r="61" spans="1:13">
      <c r="A61" t="s">
        <v>1751</v>
      </c>
      <c r="B61" t="s">
        <v>3872</v>
      </c>
      <c r="C61" t="s">
        <v>2273</v>
      </c>
      <c r="D61" t="s">
        <v>7221</v>
      </c>
      <c r="E61" s="455">
        <v>46052</v>
      </c>
      <c r="F61" s="455">
        <v>46158</v>
      </c>
      <c r="G61" s="455">
        <v>46158</v>
      </c>
      <c r="H61" t="s">
        <v>7189</v>
      </c>
      <c r="I61" t="s">
        <v>1523</v>
      </c>
      <c r="J61" s="456">
        <v>1054</v>
      </c>
      <c r="K61" s="456">
        <v>2945.83</v>
      </c>
      <c r="L61">
        <v>0</v>
      </c>
      <c r="M61">
        <v>0</v>
      </c>
    </row>
    <row r="62" spans="1:13">
      <c r="A62" t="s">
        <v>1751</v>
      </c>
      <c r="B62" t="s">
        <v>4604</v>
      </c>
      <c r="C62" t="s">
        <v>2273</v>
      </c>
      <c r="D62" t="s">
        <v>7097</v>
      </c>
      <c r="E62" s="455">
        <v>46208</v>
      </c>
      <c r="F62" s="455">
        <v>46270</v>
      </c>
      <c r="G62" s="455">
        <v>46270</v>
      </c>
      <c r="H62" t="s">
        <v>7188</v>
      </c>
      <c r="I62" t="s">
        <v>1523</v>
      </c>
      <c r="J62" s="456">
        <v>1099</v>
      </c>
      <c r="K62" s="456">
        <v>1570</v>
      </c>
      <c r="L62">
        <v>0</v>
      </c>
      <c r="M62">
        <v>0</v>
      </c>
    </row>
    <row r="63" spans="1:13">
      <c r="A63" t="s">
        <v>1751</v>
      </c>
      <c r="B63" t="s">
        <v>2476</v>
      </c>
      <c r="C63" t="s">
        <v>2273</v>
      </c>
      <c r="D63" t="s">
        <v>2477</v>
      </c>
      <c r="E63" s="455">
        <v>46178</v>
      </c>
      <c r="F63" s="455">
        <v>46255</v>
      </c>
      <c r="G63" s="455">
        <v>46255</v>
      </c>
      <c r="H63" t="s">
        <v>7193</v>
      </c>
      <c r="I63" t="s">
        <v>1523</v>
      </c>
      <c r="J63" s="456">
        <v>1124</v>
      </c>
      <c r="K63" s="456">
        <v>2976</v>
      </c>
      <c r="L63">
        <v>150</v>
      </c>
      <c r="M63" s="456">
        <v>6760.28</v>
      </c>
    </row>
    <row r="64" spans="1:13">
      <c r="A64" t="s">
        <v>1751</v>
      </c>
      <c r="B64" t="s">
        <v>2480</v>
      </c>
      <c r="C64" t="s">
        <v>2273</v>
      </c>
      <c r="D64" t="s">
        <v>2481</v>
      </c>
      <c r="E64" s="455">
        <v>46218</v>
      </c>
      <c r="F64" s="455">
        <v>46218</v>
      </c>
      <c r="G64" s="455">
        <v>46218</v>
      </c>
      <c r="H64" t="s">
        <v>1467</v>
      </c>
      <c r="I64" t="s">
        <v>1523</v>
      </c>
      <c r="J64" s="456">
        <v>1149</v>
      </c>
      <c r="K64" s="456">
        <v>3552</v>
      </c>
      <c r="L64">
        <v>0</v>
      </c>
      <c r="M64" s="456">
        <v>2892.43</v>
      </c>
    </row>
    <row r="65" spans="1:13">
      <c r="A65" t="s">
        <v>1751</v>
      </c>
      <c r="B65" t="s">
        <v>6281</v>
      </c>
      <c r="C65" t="s">
        <v>2273</v>
      </c>
      <c r="D65" t="s">
        <v>7222</v>
      </c>
      <c r="E65" s="455">
        <v>46142</v>
      </c>
      <c r="F65" s="455">
        <v>46142</v>
      </c>
      <c r="G65" s="455">
        <v>46142</v>
      </c>
      <c r="H65" t="s">
        <v>1467</v>
      </c>
      <c r="I65" t="s">
        <v>1523</v>
      </c>
      <c r="J65" s="456">
        <v>1124</v>
      </c>
      <c r="K65" s="456">
        <v>1557</v>
      </c>
      <c r="L65">
        <v>0</v>
      </c>
      <c r="M65">
        <v>0</v>
      </c>
    </row>
    <row r="66" spans="1:13">
      <c r="A66" t="s">
        <v>1751</v>
      </c>
      <c r="B66" t="s">
        <v>2482</v>
      </c>
      <c r="C66" t="s">
        <v>2273</v>
      </c>
      <c r="D66" t="s">
        <v>2483</v>
      </c>
      <c r="E66" s="455">
        <v>46134</v>
      </c>
      <c r="F66" s="455">
        <v>46237</v>
      </c>
      <c r="G66" s="455">
        <v>46237</v>
      </c>
      <c r="H66" t="s">
        <v>7188</v>
      </c>
      <c r="I66" t="s">
        <v>1523</v>
      </c>
      <c r="J66" s="456">
        <v>1074</v>
      </c>
      <c r="K66" s="456">
        <v>3220</v>
      </c>
      <c r="L66">
        <v>550</v>
      </c>
      <c r="M66" s="456">
        <v>1042.6099999999999</v>
      </c>
    </row>
    <row r="67" spans="1:13">
      <c r="A67" t="s">
        <v>1751</v>
      </c>
      <c r="B67" t="s">
        <v>1555</v>
      </c>
      <c r="C67" t="s">
        <v>2273</v>
      </c>
      <c r="D67" t="s">
        <v>7223</v>
      </c>
      <c r="E67" s="455">
        <v>46021</v>
      </c>
      <c r="F67" s="455">
        <v>46081</v>
      </c>
      <c r="G67" s="455">
        <v>46081</v>
      </c>
      <c r="H67" t="s">
        <v>7203</v>
      </c>
      <c r="I67" t="s">
        <v>1523</v>
      </c>
      <c r="J67" s="456">
        <v>1149</v>
      </c>
      <c r="K67" s="456">
        <v>1590</v>
      </c>
      <c r="L67">
        <v>0</v>
      </c>
      <c r="M67">
        <v>0</v>
      </c>
    </row>
    <row r="68" spans="1:13">
      <c r="A68" t="s">
        <v>1751</v>
      </c>
      <c r="B68" t="s">
        <v>2487</v>
      </c>
      <c r="C68" t="s">
        <v>2273</v>
      </c>
      <c r="D68" t="s">
        <v>1130</v>
      </c>
      <c r="E68" s="455">
        <v>46178</v>
      </c>
      <c r="F68" s="455">
        <v>46403</v>
      </c>
      <c r="G68" s="455">
        <v>46190</v>
      </c>
      <c r="H68" t="s">
        <v>7194</v>
      </c>
      <c r="I68" t="s">
        <v>1518</v>
      </c>
      <c r="J68" s="456">
        <v>1074</v>
      </c>
      <c r="K68" s="456">
        <v>1351</v>
      </c>
      <c r="L68">
        <v>0</v>
      </c>
      <c r="M68" s="456">
        <v>9890.9599999999991</v>
      </c>
    </row>
    <row r="69" spans="1:13">
      <c r="A69" t="s">
        <v>1751</v>
      </c>
      <c r="B69" t="s">
        <v>1225</v>
      </c>
      <c r="C69" t="s">
        <v>2266</v>
      </c>
      <c r="D69" t="s">
        <v>1148</v>
      </c>
      <c r="E69" s="455">
        <v>46178</v>
      </c>
      <c r="F69" s="455">
        <v>46451</v>
      </c>
      <c r="G69" s="455">
        <v>46213</v>
      </c>
      <c r="H69" t="s">
        <v>7194</v>
      </c>
      <c r="I69" t="s">
        <v>1518</v>
      </c>
      <c r="J69">
        <v>982</v>
      </c>
      <c r="K69">
        <v>982</v>
      </c>
      <c r="L69">
        <v>0</v>
      </c>
      <c r="M69" s="456">
        <v>5786.04</v>
      </c>
    </row>
    <row r="70" spans="1:13">
      <c r="A70" t="s">
        <v>1751</v>
      </c>
      <c r="B70" t="s">
        <v>3055</v>
      </c>
      <c r="C70" t="s">
        <v>2266</v>
      </c>
      <c r="D70" t="s">
        <v>3057</v>
      </c>
      <c r="E70" s="455">
        <v>46244</v>
      </c>
      <c r="F70" s="455">
        <v>46582</v>
      </c>
      <c r="G70" s="455">
        <v>46244</v>
      </c>
      <c r="H70" t="s">
        <v>1467</v>
      </c>
      <c r="I70" t="s">
        <v>1518</v>
      </c>
      <c r="J70">
        <v>982</v>
      </c>
      <c r="K70">
        <v>982</v>
      </c>
      <c r="L70">
        <v>0</v>
      </c>
      <c r="M70">
        <v>-749</v>
      </c>
    </row>
    <row r="71" spans="1:13">
      <c r="A71" t="s">
        <v>1751</v>
      </c>
      <c r="B71" t="s">
        <v>2496</v>
      </c>
      <c r="C71" t="s">
        <v>2266</v>
      </c>
      <c r="D71" t="s">
        <v>2497</v>
      </c>
      <c r="E71" s="455">
        <v>46086</v>
      </c>
      <c r="F71" s="455">
        <v>46146</v>
      </c>
      <c r="G71" s="455">
        <v>46146</v>
      </c>
      <c r="H71" t="s">
        <v>7208</v>
      </c>
      <c r="I71" t="s">
        <v>1523</v>
      </c>
      <c r="J71">
        <v>982</v>
      </c>
      <c r="K71" s="456">
        <v>2278</v>
      </c>
      <c r="L71">
        <v>0</v>
      </c>
      <c r="M71">
        <v>994.88</v>
      </c>
    </row>
    <row r="72" spans="1:13">
      <c r="A72" t="s">
        <v>1751</v>
      </c>
      <c r="B72" t="s">
        <v>1542</v>
      </c>
      <c r="C72" t="s">
        <v>2266</v>
      </c>
      <c r="D72" t="s">
        <v>7224</v>
      </c>
      <c r="E72" s="455">
        <v>46045</v>
      </c>
      <c r="F72" s="455">
        <v>46025</v>
      </c>
      <c r="G72" s="455">
        <v>46025</v>
      </c>
      <c r="H72" t="s">
        <v>1471</v>
      </c>
      <c r="I72" t="s">
        <v>1523</v>
      </c>
      <c r="J72" s="456">
        <v>1077</v>
      </c>
      <c r="K72" s="456">
        <v>1295</v>
      </c>
      <c r="L72">
        <v>0</v>
      </c>
      <c r="M72">
        <v>0</v>
      </c>
    </row>
    <row r="73" spans="1:13">
      <c r="A73" t="s">
        <v>1751</v>
      </c>
      <c r="B73" t="s">
        <v>2498</v>
      </c>
      <c r="C73" t="s">
        <v>2266</v>
      </c>
      <c r="D73" t="s">
        <v>2499</v>
      </c>
      <c r="E73" s="455">
        <v>46186</v>
      </c>
      <c r="F73" s="455">
        <v>46186</v>
      </c>
      <c r="G73" s="455">
        <v>46186</v>
      </c>
      <c r="H73" t="s">
        <v>1467</v>
      </c>
      <c r="I73" t="s">
        <v>1523</v>
      </c>
      <c r="J73" s="456">
        <v>1077</v>
      </c>
      <c r="K73" s="456">
        <v>2480</v>
      </c>
      <c r="L73">
        <v>0</v>
      </c>
      <c r="M73" s="456">
        <v>2605.77</v>
      </c>
    </row>
    <row r="74" spans="1:13">
      <c r="A74" t="s">
        <v>1751</v>
      </c>
      <c r="B74" t="s">
        <v>1525</v>
      </c>
      <c r="C74" t="s">
        <v>2266</v>
      </c>
      <c r="D74" t="s">
        <v>2152</v>
      </c>
      <c r="E74" s="455">
        <v>46097</v>
      </c>
      <c r="F74" s="455">
        <v>46203</v>
      </c>
      <c r="G74" s="455">
        <v>46097</v>
      </c>
      <c r="H74" t="s">
        <v>1467</v>
      </c>
      <c r="I74" t="s">
        <v>1518</v>
      </c>
      <c r="J74" s="456">
        <v>1077</v>
      </c>
      <c r="K74" s="456">
        <v>1267</v>
      </c>
      <c r="L74">
        <v>0</v>
      </c>
      <c r="M74">
        <v>0</v>
      </c>
    </row>
    <row r="75" spans="1:13">
      <c r="A75" t="s">
        <v>1751</v>
      </c>
      <c r="B75" t="s">
        <v>2500</v>
      </c>
      <c r="C75" t="s">
        <v>2263</v>
      </c>
      <c r="D75" t="s">
        <v>2501</v>
      </c>
      <c r="E75" s="455">
        <v>46125</v>
      </c>
      <c r="F75" s="455">
        <v>46234</v>
      </c>
      <c r="G75" s="455">
        <v>46206</v>
      </c>
      <c r="H75" t="s">
        <v>7194</v>
      </c>
      <c r="I75" t="s">
        <v>1518</v>
      </c>
      <c r="J75" s="456">
        <v>1002</v>
      </c>
      <c r="K75" s="456">
        <v>1140</v>
      </c>
      <c r="L75">
        <v>0</v>
      </c>
      <c r="M75" s="456">
        <v>8149.38</v>
      </c>
    </row>
    <row r="76" spans="1:13">
      <c r="A76" t="s">
        <v>1751</v>
      </c>
      <c r="B76" t="s">
        <v>1529</v>
      </c>
      <c r="C76" t="s">
        <v>2263</v>
      </c>
      <c r="D76" t="s">
        <v>2155</v>
      </c>
      <c r="E76" s="455">
        <v>46073</v>
      </c>
      <c r="F76" s="455">
        <v>46146</v>
      </c>
      <c r="G76" s="455">
        <v>46078</v>
      </c>
      <c r="H76" t="s">
        <v>1467</v>
      </c>
      <c r="I76" t="s">
        <v>1518</v>
      </c>
      <c r="J76" s="456">
        <v>1002</v>
      </c>
      <c r="K76" s="456">
        <v>1100</v>
      </c>
      <c r="L76">
        <v>0</v>
      </c>
      <c r="M76">
        <v>0</v>
      </c>
    </row>
    <row r="77" spans="1:13">
      <c r="A77" t="s">
        <v>1751</v>
      </c>
      <c r="B77" t="s">
        <v>2502</v>
      </c>
      <c r="C77" t="s">
        <v>2263</v>
      </c>
      <c r="D77" t="s">
        <v>1147</v>
      </c>
      <c r="E77" s="455">
        <v>46178</v>
      </c>
      <c r="F77" s="455">
        <v>46428</v>
      </c>
      <c r="G77" s="455">
        <v>46210</v>
      </c>
      <c r="H77" t="s">
        <v>7193</v>
      </c>
      <c r="I77" t="s">
        <v>1518</v>
      </c>
      <c r="J77" s="456">
        <v>1002</v>
      </c>
      <c r="K77" s="456">
        <v>2270</v>
      </c>
      <c r="L77">
        <v>0</v>
      </c>
      <c r="M77" s="456">
        <v>8118.97</v>
      </c>
    </row>
    <row r="78" spans="1:13">
      <c r="A78" t="s">
        <v>1751</v>
      </c>
      <c r="B78" t="s">
        <v>2507</v>
      </c>
      <c r="C78" t="s">
        <v>2263</v>
      </c>
      <c r="D78" t="s">
        <v>2508</v>
      </c>
      <c r="E78" s="455">
        <v>46156</v>
      </c>
      <c r="F78" s="455">
        <v>46234</v>
      </c>
      <c r="G78" s="455">
        <v>46234</v>
      </c>
      <c r="H78" t="s">
        <v>7208</v>
      </c>
      <c r="I78" t="s">
        <v>1523</v>
      </c>
      <c r="J78">
        <v>977</v>
      </c>
      <c r="K78" s="456">
        <v>1125</v>
      </c>
      <c r="L78">
        <v>0</v>
      </c>
      <c r="M78">
        <v>325.8</v>
      </c>
    </row>
    <row r="79" spans="1:13">
      <c r="A79" t="s">
        <v>1751</v>
      </c>
      <c r="B79" t="s">
        <v>2510</v>
      </c>
      <c r="C79" t="s">
        <v>2263</v>
      </c>
      <c r="D79" t="s">
        <v>2511</v>
      </c>
      <c r="E79" s="455">
        <v>46217</v>
      </c>
      <c r="F79" s="455">
        <v>46286</v>
      </c>
      <c r="G79" s="455">
        <v>46286</v>
      </c>
      <c r="H79" t="s">
        <v>7203</v>
      </c>
      <c r="I79" t="s">
        <v>1523</v>
      </c>
      <c r="J79" s="456">
        <v>1002</v>
      </c>
      <c r="K79" s="456">
        <v>1125</v>
      </c>
      <c r="L79">
        <v>0</v>
      </c>
      <c r="M79" s="456">
        <v>1395.27</v>
      </c>
    </row>
    <row r="80" spans="1:13">
      <c r="A80" t="s">
        <v>1751</v>
      </c>
      <c r="B80" t="s">
        <v>2515</v>
      </c>
      <c r="C80" t="s">
        <v>2263</v>
      </c>
      <c r="D80" t="s">
        <v>2516</v>
      </c>
      <c r="E80" s="455">
        <v>46101</v>
      </c>
      <c r="F80" s="455">
        <v>46160</v>
      </c>
      <c r="G80" s="455">
        <v>46160</v>
      </c>
      <c r="H80" t="s">
        <v>7188</v>
      </c>
      <c r="I80" t="s">
        <v>1523</v>
      </c>
      <c r="J80">
        <v>977</v>
      </c>
      <c r="K80" s="456">
        <v>2436</v>
      </c>
      <c r="L80">
        <v>0</v>
      </c>
      <c r="M80">
        <v>347.51</v>
      </c>
    </row>
    <row r="81" spans="1:13">
      <c r="A81" t="s">
        <v>1751</v>
      </c>
      <c r="B81" t="s">
        <v>6317</v>
      </c>
      <c r="C81" t="s">
        <v>2263</v>
      </c>
      <c r="D81" t="s">
        <v>7225</v>
      </c>
      <c r="E81" s="455">
        <v>46097</v>
      </c>
      <c r="F81" s="455">
        <v>46157</v>
      </c>
      <c r="G81" s="455">
        <v>46157</v>
      </c>
      <c r="H81" t="s">
        <v>7206</v>
      </c>
      <c r="I81" t="s">
        <v>1523</v>
      </c>
      <c r="J81">
        <v>882</v>
      </c>
      <c r="K81" s="456">
        <v>2207</v>
      </c>
      <c r="L81">
        <v>0</v>
      </c>
      <c r="M81">
        <v>0</v>
      </c>
    </row>
    <row r="82" spans="1:13">
      <c r="A82" t="s">
        <v>1751</v>
      </c>
      <c r="B82" t="s">
        <v>1574</v>
      </c>
      <c r="C82" t="s">
        <v>2272</v>
      </c>
      <c r="D82" t="s">
        <v>7226</v>
      </c>
      <c r="E82" s="455">
        <v>46111</v>
      </c>
      <c r="F82" s="455">
        <v>46276</v>
      </c>
      <c r="G82" s="455">
        <v>46111</v>
      </c>
      <c r="H82" t="s">
        <v>1467</v>
      </c>
      <c r="I82" t="s">
        <v>1518</v>
      </c>
      <c r="J82" s="456">
        <v>1071</v>
      </c>
      <c r="K82" s="456">
        <v>1566</v>
      </c>
      <c r="L82">
        <v>0</v>
      </c>
      <c r="M82">
        <v>0</v>
      </c>
    </row>
    <row r="83" spans="1:13">
      <c r="A83" t="s">
        <v>1751</v>
      </c>
      <c r="B83" t="s">
        <v>1568</v>
      </c>
      <c r="C83" t="s">
        <v>2272</v>
      </c>
      <c r="D83" t="s">
        <v>7227</v>
      </c>
      <c r="E83" s="455">
        <v>46114</v>
      </c>
      <c r="F83" s="455">
        <v>46116</v>
      </c>
      <c r="G83" s="455">
        <v>46114</v>
      </c>
      <c r="H83" t="s">
        <v>7194</v>
      </c>
      <c r="I83" t="s">
        <v>1518</v>
      </c>
      <c r="J83" s="456">
        <v>1096</v>
      </c>
      <c r="K83" s="456">
        <v>1520</v>
      </c>
      <c r="L83">
        <v>0</v>
      </c>
      <c r="M83">
        <v>0</v>
      </c>
    </row>
    <row r="84" spans="1:13">
      <c r="A84" t="s">
        <v>1751</v>
      </c>
      <c r="B84" t="s">
        <v>1546</v>
      </c>
      <c r="C84" t="s">
        <v>2272</v>
      </c>
      <c r="D84" t="s">
        <v>7228</v>
      </c>
      <c r="E84" s="455">
        <v>46037</v>
      </c>
      <c r="F84" s="455">
        <v>46113</v>
      </c>
      <c r="G84" s="455">
        <v>46055</v>
      </c>
      <c r="H84" t="s">
        <v>7189</v>
      </c>
      <c r="I84" t="s">
        <v>1518</v>
      </c>
      <c r="J84" s="456">
        <v>1096</v>
      </c>
      <c r="K84" s="456">
        <v>1520</v>
      </c>
      <c r="L84">
        <v>0</v>
      </c>
      <c r="M84">
        <v>0</v>
      </c>
    </row>
    <row r="85" spans="1:13">
      <c r="A85" t="s">
        <v>1751</v>
      </c>
      <c r="B85" t="s">
        <v>7138</v>
      </c>
      <c r="C85" t="s">
        <v>2275</v>
      </c>
      <c r="D85" t="s">
        <v>7229</v>
      </c>
      <c r="E85" s="455">
        <v>45992</v>
      </c>
      <c r="F85" s="455">
        <v>46056</v>
      </c>
      <c r="G85" s="455">
        <v>46056</v>
      </c>
      <c r="H85" t="s">
        <v>7230</v>
      </c>
      <c r="I85" t="s">
        <v>1523</v>
      </c>
      <c r="J85" s="456">
        <v>1232</v>
      </c>
      <c r="K85" s="456">
        <v>3404</v>
      </c>
      <c r="L85">
        <v>0</v>
      </c>
      <c r="M85">
        <v>0</v>
      </c>
    </row>
    <row r="86" spans="1:13">
      <c r="A86" t="s">
        <v>1751</v>
      </c>
      <c r="B86" t="s">
        <v>2520</v>
      </c>
      <c r="C86" t="s">
        <v>2275</v>
      </c>
      <c r="D86" t="s">
        <v>2521</v>
      </c>
      <c r="E86" s="455">
        <v>46130</v>
      </c>
      <c r="F86" s="455">
        <v>46193</v>
      </c>
      <c r="G86" s="455">
        <v>46193</v>
      </c>
      <c r="H86" t="s">
        <v>7201</v>
      </c>
      <c r="I86" t="s">
        <v>1523</v>
      </c>
      <c r="J86" s="456">
        <v>1137</v>
      </c>
      <c r="K86" s="456">
        <v>2993</v>
      </c>
      <c r="L86">
        <v>0</v>
      </c>
      <c r="M86" s="456">
        <v>1491.53</v>
      </c>
    </row>
    <row r="87" spans="1:13">
      <c r="A87" t="s">
        <v>1751</v>
      </c>
      <c r="B87" t="s">
        <v>2522</v>
      </c>
      <c r="C87" t="s">
        <v>2263</v>
      </c>
      <c r="D87" t="s">
        <v>2523</v>
      </c>
      <c r="E87" s="455">
        <v>46233</v>
      </c>
      <c r="F87" s="455">
        <v>46265</v>
      </c>
      <c r="G87" s="455">
        <v>46265</v>
      </c>
      <c r="H87" t="s">
        <v>7195</v>
      </c>
      <c r="I87" t="s">
        <v>1523</v>
      </c>
      <c r="J87" s="456">
        <v>1002</v>
      </c>
      <c r="K87" s="456">
        <v>1068</v>
      </c>
      <c r="L87">
        <v>150</v>
      </c>
      <c r="M87" s="456">
        <v>1275.78</v>
      </c>
    </row>
    <row r="88" spans="1:13">
      <c r="A88" t="s">
        <v>1751</v>
      </c>
      <c r="B88" t="s">
        <v>6746</v>
      </c>
      <c r="C88" t="s">
        <v>2263</v>
      </c>
      <c r="D88" t="s">
        <v>7231</v>
      </c>
      <c r="E88" s="455">
        <v>46113</v>
      </c>
      <c r="F88" s="455">
        <v>46181</v>
      </c>
      <c r="G88" s="455">
        <v>46181</v>
      </c>
      <c r="H88" t="s">
        <v>7187</v>
      </c>
      <c r="I88" t="s">
        <v>1523</v>
      </c>
      <c r="J88">
        <v>977</v>
      </c>
      <c r="K88" s="456">
        <v>2440</v>
      </c>
      <c r="L88">
        <v>0</v>
      </c>
      <c r="M88">
        <v>0</v>
      </c>
    </row>
    <row r="89" spans="1:13">
      <c r="A89" t="s">
        <v>1751</v>
      </c>
      <c r="B89" t="s">
        <v>6747</v>
      </c>
      <c r="C89" t="s">
        <v>2263</v>
      </c>
      <c r="D89" t="s">
        <v>7232</v>
      </c>
      <c r="E89" s="455">
        <v>46121</v>
      </c>
      <c r="F89" s="455">
        <v>46181</v>
      </c>
      <c r="G89" s="455">
        <v>46181</v>
      </c>
      <c r="H89" t="s">
        <v>7188</v>
      </c>
      <c r="I89" t="s">
        <v>1523</v>
      </c>
      <c r="J89">
        <v>977</v>
      </c>
      <c r="K89" s="456">
        <v>2576</v>
      </c>
      <c r="L89">
        <v>0</v>
      </c>
      <c r="M89">
        <v>0</v>
      </c>
    </row>
    <row r="90" spans="1:13">
      <c r="A90" t="s">
        <v>1751</v>
      </c>
      <c r="B90" t="s">
        <v>1569</v>
      </c>
      <c r="C90" t="s">
        <v>2263</v>
      </c>
      <c r="D90" t="s">
        <v>2154</v>
      </c>
      <c r="E90" s="455">
        <v>46104</v>
      </c>
      <c r="F90" s="455">
        <v>46114</v>
      </c>
      <c r="G90" s="455">
        <v>46114</v>
      </c>
      <c r="H90" t="s">
        <v>7194</v>
      </c>
      <c r="I90" t="s">
        <v>1523</v>
      </c>
      <c r="J90">
        <v>912</v>
      </c>
      <c r="K90">
        <v>955</v>
      </c>
      <c r="L90">
        <v>0</v>
      </c>
      <c r="M90">
        <v>0</v>
      </c>
    </row>
    <row r="91" spans="1:13">
      <c r="A91" t="s">
        <v>1751</v>
      </c>
      <c r="B91" t="s">
        <v>2524</v>
      </c>
      <c r="C91" t="s">
        <v>2263</v>
      </c>
      <c r="D91" t="s">
        <v>2525</v>
      </c>
      <c r="E91" s="455">
        <v>46242</v>
      </c>
      <c r="F91" s="455">
        <v>46296</v>
      </c>
      <c r="G91" s="455">
        <v>46296</v>
      </c>
      <c r="H91" t="s">
        <v>7188</v>
      </c>
      <c r="I91" t="s">
        <v>1523</v>
      </c>
      <c r="J91">
        <v>882</v>
      </c>
      <c r="K91" s="456">
        <v>2231</v>
      </c>
      <c r="L91">
        <v>0</v>
      </c>
      <c r="M91">
        <v>151.77000000000001</v>
      </c>
    </row>
    <row r="92" spans="1:13">
      <c r="A92" t="s">
        <v>1751</v>
      </c>
      <c r="B92" t="s">
        <v>6750</v>
      </c>
      <c r="C92" t="s">
        <v>2263</v>
      </c>
      <c r="D92" t="s">
        <v>6751</v>
      </c>
      <c r="E92" s="455">
        <v>46184</v>
      </c>
      <c r="F92" s="455">
        <v>46265</v>
      </c>
      <c r="G92" s="455">
        <v>46265</v>
      </c>
      <c r="H92" t="s">
        <v>7188</v>
      </c>
      <c r="I92" t="s">
        <v>1523</v>
      </c>
      <c r="J92">
        <v>882</v>
      </c>
      <c r="K92">
        <v>935</v>
      </c>
      <c r="L92">
        <v>750</v>
      </c>
      <c r="M92">
        <v>0</v>
      </c>
    </row>
    <row r="93" spans="1:13">
      <c r="A93" t="s">
        <v>1751</v>
      </c>
      <c r="B93" t="s">
        <v>1562</v>
      </c>
      <c r="C93" t="s">
        <v>2272</v>
      </c>
      <c r="D93" t="s">
        <v>7233</v>
      </c>
      <c r="E93" s="455">
        <v>46063</v>
      </c>
      <c r="F93" s="455">
        <v>46081</v>
      </c>
      <c r="G93" s="455">
        <v>46081</v>
      </c>
      <c r="H93" t="s">
        <v>7189</v>
      </c>
      <c r="I93" t="s">
        <v>1523</v>
      </c>
      <c r="J93" s="456">
        <v>1096</v>
      </c>
      <c r="K93" s="456">
        <v>1579</v>
      </c>
      <c r="L93">
        <v>0</v>
      </c>
      <c r="M93">
        <v>0</v>
      </c>
    </row>
    <row r="94" spans="1:13">
      <c r="A94" t="s">
        <v>1751</v>
      </c>
      <c r="B94" t="s">
        <v>2527</v>
      </c>
      <c r="C94" t="s">
        <v>2272</v>
      </c>
      <c r="D94" t="s">
        <v>2528</v>
      </c>
      <c r="E94" s="455">
        <v>46149</v>
      </c>
      <c r="F94" s="455">
        <v>46234</v>
      </c>
      <c r="G94" s="455">
        <v>46234</v>
      </c>
      <c r="H94" t="s">
        <v>7188</v>
      </c>
      <c r="I94" t="s">
        <v>1523</v>
      </c>
      <c r="J94" s="456">
        <v>1096</v>
      </c>
      <c r="K94" s="456">
        <v>1652</v>
      </c>
      <c r="L94">
        <v>0</v>
      </c>
      <c r="M94">
        <v>363.07</v>
      </c>
    </row>
    <row r="95" spans="1:13">
      <c r="A95" t="s">
        <v>1751</v>
      </c>
      <c r="B95" t="s">
        <v>2529</v>
      </c>
      <c r="C95" t="s">
        <v>2272</v>
      </c>
      <c r="D95" t="s">
        <v>2530</v>
      </c>
      <c r="E95" s="455">
        <v>46111</v>
      </c>
      <c r="F95" s="455">
        <v>46172</v>
      </c>
      <c r="G95" s="455">
        <v>46172</v>
      </c>
      <c r="H95" t="s">
        <v>7189</v>
      </c>
      <c r="I95" t="s">
        <v>1523</v>
      </c>
      <c r="J95" s="456">
        <v>1096</v>
      </c>
      <c r="K95" s="456">
        <v>3506</v>
      </c>
      <c r="L95">
        <v>0</v>
      </c>
      <c r="M95" s="456">
        <v>1057.23</v>
      </c>
    </row>
    <row r="96" spans="1:13">
      <c r="A96" t="s">
        <v>1751</v>
      </c>
      <c r="B96" t="s">
        <v>3634</v>
      </c>
      <c r="C96" t="s">
        <v>2272</v>
      </c>
      <c r="D96" t="s">
        <v>7049</v>
      </c>
      <c r="E96" s="455">
        <v>46175</v>
      </c>
      <c r="F96" s="455">
        <v>46265</v>
      </c>
      <c r="G96" s="455">
        <v>46265</v>
      </c>
      <c r="H96" t="s">
        <v>7206</v>
      </c>
      <c r="I96" t="s">
        <v>1523</v>
      </c>
      <c r="J96" s="456">
        <v>1096</v>
      </c>
      <c r="K96" s="456">
        <v>1596</v>
      </c>
      <c r="L96">
        <v>0</v>
      </c>
      <c r="M96">
        <v>0</v>
      </c>
    </row>
    <row r="97" spans="1:13">
      <c r="A97" t="s">
        <v>1751</v>
      </c>
      <c r="B97" t="s">
        <v>1524</v>
      </c>
      <c r="C97" t="s">
        <v>2272</v>
      </c>
      <c r="D97" t="s">
        <v>1094</v>
      </c>
      <c r="E97" s="455">
        <v>46065</v>
      </c>
      <c r="F97" s="455">
        <v>46065</v>
      </c>
      <c r="G97" s="455">
        <v>46065</v>
      </c>
      <c r="H97" t="s">
        <v>1467</v>
      </c>
      <c r="I97" t="s">
        <v>1523</v>
      </c>
      <c r="J97" s="456">
        <v>1071</v>
      </c>
      <c r="K97" s="456">
        <v>3280</v>
      </c>
      <c r="L97">
        <v>0</v>
      </c>
      <c r="M97">
        <v>0</v>
      </c>
    </row>
    <row r="98" spans="1:13">
      <c r="A98" t="s">
        <v>1751</v>
      </c>
      <c r="B98" t="s">
        <v>2531</v>
      </c>
      <c r="C98" t="s">
        <v>2272</v>
      </c>
      <c r="D98" t="s">
        <v>2532</v>
      </c>
      <c r="E98" s="455">
        <v>46135</v>
      </c>
      <c r="F98" s="455">
        <v>46195</v>
      </c>
      <c r="G98" s="455">
        <v>46195</v>
      </c>
      <c r="H98" t="s">
        <v>7188</v>
      </c>
      <c r="I98" t="s">
        <v>1523</v>
      </c>
      <c r="J98" s="456">
        <v>1071</v>
      </c>
      <c r="K98" s="456">
        <v>3478</v>
      </c>
      <c r="L98">
        <v>0</v>
      </c>
      <c r="M98" s="456">
        <v>1733.91</v>
      </c>
    </row>
    <row r="99" spans="1:13">
      <c r="A99" t="s">
        <v>1751</v>
      </c>
      <c r="B99" t="s">
        <v>1598</v>
      </c>
      <c r="C99" t="s">
        <v>2275</v>
      </c>
      <c r="D99" t="s">
        <v>7234</v>
      </c>
      <c r="E99" s="455">
        <v>46125</v>
      </c>
      <c r="F99" s="455">
        <v>46406</v>
      </c>
      <c r="G99" s="455">
        <v>46125</v>
      </c>
      <c r="H99" t="s">
        <v>1467</v>
      </c>
      <c r="I99" t="s">
        <v>1518</v>
      </c>
      <c r="J99" s="456">
        <v>1232</v>
      </c>
      <c r="K99" s="456">
        <v>1301</v>
      </c>
      <c r="L99">
        <v>0</v>
      </c>
      <c r="M99">
        <v>0</v>
      </c>
    </row>
    <row r="100" spans="1:13">
      <c r="A100" t="s">
        <v>1751</v>
      </c>
      <c r="B100" t="s">
        <v>1595</v>
      </c>
      <c r="C100" t="s">
        <v>2275</v>
      </c>
      <c r="D100" t="s">
        <v>7235</v>
      </c>
      <c r="E100" s="455">
        <v>46071</v>
      </c>
      <c r="F100" s="455">
        <v>46133</v>
      </c>
      <c r="G100" s="455">
        <v>46130</v>
      </c>
      <c r="H100" t="s">
        <v>7217</v>
      </c>
      <c r="I100" t="s">
        <v>1518</v>
      </c>
      <c r="J100" s="456">
        <v>1137</v>
      </c>
      <c r="K100" s="456">
        <v>1665</v>
      </c>
      <c r="L100">
        <v>0</v>
      </c>
      <c r="M100">
        <v>0</v>
      </c>
    </row>
    <row r="101" spans="1:13">
      <c r="A101" t="s">
        <v>1751</v>
      </c>
      <c r="B101" t="s">
        <v>2536</v>
      </c>
      <c r="C101" t="s">
        <v>2268</v>
      </c>
      <c r="D101" t="s">
        <v>1111</v>
      </c>
      <c r="E101" s="455">
        <v>46174</v>
      </c>
      <c r="F101" s="455">
        <v>46234</v>
      </c>
      <c r="G101" s="455">
        <v>46234</v>
      </c>
      <c r="H101" t="s">
        <v>7195</v>
      </c>
      <c r="I101" t="s">
        <v>1523</v>
      </c>
      <c r="J101" s="456">
        <v>1121</v>
      </c>
      <c r="K101" s="456">
        <v>1405</v>
      </c>
      <c r="L101">
        <v>150</v>
      </c>
      <c r="M101">
        <v>446.35</v>
      </c>
    </row>
    <row r="102" spans="1:13">
      <c r="A102" t="s">
        <v>1751</v>
      </c>
      <c r="B102" t="s">
        <v>6912</v>
      </c>
      <c r="C102" t="s">
        <v>2268</v>
      </c>
      <c r="D102" t="s">
        <v>7236</v>
      </c>
      <c r="E102" s="455">
        <v>46164</v>
      </c>
      <c r="F102" s="455">
        <v>46224</v>
      </c>
      <c r="G102" s="455">
        <v>46224</v>
      </c>
      <c r="H102" t="s">
        <v>7188</v>
      </c>
      <c r="I102" t="s">
        <v>1523</v>
      </c>
      <c r="J102" s="456">
        <v>1121</v>
      </c>
      <c r="K102" s="456">
        <v>3074</v>
      </c>
      <c r="L102">
        <v>0</v>
      </c>
      <c r="M102">
        <v>0</v>
      </c>
    </row>
    <row r="103" spans="1:13">
      <c r="A103" t="s">
        <v>1751</v>
      </c>
      <c r="B103" t="s">
        <v>1581</v>
      </c>
      <c r="C103" t="s">
        <v>2268</v>
      </c>
      <c r="D103" t="s">
        <v>7237</v>
      </c>
      <c r="E103" s="455">
        <v>46052</v>
      </c>
      <c r="F103" s="455">
        <v>46112</v>
      </c>
      <c r="G103" s="455">
        <v>46112</v>
      </c>
      <c r="H103" t="s">
        <v>7206</v>
      </c>
      <c r="I103" t="s">
        <v>1523</v>
      </c>
      <c r="J103" s="456">
        <v>1131</v>
      </c>
      <c r="K103" s="456">
        <v>1213</v>
      </c>
      <c r="L103">
        <v>0</v>
      </c>
      <c r="M103">
        <v>0</v>
      </c>
    </row>
    <row r="104" spans="1:13">
      <c r="A104" t="s">
        <v>1751</v>
      </c>
      <c r="B104" t="s">
        <v>1572</v>
      </c>
      <c r="C104" t="s">
        <v>2268</v>
      </c>
      <c r="D104" t="s">
        <v>2153</v>
      </c>
      <c r="E104" s="455">
        <v>46104</v>
      </c>
      <c r="F104" s="455">
        <v>46120</v>
      </c>
      <c r="G104" s="455">
        <v>46120</v>
      </c>
      <c r="H104" t="s">
        <v>7194</v>
      </c>
      <c r="I104" t="s">
        <v>1523</v>
      </c>
      <c r="J104" s="456">
        <v>1036</v>
      </c>
      <c r="K104" s="456">
        <v>2835</v>
      </c>
      <c r="L104">
        <v>0</v>
      </c>
      <c r="M104">
        <v>0</v>
      </c>
    </row>
    <row r="105" spans="1:13">
      <c r="A105" t="s">
        <v>1751</v>
      </c>
      <c r="B105" t="s">
        <v>1559</v>
      </c>
      <c r="C105" t="s">
        <v>1029</v>
      </c>
      <c r="D105" t="s">
        <v>7238</v>
      </c>
      <c r="E105" s="455">
        <v>46053</v>
      </c>
      <c r="F105" s="455">
        <v>46053</v>
      </c>
      <c r="G105" s="455">
        <v>46053</v>
      </c>
      <c r="H105" t="s">
        <v>1467</v>
      </c>
      <c r="I105" t="s">
        <v>1523</v>
      </c>
      <c r="J105" s="456">
        <v>1610</v>
      </c>
      <c r="K105" s="456">
        <v>1502</v>
      </c>
      <c r="L105">
        <v>0</v>
      </c>
      <c r="M105">
        <v>0</v>
      </c>
    </row>
    <row r="106" spans="1:13">
      <c r="A106" t="s">
        <v>1751</v>
      </c>
      <c r="B106" t="s">
        <v>6920</v>
      </c>
      <c r="C106" t="s">
        <v>2268</v>
      </c>
      <c r="D106" t="s">
        <v>4795</v>
      </c>
      <c r="E106" s="455">
        <v>46230</v>
      </c>
      <c r="F106" s="455">
        <v>46261</v>
      </c>
      <c r="G106" s="455">
        <v>46261</v>
      </c>
      <c r="H106" t="s">
        <v>7195</v>
      </c>
      <c r="I106" t="s">
        <v>1523</v>
      </c>
      <c r="J106" s="456">
        <v>1121</v>
      </c>
      <c r="K106" s="456">
        <v>2906</v>
      </c>
      <c r="L106">
        <v>0</v>
      </c>
      <c r="M106">
        <v>0</v>
      </c>
    </row>
    <row r="107" spans="1:13">
      <c r="A107" t="s">
        <v>1751</v>
      </c>
      <c r="B107" t="s">
        <v>2964</v>
      </c>
      <c r="C107" t="s">
        <v>2268</v>
      </c>
      <c r="D107" t="s">
        <v>2965</v>
      </c>
      <c r="E107" s="455">
        <v>46150</v>
      </c>
      <c r="F107" s="455">
        <v>46150</v>
      </c>
      <c r="G107" s="455">
        <v>46150</v>
      </c>
      <c r="H107" t="s">
        <v>7195</v>
      </c>
      <c r="I107" t="s">
        <v>1523</v>
      </c>
      <c r="J107" s="456">
        <v>1121</v>
      </c>
      <c r="K107" s="456">
        <v>2920</v>
      </c>
      <c r="L107">
        <v>0</v>
      </c>
      <c r="M107">
        <v>0</v>
      </c>
    </row>
    <row r="108" spans="1:13">
      <c r="A108" t="s">
        <v>1751</v>
      </c>
      <c r="B108" t="s">
        <v>4587</v>
      </c>
      <c r="C108" t="s">
        <v>2268</v>
      </c>
      <c r="D108" t="s">
        <v>7239</v>
      </c>
      <c r="E108" s="455">
        <v>46076</v>
      </c>
      <c r="F108" s="455">
        <v>46147</v>
      </c>
      <c r="G108" s="455">
        <v>46146</v>
      </c>
      <c r="H108" t="s">
        <v>7191</v>
      </c>
      <c r="I108" t="s">
        <v>1518</v>
      </c>
      <c r="J108" s="456">
        <v>1131</v>
      </c>
      <c r="K108" s="456">
        <v>1415</v>
      </c>
      <c r="L108">
        <v>0</v>
      </c>
      <c r="M108">
        <v>0</v>
      </c>
    </row>
    <row r="109" spans="1:13">
      <c r="A109" t="s">
        <v>1751</v>
      </c>
      <c r="B109" t="s">
        <v>2537</v>
      </c>
      <c r="C109" t="s">
        <v>1029</v>
      </c>
      <c r="D109" t="s">
        <v>2538</v>
      </c>
      <c r="E109" s="455">
        <v>46174</v>
      </c>
      <c r="F109" s="455">
        <v>46242</v>
      </c>
      <c r="G109" s="455">
        <v>46242</v>
      </c>
      <c r="H109" t="s">
        <v>7189</v>
      </c>
      <c r="I109" t="s">
        <v>1523</v>
      </c>
      <c r="J109" s="456">
        <v>1705</v>
      </c>
      <c r="K109" s="456">
        <v>3790</v>
      </c>
      <c r="L109">
        <v>0</v>
      </c>
      <c r="M109">
        <v>516.54999999999995</v>
      </c>
    </row>
    <row r="110" spans="1:13">
      <c r="A110" t="s">
        <v>1751</v>
      </c>
      <c r="B110" t="s">
        <v>1570</v>
      </c>
      <c r="C110" t="s">
        <v>1029</v>
      </c>
      <c r="D110" t="s">
        <v>1091</v>
      </c>
      <c r="E110" s="455">
        <v>46073</v>
      </c>
      <c r="F110" s="455">
        <v>46152</v>
      </c>
      <c r="G110" s="455">
        <v>46114</v>
      </c>
      <c r="H110" t="s">
        <v>7194</v>
      </c>
      <c r="I110" t="s">
        <v>1518</v>
      </c>
      <c r="J110" s="456">
        <v>1705</v>
      </c>
      <c r="K110" s="456">
        <v>2095</v>
      </c>
      <c r="L110">
        <v>0</v>
      </c>
      <c r="M110">
        <v>0</v>
      </c>
    </row>
    <row r="111" spans="1:13">
      <c r="A111" t="s">
        <v>1751</v>
      </c>
      <c r="B111" t="s">
        <v>2539</v>
      </c>
      <c r="C111" t="s">
        <v>1029</v>
      </c>
      <c r="D111" t="s">
        <v>2540</v>
      </c>
      <c r="E111" s="455">
        <v>46183</v>
      </c>
      <c r="F111" s="455">
        <v>46428</v>
      </c>
      <c r="G111" s="455">
        <v>46198</v>
      </c>
      <c r="H111" t="s">
        <v>7193</v>
      </c>
      <c r="I111" t="s">
        <v>1518</v>
      </c>
      <c r="J111" s="456">
        <v>1585</v>
      </c>
      <c r="K111" s="456">
        <v>3466</v>
      </c>
      <c r="L111">
        <v>0</v>
      </c>
      <c r="M111" s="456">
        <v>11939.11</v>
      </c>
    </row>
    <row r="112" spans="1:13">
      <c r="A112" t="s">
        <v>1751</v>
      </c>
      <c r="B112" t="s">
        <v>2543</v>
      </c>
      <c r="C112" t="s">
        <v>1029</v>
      </c>
      <c r="D112" t="s">
        <v>2544</v>
      </c>
      <c r="E112" s="455">
        <v>46122</v>
      </c>
      <c r="F112" s="455">
        <v>46203</v>
      </c>
      <c r="G112" s="455">
        <v>46142</v>
      </c>
      <c r="H112" t="s">
        <v>1467</v>
      </c>
      <c r="I112" t="s">
        <v>1518</v>
      </c>
      <c r="J112" s="456">
        <v>1680</v>
      </c>
      <c r="K112" s="456">
        <v>1803</v>
      </c>
      <c r="L112">
        <v>0</v>
      </c>
      <c r="M112" s="456">
        <v>5424.72</v>
      </c>
    </row>
    <row r="113" spans="1:13">
      <c r="A113" t="s">
        <v>1751</v>
      </c>
      <c r="B113" t="s">
        <v>1563</v>
      </c>
      <c r="C113" t="s">
        <v>2269</v>
      </c>
      <c r="D113" t="s">
        <v>7144</v>
      </c>
      <c r="E113" s="455">
        <v>46070</v>
      </c>
      <c r="F113" s="455">
        <v>46416</v>
      </c>
      <c r="G113" s="455">
        <v>46070</v>
      </c>
      <c r="H113" t="s">
        <v>7203</v>
      </c>
      <c r="I113" t="s">
        <v>1518</v>
      </c>
      <c r="J113" s="456">
        <v>1288</v>
      </c>
      <c r="K113" s="456">
        <v>1380</v>
      </c>
      <c r="L113">
        <v>0</v>
      </c>
      <c r="M113">
        <v>0</v>
      </c>
    </row>
    <row r="114" spans="1:13">
      <c r="A114" t="s">
        <v>1751</v>
      </c>
      <c r="B114" t="s">
        <v>2545</v>
      </c>
      <c r="C114" t="s">
        <v>2262</v>
      </c>
      <c r="D114" t="s">
        <v>2546</v>
      </c>
      <c r="E114" s="455">
        <v>46178</v>
      </c>
      <c r="F114" s="455">
        <v>46506</v>
      </c>
      <c r="G114" s="455">
        <v>46178</v>
      </c>
      <c r="H114" t="s">
        <v>1467</v>
      </c>
      <c r="I114" t="s">
        <v>1518</v>
      </c>
      <c r="J114">
        <v>973</v>
      </c>
      <c r="K114" s="456">
        <v>2100</v>
      </c>
      <c r="L114">
        <v>0</v>
      </c>
      <c r="M114" s="456">
        <v>3554.78</v>
      </c>
    </row>
    <row r="115" spans="1:13">
      <c r="A115" t="s">
        <v>1751</v>
      </c>
      <c r="B115" t="s">
        <v>2547</v>
      </c>
      <c r="C115" t="s">
        <v>2262</v>
      </c>
      <c r="D115" t="s">
        <v>1150</v>
      </c>
      <c r="E115" s="455">
        <v>46135</v>
      </c>
      <c r="F115" s="455">
        <v>46234</v>
      </c>
      <c r="G115" s="455">
        <v>46216</v>
      </c>
      <c r="H115" t="s">
        <v>7194</v>
      </c>
      <c r="I115" t="s">
        <v>1518</v>
      </c>
      <c r="J115">
        <v>933</v>
      </c>
      <c r="K115">
        <v>995</v>
      </c>
      <c r="L115">
        <v>0</v>
      </c>
      <c r="M115" s="456">
        <v>3611.2</v>
      </c>
    </row>
    <row r="116" spans="1:13">
      <c r="A116" t="s">
        <v>1751</v>
      </c>
      <c r="B116" t="s">
        <v>6627</v>
      </c>
      <c r="C116" t="s">
        <v>2262</v>
      </c>
      <c r="D116" t="s">
        <v>6628</v>
      </c>
      <c r="E116" s="455">
        <v>46169</v>
      </c>
      <c r="F116" s="455">
        <v>46269</v>
      </c>
      <c r="G116" s="455">
        <v>46269</v>
      </c>
      <c r="H116" t="s">
        <v>7188</v>
      </c>
      <c r="I116" t="s">
        <v>1523</v>
      </c>
      <c r="J116">
        <v>903</v>
      </c>
      <c r="K116" s="456">
        <v>2201</v>
      </c>
      <c r="L116">
        <v>0</v>
      </c>
      <c r="M116">
        <v>0</v>
      </c>
    </row>
    <row r="117" spans="1:13">
      <c r="A117" t="s">
        <v>1751</v>
      </c>
      <c r="B117" t="s">
        <v>2550</v>
      </c>
      <c r="C117" t="s">
        <v>2262</v>
      </c>
      <c r="D117" t="s">
        <v>2551</v>
      </c>
      <c r="E117" s="455">
        <v>46141</v>
      </c>
      <c r="F117" s="455">
        <v>46171</v>
      </c>
      <c r="G117" s="455">
        <v>46146</v>
      </c>
      <c r="H117" t="s">
        <v>7194</v>
      </c>
      <c r="I117" t="s">
        <v>1518</v>
      </c>
      <c r="J117">
        <v>973</v>
      </c>
      <c r="K117" s="456">
        <v>2250</v>
      </c>
      <c r="L117">
        <v>0</v>
      </c>
      <c r="M117" s="456">
        <v>12748.63</v>
      </c>
    </row>
    <row r="118" spans="1:13">
      <c r="A118" t="s">
        <v>1751</v>
      </c>
      <c r="B118" t="s">
        <v>1552</v>
      </c>
      <c r="C118" t="s">
        <v>2262</v>
      </c>
      <c r="D118" t="s">
        <v>2999</v>
      </c>
      <c r="E118" s="455">
        <v>46034</v>
      </c>
      <c r="F118" s="455">
        <v>46034</v>
      </c>
      <c r="G118" s="455">
        <v>46034</v>
      </c>
      <c r="H118" t="s">
        <v>7208</v>
      </c>
      <c r="I118" t="s">
        <v>1523</v>
      </c>
      <c r="J118">
        <v>933</v>
      </c>
      <c r="K118">
        <v>848</v>
      </c>
      <c r="L118">
        <v>0</v>
      </c>
      <c r="M118">
        <v>0</v>
      </c>
    </row>
    <row r="119" spans="1:13">
      <c r="A119" t="s">
        <v>1751</v>
      </c>
      <c r="B119" t="s">
        <v>1590</v>
      </c>
      <c r="C119" t="s">
        <v>2262</v>
      </c>
      <c r="D119" t="s">
        <v>7240</v>
      </c>
      <c r="E119" s="455">
        <v>46073</v>
      </c>
      <c r="F119" s="455">
        <v>46139</v>
      </c>
      <c r="G119" s="455">
        <v>46139</v>
      </c>
      <c r="H119" t="s">
        <v>1471</v>
      </c>
      <c r="I119" t="s">
        <v>1523</v>
      </c>
      <c r="J119">
        <v>888</v>
      </c>
      <c r="K119" s="456">
        <v>2013.69</v>
      </c>
      <c r="L119">
        <v>0</v>
      </c>
      <c r="M119">
        <v>0</v>
      </c>
    </row>
    <row r="120" spans="1:13">
      <c r="A120" t="s">
        <v>1751</v>
      </c>
      <c r="B120" t="s">
        <v>1801</v>
      </c>
      <c r="C120" t="s">
        <v>2262</v>
      </c>
      <c r="D120" t="s">
        <v>3005</v>
      </c>
      <c r="E120" s="455">
        <v>45969</v>
      </c>
      <c r="F120" s="455">
        <v>46132</v>
      </c>
      <c r="G120" s="455">
        <v>46132</v>
      </c>
      <c r="H120" t="s">
        <v>7206</v>
      </c>
      <c r="I120" t="s">
        <v>1523</v>
      </c>
      <c r="J120">
        <v>973</v>
      </c>
      <c r="K120" s="456">
        <v>1140</v>
      </c>
      <c r="L120">
        <v>0</v>
      </c>
      <c r="M120">
        <v>0</v>
      </c>
    </row>
    <row r="121" spans="1:13">
      <c r="A121" t="s">
        <v>1751</v>
      </c>
      <c r="B121" t="s">
        <v>1543</v>
      </c>
      <c r="C121" t="s">
        <v>2262</v>
      </c>
      <c r="D121" t="s">
        <v>7241</v>
      </c>
      <c r="E121" s="455">
        <v>46055</v>
      </c>
      <c r="F121" s="455">
        <v>46234</v>
      </c>
      <c r="G121" s="455">
        <v>46055</v>
      </c>
      <c r="H121" t="s">
        <v>7213</v>
      </c>
      <c r="I121" t="s">
        <v>1518</v>
      </c>
      <c r="J121">
        <v>903</v>
      </c>
      <c r="K121">
        <v>874</v>
      </c>
      <c r="L121">
        <v>0</v>
      </c>
      <c r="M121">
        <v>0</v>
      </c>
    </row>
    <row r="122" spans="1:13">
      <c r="A122" t="s">
        <v>1751</v>
      </c>
      <c r="B122" t="s">
        <v>2560</v>
      </c>
      <c r="C122" t="s">
        <v>2260</v>
      </c>
      <c r="D122" t="s">
        <v>2561</v>
      </c>
      <c r="E122" s="455">
        <v>46135</v>
      </c>
      <c r="F122" s="455">
        <v>46233</v>
      </c>
      <c r="G122" s="455">
        <v>46233</v>
      </c>
      <c r="H122" t="s">
        <v>1471</v>
      </c>
      <c r="I122" t="s">
        <v>1523</v>
      </c>
      <c r="J122">
        <v>886</v>
      </c>
      <c r="K122" s="456">
        <v>1055</v>
      </c>
      <c r="L122">
        <v>0</v>
      </c>
      <c r="M122">
        <v>435.66</v>
      </c>
    </row>
    <row r="123" spans="1:13">
      <c r="A123" t="s">
        <v>1751</v>
      </c>
      <c r="B123" t="s">
        <v>2562</v>
      </c>
      <c r="C123" t="s">
        <v>2271</v>
      </c>
      <c r="D123" t="s">
        <v>2563</v>
      </c>
      <c r="E123" s="455">
        <v>46077</v>
      </c>
      <c r="F123" s="455">
        <v>46173</v>
      </c>
      <c r="G123" s="455">
        <v>46172</v>
      </c>
      <c r="H123" t="s">
        <v>7208</v>
      </c>
      <c r="I123" t="s">
        <v>1518</v>
      </c>
      <c r="J123" s="456">
        <v>1213</v>
      </c>
      <c r="K123" s="456">
        <v>1485</v>
      </c>
      <c r="L123">
        <v>0</v>
      </c>
      <c r="M123" s="456">
        <v>1241.29</v>
      </c>
    </row>
    <row r="124" spans="1:13">
      <c r="A124" t="s">
        <v>1751</v>
      </c>
      <c r="B124" t="s">
        <v>1517</v>
      </c>
      <c r="C124" t="s">
        <v>2269</v>
      </c>
      <c r="D124" t="s">
        <v>2117</v>
      </c>
      <c r="E124" s="455">
        <v>46064</v>
      </c>
      <c r="F124" s="455">
        <v>46064</v>
      </c>
      <c r="G124" s="455">
        <v>46064</v>
      </c>
      <c r="H124" t="s">
        <v>1467</v>
      </c>
      <c r="I124" t="s">
        <v>1523</v>
      </c>
      <c r="J124" s="456">
        <v>1243</v>
      </c>
      <c r="K124" s="456">
        <v>1435</v>
      </c>
      <c r="L124">
        <v>0</v>
      </c>
      <c r="M124">
        <v>0</v>
      </c>
    </row>
    <row r="125" spans="1:13">
      <c r="A125" t="s">
        <v>1751</v>
      </c>
      <c r="B125" t="s">
        <v>1558</v>
      </c>
      <c r="C125" t="s">
        <v>2262</v>
      </c>
      <c r="D125" t="s">
        <v>7242</v>
      </c>
      <c r="E125" s="455">
        <v>45994</v>
      </c>
      <c r="F125" s="455">
        <v>46055</v>
      </c>
      <c r="G125" s="455">
        <v>46055</v>
      </c>
      <c r="H125" t="s">
        <v>7189</v>
      </c>
      <c r="I125" t="s">
        <v>1523</v>
      </c>
      <c r="J125">
        <v>923</v>
      </c>
      <c r="K125" s="456">
        <v>1680</v>
      </c>
      <c r="L125">
        <v>0</v>
      </c>
      <c r="M125">
        <v>0</v>
      </c>
    </row>
    <row r="126" spans="1:13">
      <c r="A126" t="s">
        <v>1751</v>
      </c>
      <c r="B126" t="s">
        <v>1583</v>
      </c>
      <c r="C126" t="s">
        <v>2262</v>
      </c>
      <c r="D126" t="s">
        <v>7243</v>
      </c>
      <c r="E126" s="455">
        <v>46066</v>
      </c>
      <c r="F126" s="455">
        <v>46112</v>
      </c>
      <c r="G126" s="455">
        <v>46112</v>
      </c>
      <c r="H126" t="s">
        <v>7230</v>
      </c>
      <c r="I126" t="s">
        <v>1523</v>
      </c>
      <c r="J126">
        <v>948</v>
      </c>
      <c r="K126">
        <v>985</v>
      </c>
      <c r="L126">
        <v>0</v>
      </c>
      <c r="M126">
        <v>0</v>
      </c>
    </row>
    <row r="127" spans="1:13">
      <c r="A127" t="s">
        <v>1751</v>
      </c>
      <c r="B127" t="s">
        <v>1596</v>
      </c>
      <c r="C127" t="s">
        <v>2262</v>
      </c>
      <c r="D127" t="s">
        <v>7244</v>
      </c>
      <c r="E127" s="455">
        <v>46080</v>
      </c>
      <c r="F127" s="455">
        <v>46141</v>
      </c>
      <c r="G127" s="455">
        <v>46140</v>
      </c>
      <c r="H127" t="s">
        <v>7191</v>
      </c>
      <c r="I127" t="s">
        <v>1518</v>
      </c>
      <c r="J127">
        <v>888</v>
      </c>
      <c r="K127">
        <v>925</v>
      </c>
      <c r="L127">
        <v>0</v>
      </c>
      <c r="M127">
        <v>0</v>
      </c>
    </row>
    <row r="128" spans="1:13">
      <c r="A128" t="s">
        <v>1751</v>
      </c>
      <c r="B128" t="s">
        <v>1578</v>
      </c>
      <c r="C128" t="s">
        <v>1023</v>
      </c>
      <c r="D128" t="s">
        <v>7245</v>
      </c>
      <c r="E128" s="455">
        <v>46072</v>
      </c>
      <c r="F128" s="455">
        <v>46106</v>
      </c>
      <c r="G128" s="455">
        <v>46106</v>
      </c>
      <c r="H128" t="s">
        <v>7188</v>
      </c>
      <c r="I128" t="s">
        <v>1523</v>
      </c>
      <c r="J128">
        <v>798</v>
      </c>
      <c r="K128" s="456">
        <v>1556</v>
      </c>
      <c r="L128">
        <v>0</v>
      </c>
      <c r="M128">
        <v>0</v>
      </c>
    </row>
    <row r="129" spans="1:13">
      <c r="A129" t="s">
        <v>1751</v>
      </c>
      <c r="B129" t="s">
        <v>2576</v>
      </c>
      <c r="C129" t="s">
        <v>1023</v>
      </c>
      <c r="D129" t="s">
        <v>2577</v>
      </c>
      <c r="E129" s="455">
        <v>46125</v>
      </c>
      <c r="F129" s="455">
        <v>46170</v>
      </c>
      <c r="G129" s="455">
        <v>46170</v>
      </c>
      <c r="H129" t="s">
        <v>7193</v>
      </c>
      <c r="I129" t="s">
        <v>1523</v>
      </c>
      <c r="J129">
        <v>863</v>
      </c>
      <c r="K129" s="456">
        <v>2115</v>
      </c>
      <c r="L129">
        <v>0</v>
      </c>
      <c r="M129" s="456">
        <v>7099.83</v>
      </c>
    </row>
    <row r="130" spans="1:13">
      <c r="A130" t="s">
        <v>1751</v>
      </c>
      <c r="B130" t="s">
        <v>2578</v>
      </c>
      <c r="C130" t="s">
        <v>2260</v>
      </c>
      <c r="D130" t="s">
        <v>2579</v>
      </c>
      <c r="E130" s="455">
        <v>46233</v>
      </c>
      <c r="F130" s="455">
        <v>46356</v>
      </c>
      <c r="G130" s="455">
        <v>46356</v>
      </c>
      <c r="H130" t="s">
        <v>7201</v>
      </c>
      <c r="I130" t="s">
        <v>1523</v>
      </c>
      <c r="J130">
        <v>836</v>
      </c>
      <c r="K130">
        <v>950</v>
      </c>
      <c r="L130">
        <v>0</v>
      </c>
      <c r="M130">
        <v>320.45</v>
      </c>
    </row>
    <row r="131" spans="1:13">
      <c r="A131" t="s">
        <v>1751</v>
      </c>
      <c r="B131" t="s">
        <v>1560</v>
      </c>
      <c r="C131" t="s">
        <v>2260</v>
      </c>
      <c r="D131" t="s">
        <v>2580</v>
      </c>
      <c r="E131" s="455">
        <v>46182</v>
      </c>
      <c r="F131" s="455">
        <v>46196</v>
      </c>
      <c r="G131" s="455">
        <v>46196</v>
      </c>
      <c r="H131" t="s">
        <v>7189</v>
      </c>
      <c r="I131" t="s">
        <v>1523</v>
      </c>
      <c r="J131">
        <v>861</v>
      </c>
      <c r="K131" s="456">
        <v>1898.22</v>
      </c>
      <c r="L131">
        <v>0</v>
      </c>
      <c r="M131" s="456">
        <v>1553.7</v>
      </c>
    </row>
    <row r="132" spans="1:13">
      <c r="A132" t="s">
        <v>1751</v>
      </c>
      <c r="B132" t="s">
        <v>1560</v>
      </c>
      <c r="C132" t="s">
        <v>2260</v>
      </c>
      <c r="D132" t="s">
        <v>7246</v>
      </c>
      <c r="E132" s="455">
        <v>45993</v>
      </c>
      <c r="F132" s="455">
        <v>46069</v>
      </c>
      <c r="G132" s="455">
        <v>46069</v>
      </c>
      <c r="H132" t="s">
        <v>7186</v>
      </c>
      <c r="I132" t="s">
        <v>1523</v>
      </c>
      <c r="J132">
        <v>861</v>
      </c>
      <c r="K132">
        <v>975</v>
      </c>
      <c r="L132">
        <v>0</v>
      </c>
      <c r="M132">
        <v>0</v>
      </c>
    </row>
    <row r="133" spans="1:13">
      <c r="A133" t="s">
        <v>1751</v>
      </c>
      <c r="B133" t="s">
        <v>2581</v>
      </c>
      <c r="C133" t="s">
        <v>2260</v>
      </c>
      <c r="D133" t="s">
        <v>2582</v>
      </c>
      <c r="E133" s="455">
        <v>46157</v>
      </c>
      <c r="F133" s="455">
        <v>46311</v>
      </c>
      <c r="G133" s="455">
        <v>46219</v>
      </c>
      <c r="H133" t="s">
        <v>7193</v>
      </c>
      <c r="I133" t="s">
        <v>1518</v>
      </c>
      <c r="J133">
        <v>911</v>
      </c>
      <c r="K133" s="456">
        <v>1040</v>
      </c>
      <c r="L133">
        <v>0</v>
      </c>
      <c r="M133" s="456">
        <v>16579.71</v>
      </c>
    </row>
    <row r="134" spans="1:13">
      <c r="A134" t="s">
        <v>1751</v>
      </c>
      <c r="B134" t="s">
        <v>1544</v>
      </c>
      <c r="C134" t="s">
        <v>1023</v>
      </c>
      <c r="D134" t="s">
        <v>7247</v>
      </c>
      <c r="E134" s="455">
        <v>46084</v>
      </c>
      <c r="F134" s="455">
        <v>46084</v>
      </c>
      <c r="G134" s="455">
        <v>46084</v>
      </c>
      <c r="H134" t="s">
        <v>7203</v>
      </c>
      <c r="I134" t="s">
        <v>1523</v>
      </c>
      <c r="J134">
        <v>768</v>
      </c>
      <c r="K134" s="456">
        <v>1730</v>
      </c>
      <c r="L134">
        <v>0</v>
      </c>
      <c r="M134">
        <v>0</v>
      </c>
    </row>
    <row r="135" spans="1:13">
      <c r="A135" t="s">
        <v>1751</v>
      </c>
      <c r="B135" t="s">
        <v>1575</v>
      </c>
      <c r="C135" t="s">
        <v>1023</v>
      </c>
      <c r="D135" t="s">
        <v>2166</v>
      </c>
      <c r="E135" s="455">
        <v>46120</v>
      </c>
      <c r="F135" s="455">
        <v>46120</v>
      </c>
      <c r="G135" s="455">
        <v>46120</v>
      </c>
      <c r="H135" t="s">
        <v>1467</v>
      </c>
      <c r="I135" t="s">
        <v>1523</v>
      </c>
      <c r="J135">
        <v>753</v>
      </c>
      <c r="K135" s="456">
        <v>1502</v>
      </c>
      <c r="L135">
        <v>0</v>
      </c>
      <c r="M135">
        <v>0</v>
      </c>
    </row>
    <row r="136" spans="1:13">
      <c r="A136" t="s">
        <v>1751</v>
      </c>
      <c r="B136" t="s">
        <v>6394</v>
      </c>
      <c r="C136" t="s">
        <v>1023</v>
      </c>
      <c r="D136" t="s">
        <v>1806</v>
      </c>
      <c r="E136" s="455">
        <v>46052</v>
      </c>
      <c r="F136" s="455">
        <v>46113</v>
      </c>
      <c r="G136" s="455">
        <v>46113</v>
      </c>
      <c r="H136" t="s">
        <v>7195</v>
      </c>
      <c r="I136" t="s">
        <v>1523</v>
      </c>
      <c r="J136">
        <v>753</v>
      </c>
      <c r="K136" s="456">
        <v>1895.5</v>
      </c>
      <c r="L136">
        <v>0</v>
      </c>
      <c r="M136">
        <v>0</v>
      </c>
    </row>
    <row r="137" spans="1:13">
      <c r="A137" t="s">
        <v>1751</v>
      </c>
      <c r="B137" t="s">
        <v>6651</v>
      </c>
      <c r="C137" t="s">
        <v>2262</v>
      </c>
      <c r="D137" t="s">
        <v>1110</v>
      </c>
      <c r="E137" s="455">
        <v>46101</v>
      </c>
      <c r="F137" s="455">
        <v>46143</v>
      </c>
      <c r="G137" s="455">
        <v>46143</v>
      </c>
      <c r="H137" t="s">
        <v>7193</v>
      </c>
      <c r="I137" t="s">
        <v>1523</v>
      </c>
      <c r="J137">
        <v>983</v>
      </c>
      <c r="K137" s="456">
        <v>1325</v>
      </c>
      <c r="L137">
        <v>0</v>
      </c>
      <c r="M137">
        <v>0</v>
      </c>
    </row>
    <row r="138" spans="1:13">
      <c r="A138" t="s">
        <v>1751</v>
      </c>
      <c r="B138" t="s">
        <v>1549</v>
      </c>
      <c r="C138" t="s">
        <v>2262</v>
      </c>
      <c r="D138" t="s">
        <v>7248</v>
      </c>
      <c r="E138" s="455">
        <v>46083</v>
      </c>
      <c r="F138" s="455">
        <v>46083</v>
      </c>
      <c r="G138" s="455">
        <v>46083</v>
      </c>
      <c r="H138" t="s">
        <v>1467</v>
      </c>
      <c r="I138" t="s">
        <v>1523</v>
      </c>
      <c r="J138">
        <v>948</v>
      </c>
      <c r="K138">
        <v>862</v>
      </c>
      <c r="L138">
        <v>750</v>
      </c>
      <c r="M138">
        <v>0</v>
      </c>
    </row>
    <row r="139" spans="1:13">
      <c r="A139" t="s">
        <v>1751</v>
      </c>
      <c r="B139" t="s">
        <v>2583</v>
      </c>
      <c r="C139" t="s">
        <v>2262</v>
      </c>
      <c r="D139" t="s">
        <v>2584</v>
      </c>
      <c r="E139" s="455">
        <v>46118</v>
      </c>
      <c r="F139" s="455">
        <v>46178</v>
      </c>
      <c r="G139" s="455">
        <v>46178</v>
      </c>
      <c r="H139" t="s">
        <v>7206</v>
      </c>
      <c r="I139" t="s">
        <v>1523</v>
      </c>
      <c r="J139">
        <v>923</v>
      </c>
      <c r="K139" s="456">
        <v>2233</v>
      </c>
      <c r="L139">
        <v>0</v>
      </c>
      <c r="M139">
        <v>894.52</v>
      </c>
    </row>
    <row r="140" spans="1:13">
      <c r="A140" t="s">
        <v>1751</v>
      </c>
      <c r="B140" t="s">
        <v>2585</v>
      </c>
      <c r="C140" t="s">
        <v>2269</v>
      </c>
      <c r="D140" t="s">
        <v>2586</v>
      </c>
      <c r="E140" s="455">
        <v>46136</v>
      </c>
      <c r="F140" s="455">
        <v>46200</v>
      </c>
      <c r="G140" s="455">
        <v>46200</v>
      </c>
      <c r="H140" t="s">
        <v>7203</v>
      </c>
      <c r="I140" t="s">
        <v>1523</v>
      </c>
      <c r="J140" s="456">
        <v>1263</v>
      </c>
      <c r="K140" s="456">
        <v>3160</v>
      </c>
      <c r="L140">
        <v>0</v>
      </c>
      <c r="M140">
        <v>841.15</v>
      </c>
    </row>
    <row r="141" spans="1:13">
      <c r="A141" t="s">
        <v>1751</v>
      </c>
      <c r="B141" t="s">
        <v>1591</v>
      </c>
      <c r="C141" t="s">
        <v>1023</v>
      </c>
      <c r="D141" t="s">
        <v>7249</v>
      </c>
      <c r="E141" s="455">
        <v>46055</v>
      </c>
      <c r="F141" s="455">
        <v>46113</v>
      </c>
      <c r="G141" s="455">
        <v>46113</v>
      </c>
      <c r="H141" t="s">
        <v>7250</v>
      </c>
      <c r="I141" t="s">
        <v>1523</v>
      </c>
      <c r="J141">
        <v>798</v>
      </c>
      <c r="K141">
        <v>895</v>
      </c>
      <c r="L141">
        <v>0</v>
      </c>
      <c r="M141">
        <v>0</v>
      </c>
    </row>
    <row r="142" spans="1:13">
      <c r="A142" t="s">
        <v>1751</v>
      </c>
      <c r="B142" t="s">
        <v>2587</v>
      </c>
      <c r="C142" t="s">
        <v>1023</v>
      </c>
      <c r="D142" t="s">
        <v>2588</v>
      </c>
      <c r="E142" s="455">
        <v>46136</v>
      </c>
      <c r="F142" s="455">
        <v>46196</v>
      </c>
      <c r="G142" s="455">
        <v>46196</v>
      </c>
      <c r="H142" t="s">
        <v>7188</v>
      </c>
      <c r="I142" t="s">
        <v>1523</v>
      </c>
      <c r="J142">
        <v>743</v>
      </c>
      <c r="K142" s="456">
        <v>1796</v>
      </c>
      <c r="L142">
        <v>0</v>
      </c>
      <c r="M142">
        <v>555.69000000000005</v>
      </c>
    </row>
    <row r="143" spans="1:13">
      <c r="A143" t="s">
        <v>1751</v>
      </c>
      <c r="B143" t="s">
        <v>2589</v>
      </c>
      <c r="C143" t="s">
        <v>2260</v>
      </c>
      <c r="D143" t="s">
        <v>1114</v>
      </c>
      <c r="E143" s="455">
        <v>46146</v>
      </c>
      <c r="F143" s="455">
        <v>46146</v>
      </c>
      <c r="G143" s="455">
        <v>46146</v>
      </c>
      <c r="H143" t="s">
        <v>7194</v>
      </c>
      <c r="I143" t="s">
        <v>1523</v>
      </c>
      <c r="J143">
        <v>816</v>
      </c>
      <c r="K143" s="456">
        <v>2021</v>
      </c>
      <c r="L143">
        <v>0</v>
      </c>
      <c r="M143" s="456">
        <v>9516.74</v>
      </c>
    </row>
    <row r="144" spans="1:13">
      <c r="A144" t="s">
        <v>1751</v>
      </c>
      <c r="B144" t="s">
        <v>1566</v>
      </c>
      <c r="C144" t="s">
        <v>2260</v>
      </c>
      <c r="D144" t="s">
        <v>2167</v>
      </c>
      <c r="E144" s="455">
        <v>46114</v>
      </c>
      <c r="F144" s="455">
        <v>46276</v>
      </c>
      <c r="G144" s="455">
        <v>46118</v>
      </c>
      <c r="H144" t="s">
        <v>7194</v>
      </c>
      <c r="I144" t="s">
        <v>1518</v>
      </c>
      <c r="J144">
        <v>896</v>
      </c>
      <c r="K144" s="456">
        <v>1010</v>
      </c>
      <c r="L144">
        <v>0</v>
      </c>
      <c r="M144">
        <v>0</v>
      </c>
    </row>
    <row r="145" spans="1:13">
      <c r="A145" t="s">
        <v>1751</v>
      </c>
      <c r="B145" t="s">
        <v>1537</v>
      </c>
      <c r="C145" t="s">
        <v>2260</v>
      </c>
      <c r="D145" t="s">
        <v>7251</v>
      </c>
      <c r="E145" s="455">
        <v>46085</v>
      </c>
      <c r="F145" s="455">
        <v>46126</v>
      </c>
      <c r="G145" s="455">
        <v>46071</v>
      </c>
      <c r="H145" t="s">
        <v>1467</v>
      </c>
      <c r="I145" t="s">
        <v>1518</v>
      </c>
      <c r="J145">
        <v>791</v>
      </c>
      <c r="K145">
        <v>0</v>
      </c>
      <c r="L145">
        <v>0</v>
      </c>
      <c r="M145">
        <v>0</v>
      </c>
    </row>
    <row r="146" spans="1:13">
      <c r="A146" t="s">
        <v>1751</v>
      </c>
      <c r="B146" t="s">
        <v>1533</v>
      </c>
      <c r="C146" t="s">
        <v>1023</v>
      </c>
      <c r="D146" t="s">
        <v>7252</v>
      </c>
      <c r="E146" s="455">
        <v>46099</v>
      </c>
      <c r="F146" s="455">
        <v>46295</v>
      </c>
      <c r="G146" s="455">
        <v>46099</v>
      </c>
      <c r="H146" t="s">
        <v>1467</v>
      </c>
      <c r="I146" t="s">
        <v>1518</v>
      </c>
      <c r="J146">
        <v>768</v>
      </c>
      <c r="K146">
        <v>806</v>
      </c>
      <c r="L146">
        <v>0</v>
      </c>
      <c r="M146">
        <v>0</v>
      </c>
    </row>
    <row r="147" spans="1:13">
      <c r="A147" t="s">
        <v>1751</v>
      </c>
      <c r="B147" t="s">
        <v>1582</v>
      </c>
      <c r="C147" t="s">
        <v>1023</v>
      </c>
      <c r="D147" t="s">
        <v>3102</v>
      </c>
      <c r="E147" s="455">
        <v>46044</v>
      </c>
      <c r="F147" s="455">
        <v>46109</v>
      </c>
      <c r="G147" s="455">
        <v>46109</v>
      </c>
      <c r="H147" t="s">
        <v>7188</v>
      </c>
      <c r="I147" t="s">
        <v>1523</v>
      </c>
      <c r="J147">
        <v>743</v>
      </c>
      <c r="K147" s="456">
        <v>1632</v>
      </c>
      <c r="L147">
        <v>0</v>
      </c>
      <c r="M147">
        <v>0</v>
      </c>
    </row>
    <row r="148" spans="1:13">
      <c r="A148" t="s">
        <v>1751</v>
      </c>
      <c r="B148" t="s">
        <v>1539</v>
      </c>
      <c r="C148" t="s">
        <v>1023</v>
      </c>
      <c r="D148" t="s">
        <v>7253</v>
      </c>
      <c r="E148" s="455">
        <v>45961</v>
      </c>
      <c r="F148" s="455">
        <v>46064</v>
      </c>
      <c r="G148" s="455">
        <v>46064</v>
      </c>
      <c r="H148" t="s">
        <v>1471</v>
      </c>
      <c r="I148" t="s">
        <v>1523</v>
      </c>
      <c r="J148">
        <v>753</v>
      </c>
      <c r="K148">
        <v>850</v>
      </c>
      <c r="L148">
        <v>0</v>
      </c>
      <c r="M148">
        <v>0</v>
      </c>
    </row>
    <row r="149" spans="1:13">
      <c r="A149" t="s">
        <v>1751</v>
      </c>
      <c r="B149" t="s">
        <v>2599</v>
      </c>
      <c r="C149" t="s">
        <v>2262</v>
      </c>
      <c r="D149" t="s">
        <v>2600</v>
      </c>
      <c r="E149" s="455">
        <v>46143</v>
      </c>
      <c r="F149" s="455">
        <v>46143</v>
      </c>
      <c r="G149" s="455">
        <v>46143</v>
      </c>
      <c r="H149" t="s">
        <v>7194</v>
      </c>
      <c r="I149" t="s">
        <v>1523</v>
      </c>
      <c r="J149">
        <v>933</v>
      </c>
      <c r="K149" s="456">
        <v>2029.3</v>
      </c>
      <c r="L149">
        <v>0</v>
      </c>
      <c r="M149" s="456">
        <v>13205.48</v>
      </c>
    </row>
    <row r="150" spans="1:13">
      <c r="A150" t="s">
        <v>1751</v>
      </c>
      <c r="B150" t="s">
        <v>6298</v>
      </c>
      <c r="C150" t="s">
        <v>2262</v>
      </c>
      <c r="D150" t="s">
        <v>7254</v>
      </c>
      <c r="E150" s="455">
        <v>46143</v>
      </c>
      <c r="F150" s="455">
        <v>46143</v>
      </c>
      <c r="G150" s="455">
        <v>46143</v>
      </c>
      <c r="H150" t="s">
        <v>7194</v>
      </c>
      <c r="I150" t="s">
        <v>1523</v>
      </c>
      <c r="J150">
        <v>908</v>
      </c>
      <c r="K150">
        <v>945</v>
      </c>
      <c r="L150">
        <v>0</v>
      </c>
      <c r="M150">
        <v>0</v>
      </c>
    </row>
    <row r="151" spans="1:13">
      <c r="A151" t="s">
        <v>1751</v>
      </c>
      <c r="B151" t="s">
        <v>2603</v>
      </c>
      <c r="C151" t="s">
        <v>2262</v>
      </c>
      <c r="D151" t="s">
        <v>2604</v>
      </c>
      <c r="E151" s="455">
        <v>46157</v>
      </c>
      <c r="F151" s="455">
        <v>46489</v>
      </c>
      <c r="G151" s="455">
        <v>46266</v>
      </c>
      <c r="H151" t="s">
        <v>7193</v>
      </c>
      <c r="I151" t="s">
        <v>1518</v>
      </c>
      <c r="J151">
        <v>903</v>
      </c>
      <c r="K151" s="456">
        <v>1960</v>
      </c>
      <c r="L151">
        <v>0</v>
      </c>
      <c r="M151" s="456">
        <v>4005.47</v>
      </c>
    </row>
    <row r="152" spans="1:13">
      <c r="A152" t="s">
        <v>1751</v>
      </c>
      <c r="B152" t="s">
        <v>2605</v>
      </c>
      <c r="C152" t="s">
        <v>2262</v>
      </c>
      <c r="D152" t="s">
        <v>2606</v>
      </c>
      <c r="E152" s="455">
        <v>46198</v>
      </c>
      <c r="F152" s="455">
        <v>46265</v>
      </c>
      <c r="G152" s="455">
        <v>46218</v>
      </c>
      <c r="H152" t="s">
        <v>7193</v>
      </c>
      <c r="I152" t="s">
        <v>1518</v>
      </c>
      <c r="J152">
        <v>933</v>
      </c>
      <c r="K152">
        <v>960</v>
      </c>
      <c r="L152">
        <v>0</v>
      </c>
      <c r="M152" s="456">
        <v>3304.36</v>
      </c>
    </row>
    <row r="153" spans="1:13">
      <c r="A153" t="s">
        <v>1751</v>
      </c>
      <c r="B153" t="s">
        <v>2609</v>
      </c>
      <c r="C153" t="s">
        <v>2269</v>
      </c>
      <c r="D153" t="s">
        <v>2610</v>
      </c>
      <c r="E153" s="455">
        <v>46092</v>
      </c>
      <c r="F153" s="455">
        <v>46175</v>
      </c>
      <c r="G153" s="455">
        <v>46175</v>
      </c>
      <c r="H153" t="s">
        <v>7230</v>
      </c>
      <c r="I153" t="s">
        <v>1523</v>
      </c>
      <c r="J153" s="456">
        <v>1313</v>
      </c>
      <c r="K153" s="456">
        <v>3170</v>
      </c>
      <c r="L153">
        <v>0</v>
      </c>
      <c r="M153" s="456">
        <v>1620.38</v>
      </c>
    </row>
    <row r="154" spans="1:13">
      <c r="A154" t="s">
        <v>1751</v>
      </c>
      <c r="B154" t="s">
        <v>6674</v>
      </c>
      <c r="C154" t="s">
        <v>2262</v>
      </c>
      <c r="D154" t="s">
        <v>7255</v>
      </c>
      <c r="E154" s="455">
        <v>46111</v>
      </c>
      <c r="F154" s="455">
        <v>46174</v>
      </c>
      <c r="G154" s="455">
        <v>46174</v>
      </c>
      <c r="H154" t="s">
        <v>7195</v>
      </c>
      <c r="I154" t="s">
        <v>1523</v>
      </c>
      <c r="J154">
        <v>948</v>
      </c>
      <c r="K154" s="456">
        <v>2274</v>
      </c>
      <c r="L154">
        <v>0</v>
      </c>
      <c r="M154">
        <v>0</v>
      </c>
    </row>
    <row r="155" spans="1:13">
      <c r="A155" t="s">
        <v>1751</v>
      </c>
      <c r="B155" t="s">
        <v>6676</v>
      </c>
      <c r="C155" t="s">
        <v>2262</v>
      </c>
      <c r="D155" t="s">
        <v>6677</v>
      </c>
      <c r="E155" s="455">
        <v>46183</v>
      </c>
      <c r="F155" s="455">
        <v>46245</v>
      </c>
      <c r="G155" s="455">
        <v>46245</v>
      </c>
      <c r="H155" t="s">
        <v>7189</v>
      </c>
      <c r="I155" t="s">
        <v>1523</v>
      </c>
      <c r="J155">
        <v>948</v>
      </c>
      <c r="K155" s="456">
        <v>2410</v>
      </c>
      <c r="L155">
        <v>0</v>
      </c>
      <c r="M155">
        <v>420.73</v>
      </c>
    </row>
    <row r="156" spans="1:13">
      <c r="A156" t="s">
        <v>1751</v>
      </c>
      <c r="B156" t="s">
        <v>6682</v>
      </c>
      <c r="C156" t="s">
        <v>2262</v>
      </c>
      <c r="D156" t="s">
        <v>6683</v>
      </c>
      <c r="E156" s="455">
        <v>46177</v>
      </c>
      <c r="F156" s="455">
        <v>46265</v>
      </c>
      <c r="G156" s="455">
        <v>46265</v>
      </c>
      <c r="H156" t="s">
        <v>7203</v>
      </c>
      <c r="I156" t="s">
        <v>1523</v>
      </c>
      <c r="J156">
        <v>888</v>
      </c>
      <c r="K156">
        <v>987</v>
      </c>
      <c r="L156">
        <v>750</v>
      </c>
      <c r="M156">
        <v>0</v>
      </c>
    </row>
    <row r="157" spans="1:13">
      <c r="A157" t="s">
        <v>1751</v>
      </c>
      <c r="B157" t="s">
        <v>1536</v>
      </c>
      <c r="C157" t="s">
        <v>2269</v>
      </c>
      <c r="D157" t="s">
        <v>7256</v>
      </c>
      <c r="E157" s="455">
        <v>46020</v>
      </c>
      <c r="F157" s="455">
        <v>46081</v>
      </c>
      <c r="G157" s="455">
        <v>46081</v>
      </c>
      <c r="H157" t="s">
        <v>7189</v>
      </c>
      <c r="I157" t="s">
        <v>1523</v>
      </c>
      <c r="J157" s="456">
        <v>1218</v>
      </c>
      <c r="K157" s="456">
        <v>1265</v>
      </c>
      <c r="L157">
        <v>0</v>
      </c>
      <c r="M157">
        <v>0</v>
      </c>
    </row>
    <row r="158" spans="1:13">
      <c r="A158" t="s">
        <v>1751</v>
      </c>
      <c r="B158" t="s">
        <v>1557</v>
      </c>
      <c r="C158" t="s">
        <v>2269</v>
      </c>
      <c r="D158" t="s">
        <v>7257</v>
      </c>
      <c r="E158" s="455">
        <v>46055</v>
      </c>
      <c r="F158" s="455">
        <v>46112</v>
      </c>
      <c r="G158" s="455">
        <v>46081</v>
      </c>
      <c r="H158" t="s">
        <v>7189</v>
      </c>
      <c r="I158" t="s">
        <v>1518</v>
      </c>
      <c r="J158" s="456">
        <v>1338</v>
      </c>
      <c r="K158" s="456">
        <v>1461</v>
      </c>
      <c r="L158">
        <v>0</v>
      </c>
      <c r="M158">
        <v>0</v>
      </c>
    </row>
    <row r="159" spans="1:13">
      <c r="A159" t="s">
        <v>1751</v>
      </c>
      <c r="B159" t="s">
        <v>6688</v>
      </c>
      <c r="C159" t="s">
        <v>2262</v>
      </c>
      <c r="D159" t="s">
        <v>7258</v>
      </c>
      <c r="E159" s="455">
        <v>46020</v>
      </c>
      <c r="F159" s="455">
        <v>46081</v>
      </c>
      <c r="G159" s="455">
        <v>46081</v>
      </c>
      <c r="H159" t="s">
        <v>7189</v>
      </c>
      <c r="I159" t="s">
        <v>1523</v>
      </c>
      <c r="J159">
        <v>948</v>
      </c>
      <c r="K159" s="456">
        <v>1100</v>
      </c>
      <c r="L159">
        <v>0</v>
      </c>
      <c r="M159">
        <v>0</v>
      </c>
    </row>
    <row r="160" spans="1:13">
      <c r="A160" t="s">
        <v>1751</v>
      </c>
      <c r="B160" t="s">
        <v>6693</v>
      </c>
      <c r="C160" t="s">
        <v>2262</v>
      </c>
      <c r="D160" t="s">
        <v>7259</v>
      </c>
      <c r="E160" s="455">
        <v>46133</v>
      </c>
      <c r="F160" s="455">
        <v>46195</v>
      </c>
      <c r="G160" s="455">
        <v>46195</v>
      </c>
      <c r="H160" t="s">
        <v>7188</v>
      </c>
      <c r="I160" t="s">
        <v>1523</v>
      </c>
      <c r="J160">
        <v>948</v>
      </c>
      <c r="K160" s="456">
        <v>2300</v>
      </c>
      <c r="L160">
        <v>0</v>
      </c>
      <c r="M160">
        <v>0</v>
      </c>
    </row>
    <row r="161" spans="1:13">
      <c r="A161" t="s">
        <v>1751</v>
      </c>
      <c r="B161" t="s">
        <v>1535</v>
      </c>
      <c r="C161" t="s">
        <v>2262</v>
      </c>
      <c r="D161" t="s">
        <v>1102</v>
      </c>
      <c r="E161" s="455">
        <v>46084</v>
      </c>
      <c r="F161" s="455">
        <v>46234</v>
      </c>
      <c r="G161" s="455">
        <v>46084</v>
      </c>
      <c r="H161" t="s">
        <v>1467</v>
      </c>
      <c r="I161" t="s">
        <v>1518</v>
      </c>
      <c r="J161">
        <v>923</v>
      </c>
      <c r="K161">
        <v>948</v>
      </c>
      <c r="L161">
        <v>0</v>
      </c>
      <c r="M161">
        <v>0</v>
      </c>
    </row>
    <row r="162" spans="1:13">
      <c r="A162" t="s">
        <v>1751</v>
      </c>
      <c r="B162" t="s">
        <v>4424</v>
      </c>
      <c r="C162" t="s">
        <v>2269</v>
      </c>
      <c r="D162" t="s">
        <v>7260</v>
      </c>
      <c r="E162" s="455">
        <v>46128</v>
      </c>
      <c r="F162" s="455">
        <v>46203</v>
      </c>
      <c r="G162" s="455">
        <v>46198</v>
      </c>
      <c r="H162" t="s">
        <v>7188</v>
      </c>
      <c r="I162" t="s">
        <v>1518</v>
      </c>
      <c r="J162" s="456">
        <v>1338</v>
      </c>
      <c r="K162" s="456">
        <v>1421</v>
      </c>
      <c r="L162">
        <v>0</v>
      </c>
      <c r="M162">
        <v>0</v>
      </c>
    </row>
    <row r="163" spans="1:13">
      <c r="A163" t="s">
        <v>1751</v>
      </c>
      <c r="B163" t="s">
        <v>2617</v>
      </c>
      <c r="C163" t="s">
        <v>2262</v>
      </c>
      <c r="D163" t="s">
        <v>2618</v>
      </c>
      <c r="E163" s="455">
        <v>46101</v>
      </c>
      <c r="F163" s="455">
        <v>46170</v>
      </c>
      <c r="G163" s="455">
        <v>46170</v>
      </c>
      <c r="H163" t="s">
        <v>7193</v>
      </c>
      <c r="I163" t="s">
        <v>1523</v>
      </c>
      <c r="J163">
        <v>933</v>
      </c>
      <c r="K163" s="456">
        <v>2163.1</v>
      </c>
      <c r="L163">
        <v>0</v>
      </c>
      <c r="M163" s="456">
        <v>15589.46</v>
      </c>
    </row>
    <row r="164" spans="1:13">
      <c r="A164" t="s">
        <v>1751</v>
      </c>
      <c r="B164" t="s">
        <v>1576</v>
      </c>
      <c r="C164" t="s">
        <v>2262</v>
      </c>
      <c r="D164" t="s">
        <v>2159</v>
      </c>
      <c r="E164" s="455">
        <v>46073</v>
      </c>
      <c r="F164" s="455">
        <v>46106</v>
      </c>
      <c r="G164" s="455">
        <v>46106</v>
      </c>
      <c r="H164" t="s">
        <v>1471</v>
      </c>
      <c r="I164" t="s">
        <v>1523</v>
      </c>
      <c r="J164">
        <v>948</v>
      </c>
      <c r="K164" s="456">
        <v>2196.5500000000002</v>
      </c>
      <c r="L164">
        <v>0</v>
      </c>
      <c r="M164">
        <v>0</v>
      </c>
    </row>
    <row r="165" spans="1:13">
      <c r="A165" t="s">
        <v>1751</v>
      </c>
      <c r="B165" t="s">
        <v>1530</v>
      </c>
      <c r="C165" t="s">
        <v>2262</v>
      </c>
      <c r="D165" t="s">
        <v>7261</v>
      </c>
      <c r="E165" s="455">
        <v>46099</v>
      </c>
      <c r="F165" s="455">
        <v>46189</v>
      </c>
      <c r="G165" s="455">
        <v>46099</v>
      </c>
      <c r="H165" t="s">
        <v>1467</v>
      </c>
      <c r="I165" t="s">
        <v>1518</v>
      </c>
      <c r="J165">
        <v>973</v>
      </c>
      <c r="K165" s="456">
        <v>1125</v>
      </c>
      <c r="L165">
        <v>0</v>
      </c>
      <c r="M165">
        <v>0</v>
      </c>
    </row>
    <row r="166" spans="1:13">
      <c r="A166" t="s">
        <v>1751</v>
      </c>
      <c r="B166" t="s">
        <v>1526</v>
      </c>
      <c r="C166" t="s">
        <v>2262</v>
      </c>
      <c r="D166" t="s">
        <v>2160</v>
      </c>
      <c r="E166" s="455">
        <v>46099</v>
      </c>
      <c r="F166" s="455">
        <v>46265</v>
      </c>
      <c r="G166" s="455">
        <v>46099</v>
      </c>
      <c r="H166" t="s">
        <v>1467</v>
      </c>
      <c r="I166" t="s">
        <v>1518</v>
      </c>
      <c r="J166">
        <v>933</v>
      </c>
      <c r="K166" s="456">
        <v>1016</v>
      </c>
      <c r="L166">
        <v>0</v>
      </c>
      <c r="M166">
        <v>0</v>
      </c>
    </row>
    <row r="167" spans="1:13">
      <c r="A167" t="s">
        <v>1751</v>
      </c>
      <c r="B167" t="s">
        <v>1548</v>
      </c>
      <c r="C167" t="s">
        <v>2262</v>
      </c>
      <c r="D167" t="s">
        <v>7262</v>
      </c>
      <c r="E167" s="455">
        <v>46042</v>
      </c>
      <c r="F167" s="455">
        <v>46100</v>
      </c>
      <c r="G167" s="455">
        <v>46100</v>
      </c>
      <c r="H167" t="s">
        <v>7203</v>
      </c>
      <c r="I167" t="s">
        <v>1523</v>
      </c>
      <c r="J167">
        <v>998</v>
      </c>
      <c r="K167" s="456">
        <v>1090</v>
      </c>
      <c r="L167">
        <v>0</v>
      </c>
      <c r="M167">
        <v>0</v>
      </c>
    </row>
    <row r="168" spans="1:13">
      <c r="A168" t="s">
        <v>1751</v>
      </c>
      <c r="B168" t="s">
        <v>2623</v>
      </c>
      <c r="C168" t="s">
        <v>2262</v>
      </c>
      <c r="D168" t="s">
        <v>2624</v>
      </c>
      <c r="E168" s="455">
        <v>46078</v>
      </c>
      <c r="F168" s="455">
        <v>46174</v>
      </c>
      <c r="G168" s="455">
        <v>46174</v>
      </c>
      <c r="H168" t="s">
        <v>7230</v>
      </c>
      <c r="I168" t="s">
        <v>1523</v>
      </c>
      <c r="J168">
        <v>983</v>
      </c>
      <c r="K168" s="456">
        <v>2250</v>
      </c>
      <c r="L168">
        <v>0</v>
      </c>
      <c r="M168">
        <v>354.83</v>
      </c>
    </row>
    <row r="169" spans="1:13">
      <c r="A169" t="s">
        <v>1751</v>
      </c>
      <c r="B169" t="s">
        <v>2625</v>
      </c>
      <c r="C169" t="s">
        <v>2271</v>
      </c>
      <c r="D169" t="s">
        <v>2626</v>
      </c>
      <c r="E169" s="455">
        <v>46163</v>
      </c>
      <c r="F169" s="455">
        <v>46246</v>
      </c>
      <c r="G169" s="455">
        <v>46246</v>
      </c>
      <c r="H169" t="s">
        <v>1471</v>
      </c>
      <c r="I169" t="s">
        <v>1523</v>
      </c>
      <c r="J169" s="456">
        <v>1188</v>
      </c>
      <c r="K169" s="456">
        <v>3096.9</v>
      </c>
      <c r="L169">
        <v>0</v>
      </c>
      <c r="M169">
        <v>878.27</v>
      </c>
    </row>
    <row r="170" spans="1:13">
      <c r="A170" t="s">
        <v>1751</v>
      </c>
      <c r="B170" t="s">
        <v>2627</v>
      </c>
      <c r="C170" t="s">
        <v>2271</v>
      </c>
      <c r="D170" t="s">
        <v>2628</v>
      </c>
      <c r="E170" s="455">
        <v>46101</v>
      </c>
      <c r="F170" s="455">
        <v>46169</v>
      </c>
      <c r="G170" s="455">
        <v>46169</v>
      </c>
      <c r="H170" t="s">
        <v>7193</v>
      </c>
      <c r="I170" t="s">
        <v>1523</v>
      </c>
      <c r="J170" s="456">
        <v>1213</v>
      </c>
      <c r="K170" s="456">
        <v>1490</v>
      </c>
      <c r="L170">
        <v>0</v>
      </c>
      <c r="M170" s="456">
        <v>42866.29</v>
      </c>
    </row>
    <row r="171" spans="1:13">
      <c r="A171" t="s">
        <v>1751</v>
      </c>
      <c r="B171" t="s">
        <v>2629</v>
      </c>
      <c r="C171" t="s">
        <v>2271</v>
      </c>
      <c r="D171" t="s">
        <v>1134</v>
      </c>
      <c r="E171" s="455">
        <v>46157</v>
      </c>
      <c r="F171" s="455">
        <v>46210</v>
      </c>
      <c r="G171" s="455">
        <v>46210</v>
      </c>
      <c r="H171" t="s">
        <v>7193</v>
      </c>
      <c r="I171" t="s">
        <v>1523</v>
      </c>
      <c r="J171" s="456">
        <v>1213</v>
      </c>
      <c r="K171" s="456">
        <v>3200</v>
      </c>
      <c r="L171">
        <v>0</v>
      </c>
      <c r="M171" s="456">
        <v>5532</v>
      </c>
    </row>
    <row r="172" spans="1:13">
      <c r="A172" t="s">
        <v>1751</v>
      </c>
      <c r="B172" t="s">
        <v>1527</v>
      </c>
      <c r="C172" t="s">
        <v>2271</v>
      </c>
      <c r="D172" t="s">
        <v>2165</v>
      </c>
      <c r="E172" s="455">
        <v>46073</v>
      </c>
      <c r="F172" s="455">
        <v>46111</v>
      </c>
      <c r="G172" s="455">
        <v>46078</v>
      </c>
      <c r="H172" t="s">
        <v>1467</v>
      </c>
      <c r="I172" t="s">
        <v>1518</v>
      </c>
      <c r="J172" s="456">
        <v>1173</v>
      </c>
      <c r="K172" s="456">
        <v>1380</v>
      </c>
      <c r="L172">
        <v>0</v>
      </c>
      <c r="M172">
        <v>0</v>
      </c>
    </row>
    <row r="173" spans="1:13">
      <c r="A173" t="s">
        <v>1751</v>
      </c>
      <c r="B173" t="s">
        <v>1580</v>
      </c>
      <c r="C173" t="s">
        <v>2260</v>
      </c>
      <c r="D173" t="s">
        <v>2979</v>
      </c>
      <c r="E173" s="455">
        <v>46120</v>
      </c>
      <c r="F173" s="455">
        <v>46120</v>
      </c>
      <c r="G173" s="455">
        <v>46120</v>
      </c>
      <c r="H173" t="s">
        <v>1467</v>
      </c>
      <c r="I173" t="s">
        <v>1523</v>
      </c>
      <c r="J173">
        <v>846</v>
      </c>
      <c r="K173" s="456">
        <v>1680</v>
      </c>
      <c r="L173">
        <v>0</v>
      </c>
      <c r="M173">
        <v>0</v>
      </c>
    </row>
    <row r="174" spans="1:13">
      <c r="A174" t="s">
        <v>1751</v>
      </c>
      <c r="B174" t="s">
        <v>1540</v>
      </c>
      <c r="C174" t="s">
        <v>1023</v>
      </c>
      <c r="D174" t="s">
        <v>2180</v>
      </c>
      <c r="E174" s="455">
        <v>46081</v>
      </c>
      <c r="F174" s="455">
        <v>46081</v>
      </c>
      <c r="G174" s="455">
        <v>46081</v>
      </c>
      <c r="H174" t="s">
        <v>7194</v>
      </c>
      <c r="I174" t="s">
        <v>1523</v>
      </c>
      <c r="J174">
        <v>743</v>
      </c>
      <c r="K174">
        <v>855</v>
      </c>
      <c r="L174">
        <v>0</v>
      </c>
      <c r="M174">
        <v>0</v>
      </c>
    </row>
    <row r="175" spans="1:13">
      <c r="A175" t="s">
        <v>1751</v>
      </c>
      <c r="B175" t="s">
        <v>2632</v>
      </c>
      <c r="C175" t="s">
        <v>2260</v>
      </c>
      <c r="D175" t="s">
        <v>2633</v>
      </c>
      <c r="E175" s="455">
        <v>46137</v>
      </c>
      <c r="F175" s="455">
        <v>46205</v>
      </c>
      <c r="G175" s="455">
        <v>46205</v>
      </c>
      <c r="H175" t="s">
        <v>7203</v>
      </c>
      <c r="I175" t="s">
        <v>1523</v>
      </c>
      <c r="J175">
        <v>836</v>
      </c>
      <c r="K175" s="456">
        <v>2220</v>
      </c>
      <c r="L175">
        <v>0</v>
      </c>
      <c r="M175">
        <v>514.9</v>
      </c>
    </row>
    <row r="176" spans="1:13">
      <c r="A176" t="s">
        <v>1751</v>
      </c>
      <c r="B176" t="s">
        <v>1532</v>
      </c>
      <c r="C176" t="s">
        <v>2260</v>
      </c>
      <c r="D176" t="s">
        <v>7263</v>
      </c>
      <c r="E176" s="455">
        <v>46097</v>
      </c>
      <c r="F176" s="455">
        <v>46326</v>
      </c>
      <c r="G176" s="455">
        <v>46097</v>
      </c>
      <c r="H176" t="s">
        <v>1467</v>
      </c>
      <c r="I176" t="s">
        <v>1518</v>
      </c>
      <c r="J176">
        <v>791</v>
      </c>
      <c r="K176">
        <v>925</v>
      </c>
      <c r="L176">
        <v>0</v>
      </c>
      <c r="M176">
        <v>0</v>
      </c>
    </row>
    <row r="177" spans="1:13">
      <c r="A177" t="s">
        <v>1751</v>
      </c>
      <c r="B177" t="s">
        <v>1588</v>
      </c>
      <c r="C177" t="s">
        <v>1023</v>
      </c>
      <c r="D177" t="s">
        <v>3108</v>
      </c>
      <c r="E177" s="455">
        <v>46093</v>
      </c>
      <c r="F177" s="455">
        <v>46116</v>
      </c>
      <c r="G177" s="455">
        <v>46116</v>
      </c>
      <c r="H177" t="s">
        <v>7206</v>
      </c>
      <c r="I177" t="s">
        <v>1523</v>
      </c>
      <c r="J177">
        <v>863</v>
      </c>
      <c r="K177" s="456">
        <v>2030</v>
      </c>
      <c r="L177">
        <v>0</v>
      </c>
      <c r="M177">
        <v>0</v>
      </c>
    </row>
    <row r="178" spans="1:13">
      <c r="A178" t="s">
        <v>1751</v>
      </c>
      <c r="B178" t="s">
        <v>6288</v>
      </c>
      <c r="C178" t="s">
        <v>1023</v>
      </c>
      <c r="D178" t="s">
        <v>7264</v>
      </c>
      <c r="E178" s="455">
        <v>46137</v>
      </c>
      <c r="F178" s="455">
        <v>46142</v>
      </c>
      <c r="G178" s="455">
        <v>46142</v>
      </c>
      <c r="H178" t="s">
        <v>7203</v>
      </c>
      <c r="I178" t="s">
        <v>1523</v>
      </c>
      <c r="J178">
        <v>798</v>
      </c>
      <c r="K178">
        <v>895</v>
      </c>
      <c r="L178">
        <v>0</v>
      </c>
      <c r="M178">
        <v>0</v>
      </c>
    </row>
    <row r="179" spans="1:13">
      <c r="A179" t="s">
        <v>1751</v>
      </c>
      <c r="B179" t="s">
        <v>2638</v>
      </c>
      <c r="C179" t="s">
        <v>1023</v>
      </c>
      <c r="D179" t="s">
        <v>2639</v>
      </c>
      <c r="E179" s="455">
        <v>46217</v>
      </c>
      <c r="F179" s="455">
        <v>46477</v>
      </c>
      <c r="G179" s="455">
        <v>46217</v>
      </c>
      <c r="H179" t="s">
        <v>7194</v>
      </c>
      <c r="I179" t="s">
        <v>1518</v>
      </c>
      <c r="J179">
        <v>753</v>
      </c>
      <c r="K179" s="456">
        <v>1689</v>
      </c>
      <c r="L179">
        <v>0</v>
      </c>
      <c r="M179" s="456">
        <v>5589.94</v>
      </c>
    </row>
    <row r="180" spans="1:13">
      <c r="A180" t="s">
        <v>1751</v>
      </c>
      <c r="B180" t="s">
        <v>1567</v>
      </c>
      <c r="C180" t="s">
        <v>2271</v>
      </c>
      <c r="D180" t="s">
        <v>2169</v>
      </c>
      <c r="E180" s="455">
        <v>46112</v>
      </c>
      <c r="F180" s="455">
        <v>46112</v>
      </c>
      <c r="G180" s="455">
        <v>46112</v>
      </c>
      <c r="H180" t="s">
        <v>1467</v>
      </c>
      <c r="I180" t="s">
        <v>1523</v>
      </c>
      <c r="J180" s="456">
        <v>1163</v>
      </c>
      <c r="K180" s="456">
        <v>1304</v>
      </c>
      <c r="L180">
        <v>0</v>
      </c>
      <c r="M180">
        <v>0</v>
      </c>
    </row>
    <row r="181" spans="1:13">
      <c r="A181" t="s">
        <v>1751</v>
      </c>
      <c r="B181" t="s">
        <v>1550</v>
      </c>
      <c r="C181" t="s">
        <v>2271</v>
      </c>
      <c r="D181" t="s">
        <v>7265</v>
      </c>
      <c r="E181" s="455">
        <v>46094</v>
      </c>
      <c r="F181" s="455">
        <v>46295</v>
      </c>
      <c r="G181" s="455">
        <v>46094</v>
      </c>
      <c r="H181" t="s">
        <v>1467</v>
      </c>
      <c r="I181" t="s">
        <v>1518</v>
      </c>
      <c r="J181" s="456">
        <v>1173</v>
      </c>
      <c r="K181" s="456">
        <v>1381</v>
      </c>
      <c r="L181">
        <v>0</v>
      </c>
      <c r="M181">
        <v>0</v>
      </c>
    </row>
    <row r="182" spans="1:13">
      <c r="A182" t="s">
        <v>1751</v>
      </c>
      <c r="B182" t="s">
        <v>2640</v>
      </c>
      <c r="C182" t="s">
        <v>2271</v>
      </c>
      <c r="D182" t="s">
        <v>2641</v>
      </c>
      <c r="E182" s="455">
        <v>46125</v>
      </c>
      <c r="F182" s="455">
        <v>46186</v>
      </c>
      <c r="G182" s="455">
        <v>46186</v>
      </c>
      <c r="H182" t="s">
        <v>7203</v>
      </c>
      <c r="I182" t="s">
        <v>1523</v>
      </c>
      <c r="J182" s="456">
        <v>1238</v>
      </c>
      <c r="K182" s="456">
        <v>3250</v>
      </c>
      <c r="L182">
        <v>0</v>
      </c>
      <c r="M182" s="456">
        <v>5704.82</v>
      </c>
    </row>
    <row r="183" spans="1:13">
      <c r="A183" t="s">
        <v>1751</v>
      </c>
      <c r="B183" t="s">
        <v>2642</v>
      </c>
      <c r="C183" t="s">
        <v>2260</v>
      </c>
      <c r="D183" t="s">
        <v>2643</v>
      </c>
      <c r="E183" s="455">
        <v>46241</v>
      </c>
      <c r="F183" s="455">
        <v>46538</v>
      </c>
      <c r="G183" s="455">
        <v>46241</v>
      </c>
      <c r="H183" t="s">
        <v>1467</v>
      </c>
      <c r="I183" t="s">
        <v>1518</v>
      </c>
      <c r="J183">
        <v>846</v>
      </c>
      <c r="K183" s="456">
        <v>1850</v>
      </c>
      <c r="L183">
        <v>0</v>
      </c>
      <c r="M183">
        <v>686.59</v>
      </c>
    </row>
    <row r="184" spans="1:13">
      <c r="A184" t="s">
        <v>1751</v>
      </c>
      <c r="B184" t="s">
        <v>1577</v>
      </c>
      <c r="C184" t="s">
        <v>2260</v>
      </c>
      <c r="D184" t="s">
        <v>2161</v>
      </c>
      <c r="E184" s="455">
        <v>46120</v>
      </c>
      <c r="F184" s="455">
        <v>46120</v>
      </c>
      <c r="G184" s="455">
        <v>46120</v>
      </c>
      <c r="H184" t="s">
        <v>1467</v>
      </c>
      <c r="I184" t="s">
        <v>1523</v>
      </c>
      <c r="J184">
        <v>836</v>
      </c>
      <c r="K184" s="456">
        <v>1964</v>
      </c>
      <c r="L184">
        <v>0</v>
      </c>
      <c r="M184">
        <v>0</v>
      </c>
    </row>
    <row r="185" spans="1:13">
      <c r="A185" t="s">
        <v>1751</v>
      </c>
      <c r="B185" t="s">
        <v>6541</v>
      </c>
      <c r="C185" t="s">
        <v>2260</v>
      </c>
      <c r="D185" t="s">
        <v>6542</v>
      </c>
      <c r="E185" s="455">
        <v>46232</v>
      </c>
      <c r="F185" s="455">
        <v>46326</v>
      </c>
      <c r="G185" s="455">
        <v>46326</v>
      </c>
      <c r="H185" t="s">
        <v>7188</v>
      </c>
      <c r="I185" t="s">
        <v>1523</v>
      </c>
      <c r="J185">
        <v>846</v>
      </c>
      <c r="K185" s="456">
        <v>1872</v>
      </c>
      <c r="L185">
        <v>150</v>
      </c>
      <c r="M185">
        <v>0</v>
      </c>
    </row>
    <row r="186" spans="1:13">
      <c r="A186" t="s">
        <v>1751</v>
      </c>
      <c r="B186" t="s">
        <v>6547</v>
      </c>
      <c r="C186" t="s">
        <v>2260</v>
      </c>
      <c r="D186" t="s">
        <v>6548</v>
      </c>
      <c r="E186" s="455">
        <v>46197</v>
      </c>
      <c r="F186" s="455">
        <v>46295</v>
      </c>
      <c r="G186" s="455">
        <v>46295</v>
      </c>
      <c r="H186" t="s">
        <v>1471</v>
      </c>
      <c r="I186" t="s">
        <v>1523</v>
      </c>
      <c r="J186">
        <v>896</v>
      </c>
      <c r="K186" s="456">
        <v>1100</v>
      </c>
      <c r="L186">
        <v>0</v>
      </c>
      <c r="M186">
        <v>0</v>
      </c>
    </row>
    <row r="187" spans="1:13">
      <c r="A187" t="s">
        <v>1751</v>
      </c>
      <c r="B187" t="s">
        <v>2645</v>
      </c>
      <c r="C187" t="s">
        <v>2260</v>
      </c>
      <c r="D187" t="s">
        <v>1117</v>
      </c>
      <c r="E187" s="455">
        <v>46071</v>
      </c>
      <c r="F187" s="455">
        <v>46171</v>
      </c>
      <c r="G187" s="455">
        <v>46148</v>
      </c>
      <c r="H187" t="s">
        <v>1167</v>
      </c>
      <c r="I187" t="s">
        <v>1518</v>
      </c>
      <c r="J187">
        <v>861</v>
      </c>
      <c r="K187" s="456">
        <v>1950</v>
      </c>
      <c r="L187">
        <v>0</v>
      </c>
      <c r="M187" s="456">
        <v>15941.6</v>
      </c>
    </row>
    <row r="188" spans="1:13">
      <c r="A188" t="s">
        <v>1751</v>
      </c>
      <c r="B188" t="s">
        <v>2646</v>
      </c>
      <c r="C188" t="s">
        <v>2260</v>
      </c>
      <c r="D188" t="s">
        <v>2647</v>
      </c>
      <c r="E188" s="455">
        <v>46126</v>
      </c>
      <c r="F188" s="455">
        <v>46263</v>
      </c>
      <c r="G188" s="455">
        <v>46169</v>
      </c>
      <c r="H188" t="s">
        <v>7193</v>
      </c>
      <c r="I188" t="s">
        <v>1518</v>
      </c>
      <c r="J188">
        <v>836</v>
      </c>
      <c r="K188">
        <v>848</v>
      </c>
      <c r="L188">
        <v>0</v>
      </c>
      <c r="M188" s="456">
        <v>10918.28</v>
      </c>
    </row>
    <row r="189" spans="1:13">
      <c r="A189" t="s">
        <v>1751</v>
      </c>
      <c r="B189" t="s">
        <v>2648</v>
      </c>
      <c r="C189" t="s">
        <v>2267</v>
      </c>
      <c r="D189" t="s">
        <v>2649</v>
      </c>
      <c r="E189" s="455">
        <v>46163</v>
      </c>
      <c r="F189" s="455">
        <v>46252</v>
      </c>
      <c r="G189" s="455">
        <v>46252</v>
      </c>
      <c r="H189" t="s">
        <v>1471</v>
      </c>
      <c r="I189" t="s">
        <v>1523</v>
      </c>
      <c r="J189">
        <v>927</v>
      </c>
      <c r="K189" s="456">
        <v>1190</v>
      </c>
      <c r="L189">
        <v>0</v>
      </c>
      <c r="M189">
        <v>956.92</v>
      </c>
    </row>
    <row r="190" spans="1:13">
      <c r="A190" t="s">
        <v>1751</v>
      </c>
      <c r="B190" t="s">
        <v>2652</v>
      </c>
      <c r="C190" t="s">
        <v>2267</v>
      </c>
      <c r="D190" t="s">
        <v>2653</v>
      </c>
      <c r="E190" s="455">
        <v>46157</v>
      </c>
      <c r="F190" s="455">
        <v>46203</v>
      </c>
      <c r="G190" s="455">
        <v>46171</v>
      </c>
      <c r="H190" t="s">
        <v>7193</v>
      </c>
      <c r="I190" t="s">
        <v>1518</v>
      </c>
      <c r="J190">
        <v>927</v>
      </c>
      <c r="K190" s="456">
        <v>1190</v>
      </c>
      <c r="L190">
        <v>0</v>
      </c>
      <c r="M190" s="456">
        <v>6633.98</v>
      </c>
    </row>
    <row r="191" spans="1:13">
      <c r="A191" t="s">
        <v>1751</v>
      </c>
      <c r="B191" t="s">
        <v>2952</v>
      </c>
      <c r="C191" t="s">
        <v>2267</v>
      </c>
      <c r="D191" t="s">
        <v>2953</v>
      </c>
      <c r="E191" s="455">
        <v>46144</v>
      </c>
      <c r="F191" s="455">
        <v>46147</v>
      </c>
      <c r="G191" s="455">
        <v>46144</v>
      </c>
      <c r="H191" t="s">
        <v>1467</v>
      </c>
      <c r="I191" t="s">
        <v>1518</v>
      </c>
      <c r="J191">
        <v>912</v>
      </c>
      <c r="K191" s="456">
        <v>1180</v>
      </c>
      <c r="L191">
        <v>0</v>
      </c>
      <c r="M191">
        <v>0</v>
      </c>
    </row>
    <row r="192" spans="1:13">
      <c r="A192" t="s">
        <v>1751</v>
      </c>
      <c r="B192" t="s">
        <v>2654</v>
      </c>
      <c r="C192" t="s">
        <v>2267</v>
      </c>
      <c r="D192" t="s">
        <v>2655</v>
      </c>
      <c r="E192" s="455">
        <v>46127</v>
      </c>
      <c r="F192" s="455">
        <v>46169</v>
      </c>
      <c r="G192" s="455">
        <v>46169</v>
      </c>
      <c r="H192" t="s">
        <v>7193</v>
      </c>
      <c r="I192" t="s">
        <v>1523</v>
      </c>
      <c r="J192">
        <v>952</v>
      </c>
      <c r="K192" s="456">
        <v>2450</v>
      </c>
      <c r="L192">
        <v>0</v>
      </c>
      <c r="M192" s="456">
        <v>4147.17</v>
      </c>
    </row>
    <row r="193" spans="1:13">
      <c r="A193" t="s">
        <v>1751</v>
      </c>
      <c r="B193" t="s">
        <v>1592</v>
      </c>
      <c r="C193" t="s">
        <v>2267</v>
      </c>
      <c r="D193" t="s">
        <v>7266</v>
      </c>
      <c r="E193" s="455">
        <v>46111</v>
      </c>
      <c r="F193" s="455">
        <v>46173</v>
      </c>
      <c r="G193" s="455">
        <v>46111</v>
      </c>
      <c r="H193" t="s">
        <v>1467</v>
      </c>
      <c r="I193" t="s">
        <v>1518</v>
      </c>
      <c r="J193">
        <v>902</v>
      </c>
      <c r="K193" s="456">
        <v>1038</v>
      </c>
      <c r="L193">
        <v>0</v>
      </c>
      <c r="M193">
        <v>0</v>
      </c>
    </row>
    <row r="194" spans="1:13">
      <c r="A194" t="s">
        <v>1751</v>
      </c>
      <c r="B194" t="s">
        <v>1547</v>
      </c>
      <c r="C194" t="s">
        <v>2267</v>
      </c>
      <c r="D194" t="s">
        <v>7267</v>
      </c>
      <c r="E194" s="455">
        <v>45993</v>
      </c>
      <c r="F194" s="455">
        <v>46060</v>
      </c>
      <c r="G194" s="455">
        <v>46060</v>
      </c>
      <c r="H194" t="s">
        <v>7189</v>
      </c>
      <c r="I194" t="s">
        <v>1523</v>
      </c>
      <c r="J194">
        <v>952</v>
      </c>
      <c r="K194" s="456">
        <v>2500</v>
      </c>
      <c r="L194">
        <v>0</v>
      </c>
      <c r="M194">
        <v>0</v>
      </c>
    </row>
    <row r="195" spans="1:13">
      <c r="A195" t="s">
        <v>1751</v>
      </c>
      <c r="B195" t="s">
        <v>2658</v>
      </c>
      <c r="C195" t="s">
        <v>2267</v>
      </c>
      <c r="D195" t="s">
        <v>2659</v>
      </c>
      <c r="E195" s="455">
        <v>46127</v>
      </c>
      <c r="F195" s="455">
        <v>46169</v>
      </c>
      <c r="G195" s="455">
        <v>46169</v>
      </c>
      <c r="H195" t="s">
        <v>7193</v>
      </c>
      <c r="I195" t="s">
        <v>1523</v>
      </c>
      <c r="J195">
        <v>912</v>
      </c>
      <c r="K195" s="456">
        <v>2240</v>
      </c>
      <c r="L195">
        <v>0</v>
      </c>
      <c r="M195" s="456">
        <v>14630.81</v>
      </c>
    </row>
    <row r="196" spans="1:13">
      <c r="A196" t="s">
        <v>1751</v>
      </c>
      <c r="B196" t="s">
        <v>1531</v>
      </c>
      <c r="C196" t="s">
        <v>2267</v>
      </c>
      <c r="D196" t="s">
        <v>2177</v>
      </c>
      <c r="E196" s="455">
        <v>46073</v>
      </c>
      <c r="F196" s="455">
        <v>46112</v>
      </c>
      <c r="G196" s="455">
        <v>46078</v>
      </c>
      <c r="H196" t="s">
        <v>1467</v>
      </c>
      <c r="I196" t="s">
        <v>1518</v>
      </c>
      <c r="J196">
        <v>912</v>
      </c>
      <c r="K196" s="456">
        <v>1090</v>
      </c>
      <c r="L196">
        <v>0</v>
      </c>
      <c r="M196">
        <v>0</v>
      </c>
    </row>
    <row r="197" spans="1:13">
      <c r="A197" t="s">
        <v>1751</v>
      </c>
      <c r="B197" t="s">
        <v>2660</v>
      </c>
      <c r="C197" t="s">
        <v>2267</v>
      </c>
      <c r="D197" t="s">
        <v>2661</v>
      </c>
      <c r="E197" s="455">
        <v>46143</v>
      </c>
      <c r="F197" s="455">
        <v>46172</v>
      </c>
      <c r="G197" s="455">
        <v>46172</v>
      </c>
      <c r="H197" t="s">
        <v>7195</v>
      </c>
      <c r="I197" t="s">
        <v>1523</v>
      </c>
      <c r="J197">
        <v>867</v>
      </c>
      <c r="K197" s="456">
        <v>2526</v>
      </c>
      <c r="L197">
        <v>0</v>
      </c>
      <c r="M197">
        <v>270.82</v>
      </c>
    </row>
    <row r="198" spans="1:13">
      <c r="A198" t="s">
        <v>1751</v>
      </c>
      <c r="B198" t="s">
        <v>1520</v>
      </c>
      <c r="C198" t="s">
        <v>2267</v>
      </c>
      <c r="D198" t="s">
        <v>2168</v>
      </c>
      <c r="E198" s="455">
        <v>46092</v>
      </c>
      <c r="F198" s="455">
        <v>46295</v>
      </c>
      <c r="G198" s="455">
        <v>46092</v>
      </c>
      <c r="H198" t="s">
        <v>1467</v>
      </c>
      <c r="I198" t="s">
        <v>1518</v>
      </c>
      <c r="J198">
        <v>882</v>
      </c>
      <c r="K198" s="456">
        <v>1113</v>
      </c>
      <c r="L198">
        <v>0</v>
      </c>
      <c r="M198">
        <v>0</v>
      </c>
    </row>
    <row r="199" spans="1:13">
      <c r="A199" t="s">
        <v>1751</v>
      </c>
      <c r="B199" t="s">
        <v>1597</v>
      </c>
      <c r="C199" t="s">
        <v>2267</v>
      </c>
      <c r="D199" t="s">
        <v>7268</v>
      </c>
      <c r="E199" s="455">
        <v>46037</v>
      </c>
      <c r="F199" s="455">
        <v>46112</v>
      </c>
      <c r="G199" s="455">
        <v>46112</v>
      </c>
      <c r="H199" t="s">
        <v>7187</v>
      </c>
      <c r="I199" t="s">
        <v>1523</v>
      </c>
      <c r="J199">
        <v>882</v>
      </c>
      <c r="K199" s="456">
        <v>1117</v>
      </c>
      <c r="L199">
        <v>0</v>
      </c>
      <c r="M199">
        <v>0</v>
      </c>
    </row>
    <row r="200" spans="1:13">
      <c r="A200" t="s">
        <v>1751</v>
      </c>
      <c r="B200" t="s">
        <v>6898</v>
      </c>
      <c r="C200" t="s">
        <v>2267</v>
      </c>
      <c r="D200" t="s">
        <v>6899</v>
      </c>
      <c r="E200" s="455">
        <v>46227</v>
      </c>
      <c r="F200" s="455">
        <v>46301</v>
      </c>
      <c r="G200" s="455">
        <v>46301</v>
      </c>
      <c r="H200" t="s">
        <v>7188</v>
      </c>
      <c r="I200" t="s">
        <v>1523</v>
      </c>
      <c r="J200">
        <v>952</v>
      </c>
      <c r="K200" s="456">
        <v>1185</v>
      </c>
      <c r="L200">
        <v>0</v>
      </c>
      <c r="M200">
        <v>0</v>
      </c>
    </row>
    <row r="201" spans="1:13">
      <c r="A201" t="s">
        <v>1751</v>
      </c>
      <c r="B201" t="s">
        <v>1541</v>
      </c>
      <c r="C201" t="s">
        <v>2274</v>
      </c>
      <c r="D201" t="s">
        <v>7269</v>
      </c>
      <c r="E201" s="455">
        <v>46071</v>
      </c>
      <c r="F201" s="455">
        <v>46080</v>
      </c>
      <c r="G201" s="455">
        <v>46080</v>
      </c>
      <c r="H201" t="s">
        <v>7217</v>
      </c>
      <c r="I201" t="s">
        <v>1523</v>
      </c>
      <c r="J201" s="456">
        <v>1112</v>
      </c>
      <c r="K201" s="456">
        <v>2840</v>
      </c>
      <c r="L201">
        <v>0</v>
      </c>
      <c r="M201">
        <v>0</v>
      </c>
    </row>
    <row r="202" spans="1:13">
      <c r="A202" t="s">
        <v>1751</v>
      </c>
      <c r="B202" t="s">
        <v>2664</v>
      </c>
      <c r="C202" t="s">
        <v>2274</v>
      </c>
      <c r="D202" t="s">
        <v>2665</v>
      </c>
      <c r="E202" s="455">
        <v>46218</v>
      </c>
      <c r="F202" s="455">
        <v>46451</v>
      </c>
      <c r="G202" s="455">
        <v>46244</v>
      </c>
      <c r="H202" t="s">
        <v>7193</v>
      </c>
      <c r="I202" t="s">
        <v>1518</v>
      </c>
      <c r="J202" s="456">
        <v>1112</v>
      </c>
      <c r="K202" s="456">
        <v>2801</v>
      </c>
      <c r="L202">
        <v>0</v>
      </c>
      <c r="M202" s="456">
        <v>3280.43</v>
      </c>
    </row>
    <row r="203" spans="1:13">
      <c r="A203" t="s">
        <v>1751</v>
      </c>
      <c r="B203" t="s">
        <v>2668</v>
      </c>
      <c r="C203" t="s">
        <v>2274</v>
      </c>
      <c r="D203" t="s">
        <v>2669</v>
      </c>
      <c r="E203" s="455">
        <v>46174</v>
      </c>
      <c r="F203" s="455">
        <v>46237</v>
      </c>
      <c r="G203" s="455">
        <v>46237</v>
      </c>
      <c r="H203" t="s">
        <v>7203</v>
      </c>
      <c r="I203" t="s">
        <v>1523</v>
      </c>
      <c r="J203" s="456">
        <v>1137</v>
      </c>
      <c r="K203" s="456">
        <v>3534</v>
      </c>
      <c r="L203">
        <v>0</v>
      </c>
      <c r="M203">
        <v>759.91</v>
      </c>
    </row>
    <row r="204" spans="1:13">
      <c r="A204" t="s">
        <v>1751</v>
      </c>
      <c r="B204" t="s">
        <v>7119</v>
      </c>
      <c r="C204" t="s">
        <v>2274</v>
      </c>
      <c r="D204" t="s">
        <v>7120</v>
      </c>
      <c r="E204" s="455">
        <v>46238</v>
      </c>
      <c r="F204" s="455">
        <v>46295</v>
      </c>
      <c r="G204" s="455">
        <v>46295</v>
      </c>
      <c r="H204" t="s">
        <v>7201</v>
      </c>
      <c r="I204" t="s">
        <v>1523</v>
      </c>
      <c r="J204" s="456">
        <v>1087</v>
      </c>
      <c r="K204" s="456">
        <v>1536</v>
      </c>
      <c r="L204">
        <v>750</v>
      </c>
      <c r="M204">
        <v>0</v>
      </c>
    </row>
    <row r="205" spans="1:13">
      <c r="A205" t="s">
        <v>1751</v>
      </c>
      <c r="B205" t="s">
        <v>1556</v>
      </c>
      <c r="C205" t="s">
        <v>2276</v>
      </c>
      <c r="D205" t="s">
        <v>7270</v>
      </c>
      <c r="E205" s="455">
        <v>46070</v>
      </c>
      <c r="F205" s="455">
        <v>46079</v>
      </c>
      <c r="G205" s="455">
        <v>46079</v>
      </c>
      <c r="H205" t="s">
        <v>7217</v>
      </c>
      <c r="I205" t="s">
        <v>1523</v>
      </c>
      <c r="J205" s="456">
        <v>1235</v>
      </c>
      <c r="K205" s="456">
        <v>1435</v>
      </c>
      <c r="L205">
        <v>0</v>
      </c>
      <c r="M205">
        <v>0</v>
      </c>
    </row>
    <row r="206" spans="1:13">
      <c r="A206" t="s">
        <v>1751</v>
      </c>
      <c r="B206" t="s">
        <v>1519</v>
      </c>
      <c r="C206" t="s">
        <v>2276</v>
      </c>
      <c r="D206" t="s">
        <v>2125</v>
      </c>
      <c r="E206" s="455">
        <v>46066</v>
      </c>
      <c r="F206" s="455">
        <v>46070</v>
      </c>
      <c r="G206" s="455">
        <v>46066</v>
      </c>
      <c r="H206" t="s">
        <v>7193</v>
      </c>
      <c r="I206" t="s">
        <v>1518</v>
      </c>
      <c r="J206" s="456">
        <v>1210</v>
      </c>
      <c r="K206" s="456">
        <v>1418</v>
      </c>
      <c r="L206">
        <v>0</v>
      </c>
      <c r="M206">
        <v>0</v>
      </c>
    </row>
    <row r="207" spans="1:13">
      <c r="A207" t="s">
        <v>1751</v>
      </c>
      <c r="B207" t="s">
        <v>2674</v>
      </c>
      <c r="C207" t="s">
        <v>2270</v>
      </c>
      <c r="D207" t="s">
        <v>2675</v>
      </c>
      <c r="E207" s="455">
        <v>46170</v>
      </c>
      <c r="F207" s="455">
        <v>46295</v>
      </c>
      <c r="G207" s="455">
        <v>46295</v>
      </c>
      <c r="H207" t="s">
        <v>7188</v>
      </c>
      <c r="I207" t="s">
        <v>1523</v>
      </c>
      <c r="J207" s="456">
        <v>1227</v>
      </c>
      <c r="K207" s="456">
        <v>1453</v>
      </c>
      <c r="L207">
        <v>250</v>
      </c>
      <c r="M207">
        <v>305.73</v>
      </c>
    </row>
    <row r="208" spans="1:13">
      <c r="A208" t="s">
        <v>1751</v>
      </c>
      <c r="B208" t="s">
        <v>4416</v>
      </c>
      <c r="C208" t="s">
        <v>2270</v>
      </c>
      <c r="D208" t="s">
        <v>6958</v>
      </c>
      <c r="E208" s="455">
        <v>46169</v>
      </c>
      <c r="F208" s="455">
        <v>46265</v>
      </c>
      <c r="G208" s="455">
        <v>46265</v>
      </c>
      <c r="H208" t="s">
        <v>7188</v>
      </c>
      <c r="I208" t="s">
        <v>1523</v>
      </c>
      <c r="J208" s="456">
        <v>1202</v>
      </c>
      <c r="K208" s="456">
        <v>1531</v>
      </c>
      <c r="L208">
        <v>0</v>
      </c>
      <c r="M208">
        <v>0</v>
      </c>
    </row>
    <row r="209" spans="1:13">
      <c r="A209" t="s">
        <v>1751</v>
      </c>
      <c r="B209" t="s">
        <v>2678</v>
      </c>
      <c r="C209" t="s">
        <v>2270</v>
      </c>
      <c r="D209" t="s">
        <v>2679</v>
      </c>
      <c r="E209" s="455">
        <v>46178</v>
      </c>
      <c r="F209" s="455">
        <v>46234</v>
      </c>
      <c r="G209" s="455">
        <v>46197</v>
      </c>
      <c r="H209" t="s">
        <v>7193</v>
      </c>
      <c r="I209" t="s">
        <v>1518</v>
      </c>
      <c r="J209" s="456">
        <v>1137</v>
      </c>
      <c r="K209" s="456">
        <v>1380</v>
      </c>
      <c r="L209">
        <v>0</v>
      </c>
      <c r="M209" s="456">
        <v>3605.6</v>
      </c>
    </row>
    <row r="210" spans="1:13">
      <c r="A210" t="s">
        <v>1751</v>
      </c>
      <c r="B210" t="s">
        <v>2684</v>
      </c>
      <c r="C210" t="s">
        <v>2259</v>
      </c>
      <c r="D210" t="s">
        <v>2685</v>
      </c>
      <c r="E210" s="455">
        <v>46197</v>
      </c>
      <c r="F210" s="455">
        <v>46295</v>
      </c>
      <c r="G210" s="455">
        <v>46295</v>
      </c>
      <c r="H210" t="s">
        <v>1471</v>
      </c>
      <c r="I210" t="s">
        <v>1523</v>
      </c>
      <c r="J210">
        <v>858</v>
      </c>
      <c r="K210">
        <v>970</v>
      </c>
      <c r="L210">
        <v>0</v>
      </c>
      <c r="M210" s="456">
        <v>2749.5</v>
      </c>
    </row>
    <row r="211" spans="1:13">
      <c r="A211" t="s">
        <v>1751</v>
      </c>
      <c r="B211" t="s">
        <v>2686</v>
      </c>
      <c r="C211" t="s">
        <v>2259</v>
      </c>
      <c r="D211" t="s">
        <v>2687</v>
      </c>
      <c r="E211" s="455">
        <v>46198</v>
      </c>
      <c r="F211" s="455">
        <v>46326</v>
      </c>
      <c r="G211" s="455">
        <v>46198</v>
      </c>
      <c r="H211" t="s">
        <v>7194</v>
      </c>
      <c r="I211" t="s">
        <v>1518</v>
      </c>
      <c r="J211">
        <v>813</v>
      </c>
      <c r="K211">
        <v>925</v>
      </c>
      <c r="L211">
        <v>0</v>
      </c>
      <c r="M211" s="456">
        <v>5460.15</v>
      </c>
    </row>
    <row r="212" spans="1:13">
      <c r="A212" t="s">
        <v>1751</v>
      </c>
      <c r="B212" t="s">
        <v>3616</v>
      </c>
      <c r="C212" t="s">
        <v>2259</v>
      </c>
      <c r="D212" t="s">
        <v>7271</v>
      </c>
      <c r="E212" s="455">
        <v>46098</v>
      </c>
      <c r="F212" s="455">
        <v>46171</v>
      </c>
      <c r="G212" s="455">
        <v>46170</v>
      </c>
      <c r="H212" t="s">
        <v>7201</v>
      </c>
      <c r="I212" t="s">
        <v>1518</v>
      </c>
      <c r="J212">
        <v>833</v>
      </c>
      <c r="K212">
        <v>822</v>
      </c>
      <c r="L212">
        <v>0</v>
      </c>
      <c r="M212">
        <v>0</v>
      </c>
    </row>
    <row r="213" spans="1:13">
      <c r="A213" t="s">
        <v>1751</v>
      </c>
      <c r="B213" t="s">
        <v>1587</v>
      </c>
      <c r="C213" t="s">
        <v>2259</v>
      </c>
      <c r="D213" t="s">
        <v>2968</v>
      </c>
      <c r="E213" s="455">
        <v>46132</v>
      </c>
      <c r="F213" s="455">
        <v>46326</v>
      </c>
      <c r="G213" s="455">
        <v>46132</v>
      </c>
      <c r="H213" t="s">
        <v>1467</v>
      </c>
      <c r="I213" t="s">
        <v>1518</v>
      </c>
      <c r="J213">
        <v>833</v>
      </c>
      <c r="K213">
        <v>949</v>
      </c>
      <c r="L213">
        <v>0</v>
      </c>
      <c r="M213">
        <v>0</v>
      </c>
    </row>
    <row r="214" spans="1:13">
      <c r="A214" t="s">
        <v>1751</v>
      </c>
      <c r="B214" t="s">
        <v>1538</v>
      </c>
      <c r="C214" t="s">
        <v>2259</v>
      </c>
      <c r="D214" t="s">
        <v>1106</v>
      </c>
      <c r="E214" s="455">
        <v>46076</v>
      </c>
      <c r="F214" s="455">
        <v>46076</v>
      </c>
      <c r="G214" s="455">
        <v>46076</v>
      </c>
      <c r="H214" t="s">
        <v>7250</v>
      </c>
      <c r="I214" t="s">
        <v>1523</v>
      </c>
      <c r="J214">
        <v>883</v>
      </c>
      <c r="K214" s="456">
        <v>2150</v>
      </c>
      <c r="L214">
        <v>0</v>
      </c>
      <c r="M214">
        <v>0</v>
      </c>
    </row>
    <row r="215" spans="1:13">
      <c r="A215" t="s">
        <v>1751</v>
      </c>
      <c r="B215" t="s">
        <v>4765</v>
      </c>
      <c r="C215" t="s">
        <v>2270</v>
      </c>
      <c r="D215" t="s">
        <v>4556</v>
      </c>
      <c r="E215" s="455">
        <v>46209</v>
      </c>
      <c r="F215" s="455">
        <v>46295</v>
      </c>
      <c r="G215" s="455">
        <v>46295</v>
      </c>
      <c r="H215" t="s">
        <v>7188</v>
      </c>
      <c r="I215" t="s">
        <v>1523</v>
      </c>
      <c r="J215" s="456">
        <v>1202</v>
      </c>
      <c r="K215" s="456">
        <v>1565</v>
      </c>
      <c r="L215">
        <v>0</v>
      </c>
      <c r="M215">
        <v>0</v>
      </c>
    </row>
    <row r="216" spans="1:13">
      <c r="A216" t="s">
        <v>1751</v>
      </c>
      <c r="B216" t="s">
        <v>2698</v>
      </c>
      <c r="C216" t="s">
        <v>2264</v>
      </c>
      <c r="D216" t="s">
        <v>2699</v>
      </c>
      <c r="E216" s="455">
        <v>46127</v>
      </c>
      <c r="F216" s="455">
        <v>46342</v>
      </c>
      <c r="G216" s="455">
        <v>46183</v>
      </c>
      <c r="H216" t="s">
        <v>7193</v>
      </c>
      <c r="I216" t="s">
        <v>1518</v>
      </c>
      <c r="J216">
        <v>897</v>
      </c>
      <c r="K216" s="456">
        <v>1135</v>
      </c>
      <c r="L216">
        <v>0</v>
      </c>
      <c r="M216" s="456">
        <v>9275.4599999999991</v>
      </c>
    </row>
    <row r="217" spans="1:13">
      <c r="A217" t="s">
        <v>1751</v>
      </c>
      <c r="B217" t="s">
        <v>2700</v>
      </c>
      <c r="C217" t="s">
        <v>2264</v>
      </c>
      <c r="D217" t="s">
        <v>2701</v>
      </c>
      <c r="E217" s="455">
        <v>46127</v>
      </c>
      <c r="F217" s="455">
        <v>46169</v>
      </c>
      <c r="G217" s="455">
        <v>46169</v>
      </c>
      <c r="H217" t="s">
        <v>7193</v>
      </c>
      <c r="I217" t="s">
        <v>1523</v>
      </c>
      <c r="J217">
        <v>822</v>
      </c>
      <c r="K217" s="456">
        <v>2400</v>
      </c>
      <c r="L217">
        <v>0</v>
      </c>
      <c r="M217" s="456">
        <v>12968.5</v>
      </c>
    </row>
    <row r="218" spans="1:13">
      <c r="A218" t="s">
        <v>1751</v>
      </c>
      <c r="B218" t="s">
        <v>1553</v>
      </c>
      <c r="C218" t="s">
        <v>2264</v>
      </c>
      <c r="D218" t="s">
        <v>1103</v>
      </c>
      <c r="E218" s="455">
        <v>46091</v>
      </c>
      <c r="F218" s="455">
        <v>46092</v>
      </c>
      <c r="G218" s="455">
        <v>46092</v>
      </c>
      <c r="H218" t="s">
        <v>7195</v>
      </c>
      <c r="I218" t="s">
        <v>1523</v>
      </c>
      <c r="J218">
        <v>822</v>
      </c>
      <c r="K218" s="456">
        <v>2196</v>
      </c>
      <c r="L218">
        <v>0</v>
      </c>
      <c r="M218">
        <v>0</v>
      </c>
    </row>
    <row r="219" spans="1:13">
      <c r="A219" t="s">
        <v>1751</v>
      </c>
      <c r="B219" t="s">
        <v>3397</v>
      </c>
      <c r="C219" t="s">
        <v>2267</v>
      </c>
      <c r="D219" t="s">
        <v>7272</v>
      </c>
      <c r="E219" s="455">
        <v>46168</v>
      </c>
      <c r="F219" s="455">
        <v>46234</v>
      </c>
      <c r="G219" s="455">
        <v>46226</v>
      </c>
      <c r="H219" t="s">
        <v>7273</v>
      </c>
      <c r="I219" t="s">
        <v>1518</v>
      </c>
      <c r="J219">
        <v>882</v>
      </c>
      <c r="K219" s="456">
        <v>1091</v>
      </c>
      <c r="L219">
        <v>0</v>
      </c>
      <c r="M219">
        <v>0</v>
      </c>
    </row>
    <row r="220" spans="1:13">
      <c r="A220" t="s">
        <v>1751</v>
      </c>
      <c r="B220" t="s">
        <v>1589</v>
      </c>
      <c r="C220" t="s">
        <v>2267</v>
      </c>
      <c r="D220" t="s">
        <v>7274</v>
      </c>
      <c r="E220" s="455">
        <v>46074</v>
      </c>
      <c r="F220" s="455">
        <v>46123</v>
      </c>
      <c r="G220" s="455">
        <v>46123</v>
      </c>
      <c r="H220" t="s">
        <v>7203</v>
      </c>
      <c r="I220" t="s">
        <v>1523</v>
      </c>
      <c r="J220">
        <v>927</v>
      </c>
      <c r="K220" s="456">
        <v>1112</v>
      </c>
      <c r="L220">
        <v>0</v>
      </c>
      <c r="M220">
        <v>0</v>
      </c>
    </row>
    <row r="221" spans="1:13">
      <c r="A221" t="s">
        <v>1751</v>
      </c>
      <c r="B221" t="s">
        <v>6292</v>
      </c>
      <c r="C221" t="s">
        <v>2267</v>
      </c>
      <c r="D221" t="s">
        <v>7145</v>
      </c>
      <c r="E221" s="455">
        <v>46092</v>
      </c>
      <c r="F221" s="455">
        <v>46146</v>
      </c>
      <c r="G221" s="455">
        <v>46146</v>
      </c>
      <c r="H221" t="s">
        <v>7195</v>
      </c>
      <c r="I221" t="s">
        <v>1523</v>
      </c>
      <c r="J221">
        <v>952</v>
      </c>
      <c r="K221" s="456">
        <v>4013.6</v>
      </c>
      <c r="L221">
        <v>0</v>
      </c>
      <c r="M221">
        <v>0</v>
      </c>
    </row>
    <row r="222" spans="1:13">
      <c r="A222" t="s">
        <v>1751</v>
      </c>
      <c r="B222" t="s">
        <v>1958</v>
      </c>
      <c r="C222" t="s">
        <v>2267</v>
      </c>
      <c r="D222" t="s">
        <v>7275</v>
      </c>
      <c r="E222" s="455">
        <v>46072</v>
      </c>
      <c r="F222" s="455">
        <v>46144</v>
      </c>
      <c r="G222" s="455">
        <v>46144</v>
      </c>
      <c r="H222" t="s">
        <v>7203</v>
      </c>
      <c r="I222" t="s">
        <v>1523</v>
      </c>
      <c r="J222">
        <v>902</v>
      </c>
      <c r="K222" s="456">
        <v>2551</v>
      </c>
      <c r="L222">
        <v>0</v>
      </c>
      <c r="M222">
        <v>0</v>
      </c>
    </row>
    <row r="223" spans="1:13">
      <c r="A223" t="s">
        <v>1751</v>
      </c>
      <c r="B223" t="s">
        <v>3760</v>
      </c>
      <c r="C223" t="s">
        <v>2267</v>
      </c>
      <c r="D223" t="s">
        <v>7276</v>
      </c>
      <c r="E223" s="455">
        <v>46020</v>
      </c>
      <c r="F223" s="455">
        <v>46081</v>
      </c>
      <c r="G223" s="455">
        <v>46081</v>
      </c>
      <c r="H223" t="s">
        <v>7189</v>
      </c>
      <c r="I223" t="s">
        <v>1523</v>
      </c>
      <c r="J223">
        <v>952</v>
      </c>
      <c r="K223" s="456">
        <v>1250</v>
      </c>
      <c r="L223">
        <v>0</v>
      </c>
      <c r="M223">
        <v>0</v>
      </c>
    </row>
    <row r="224" spans="1:13">
      <c r="A224" t="s">
        <v>1751</v>
      </c>
      <c r="B224" t="s">
        <v>2706</v>
      </c>
      <c r="C224" t="s">
        <v>2267</v>
      </c>
      <c r="D224" t="s">
        <v>2707</v>
      </c>
      <c r="E224" s="455">
        <v>46101</v>
      </c>
      <c r="F224" s="455">
        <v>46170</v>
      </c>
      <c r="G224" s="455">
        <v>46170</v>
      </c>
      <c r="H224" t="s">
        <v>7193</v>
      </c>
      <c r="I224" t="s">
        <v>1523</v>
      </c>
      <c r="J224">
        <v>902</v>
      </c>
      <c r="K224" s="456">
        <v>1075</v>
      </c>
      <c r="L224">
        <v>0</v>
      </c>
      <c r="M224" s="456">
        <v>22098.77</v>
      </c>
    </row>
    <row r="225" spans="1:13">
      <c r="A225" t="s">
        <v>1751</v>
      </c>
      <c r="B225" t="s">
        <v>1585</v>
      </c>
      <c r="C225" t="s">
        <v>2264</v>
      </c>
      <c r="D225" t="s">
        <v>1788</v>
      </c>
      <c r="E225" s="455">
        <v>46083</v>
      </c>
      <c r="F225" s="455">
        <v>46125</v>
      </c>
      <c r="G225" s="455">
        <v>46125</v>
      </c>
      <c r="H225" t="s">
        <v>7195</v>
      </c>
      <c r="I225" t="s">
        <v>1523</v>
      </c>
      <c r="J225">
        <v>897</v>
      </c>
      <c r="K225" s="456">
        <v>2462</v>
      </c>
      <c r="L225">
        <v>0</v>
      </c>
      <c r="M225">
        <v>0</v>
      </c>
    </row>
    <row r="226" spans="1:13">
      <c r="A226" t="s">
        <v>1751</v>
      </c>
      <c r="B226" t="s">
        <v>3039</v>
      </c>
      <c r="C226" t="s">
        <v>2264</v>
      </c>
      <c r="D226" t="s">
        <v>3040</v>
      </c>
      <c r="E226" s="455">
        <v>46140</v>
      </c>
      <c r="F226" s="455">
        <v>46214</v>
      </c>
      <c r="G226" s="455">
        <v>46214</v>
      </c>
      <c r="H226" t="s">
        <v>7203</v>
      </c>
      <c r="I226" t="s">
        <v>1523</v>
      </c>
      <c r="J226">
        <v>897</v>
      </c>
      <c r="K226" s="456">
        <v>2658</v>
      </c>
      <c r="L226">
        <v>0</v>
      </c>
      <c r="M226">
        <v>0</v>
      </c>
    </row>
    <row r="227" spans="1:13">
      <c r="A227" t="s">
        <v>1751</v>
      </c>
      <c r="B227" t="s">
        <v>3042</v>
      </c>
      <c r="C227" t="s">
        <v>2264</v>
      </c>
      <c r="D227" t="s">
        <v>3043</v>
      </c>
      <c r="E227" s="455">
        <v>46118</v>
      </c>
      <c r="F227" s="455">
        <v>46149</v>
      </c>
      <c r="G227" s="455">
        <v>46149</v>
      </c>
      <c r="H227" t="s">
        <v>7195</v>
      </c>
      <c r="I227" t="s">
        <v>1523</v>
      </c>
      <c r="J227">
        <v>802</v>
      </c>
      <c r="K227" s="456">
        <v>1916</v>
      </c>
      <c r="L227">
        <v>0</v>
      </c>
      <c r="M227">
        <v>0</v>
      </c>
    </row>
    <row r="228" spans="1:13">
      <c r="A228" t="s">
        <v>1751</v>
      </c>
      <c r="B228" t="s">
        <v>6781</v>
      </c>
      <c r="C228" t="s">
        <v>2264</v>
      </c>
      <c r="D228" t="s">
        <v>7277</v>
      </c>
      <c r="E228" s="455">
        <v>46084</v>
      </c>
      <c r="F228" s="455">
        <v>46174</v>
      </c>
      <c r="G228" s="455">
        <v>46174</v>
      </c>
      <c r="H228" t="s">
        <v>7201</v>
      </c>
      <c r="I228" t="s">
        <v>1523</v>
      </c>
      <c r="J228">
        <v>802</v>
      </c>
      <c r="K228" s="456">
        <v>2475</v>
      </c>
      <c r="L228">
        <v>0</v>
      </c>
      <c r="M228">
        <v>0</v>
      </c>
    </row>
    <row r="229" spans="1:13">
      <c r="A229" t="s">
        <v>1751</v>
      </c>
      <c r="B229" t="s">
        <v>6793</v>
      </c>
      <c r="C229" t="s">
        <v>2264</v>
      </c>
      <c r="D229" t="s">
        <v>1115</v>
      </c>
      <c r="E229" s="455">
        <v>46170</v>
      </c>
      <c r="F229" s="455">
        <v>46538</v>
      </c>
      <c r="G229" s="455">
        <v>46231</v>
      </c>
      <c r="H229" t="s">
        <v>7186</v>
      </c>
      <c r="I229" t="s">
        <v>1518</v>
      </c>
      <c r="J229">
        <v>822</v>
      </c>
      <c r="K229" s="456">
        <v>2178</v>
      </c>
      <c r="L229">
        <v>0</v>
      </c>
      <c r="M229">
        <v>0</v>
      </c>
    </row>
    <row r="230" spans="1:13">
      <c r="A230" t="s">
        <v>1751</v>
      </c>
      <c r="B230" t="s">
        <v>4569</v>
      </c>
      <c r="C230" t="s">
        <v>2264</v>
      </c>
      <c r="D230" t="s">
        <v>6796</v>
      </c>
      <c r="E230" s="455">
        <v>46213</v>
      </c>
      <c r="F230" s="455">
        <v>46265</v>
      </c>
      <c r="G230" s="455">
        <v>46265</v>
      </c>
      <c r="H230" t="s">
        <v>7191</v>
      </c>
      <c r="I230" t="s">
        <v>1523</v>
      </c>
      <c r="J230">
        <v>777</v>
      </c>
      <c r="K230">
        <v>955</v>
      </c>
      <c r="L230">
        <v>200</v>
      </c>
      <c r="M230">
        <v>0</v>
      </c>
    </row>
    <row r="231" spans="1:13">
      <c r="A231" t="s">
        <v>1751</v>
      </c>
      <c r="B231" t="s">
        <v>4012</v>
      </c>
      <c r="C231" t="s">
        <v>2274</v>
      </c>
      <c r="D231" t="s">
        <v>7125</v>
      </c>
      <c r="E231" s="455">
        <v>46113</v>
      </c>
      <c r="F231" s="455">
        <v>46265</v>
      </c>
      <c r="G231" s="455">
        <v>46265</v>
      </c>
      <c r="H231" t="s">
        <v>7195</v>
      </c>
      <c r="I231" t="s">
        <v>1523</v>
      </c>
      <c r="J231" s="456">
        <v>1112</v>
      </c>
      <c r="K231" s="456">
        <v>1537</v>
      </c>
      <c r="L231">
        <v>0</v>
      </c>
      <c r="M231">
        <v>917</v>
      </c>
    </row>
    <row r="232" spans="1:13">
      <c r="A232" t="s">
        <v>1751</v>
      </c>
      <c r="B232" t="s">
        <v>1551</v>
      </c>
      <c r="C232" t="s">
        <v>2274</v>
      </c>
      <c r="D232" t="s">
        <v>7278</v>
      </c>
      <c r="E232" s="455">
        <v>46081</v>
      </c>
      <c r="F232" s="455">
        <v>46081</v>
      </c>
      <c r="G232" s="455">
        <v>46081</v>
      </c>
      <c r="H232" t="s">
        <v>1467</v>
      </c>
      <c r="I232" t="s">
        <v>1523</v>
      </c>
      <c r="J232" s="456">
        <v>1042</v>
      </c>
      <c r="K232" s="456">
        <v>1128</v>
      </c>
      <c r="L232">
        <v>0</v>
      </c>
      <c r="M232">
        <v>0</v>
      </c>
    </row>
    <row r="233" spans="1:13">
      <c r="A233" t="s">
        <v>1751</v>
      </c>
      <c r="B233" t="s">
        <v>4722</v>
      </c>
      <c r="C233" t="s">
        <v>2274</v>
      </c>
      <c r="D233" t="s">
        <v>7135</v>
      </c>
      <c r="E233" s="455">
        <v>46182</v>
      </c>
      <c r="F233" s="455">
        <v>46265</v>
      </c>
      <c r="G233" s="455">
        <v>46265</v>
      </c>
      <c r="H233" t="s">
        <v>7188</v>
      </c>
      <c r="I233" t="s">
        <v>1523</v>
      </c>
      <c r="J233" s="456">
        <v>1137</v>
      </c>
      <c r="K233" s="456">
        <v>1654</v>
      </c>
      <c r="L233">
        <v>0</v>
      </c>
      <c r="M233">
        <v>0</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C5D0AF-AA03-4C13-9F1A-756EEA1C36DD}">
  <sheetPr>
    <tabColor rgb="FFC00000"/>
  </sheetPr>
  <dimension ref="A1:L507"/>
  <sheetViews>
    <sheetView topLeftCell="A6" workbookViewId="0">
      <selection activeCell="A2" sqref="A2"/>
    </sheetView>
  </sheetViews>
  <sheetFormatPr defaultColWidth="8.6640625" defaultRowHeight="14.4"/>
  <cols>
    <col min="1" max="6" width="8.6640625" style="199"/>
    <col min="7" max="7" width="11.88671875" style="199" bestFit="1" customWidth="1"/>
    <col min="8" max="16384" width="8.6640625" style="199"/>
  </cols>
  <sheetData>
    <row r="1" spans="1:12">
      <c r="A1" s="199" t="s">
        <v>1751</v>
      </c>
    </row>
    <row r="2" spans="1:12">
      <c r="A2" s="199" t="s">
        <v>7279</v>
      </c>
    </row>
    <row r="3" spans="1:12">
      <c r="A3" s="199" t="s">
        <v>7280</v>
      </c>
    </row>
    <row r="4" spans="1:12">
      <c r="A4" s="199" t="s">
        <v>7281</v>
      </c>
    </row>
    <row r="5" spans="1:12">
      <c r="A5" s="199" t="s">
        <v>7282</v>
      </c>
    </row>
    <row r="7" spans="1:12">
      <c r="A7" s="199" t="s">
        <v>1137</v>
      </c>
      <c r="C7" s="199" t="s">
        <v>7283</v>
      </c>
      <c r="D7" s="199" t="s">
        <v>7284</v>
      </c>
      <c r="E7" s="199" t="s">
        <v>7285</v>
      </c>
      <c r="F7" s="199" t="s">
        <v>7286</v>
      </c>
      <c r="G7" s="199" t="s">
        <v>7287</v>
      </c>
      <c r="H7" s="199" t="s">
        <v>7288</v>
      </c>
      <c r="J7" s="199" t="s">
        <v>2740</v>
      </c>
      <c r="K7" s="199" t="s">
        <v>7289</v>
      </c>
      <c r="L7" s="199" t="s">
        <v>7290</v>
      </c>
    </row>
    <row r="8" spans="1:12">
      <c r="A8" s="199" t="s">
        <v>1188</v>
      </c>
    </row>
    <row r="9" spans="1:12">
      <c r="A9" s="199" t="s">
        <v>7291</v>
      </c>
      <c r="C9" s="199" t="s">
        <v>7292</v>
      </c>
      <c r="D9" s="199" t="s">
        <v>2203</v>
      </c>
      <c r="E9" s="199" t="s">
        <v>2203</v>
      </c>
      <c r="F9" s="199">
        <v>0</v>
      </c>
      <c r="G9" s="276">
        <v>45866</v>
      </c>
      <c r="H9" s="199">
        <v>0</v>
      </c>
      <c r="I9" s="199">
        <v>0</v>
      </c>
      <c r="J9" s="199">
        <v>905</v>
      </c>
      <c r="K9" s="199">
        <v>905</v>
      </c>
      <c r="L9" s="199" t="s">
        <v>7293</v>
      </c>
    </row>
    <row r="10" spans="1:12">
      <c r="A10" s="199">
        <v>1059</v>
      </c>
      <c r="B10" s="199" t="s">
        <v>7294</v>
      </c>
      <c r="C10" s="199" t="s">
        <v>7295</v>
      </c>
      <c r="D10" s="199" t="s">
        <v>2203</v>
      </c>
      <c r="E10" s="199" t="s">
        <v>2203</v>
      </c>
      <c r="F10" s="199">
        <v>0</v>
      </c>
      <c r="G10" s="276">
        <v>45989</v>
      </c>
      <c r="H10" s="199">
        <v>5</v>
      </c>
      <c r="I10" s="199">
        <v>2</v>
      </c>
      <c r="J10" s="199">
        <v>935</v>
      </c>
      <c r="K10" s="199">
        <v>840</v>
      </c>
      <c r="L10" s="199" t="s">
        <v>7296</v>
      </c>
    </row>
    <row r="11" spans="1:12">
      <c r="A11" s="199" t="s">
        <v>7297</v>
      </c>
      <c r="B11" s="199" t="s">
        <v>7294</v>
      </c>
      <c r="C11" s="199" t="s">
        <v>7298</v>
      </c>
      <c r="D11" s="199" t="s">
        <v>2203</v>
      </c>
      <c r="E11" s="199" t="s">
        <v>2203</v>
      </c>
      <c r="F11" s="199">
        <v>0</v>
      </c>
      <c r="G11" s="276">
        <v>45958</v>
      </c>
      <c r="H11" s="199">
        <v>4</v>
      </c>
      <c r="I11" s="199">
        <v>0</v>
      </c>
      <c r="J11" s="275">
        <v>1380</v>
      </c>
      <c r="K11" s="275">
        <v>1231</v>
      </c>
      <c r="L11" s="199" t="s">
        <v>7296</v>
      </c>
    </row>
    <row r="12" spans="1:12">
      <c r="A12" s="199" t="s">
        <v>7299</v>
      </c>
      <c r="C12" s="199" t="s">
        <v>7300</v>
      </c>
      <c r="D12" s="199" t="s">
        <v>2203</v>
      </c>
      <c r="E12" s="199" t="s">
        <v>2203</v>
      </c>
      <c r="F12" s="199">
        <v>0</v>
      </c>
      <c r="G12" s="276">
        <v>45719</v>
      </c>
      <c r="H12" s="199">
        <v>0</v>
      </c>
      <c r="I12" s="199">
        <v>0</v>
      </c>
      <c r="J12" s="199">
        <v>905</v>
      </c>
      <c r="K12" s="199">
        <v>905</v>
      </c>
      <c r="L12" s="199" t="s">
        <v>7293</v>
      </c>
    </row>
    <row r="13" spans="1:12">
      <c r="A13" s="199" t="s">
        <v>7301</v>
      </c>
      <c r="C13" s="199" t="s">
        <v>7302</v>
      </c>
      <c r="D13" s="199" t="s">
        <v>2203</v>
      </c>
      <c r="E13" s="199" t="s">
        <v>2203</v>
      </c>
      <c r="F13" s="199">
        <v>0</v>
      </c>
      <c r="G13" s="276">
        <v>45860</v>
      </c>
      <c r="H13" s="199">
        <v>0</v>
      </c>
      <c r="I13" s="199">
        <v>0</v>
      </c>
      <c r="J13" s="199">
        <v>840</v>
      </c>
      <c r="K13" s="199">
        <v>809</v>
      </c>
      <c r="L13" s="199" t="s">
        <v>7296</v>
      </c>
    </row>
    <row r="14" spans="1:12">
      <c r="A14" s="199" t="s">
        <v>7303</v>
      </c>
      <c r="B14" s="199" t="s">
        <v>7294</v>
      </c>
      <c r="C14" s="199" t="s">
        <v>7304</v>
      </c>
      <c r="D14" s="199" t="s">
        <v>2203</v>
      </c>
      <c r="E14" s="199" t="s">
        <v>2203</v>
      </c>
      <c r="F14" s="199">
        <v>0</v>
      </c>
      <c r="G14" s="276">
        <v>45958</v>
      </c>
      <c r="H14" s="199">
        <v>0</v>
      </c>
      <c r="I14" s="199">
        <v>0</v>
      </c>
      <c r="J14" s="199">
        <v>905</v>
      </c>
      <c r="K14" s="199">
        <v>925</v>
      </c>
      <c r="L14" s="199" t="s">
        <v>7296</v>
      </c>
    </row>
    <row r="15" spans="1:12">
      <c r="A15" s="199" t="s">
        <v>7305</v>
      </c>
      <c r="C15" s="199" t="s">
        <v>7306</v>
      </c>
      <c r="D15" s="199" t="s">
        <v>2203</v>
      </c>
      <c r="E15" s="199" t="s">
        <v>2203</v>
      </c>
      <c r="F15" s="199">
        <v>0</v>
      </c>
      <c r="G15" s="276">
        <v>45727</v>
      </c>
      <c r="H15" s="199">
        <v>0</v>
      </c>
      <c r="I15" s="199">
        <v>0</v>
      </c>
      <c r="J15" s="275">
        <v>1090</v>
      </c>
      <c r="K15" s="275">
        <v>1090</v>
      </c>
      <c r="L15" s="199" t="s">
        <v>7307</v>
      </c>
    </row>
    <row r="16" spans="1:12">
      <c r="A16" s="199">
        <v>1036</v>
      </c>
      <c r="B16" s="199" t="s">
        <v>7294</v>
      </c>
      <c r="C16" s="199" t="s">
        <v>7308</v>
      </c>
      <c r="D16" s="199" t="s">
        <v>2203</v>
      </c>
      <c r="E16" s="199" t="s">
        <v>2203</v>
      </c>
      <c r="F16" s="199">
        <v>0</v>
      </c>
      <c r="G16" s="276">
        <v>45982</v>
      </c>
      <c r="H16" s="199">
        <v>3</v>
      </c>
      <c r="I16" s="199">
        <v>1</v>
      </c>
      <c r="J16" s="199">
        <v>975</v>
      </c>
      <c r="K16" s="275">
        <v>1040</v>
      </c>
      <c r="L16" s="199" t="s">
        <v>7296</v>
      </c>
    </row>
    <row r="17" spans="1:12">
      <c r="A17" s="199" t="s">
        <v>7291</v>
      </c>
      <c r="C17" s="199" t="s">
        <v>7309</v>
      </c>
      <c r="D17" s="199" t="s">
        <v>2203</v>
      </c>
      <c r="E17" s="199" t="s">
        <v>2203</v>
      </c>
      <c r="F17" s="199">
        <v>0</v>
      </c>
      <c r="G17" s="276">
        <v>45742</v>
      </c>
      <c r="H17" s="199">
        <v>0</v>
      </c>
      <c r="I17" s="199">
        <v>0</v>
      </c>
      <c r="J17" s="199">
        <v>905</v>
      </c>
      <c r="K17" s="199">
        <v>905</v>
      </c>
      <c r="L17" s="199" t="s">
        <v>7293</v>
      </c>
    </row>
    <row r="18" spans="1:12">
      <c r="A18" s="200">
        <v>62855</v>
      </c>
      <c r="C18" s="199" t="s">
        <v>7310</v>
      </c>
      <c r="D18" s="199" t="s">
        <v>2203</v>
      </c>
      <c r="E18" s="199" t="s">
        <v>2203</v>
      </c>
      <c r="F18" s="199">
        <v>0</v>
      </c>
      <c r="G18" s="276">
        <v>45982</v>
      </c>
      <c r="H18" s="199">
        <v>0</v>
      </c>
      <c r="I18" s="199">
        <v>0</v>
      </c>
      <c r="J18" s="275">
        <v>1620</v>
      </c>
      <c r="K18" s="275">
        <v>1241</v>
      </c>
      <c r="L18" s="199" t="s">
        <v>7293</v>
      </c>
    </row>
    <row r="19" spans="1:12">
      <c r="A19" s="199">
        <v>3002</v>
      </c>
      <c r="C19" s="199" t="s">
        <v>7311</v>
      </c>
      <c r="D19" s="199" t="s">
        <v>2203</v>
      </c>
      <c r="E19" s="199" t="s">
        <v>2203</v>
      </c>
      <c r="F19" s="199">
        <v>0</v>
      </c>
      <c r="G19" s="276">
        <v>45930</v>
      </c>
      <c r="H19" s="199">
        <v>0</v>
      </c>
      <c r="I19" s="199">
        <v>0</v>
      </c>
      <c r="J19" s="199">
        <v>905</v>
      </c>
      <c r="K19" s="199">
        <v>905</v>
      </c>
      <c r="L19" s="199" t="s">
        <v>7307</v>
      </c>
    </row>
    <row r="20" spans="1:12">
      <c r="A20" s="199">
        <v>233</v>
      </c>
      <c r="B20" s="199" t="s">
        <v>7294</v>
      </c>
      <c r="C20" s="199" t="s">
        <v>7312</v>
      </c>
      <c r="D20" s="199" t="s">
        <v>2203</v>
      </c>
      <c r="E20" s="199" t="s">
        <v>2203</v>
      </c>
      <c r="F20" s="199">
        <v>0</v>
      </c>
      <c r="G20" s="276">
        <v>45748</v>
      </c>
      <c r="H20" s="199">
        <v>0</v>
      </c>
      <c r="I20" s="199">
        <v>0</v>
      </c>
      <c r="J20" s="199">
        <v>980</v>
      </c>
      <c r="K20" s="275">
        <v>1165</v>
      </c>
      <c r="L20" s="199" t="s">
        <v>7296</v>
      </c>
    </row>
    <row r="21" spans="1:12">
      <c r="A21" s="199">
        <v>109</v>
      </c>
      <c r="C21" s="199" t="s">
        <v>7313</v>
      </c>
      <c r="D21" s="199" t="s">
        <v>2203</v>
      </c>
      <c r="E21" s="199" t="s">
        <v>2203</v>
      </c>
      <c r="F21" s="199">
        <v>0</v>
      </c>
      <c r="G21" s="276">
        <v>45924</v>
      </c>
      <c r="H21" s="199">
        <v>0</v>
      </c>
      <c r="I21" s="199">
        <v>0</v>
      </c>
      <c r="J21" s="275">
        <v>1005</v>
      </c>
      <c r="K21" s="275">
        <v>1100</v>
      </c>
      <c r="L21" s="199" t="s">
        <v>7293</v>
      </c>
    </row>
    <row r="22" spans="1:12">
      <c r="A22" s="199">
        <v>241</v>
      </c>
      <c r="B22" s="199" t="s">
        <v>7294</v>
      </c>
      <c r="C22" s="199" t="s">
        <v>7314</v>
      </c>
      <c r="D22" s="199" t="s">
        <v>2203</v>
      </c>
      <c r="E22" s="199" t="s">
        <v>2203</v>
      </c>
      <c r="F22" s="199">
        <v>0</v>
      </c>
      <c r="G22" s="276">
        <v>45958</v>
      </c>
      <c r="H22" s="199">
        <v>0</v>
      </c>
      <c r="I22" s="199">
        <v>0</v>
      </c>
      <c r="J22" s="275">
        <v>1565</v>
      </c>
      <c r="K22" s="275">
        <v>1566</v>
      </c>
      <c r="L22" s="199" t="s">
        <v>7296</v>
      </c>
    </row>
    <row r="23" spans="1:12">
      <c r="A23" s="200">
        <v>45689</v>
      </c>
      <c r="C23" s="199" t="s">
        <v>7315</v>
      </c>
      <c r="D23" s="199" t="s">
        <v>2203</v>
      </c>
      <c r="E23" s="199" t="s">
        <v>2203</v>
      </c>
      <c r="F23" s="199">
        <v>0</v>
      </c>
      <c r="G23" s="276">
        <v>45924</v>
      </c>
      <c r="H23" s="199">
        <v>0</v>
      </c>
      <c r="I23" s="199">
        <v>0</v>
      </c>
      <c r="J23" s="199">
        <v>930</v>
      </c>
      <c r="K23" s="199">
        <v>930</v>
      </c>
      <c r="L23" s="199" t="s">
        <v>7316</v>
      </c>
    </row>
    <row r="24" spans="1:12">
      <c r="A24" s="200">
        <v>68699</v>
      </c>
      <c r="B24" s="199" t="s">
        <v>7294</v>
      </c>
      <c r="C24" s="199" t="s">
        <v>7317</v>
      </c>
      <c r="D24" s="199" t="s">
        <v>2203</v>
      </c>
      <c r="E24" s="199" t="s">
        <v>2203</v>
      </c>
      <c r="F24" s="199">
        <v>0</v>
      </c>
      <c r="G24" s="276">
        <v>45861</v>
      </c>
      <c r="H24" s="199">
        <v>0</v>
      </c>
      <c r="I24" s="199">
        <v>0</v>
      </c>
      <c r="J24" s="275">
        <v>1065</v>
      </c>
      <c r="K24" s="275">
        <v>1184</v>
      </c>
      <c r="L24" s="199" t="s">
        <v>7318</v>
      </c>
    </row>
    <row r="25" spans="1:12">
      <c r="A25" s="199" t="s">
        <v>7319</v>
      </c>
      <c r="C25" s="199" t="s">
        <v>7320</v>
      </c>
      <c r="D25" s="199" t="s">
        <v>2203</v>
      </c>
      <c r="E25" s="199" t="s">
        <v>2203</v>
      </c>
      <c r="F25" s="199">
        <v>0</v>
      </c>
      <c r="G25" s="276">
        <v>45986</v>
      </c>
      <c r="H25" s="199">
        <v>0</v>
      </c>
      <c r="I25" s="199">
        <v>0</v>
      </c>
      <c r="J25" s="199">
        <v>970</v>
      </c>
      <c r="K25" s="199">
        <v>994</v>
      </c>
      <c r="L25" s="199" t="s">
        <v>7293</v>
      </c>
    </row>
    <row r="26" spans="1:12">
      <c r="A26" s="199">
        <v>1098</v>
      </c>
      <c r="B26" s="199" t="s">
        <v>7294</v>
      </c>
      <c r="C26" s="199" t="s">
        <v>7321</v>
      </c>
      <c r="D26" s="199" t="s">
        <v>2203</v>
      </c>
      <c r="E26" s="199" t="s">
        <v>2203</v>
      </c>
      <c r="F26" s="199">
        <v>0</v>
      </c>
      <c r="G26" s="276">
        <v>45686</v>
      </c>
      <c r="H26" s="199">
        <v>14</v>
      </c>
      <c r="I26" s="199">
        <v>0</v>
      </c>
      <c r="J26" s="275">
        <v>1675</v>
      </c>
      <c r="K26" s="199">
        <v>950</v>
      </c>
      <c r="L26" s="199" t="s">
        <v>7296</v>
      </c>
    </row>
    <row r="27" spans="1:12">
      <c r="A27" s="199" t="s">
        <v>7291</v>
      </c>
      <c r="C27" s="199" t="s">
        <v>7322</v>
      </c>
      <c r="D27" s="199" t="s">
        <v>2203</v>
      </c>
      <c r="E27" s="199" t="s">
        <v>2203</v>
      </c>
      <c r="F27" s="199">
        <v>0</v>
      </c>
      <c r="G27" s="276">
        <v>45817</v>
      </c>
      <c r="H27" s="199">
        <v>0</v>
      </c>
      <c r="I27" s="199">
        <v>0</v>
      </c>
      <c r="J27" s="199">
        <v>905</v>
      </c>
      <c r="K27" s="199">
        <v>0</v>
      </c>
      <c r="L27" s="199" t="s">
        <v>7323</v>
      </c>
    </row>
    <row r="28" spans="1:12">
      <c r="A28" s="199">
        <v>1068</v>
      </c>
      <c r="B28" s="199" t="s">
        <v>7294</v>
      </c>
      <c r="C28" s="199" t="s">
        <v>7324</v>
      </c>
      <c r="D28" s="199" t="s">
        <v>2203</v>
      </c>
      <c r="E28" s="199" t="s">
        <v>2203</v>
      </c>
      <c r="F28" s="199">
        <v>0</v>
      </c>
      <c r="G28" s="276">
        <v>45965</v>
      </c>
      <c r="H28" s="199">
        <v>4</v>
      </c>
      <c r="I28" s="199">
        <v>0</v>
      </c>
      <c r="J28" s="199">
        <v>920</v>
      </c>
      <c r="K28" s="199">
        <v>938</v>
      </c>
      <c r="L28" s="199" t="s">
        <v>7325</v>
      </c>
    </row>
    <row r="29" spans="1:12">
      <c r="A29" s="199">
        <v>1099</v>
      </c>
      <c r="B29" s="199" t="s">
        <v>7294</v>
      </c>
      <c r="C29" s="199" t="s">
        <v>7326</v>
      </c>
      <c r="D29" s="199" t="s">
        <v>2203</v>
      </c>
      <c r="E29" s="199" t="s">
        <v>2203</v>
      </c>
      <c r="F29" s="199">
        <v>0</v>
      </c>
      <c r="G29" s="276">
        <v>45808</v>
      </c>
      <c r="H29" s="199">
        <v>0</v>
      </c>
      <c r="I29" s="199">
        <v>0</v>
      </c>
      <c r="J29" s="275">
        <v>1675</v>
      </c>
      <c r="K29" s="275">
        <v>1651</v>
      </c>
      <c r="L29" s="199" t="s">
        <v>7318</v>
      </c>
    </row>
    <row r="30" spans="1:12">
      <c r="A30" s="199" t="s">
        <v>7327</v>
      </c>
      <c r="C30" s="199" t="s">
        <v>7328</v>
      </c>
      <c r="D30" s="199" t="s">
        <v>2203</v>
      </c>
      <c r="E30" s="199" t="s">
        <v>2203</v>
      </c>
      <c r="F30" s="199">
        <v>0</v>
      </c>
      <c r="G30" s="276">
        <v>45937</v>
      </c>
      <c r="H30" s="199">
        <v>0</v>
      </c>
      <c r="I30" s="199">
        <v>0</v>
      </c>
      <c r="J30" s="199">
        <v>980</v>
      </c>
      <c r="K30" s="199">
        <v>0</v>
      </c>
      <c r="L30" s="199" t="s">
        <v>7307</v>
      </c>
    </row>
    <row r="31" spans="1:12">
      <c r="A31" s="199" t="s">
        <v>7329</v>
      </c>
      <c r="C31" s="199" t="s">
        <v>7330</v>
      </c>
      <c r="D31" s="199" t="s">
        <v>2203</v>
      </c>
      <c r="E31" s="199" t="s">
        <v>2203</v>
      </c>
      <c r="F31" s="199">
        <v>0</v>
      </c>
      <c r="G31" s="276">
        <v>45714</v>
      </c>
      <c r="H31" s="199">
        <v>0</v>
      </c>
      <c r="I31" s="199">
        <v>1</v>
      </c>
      <c r="J31" s="275">
        <v>1620</v>
      </c>
      <c r="K31" s="275">
        <v>1418</v>
      </c>
      <c r="L31" s="199" t="s">
        <v>7293</v>
      </c>
    </row>
    <row r="32" spans="1:12">
      <c r="A32" s="199">
        <v>218</v>
      </c>
      <c r="C32" s="199" t="s">
        <v>7331</v>
      </c>
      <c r="D32" s="199" t="s">
        <v>2203</v>
      </c>
      <c r="E32" s="199" t="s">
        <v>2203</v>
      </c>
      <c r="F32" s="199">
        <v>0</v>
      </c>
      <c r="G32" s="276">
        <v>45719</v>
      </c>
      <c r="H32" s="199">
        <v>0</v>
      </c>
      <c r="I32" s="199">
        <v>0</v>
      </c>
      <c r="J32" s="275">
        <v>1510</v>
      </c>
      <c r="K32" s="199">
        <v>0</v>
      </c>
      <c r="L32" s="199" t="s">
        <v>7323</v>
      </c>
    </row>
    <row r="33" spans="1:12">
      <c r="A33" s="199">
        <v>361</v>
      </c>
      <c r="C33" s="199" t="s">
        <v>7332</v>
      </c>
      <c r="D33" s="199" t="s">
        <v>2203</v>
      </c>
      <c r="E33" s="199" t="s">
        <v>2203</v>
      </c>
      <c r="F33" s="199">
        <v>0</v>
      </c>
      <c r="G33" s="276">
        <v>45747</v>
      </c>
      <c r="H33" s="199">
        <v>0</v>
      </c>
      <c r="I33" s="199">
        <v>0</v>
      </c>
      <c r="J33" s="275">
        <v>1320</v>
      </c>
      <c r="K33" s="199">
        <v>0</v>
      </c>
      <c r="L33" s="199" t="s">
        <v>7213</v>
      </c>
    </row>
    <row r="34" spans="1:12">
      <c r="A34" s="199" t="s">
        <v>7333</v>
      </c>
      <c r="B34" s="199" t="s">
        <v>7294</v>
      </c>
      <c r="C34" s="199" t="s">
        <v>7334</v>
      </c>
      <c r="D34" s="199" t="s">
        <v>2203</v>
      </c>
      <c r="E34" s="199" t="s">
        <v>2203</v>
      </c>
      <c r="F34" s="199">
        <v>0</v>
      </c>
      <c r="G34" s="276">
        <v>45742</v>
      </c>
      <c r="H34" s="199">
        <v>0</v>
      </c>
      <c r="I34" s="199">
        <v>0</v>
      </c>
      <c r="J34" s="199">
        <v>985</v>
      </c>
      <c r="K34" s="275">
        <v>1042</v>
      </c>
      <c r="L34" s="199" t="s">
        <v>7296</v>
      </c>
    </row>
    <row r="35" spans="1:12">
      <c r="A35" s="199">
        <v>109</v>
      </c>
      <c r="C35" s="199" t="s">
        <v>7335</v>
      </c>
      <c r="D35" s="199" t="s">
        <v>2203</v>
      </c>
      <c r="E35" s="199" t="s">
        <v>2203</v>
      </c>
      <c r="F35" s="199">
        <v>0</v>
      </c>
      <c r="G35" s="276">
        <v>45964</v>
      </c>
      <c r="H35" s="199">
        <v>0</v>
      </c>
      <c r="I35" s="199">
        <v>0</v>
      </c>
      <c r="J35" s="275">
        <v>1005</v>
      </c>
      <c r="K35" s="275">
        <v>1119</v>
      </c>
      <c r="L35" s="199" t="s">
        <v>7293</v>
      </c>
    </row>
    <row r="36" spans="1:12">
      <c r="A36" s="199">
        <v>139</v>
      </c>
      <c r="C36" s="199" t="s">
        <v>7336</v>
      </c>
      <c r="D36" s="199" t="s">
        <v>2203</v>
      </c>
      <c r="E36" s="199" t="s">
        <v>2203</v>
      </c>
      <c r="F36" s="199">
        <v>0</v>
      </c>
      <c r="G36" s="276">
        <v>45727</v>
      </c>
      <c r="H36" s="199">
        <v>0</v>
      </c>
      <c r="I36" s="199">
        <v>0</v>
      </c>
      <c r="J36" s="199">
        <v>950</v>
      </c>
      <c r="K36" s="275">
        <v>1045</v>
      </c>
      <c r="L36" s="199" t="s">
        <v>7307</v>
      </c>
    </row>
    <row r="37" spans="1:12">
      <c r="A37" s="199" t="s">
        <v>7337</v>
      </c>
      <c r="C37" s="199" t="s">
        <v>7338</v>
      </c>
      <c r="D37" s="199" t="s">
        <v>2203</v>
      </c>
      <c r="E37" s="199" t="s">
        <v>2203</v>
      </c>
      <c r="F37" s="199">
        <v>0</v>
      </c>
      <c r="G37" s="276">
        <v>45747</v>
      </c>
      <c r="H37" s="199">
        <v>0</v>
      </c>
      <c r="I37" s="199">
        <v>0</v>
      </c>
      <c r="J37" s="199">
        <v>975</v>
      </c>
      <c r="K37" s="199">
        <v>975</v>
      </c>
      <c r="L37" s="199" t="s">
        <v>7293</v>
      </c>
    </row>
    <row r="38" spans="1:12">
      <c r="A38" s="199">
        <v>1017</v>
      </c>
      <c r="C38" s="199" t="s">
        <v>7339</v>
      </c>
      <c r="D38" s="199" t="s">
        <v>2203</v>
      </c>
      <c r="E38" s="199" t="s">
        <v>2203</v>
      </c>
      <c r="F38" s="199">
        <v>0</v>
      </c>
      <c r="G38" s="276">
        <v>45924</v>
      </c>
      <c r="H38" s="199">
        <v>0</v>
      </c>
      <c r="I38" s="199">
        <v>0</v>
      </c>
      <c r="J38" s="199">
        <v>990</v>
      </c>
      <c r="K38" s="275">
        <v>1085</v>
      </c>
      <c r="L38" s="199" t="s">
        <v>7293</v>
      </c>
    </row>
    <row r="39" spans="1:12">
      <c r="A39" s="199" t="s">
        <v>7340</v>
      </c>
      <c r="C39" s="199" t="s">
        <v>6343</v>
      </c>
      <c r="D39" s="199" t="s">
        <v>2203</v>
      </c>
      <c r="E39" s="199" t="s">
        <v>2203</v>
      </c>
      <c r="F39" s="199">
        <v>0</v>
      </c>
      <c r="G39" s="276">
        <v>45944</v>
      </c>
      <c r="H39" s="199">
        <v>7</v>
      </c>
      <c r="I39" s="199">
        <v>0</v>
      </c>
      <c r="J39" s="275">
        <v>1010</v>
      </c>
      <c r="K39" s="275">
        <v>1135</v>
      </c>
      <c r="L39" s="199" t="s">
        <v>1167</v>
      </c>
    </row>
    <row r="40" spans="1:12">
      <c r="A40" s="199">
        <v>422</v>
      </c>
      <c r="B40" s="199" t="s">
        <v>7294</v>
      </c>
      <c r="C40" s="199" t="s">
        <v>6090</v>
      </c>
      <c r="D40" s="199" t="s">
        <v>2203</v>
      </c>
      <c r="E40" s="199" t="s">
        <v>2203</v>
      </c>
      <c r="F40" s="199">
        <v>0</v>
      </c>
      <c r="G40" s="276">
        <v>45796</v>
      </c>
      <c r="H40" s="199">
        <v>0</v>
      </c>
      <c r="I40" s="199">
        <v>1</v>
      </c>
      <c r="J40" s="275">
        <v>1200</v>
      </c>
      <c r="K40" s="275">
        <v>1251</v>
      </c>
      <c r="L40" s="199" t="s">
        <v>7296</v>
      </c>
    </row>
    <row r="41" spans="1:12">
      <c r="A41" s="199" t="s">
        <v>7341</v>
      </c>
      <c r="B41" s="199" t="s">
        <v>7294</v>
      </c>
      <c r="C41" s="199" t="s">
        <v>7342</v>
      </c>
      <c r="D41" s="199" t="s">
        <v>2203</v>
      </c>
      <c r="E41" s="199" t="s">
        <v>2203</v>
      </c>
      <c r="F41" s="199">
        <v>0</v>
      </c>
      <c r="G41" s="276">
        <v>45780</v>
      </c>
      <c r="H41" s="199">
        <v>1</v>
      </c>
      <c r="I41" s="199">
        <v>0</v>
      </c>
      <c r="J41" s="275">
        <v>1575</v>
      </c>
      <c r="K41" s="275">
        <v>1670</v>
      </c>
      <c r="L41" s="199" t="s">
        <v>7296</v>
      </c>
    </row>
    <row r="42" spans="1:12">
      <c r="A42" s="199" t="s">
        <v>7343</v>
      </c>
      <c r="C42" s="199" t="s">
        <v>7344</v>
      </c>
      <c r="D42" s="199" t="s">
        <v>2203</v>
      </c>
      <c r="E42" s="199" t="s">
        <v>2203</v>
      </c>
      <c r="F42" s="199">
        <v>0</v>
      </c>
      <c r="G42" s="276">
        <v>45912</v>
      </c>
      <c r="H42" s="199">
        <v>0</v>
      </c>
      <c r="I42" s="199">
        <v>0</v>
      </c>
      <c r="J42" s="199">
        <v>915</v>
      </c>
      <c r="K42" s="199">
        <v>915</v>
      </c>
      <c r="L42" s="199" t="s">
        <v>7293</v>
      </c>
    </row>
    <row r="43" spans="1:12">
      <c r="A43" s="200">
        <v>434307</v>
      </c>
      <c r="C43" s="199" t="s">
        <v>7345</v>
      </c>
      <c r="D43" s="199" t="s">
        <v>2203</v>
      </c>
      <c r="E43" s="199" t="s">
        <v>2203</v>
      </c>
      <c r="F43" s="199">
        <v>0</v>
      </c>
      <c r="G43" s="276">
        <v>45742</v>
      </c>
      <c r="H43" s="199">
        <v>0</v>
      </c>
      <c r="I43" s="199">
        <v>0</v>
      </c>
      <c r="J43" s="275">
        <v>1120</v>
      </c>
      <c r="K43" s="275">
        <v>1120</v>
      </c>
      <c r="L43" s="199" t="s">
        <v>7307</v>
      </c>
    </row>
    <row r="44" spans="1:12">
      <c r="A44" s="199" t="s">
        <v>5859</v>
      </c>
      <c r="C44" s="199" t="s">
        <v>6132</v>
      </c>
      <c r="D44" s="199" t="s">
        <v>2203</v>
      </c>
      <c r="E44" s="199" t="s">
        <v>2203</v>
      </c>
      <c r="F44" s="199">
        <v>0</v>
      </c>
      <c r="G44" s="276">
        <v>45904</v>
      </c>
      <c r="H44" s="199">
        <v>0</v>
      </c>
      <c r="I44" s="199">
        <v>0</v>
      </c>
      <c r="J44" s="275">
        <v>1010</v>
      </c>
      <c r="K44" s="275">
        <v>1105</v>
      </c>
      <c r="L44" s="199" t="s">
        <v>7307</v>
      </c>
    </row>
    <row r="45" spans="1:12">
      <c r="A45" s="199" t="s">
        <v>7346</v>
      </c>
      <c r="C45" s="199" t="s">
        <v>7347</v>
      </c>
      <c r="D45" s="199" t="s">
        <v>2203</v>
      </c>
      <c r="E45" s="199" t="s">
        <v>2203</v>
      </c>
      <c r="F45" s="199">
        <v>0</v>
      </c>
      <c r="G45" s="276">
        <v>45930</v>
      </c>
      <c r="H45" s="199">
        <v>0</v>
      </c>
      <c r="I45" s="199">
        <v>0</v>
      </c>
      <c r="J45" s="199">
        <v>905</v>
      </c>
      <c r="K45" s="199">
        <v>905</v>
      </c>
      <c r="L45" s="199" t="s">
        <v>7293</v>
      </c>
    </row>
    <row r="46" spans="1:12">
      <c r="A46" s="199" t="s">
        <v>7346</v>
      </c>
      <c r="C46" s="199" t="s">
        <v>7348</v>
      </c>
      <c r="D46" s="199" t="s">
        <v>2203</v>
      </c>
      <c r="E46" s="199" t="s">
        <v>2203</v>
      </c>
      <c r="F46" s="199">
        <v>0</v>
      </c>
      <c r="G46" s="276">
        <v>45925</v>
      </c>
      <c r="H46" s="199">
        <v>0</v>
      </c>
      <c r="I46" s="199">
        <v>0</v>
      </c>
      <c r="J46" s="199">
        <v>905</v>
      </c>
      <c r="K46" s="199">
        <v>905</v>
      </c>
      <c r="L46" s="199" t="s">
        <v>7349</v>
      </c>
    </row>
    <row r="47" spans="1:12">
      <c r="A47" s="199">
        <v>1062</v>
      </c>
      <c r="C47" s="199" t="s">
        <v>7350</v>
      </c>
      <c r="D47" s="199" t="s">
        <v>2203</v>
      </c>
      <c r="E47" s="199" t="s">
        <v>2203</v>
      </c>
      <c r="F47" s="199">
        <v>0</v>
      </c>
      <c r="G47" s="276">
        <v>45716</v>
      </c>
      <c r="H47" s="199">
        <v>0</v>
      </c>
      <c r="I47" s="199">
        <v>0</v>
      </c>
      <c r="J47" s="199">
        <v>990</v>
      </c>
      <c r="K47" s="275">
        <v>1085</v>
      </c>
      <c r="L47" s="199" t="s">
        <v>7351</v>
      </c>
    </row>
    <row r="48" spans="1:12">
      <c r="A48" s="199" t="s">
        <v>7352</v>
      </c>
      <c r="C48" s="199" t="s">
        <v>7353</v>
      </c>
      <c r="D48" s="199" t="s">
        <v>2203</v>
      </c>
      <c r="E48" s="199" t="s">
        <v>2203</v>
      </c>
      <c r="F48" s="199">
        <v>0</v>
      </c>
      <c r="G48" s="276">
        <v>45937</v>
      </c>
      <c r="H48" s="199">
        <v>0</v>
      </c>
      <c r="I48" s="199">
        <v>0</v>
      </c>
      <c r="J48" s="275">
        <v>1490</v>
      </c>
      <c r="K48" s="275">
        <v>1490</v>
      </c>
      <c r="L48" s="199" t="s">
        <v>7307</v>
      </c>
    </row>
    <row r="49" spans="1:12">
      <c r="A49" s="199">
        <v>431</v>
      </c>
      <c r="C49" s="199" t="s">
        <v>7354</v>
      </c>
      <c r="D49" s="199" t="s">
        <v>2203</v>
      </c>
      <c r="E49" s="199" t="s">
        <v>2203</v>
      </c>
      <c r="F49" s="199">
        <v>0</v>
      </c>
      <c r="G49" s="276">
        <v>45982</v>
      </c>
      <c r="H49" s="199">
        <v>0</v>
      </c>
      <c r="I49" s="199">
        <v>0</v>
      </c>
      <c r="J49" s="275">
        <v>1700</v>
      </c>
      <c r="K49" s="275">
        <v>1301</v>
      </c>
      <c r="L49" s="199" t="s">
        <v>7355</v>
      </c>
    </row>
    <row r="50" spans="1:12">
      <c r="A50" s="199" t="s">
        <v>7356</v>
      </c>
      <c r="C50" s="199" t="s">
        <v>7357</v>
      </c>
      <c r="D50" s="199" t="s">
        <v>2203</v>
      </c>
      <c r="E50" s="199" t="s">
        <v>2203</v>
      </c>
      <c r="F50" s="199">
        <v>0</v>
      </c>
      <c r="G50" s="276">
        <v>46000</v>
      </c>
      <c r="H50" s="199">
        <v>0</v>
      </c>
      <c r="I50" s="199">
        <v>0</v>
      </c>
      <c r="J50" s="199">
        <v>950</v>
      </c>
      <c r="K50" s="199">
        <v>810</v>
      </c>
      <c r="L50" s="199" t="s">
        <v>7358</v>
      </c>
    </row>
    <row r="51" spans="1:12">
      <c r="A51" s="199" t="s">
        <v>7359</v>
      </c>
      <c r="C51" s="199" t="s">
        <v>6132</v>
      </c>
      <c r="D51" s="199" t="s">
        <v>2203</v>
      </c>
      <c r="E51" s="199" t="s">
        <v>2203</v>
      </c>
      <c r="F51" s="199">
        <v>0</v>
      </c>
      <c r="G51" s="276">
        <v>45937</v>
      </c>
      <c r="H51" s="199">
        <v>0</v>
      </c>
      <c r="I51" s="199">
        <v>0</v>
      </c>
      <c r="J51" s="275">
        <v>1135</v>
      </c>
      <c r="K51" s="275">
        <v>1135</v>
      </c>
      <c r="L51" s="199" t="s">
        <v>7307</v>
      </c>
    </row>
    <row r="52" spans="1:12">
      <c r="A52" s="199">
        <v>216</v>
      </c>
      <c r="B52" s="199" t="s">
        <v>7294</v>
      </c>
      <c r="C52" s="199" t="s">
        <v>7360</v>
      </c>
      <c r="D52" s="199" t="s">
        <v>2203</v>
      </c>
      <c r="E52" s="199" t="s">
        <v>2203</v>
      </c>
      <c r="F52" s="199">
        <v>0</v>
      </c>
      <c r="G52" s="276">
        <v>45735</v>
      </c>
      <c r="H52" s="199">
        <v>3</v>
      </c>
      <c r="I52" s="199">
        <v>0</v>
      </c>
      <c r="J52" s="199">
        <v>980</v>
      </c>
      <c r="K52" s="275">
        <v>1083</v>
      </c>
      <c r="L52" s="199" t="s">
        <v>7296</v>
      </c>
    </row>
    <row r="53" spans="1:12">
      <c r="A53" s="199">
        <v>1002</v>
      </c>
      <c r="C53" s="199" t="s">
        <v>7361</v>
      </c>
      <c r="D53" s="199" t="s">
        <v>2203</v>
      </c>
      <c r="E53" s="199" t="s">
        <v>2203</v>
      </c>
      <c r="F53" s="199">
        <v>0</v>
      </c>
      <c r="G53" s="276">
        <v>45743</v>
      </c>
      <c r="H53" s="199">
        <v>0</v>
      </c>
      <c r="I53" s="199">
        <v>0</v>
      </c>
      <c r="J53" s="199">
        <v>920</v>
      </c>
      <c r="K53" s="199">
        <v>0</v>
      </c>
      <c r="L53" s="199" t="s">
        <v>7293</v>
      </c>
    </row>
    <row r="54" spans="1:12">
      <c r="A54" s="199" t="s">
        <v>7362</v>
      </c>
      <c r="B54" s="199" t="s">
        <v>7294</v>
      </c>
      <c r="C54" s="199" t="s">
        <v>7363</v>
      </c>
      <c r="D54" s="199" t="s">
        <v>2203</v>
      </c>
      <c r="E54" s="199" t="s">
        <v>2203</v>
      </c>
      <c r="F54" s="199">
        <v>0</v>
      </c>
      <c r="G54" s="276">
        <v>45958</v>
      </c>
      <c r="H54" s="199">
        <v>3</v>
      </c>
      <c r="I54" s="199">
        <v>0</v>
      </c>
      <c r="J54" s="199">
        <v>970</v>
      </c>
      <c r="K54" s="275">
        <v>1040</v>
      </c>
      <c r="L54" s="199" t="s">
        <v>7296</v>
      </c>
    </row>
    <row r="55" spans="1:12">
      <c r="A55" s="200">
        <v>55550</v>
      </c>
      <c r="C55" s="199" t="s">
        <v>7364</v>
      </c>
      <c r="D55" s="199" t="s">
        <v>2203</v>
      </c>
      <c r="E55" s="199" t="s">
        <v>2203</v>
      </c>
      <c r="F55" s="199">
        <v>0</v>
      </c>
      <c r="G55" s="276">
        <v>45783</v>
      </c>
      <c r="H55" s="199">
        <v>0</v>
      </c>
      <c r="I55" s="199">
        <v>0</v>
      </c>
      <c r="J55" s="199">
        <v>822</v>
      </c>
      <c r="K55" s="199">
        <v>822</v>
      </c>
      <c r="L55" s="199" t="s">
        <v>7293</v>
      </c>
    </row>
    <row r="56" spans="1:12">
      <c r="A56" s="199">
        <v>109</v>
      </c>
      <c r="C56" s="199" t="s">
        <v>7365</v>
      </c>
      <c r="D56" s="199" t="s">
        <v>2203</v>
      </c>
      <c r="E56" s="199" t="s">
        <v>2203</v>
      </c>
      <c r="F56" s="199">
        <v>0</v>
      </c>
      <c r="G56" s="276">
        <v>45915</v>
      </c>
      <c r="H56" s="199">
        <v>0</v>
      </c>
      <c r="I56" s="199">
        <v>0</v>
      </c>
      <c r="J56" s="275">
        <v>1005</v>
      </c>
      <c r="K56" s="199">
        <v>0</v>
      </c>
      <c r="L56" s="199" t="s">
        <v>7293</v>
      </c>
    </row>
    <row r="57" spans="1:12">
      <c r="A57" s="199" t="s">
        <v>7366</v>
      </c>
      <c r="C57" s="199" t="s">
        <v>7367</v>
      </c>
      <c r="D57" s="199" t="s">
        <v>2203</v>
      </c>
      <c r="E57" s="199" t="s">
        <v>2203</v>
      </c>
      <c r="F57" s="199">
        <v>0</v>
      </c>
      <c r="G57" s="276">
        <v>45685</v>
      </c>
      <c r="H57" s="199">
        <v>0</v>
      </c>
      <c r="I57" s="199">
        <v>0</v>
      </c>
      <c r="J57" s="275">
        <v>1620</v>
      </c>
      <c r="K57" s="275">
        <v>1418</v>
      </c>
      <c r="L57" s="199" t="s">
        <v>7368</v>
      </c>
    </row>
    <row r="58" spans="1:12">
      <c r="A58" s="199" t="s">
        <v>7305</v>
      </c>
      <c r="C58" s="199" t="s">
        <v>7328</v>
      </c>
      <c r="D58" s="199" t="s">
        <v>2203</v>
      </c>
      <c r="E58" s="199" t="s">
        <v>2203</v>
      </c>
      <c r="F58" s="199">
        <v>0</v>
      </c>
      <c r="G58" s="276">
        <v>45863</v>
      </c>
      <c r="H58" s="199">
        <v>0</v>
      </c>
      <c r="I58" s="199">
        <v>0</v>
      </c>
      <c r="J58" s="275">
        <v>1090</v>
      </c>
      <c r="K58" s="275">
        <v>1185</v>
      </c>
      <c r="L58" s="199" t="s">
        <v>7307</v>
      </c>
    </row>
    <row r="59" spans="1:12">
      <c r="A59" s="199">
        <v>1036</v>
      </c>
      <c r="B59" s="199" t="s">
        <v>7294</v>
      </c>
      <c r="C59" s="199" t="s">
        <v>7308</v>
      </c>
      <c r="D59" s="199" t="s">
        <v>2203</v>
      </c>
      <c r="E59" s="199" t="s">
        <v>2203</v>
      </c>
      <c r="F59" s="199">
        <v>0</v>
      </c>
      <c r="G59" s="276">
        <v>45930</v>
      </c>
      <c r="H59" s="199">
        <v>3</v>
      </c>
      <c r="I59" s="199">
        <v>1</v>
      </c>
      <c r="J59" s="199">
        <v>975</v>
      </c>
      <c r="K59" s="275">
        <v>1070</v>
      </c>
      <c r="L59" s="199" t="s">
        <v>7369</v>
      </c>
    </row>
    <row r="60" spans="1:12">
      <c r="A60" s="199" t="s">
        <v>7291</v>
      </c>
      <c r="C60" s="199" t="s">
        <v>7370</v>
      </c>
      <c r="D60" s="199" t="s">
        <v>2203</v>
      </c>
      <c r="E60" s="199" t="s">
        <v>2203</v>
      </c>
      <c r="F60" s="199">
        <v>0</v>
      </c>
      <c r="G60" s="276">
        <v>45845</v>
      </c>
      <c r="H60" s="199">
        <v>0</v>
      </c>
      <c r="I60" s="199">
        <v>0</v>
      </c>
      <c r="J60" s="199">
        <v>905</v>
      </c>
      <c r="K60" s="199">
        <v>0</v>
      </c>
      <c r="L60" s="199" t="s">
        <v>7293</v>
      </c>
    </row>
    <row r="61" spans="1:12">
      <c r="A61" s="199" t="s">
        <v>7359</v>
      </c>
      <c r="B61" s="199" t="s">
        <v>7294</v>
      </c>
      <c r="C61" s="199" t="s">
        <v>7371</v>
      </c>
      <c r="D61" s="199" t="s">
        <v>2203</v>
      </c>
      <c r="E61" s="199" t="s">
        <v>2203</v>
      </c>
      <c r="F61" s="199">
        <v>0</v>
      </c>
      <c r="G61" s="276">
        <v>45742</v>
      </c>
      <c r="H61" s="199">
        <v>2</v>
      </c>
      <c r="I61" s="199">
        <v>0</v>
      </c>
      <c r="J61" s="275">
        <v>1135</v>
      </c>
      <c r="K61" s="275">
        <v>1090</v>
      </c>
      <c r="L61" s="199" t="s">
        <v>7296</v>
      </c>
    </row>
    <row r="62" spans="1:12">
      <c r="A62" s="199" t="s">
        <v>7372</v>
      </c>
      <c r="C62" s="199" t="s">
        <v>7373</v>
      </c>
      <c r="D62" s="199" t="s">
        <v>2203</v>
      </c>
      <c r="E62" s="199" t="s">
        <v>2203</v>
      </c>
      <c r="F62" s="199">
        <v>0</v>
      </c>
      <c r="G62" s="276">
        <v>45721</v>
      </c>
      <c r="H62" s="199">
        <v>0</v>
      </c>
      <c r="I62" s="199">
        <v>0</v>
      </c>
      <c r="J62" s="199">
        <v>920</v>
      </c>
      <c r="K62" s="275">
        <v>1015</v>
      </c>
      <c r="L62" s="199" t="s">
        <v>7374</v>
      </c>
    </row>
    <row r="63" spans="1:12">
      <c r="A63" s="199">
        <v>2010</v>
      </c>
      <c r="B63" s="199" t="s">
        <v>7294</v>
      </c>
      <c r="C63" s="199" t="s">
        <v>7375</v>
      </c>
      <c r="D63" s="199" t="s">
        <v>2203</v>
      </c>
      <c r="E63" s="199" t="s">
        <v>2203</v>
      </c>
      <c r="F63" s="199">
        <v>0</v>
      </c>
      <c r="G63" s="276">
        <v>45749</v>
      </c>
      <c r="H63" s="199">
        <v>4</v>
      </c>
      <c r="I63" s="199">
        <v>0</v>
      </c>
      <c r="J63" s="275">
        <v>1175</v>
      </c>
      <c r="K63" s="275">
        <v>1127</v>
      </c>
      <c r="L63" s="199" t="s">
        <v>7296</v>
      </c>
    </row>
    <row r="64" spans="1:12">
      <c r="A64" s="199" t="s">
        <v>7291</v>
      </c>
      <c r="C64" s="199" t="s">
        <v>7376</v>
      </c>
      <c r="D64" s="199" t="s">
        <v>2203</v>
      </c>
      <c r="E64" s="199" t="s">
        <v>2203</v>
      </c>
      <c r="F64" s="199">
        <v>0</v>
      </c>
      <c r="G64" s="276">
        <v>45743</v>
      </c>
      <c r="H64" s="199">
        <v>0</v>
      </c>
      <c r="I64" s="199">
        <v>0</v>
      </c>
      <c r="J64" s="199">
        <v>905</v>
      </c>
      <c r="K64" s="199">
        <v>905</v>
      </c>
      <c r="L64" s="199" t="s">
        <v>7293</v>
      </c>
    </row>
    <row r="65" spans="1:12">
      <c r="A65" s="199">
        <v>144</v>
      </c>
      <c r="C65" s="199" t="s">
        <v>7377</v>
      </c>
      <c r="D65" s="199" t="s">
        <v>2203</v>
      </c>
      <c r="E65" s="199" t="s">
        <v>2203</v>
      </c>
      <c r="F65" s="199">
        <v>0</v>
      </c>
      <c r="G65" s="276">
        <v>45924</v>
      </c>
      <c r="H65" s="199">
        <v>0</v>
      </c>
      <c r="I65" s="199">
        <v>0</v>
      </c>
      <c r="J65" s="275">
        <v>1570</v>
      </c>
      <c r="K65" s="199">
        <v>0</v>
      </c>
      <c r="L65" s="199" t="s">
        <v>7378</v>
      </c>
    </row>
    <row r="66" spans="1:12">
      <c r="A66" s="199">
        <v>3046</v>
      </c>
      <c r="C66" s="199" t="s">
        <v>7379</v>
      </c>
      <c r="D66" s="199" t="s">
        <v>2203</v>
      </c>
      <c r="E66" s="199" t="s">
        <v>2203</v>
      </c>
      <c r="F66" s="199">
        <v>0</v>
      </c>
      <c r="G66" s="276">
        <v>45679</v>
      </c>
      <c r="H66" s="199">
        <v>0</v>
      </c>
      <c r="I66" s="199">
        <v>2</v>
      </c>
      <c r="J66" s="199">
        <v>832</v>
      </c>
      <c r="K66" s="199">
        <v>832</v>
      </c>
      <c r="L66" s="199" t="s">
        <v>7293</v>
      </c>
    </row>
    <row r="67" spans="1:12">
      <c r="A67" s="199" t="s">
        <v>7380</v>
      </c>
      <c r="B67" s="199" t="s">
        <v>7294</v>
      </c>
      <c r="C67" s="199" t="s">
        <v>7381</v>
      </c>
      <c r="D67" s="199" t="s">
        <v>2203</v>
      </c>
      <c r="E67" s="199" t="s">
        <v>2203</v>
      </c>
      <c r="F67" s="199">
        <v>0</v>
      </c>
      <c r="G67" s="276">
        <v>45700</v>
      </c>
      <c r="H67" s="199">
        <v>6</v>
      </c>
      <c r="I67" s="199">
        <v>0</v>
      </c>
      <c r="J67" s="199">
        <v>850</v>
      </c>
      <c r="K67" s="199">
        <v>819</v>
      </c>
      <c r="L67" s="199" t="s">
        <v>7296</v>
      </c>
    </row>
    <row r="68" spans="1:12">
      <c r="A68" s="199" t="s">
        <v>5950</v>
      </c>
      <c r="C68" s="199" t="s">
        <v>7382</v>
      </c>
      <c r="D68" s="199" t="s">
        <v>2203</v>
      </c>
      <c r="E68" s="199" t="s">
        <v>2203</v>
      </c>
      <c r="F68" s="199">
        <v>0</v>
      </c>
      <c r="G68" s="276">
        <v>45868</v>
      </c>
      <c r="H68" s="199">
        <v>0</v>
      </c>
      <c r="I68" s="199">
        <v>0</v>
      </c>
      <c r="J68" s="199">
        <v>970</v>
      </c>
      <c r="K68" s="275">
        <v>1065</v>
      </c>
      <c r="L68" s="199" t="s">
        <v>7383</v>
      </c>
    </row>
    <row r="69" spans="1:12">
      <c r="A69" s="200">
        <v>61760</v>
      </c>
      <c r="B69" s="199" t="s">
        <v>7294</v>
      </c>
      <c r="C69" s="199" t="s">
        <v>7384</v>
      </c>
      <c r="D69" s="199" t="s">
        <v>2203</v>
      </c>
      <c r="E69" s="199" t="s">
        <v>2203</v>
      </c>
      <c r="F69" s="199">
        <v>0</v>
      </c>
      <c r="G69" s="276">
        <v>45840</v>
      </c>
      <c r="H69" s="199">
        <v>1</v>
      </c>
      <c r="I69" s="199">
        <v>0</v>
      </c>
      <c r="J69" s="275">
        <v>1560</v>
      </c>
      <c r="K69" s="275">
        <v>1380</v>
      </c>
      <c r="L69" s="199" t="s">
        <v>7296</v>
      </c>
    </row>
    <row r="70" spans="1:12">
      <c r="A70" s="199">
        <v>2059</v>
      </c>
      <c r="C70" s="199" t="s">
        <v>7385</v>
      </c>
      <c r="D70" s="199" t="s">
        <v>2203</v>
      </c>
      <c r="E70" s="199" t="s">
        <v>2203</v>
      </c>
      <c r="F70" s="199">
        <v>0</v>
      </c>
      <c r="G70" s="276">
        <v>45979</v>
      </c>
      <c r="H70" s="199">
        <v>0</v>
      </c>
      <c r="I70" s="199">
        <v>0</v>
      </c>
      <c r="J70" s="199">
        <v>955</v>
      </c>
      <c r="K70" s="199">
        <v>829</v>
      </c>
      <c r="L70" s="199" t="s">
        <v>7293</v>
      </c>
    </row>
    <row r="71" spans="1:12">
      <c r="A71" s="200">
        <v>45689</v>
      </c>
      <c r="C71" s="199" t="s">
        <v>7386</v>
      </c>
      <c r="D71" s="199" t="s">
        <v>2203</v>
      </c>
      <c r="E71" s="199" t="s">
        <v>2203</v>
      </c>
      <c r="F71" s="199">
        <v>0</v>
      </c>
      <c r="G71" s="276">
        <v>45982</v>
      </c>
      <c r="H71" s="199">
        <v>0</v>
      </c>
      <c r="I71" s="199">
        <v>0</v>
      </c>
      <c r="J71" s="199">
        <v>930</v>
      </c>
      <c r="K71" s="199">
        <v>917</v>
      </c>
      <c r="L71" s="199" t="s">
        <v>7387</v>
      </c>
    </row>
    <row r="72" spans="1:12">
      <c r="A72" s="199" t="s">
        <v>7291</v>
      </c>
      <c r="C72" s="199" t="s">
        <v>7388</v>
      </c>
      <c r="D72" s="199" t="s">
        <v>2203</v>
      </c>
      <c r="E72" s="199" t="s">
        <v>2203</v>
      </c>
      <c r="F72" s="199">
        <v>0</v>
      </c>
      <c r="G72" s="276">
        <v>45866</v>
      </c>
      <c r="H72" s="199">
        <v>0</v>
      </c>
      <c r="I72" s="199">
        <v>0</v>
      </c>
      <c r="J72" s="199">
        <v>905</v>
      </c>
      <c r="K72" s="199">
        <v>0</v>
      </c>
      <c r="L72" s="199" t="s">
        <v>7389</v>
      </c>
    </row>
    <row r="73" spans="1:12">
      <c r="A73" s="199">
        <v>219</v>
      </c>
      <c r="C73" s="199" t="s">
        <v>7390</v>
      </c>
      <c r="D73" s="199" t="s">
        <v>2203</v>
      </c>
      <c r="E73" s="199" t="s">
        <v>2203</v>
      </c>
      <c r="F73" s="199">
        <v>0</v>
      </c>
      <c r="G73" s="276">
        <v>45944</v>
      </c>
      <c r="H73" s="199">
        <v>0</v>
      </c>
      <c r="I73" s="199">
        <v>0</v>
      </c>
      <c r="J73" s="275">
        <v>1565</v>
      </c>
      <c r="K73" s="275">
        <v>1495</v>
      </c>
      <c r="L73" s="199" t="s">
        <v>7293</v>
      </c>
    </row>
    <row r="74" spans="1:12">
      <c r="A74" s="199" t="s">
        <v>7391</v>
      </c>
      <c r="C74" s="199" t="s">
        <v>7392</v>
      </c>
      <c r="D74" s="199" t="s">
        <v>2203</v>
      </c>
      <c r="E74" s="199" t="s">
        <v>2203</v>
      </c>
      <c r="F74" s="199">
        <v>0</v>
      </c>
      <c r="G74" s="276">
        <v>45671</v>
      </c>
      <c r="H74" s="199">
        <v>0</v>
      </c>
      <c r="I74" s="199">
        <v>0</v>
      </c>
      <c r="J74" s="199">
        <v>895</v>
      </c>
      <c r="K74" s="199">
        <v>990</v>
      </c>
      <c r="L74" s="199" t="s">
        <v>7389</v>
      </c>
    </row>
    <row r="75" spans="1:12">
      <c r="A75" s="199">
        <v>422</v>
      </c>
      <c r="B75" s="199" t="s">
        <v>7294</v>
      </c>
      <c r="C75" s="199" t="s">
        <v>6090</v>
      </c>
      <c r="D75" s="199" t="s">
        <v>2203</v>
      </c>
      <c r="E75" s="199" t="s">
        <v>2203</v>
      </c>
      <c r="F75" s="199">
        <v>0</v>
      </c>
      <c r="G75" s="276">
        <v>45806</v>
      </c>
      <c r="H75" s="199">
        <v>0</v>
      </c>
      <c r="I75" s="199">
        <v>1</v>
      </c>
      <c r="J75" s="275">
        <v>1200</v>
      </c>
      <c r="K75" s="275">
        <v>1276</v>
      </c>
      <c r="L75" s="199" t="s">
        <v>7318</v>
      </c>
    </row>
    <row r="76" spans="1:12">
      <c r="A76" s="199">
        <v>218</v>
      </c>
      <c r="C76" s="199" t="s">
        <v>7393</v>
      </c>
      <c r="D76" s="199" t="s">
        <v>2203</v>
      </c>
      <c r="E76" s="199" t="s">
        <v>2203</v>
      </c>
      <c r="F76" s="199">
        <v>0</v>
      </c>
      <c r="G76" s="276">
        <v>45866</v>
      </c>
      <c r="H76" s="199">
        <v>0</v>
      </c>
      <c r="I76" s="199">
        <v>0</v>
      </c>
      <c r="J76" s="275">
        <v>1510</v>
      </c>
      <c r="K76" s="275">
        <v>1440</v>
      </c>
      <c r="L76" s="199" t="s">
        <v>7323</v>
      </c>
    </row>
    <row r="77" spans="1:12">
      <c r="A77" s="199" t="s">
        <v>7394</v>
      </c>
      <c r="C77" s="199" t="s">
        <v>7395</v>
      </c>
      <c r="D77" s="199" t="s">
        <v>2203</v>
      </c>
      <c r="E77" s="199" t="s">
        <v>2203</v>
      </c>
      <c r="F77" s="199">
        <v>0</v>
      </c>
      <c r="G77" s="276">
        <v>45929</v>
      </c>
      <c r="H77" s="199">
        <v>0</v>
      </c>
      <c r="I77" s="199">
        <v>0</v>
      </c>
      <c r="J77" s="275">
        <v>1380</v>
      </c>
      <c r="K77" s="275">
        <v>1475</v>
      </c>
      <c r="L77" s="199" t="s">
        <v>7307</v>
      </c>
    </row>
    <row r="78" spans="1:12">
      <c r="A78" s="199" t="s">
        <v>7341</v>
      </c>
      <c r="B78" s="199" t="s">
        <v>7294</v>
      </c>
      <c r="C78" s="199" t="s">
        <v>7396</v>
      </c>
      <c r="D78" s="199" t="s">
        <v>2203</v>
      </c>
      <c r="E78" s="199" t="s">
        <v>2203</v>
      </c>
      <c r="F78" s="199">
        <v>0</v>
      </c>
      <c r="G78" s="276">
        <v>45780</v>
      </c>
      <c r="H78" s="199">
        <v>1</v>
      </c>
      <c r="I78" s="199">
        <v>0</v>
      </c>
      <c r="J78" s="275">
        <v>1575</v>
      </c>
      <c r="K78" s="275">
        <v>1428</v>
      </c>
      <c r="L78" s="199" t="s">
        <v>7296</v>
      </c>
    </row>
    <row r="79" spans="1:12">
      <c r="A79" s="199" t="s">
        <v>7397</v>
      </c>
      <c r="C79" s="199" t="s">
        <v>7398</v>
      </c>
      <c r="D79" s="199" t="s">
        <v>2203</v>
      </c>
      <c r="E79" s="199" t="s">
        <v>2203</v>
      </c>
      <c r="F79" s="199">
        <v>0</v>
      </c>
      <c r="G79" s="276">
        <v>45917</v>
      </c>
      <c r="H79" s="199">
        <v>0</v>
      </c>
      <c r="I79" s="199">
        <v>0</v>
      </c>
      <c r="J79" s="275">
        <v>1090</v>
      </c>
      <c r="K79" s="275">
        <v>1185</v>
      </c>
      <c r="L79" s="199" t="s">
        <v>7293</v>
      </c>
    </row>
    <row r="80" spans="1:12">
      <c r="A80" s="199" t="s">
        <v>7399</v>
      </c>
      <c r="C80" s="199" t="s">
        <v>7400</v>
      </c>
      <c r="D80" s="199" t="s">
        <v>2203</v>
      </c>
      <c r="E80" s="199" t="s">
        <v>2203</v>
      </c>
      <c r="F80" s="199">
        <v>0</v>
      </c>
      <c r="G80" s="276">
        <v>45674</v>
      </c>
      <c r="H80" s="199">
        <v>0</v>
      </c>
      <c r="I80" s="199">
        <v>0</v>
      </c>
      <c r="J80" s="275">
        <v>1410</v>
      </c>
      <c r="K80" s="275">
        <v>1410</v>
      </c>
      <c r="L80" s="199" t="s">
        <v>7358</v>
      </c>
    </row>
    <row r="81" spans="1:12">
      <c r="A81" s="199">
        <v>1009</v>
      </c>
      <c r="C81" s="199" t="s">
        <v>7401</v>
      </c>
      <c r="D81" s="199" t="s">
        <v>2203</v>
      </c>
      <c r="E81" s="199" t="s">
        <v>2203</v>
      </c>
      <c r="F81" s="199">
        <v>0</v>
      </c>
      <c r="G81" s="276">
        <v>45930</v>
      </c>
      <c r="H81" s="199">
        <v>0</v>
      </c>
      <c r="I81" s="199">
        <v>0</v>
      </c>
      <c r="J81" s="275">
        <v>1200</v>
      </c>
      <c r="K81" s="275">
        <v>1200</v>
      </c>
      <c r="L81" s="199" t="s">
        <v>7307</v>
      </c>
    </row>
    <row r="82" spans="1:12">
      <c r="A82" s="199">
        <v>2100</v>
      </c>
      <c r="B82" s="199" t="s">
        <v>7294</v>
      </c>
      <c r="C82" s="199" t="s">
        <v>7402</v>
      </c>
      <c r="D82" s="199" t="s">
        <v>2203</v>
      </c>
      <c r="E82" s="199" t="s">
        <v>2203</v>
      </c>
      <c r="F82" s="199">
        <v>0</v>
      </c>
      <c r="G82" s="276">
        <v>45742</v>
      </c>
      <c r="H82" s="199">
        <v>2</v>
      </c>
      <c r="I82" s="199">
        <v>0</v>
      </c>
      <c r="J82" s="275">
        <v>1695</v>
      </c>
      <c r="K82" s="275">
        <v>1403</v>
      </c>
      <c r="L82" s="199" t="s">
        <v>7296</v>
      </c>
    </row>
    <row r="83" spans="1:12">
      <c r="A83" s="199">
        <v>1041</v>
      </c>
      <c r="C83" s="199" t="s">
        <v>7403</v>
      </c>
      <c r="D83" s="199" t="s">
        <v>2203</v>
      </c>
      <c r="E83" s="199" t="s">
        <v>2203</v>
      </c>
      <c r="F83" s="199">
        <v>0</v>
      </c>
      <c r="G83" s="276">
        <v>45878</v>
      </c>
      <c r="H83" s="199">
        <v>0</v>
      </c>
      <c r="I83" s="199">
        <v>0</v>
      </c>
      <c r="J83" s="199">
        <v>965</v>
      </c>
      <c r="K83" s="199">
        <v>965</v>
      </c>
      <c r="L83" s="199" t="s">
        <v>7307</v>
      </c>
    </row>
    <row r="84" spans="1:12">
      <c r="A84" s="199">
        <v>3046</v>
      </c>
      <c r="C84" s="199" t="s">
        <v>7404</v>
      </c>
      <c r="D84" s="199" t="s">
        <v>2203</v>
      </c>
      <c r="E84" s="199" t="s">
        <v>2203</v>
      </c>
      <c r="F84" s="199">
        <v>0</v>
      </c>
      <c r="G84" s="276">
        <v>45701</v>
      </c>
      <c r="H84" s="199">
        <v>0</v>
      </c>
      <c r="I84" s="199">
        <v>0</v>
      </c>
      <c r="J84" s="199">
        <v>832</v>
      </c>
      <c r="K84" s="199">
        <v>832</v>
      </c>
      <c r="L84" s="199" t="s">
        <v>7293</v>
      </c>
    </row>
    <row r="85" spans="1:12">
      <c r="A85" s="199">
        <v>161</v>
      </c>
      <c r="B85" s="199" t="s">
        <v>7294</v>
      </c>
      <c r="C85" s="199" t="s">
        <v>7405</v>
      </c>
      <c r="D85" s="199" t="s">
        <v>2203</v>
      </c>
      <c r="E85" s="199" t="s">
        <v>2203</v>
      </c>
      <c r="F85" s="199">
        <v>0</v>
      </c>
      <c r="G85" s="276">
        <v>45714</v>
      </c>
      <c r="H85" s="199">
        <v>1</v>
      </c>
      <c r="I85" s="199">
        <v>0</v>
      </c>
      <c r="J85" s="275">
        <v>1280</v>
      </c>
      <c r="K85" s="199">
        <v>964</v>
      </c>
      <c r="L85" s="199" t="s">
        <v>7296</v>
      </c>
    </row>
    <row r="86" spans="1:12">
      <c r="A86" s="200">
        <v>53359</v>
      </c>
      <c r="C86" s="199" t="s">
        <v>7406</v>
      </c>
      <c r="D86" s="199" t="s">
        <v>2203</v>
      </c>
      <c r="E86" s="199" t="s">
        <v>2203</v>
      </c>
      <c r="F86" s="199">
        <v>0</v>
      </c>
      <c r="G86" s="276">
        <v>45684</v>
      </c>
      <c r="H86" s="199">
        <v>0</v>
      </c>
      <c r="I86" s="199">
        <v>0</v>
      </c>
      <c r="J86" s="199">
        <v>814</v>
      </c>
      <c r="K86" s="199">
        <v>0</v>
      </c>
      <c r="L86" s="199" t="s">
        <v>7293</v>
      </c>
    </row>
    <row r="87" spans="1:12">
      <c r="A87" s="199">
        <v>2006</v>
      </c>
      <c r="B87" s="199" t="s">
        <v>7294</v>
      </c>
      <c r="C87" s="199" t="s">
        <v>7407</v>
      </c>
      <c r="D87" s="199" t="s">
        <v>2203</v>
      </c>
      <c r="E87" s="199" t="s">
        <v>2203</v>
      </c>
      <c r="F87" s="199">
        <v>0</v>
      </c>
      <c r="G87" s="276">
        <v>45925</v>
      </c>
      <c r="H87" s="199">
        <v>0</v>
      </c>
      <c r="I87" s="199">
        <v>0</v>
      </c>
      <c r="J87" s="275">
        <v>1175</v>
      </c>
      <c r="K87" s="275">
        <v>1628</v>
      </c>
      <c r="L87" s="199" t="s">
        <v>7296</v>
      </c>
    </row>
    <row r="88" spans="1:12">
      <c r="A88" s="199" t="s">
        <v>7299</v>
      </c>
      <c r="C88" s="199" t="s">
        <v>7408</v>
      </c>
      <c r="D88" s="199" t="s">
        <v>2203</v>
      </c>
      <c r="E88" s="199" t="s">
        <v>2203</v>
      </c>
      <c r="F88" s="199">
        <v>0</v>
      </c>
      <c r="G88" s="276">
        <v>45742</v>
      </c>
      <c r="H88" s="199">
        <v>0</v>
      </c>
      <c r="I88" s="199">
        <v>0</v>
      </c>
      <c r="J88" s="199">
        <v>905</v>
      </c>
      <c r="K88" s="199">
        <v>0</v>
      </c>
      <c r="L88" s="199" t="s">
        <v>7374</v>
      </c>
    </row>
    <row r="89" spans="1:12">
      <c r="A89" s="200">
        <v>60299</v>
      </c>
      <c r="C89" s="199" t="s">
        <v>7409</v>
      </c>
      <c r="D89" s="199" t="s">
        <v>2203</v>
      </c>
      <c r="E89" s="199" t="s">
        <v>2203</v>
      </c>
      <c r="F89" s="199">
        <v>0</v>
      </c>
      <c r="G89" s="276">
        <v>45728</v>
      </c>
      <c r="H89" s="199">
        <v>0</v>
      </c>
      <c r="I89" s="199">
        <v>1</v>
      </c>
      <c r="J89" s="275">
        <v>1530</v>
      </c>
      <c r="K89" s="275">
        <v>1530</v>
      </c>
      <c r="L89" s="199" t="s">
        <v>7410</v>
      </c>
    </row>
    <row r="90" spans="1:12">
      <c r="A90" s="199">
        <v>1040</v>
      </c>
      <c r="C90" s="199" t="s">
        <v>7411</v>
      </c>
      <c r="D90" s="199" t="s">
        <v>2203</v>
      </c>
      <c r="E90" s="199" t="s">
        <v>2203</v>
      </c>
      <c r="F90" s="199">
        <v>0</v>
      </c>
      <c r="G90" s="276">
        <v>45685</v>
      </c>
      <c r="H90" s="199">
        <v>0</v>
      </c>
      <c r="I90" s="199">
        <v>0</v>
      </c>
      <c r="J90" s="199">
        <v>832</v>
      </c>
      <c r="K90" s="199">
        <v>832</v>
      </c>
      <c r="L90" s="199" t="s">
        <v>7351</v>
      </c>
    </row>
    <row r="91" spans="1:12">
      <c r="A91" s="199" t="s">
        <v>7412</v>
      </c>
      <c r="C91" s="199" t="s">
        <v>7413</v>
      </c>
      <c r="D91" s="199" t="s">
        <v>2203</v>
      </c>
      <c r="E91" s="199" t="s">
        <v>2203</v>
      </c>
      <c r="F91" s="199">
        <v>0</v>
      </c>
      <c r="G91" s="276">
        <v>45996</v>
      </c>
      <c r="H91" s="199">
        <v>0</v>
      </c>
      <c r="I91" s="199">
        <v>0</v>
      </c>
      <c r="J91" s="199">
        <v>975</v>
      </c>
      <c r="K91" s="199">
        <v>835</v>
      </c>
      <c r="L91" s="199" t="s">
        <v>7358</v>
      </c>
    </row>
    <row r="92" spans="1:12">
      <c r="A92" s="199" t="s">
        <v>7414</v>
      </c>
      <c r="C92" s="199" t="s">
        <v>7415</v>
      </c>
      <c r="D92" s="199" t="s">
        <v>2203</v>
      </c>
      <c r="E92" s="199" t="s">
        <v>2203</v>
      </c>
      <c r="F92" s="199">
        <v>0</v>
      </c>
      <c r="G92" s="276">
        <v>45806</v>
      </c>
      <c r="H92" s="199">
        <v>0</v>
      </c>
      <c r="I92" s="199">
        <v>0</v>
      </c>
      <c r="J92" s="275">
        <v>1555</v>
      </c>
      <c r="K92" s="275">
        <v>1650</v>
      </c>
      <c r="L92" s="199" t="s">
        <v>7293</v>
      </c>
    </row>
    <row r="93" spans="1:12">
      <c r="A93" s="200">
        <v>58472</v>
      </c>
      <c r="C93" s="199" t="s">
        <v>7416</v>
      </c>
      <c r="D93" s="199" t="s">
        <v>2203</v>
      </c>
      <c r="E93" s="199" t="s">
        <v>2203</v>
      </c>
      <c r="F93" s="199">
        <v>0</v>
      </c>
      <c r="G93" s="276">
        <v>45684</v>
      </c>
      <c r="H93" s="199">
        <v>0</v>
      </c>
      <c r="I93" s="199">
        <v>0</v>
      </c>
      <c r="J93" s="199">
        <v>900</v>
      </c>
      <c r="K93" s="199">
        <v>788</v>
      </c>
      <c r="L93" s="199" t="s">
        <v>7293</v>
      </c>
    </row>
    <row r="94" spans="1:12">
      <c r="A94" s="199">
        <v>1069</v>
      </c>
      <c r="B94" s="199" t="s">
        <v>7294</v>
      </c>
      <c r="C94" s="199" t="s">
        <v>7417</v>
      </c>
      <c r="D94" s="199" t="s">
        <v>2203</v>
      </c>
      <c r="E94" s="199" t="s">
        <v>2203</v>
      </c>
      <c r="F94" s="199">
        <v>0</v>
      </c>
      <c r="G94" s="276">
        <v>45904</v>
      </c>
      <c r="H94" s="199">
        <v>0</v>
      </c>
      <c r="I94" s="199">
        <v>0</v>
      </c>
      <c r="J94" s="199">
        <v>920</v>
      </c>
      <c r="K94" s="199">
        <v>920</v>
      </c>
      <c r="L94" s="199" t="s">
        <v>7296</v>
      </c>
    </row>
    <row r="95" spans="1:12">
      <c r="A95" s="199" t="s">
        <v>7356</v>
      </c>
      <c r="B95" s="199" t="s">
        <v>7294</v>
      </c>
      <c r="C95" s="199" t="s">
        <v>7418</v>
      </c>
      <c r="D95" s="199" t="s">
        <v>2203</v>
      </c>
      <c r="E95" s="199" t="s">
        <v>2203</v>
      </c>
      <c r="F95" s="199">
        <v>0</v>
      </c>
      <c r="G95" s="276">
        <v>45747</v>
      </c>
      <c r="H95" s="199">
        <v>0</v>
      </c>
      <c r="I95" s="199">
        <v>1</v>
      </c>
      <c r="J95" s="199">
        <v>950</v>
      </c>
      <c r="K95" s="199">
        <v>970</v>
      </c>
      <c r="L95" s="199" t="s">
        <v>7296</v>
      </c>
    </row>
    <row r="96" spans="1:12">
      <c r="A96" s="200">
        <v>51167</v>
      </c>
      <c r="C96" s="199" t="s">
        <v>7419</v>
      </c>
      <c r="D96" s="199" t="s">
        <v>2203</v>
      </c>
      <c r="E96" s="199" t="s">
        <v>2203</v>
      </c>
      <c r="F96" s="199">
        <v>0</v>
      </c>
      <c r="G96" s="276">
        <v>45817</v>
      </c>
      <c r="H96" s="199">
        <v>0</v>
      </c>
      <c r="I96" s="199">
        <v>0</v>
      </c>
      <c r="J96" s="199">
        <v>835</v>
      </c>
      <c r="K96" s="199">
        <v>835</v>
      </c>
      <c r="L96" s="199" t="s">
        <v>7293</v>
      </c>
    </row>
    <row r="97" spans="1:12">
      <c r="A97" s="199" t="s">
        <v>7420</v>
      </c>
      <c r="C97" s="199" t="s">
        <v>7421</v>
      </c>
      <c r="D97" s="199" t="s">
        <v>2203</v>
      </c>
      <c r="E97" s="199" t="s">
        <v>2203</v>
      </c>
      <c r="F97" s="199">
        <v>0</v>
      </c>
      <c r="G97" s="276">
        <v>45736</v>
      </c>
      <c r="H97" s="199">
        <v>0</v>
      </c>
      <c r="I97" s="199">
        <v>0</v>
      </c>
      <c r="J97" s="199">
        <v>995</v>
      </c>
      <c r="K97" s="275">
        <v>1080</v>
      </c>
      <c r="L97" s="199" t="s">
        <v>7351</v>
      </c>
    </row>
    <row r="98" spans="1:12">
      <c r="A98" s="199">
        <v>3046</v>
      </c>
      <c r="C98" s="199" t="s">
        <v>7422</v>
      </c>
      <c r="D98" s="199" t="s">
        <v>2203</v>
      </c>
      <c r="E98" s="199" t="s">
        <v>2203</v>
      </c>
      <c r="F98" s="199">
        <v>0</v>
      </c>
      <c r="G98" s="276">
        <v>45661</v>
      </c>
      <c r="H98" s="199">
        <v>0</v>
      </c>
      <c r="I98" s="199">
        <v>0</v>
      </c>
      <c r="J98" s="199">
        <v>832</v>
      </c>
      <c r="K98" s="199">
        <v>832</v>
      </c>
      <c r="L98" s="199" t="s">
        <v>7423</v>
      </c>
    </row>
    <row r="99" spans="1:12">
      <c r="A99" s="200">
        <v>59933</v>
      </c>
      <c r="C99" s="199" t="s">
        <v>7304</v>
      </c>
      <c r="D99" s="199" t="s">
        <v>2203</v>
      </c>
      <c r="E99" s="199" t="s">
        <v>2203</v>
      </c>
      <c r="F99" s="199">
        <v>0</v>
      </c>
      <c r="G99" s="276">
        <v>45905</v>
      </c>
      <c r="H99" s="199">
        <v>0</v>
      </c>
      <c r="I99" s="199">
        <v>0</v>
      </c>
      <c r="J99" s="275">
        <v>1575</v>
      </c>
      <c r="K99" s="275">
        <v>1405</v>
      </c>
      <c r="L99" s="199" t="s">
        <v>7307</v>
      </c>
    </row>
    <row r="100" spans="1:12">
      <c r="A100" s="199">
        <v>3041</v>
      </c>
      <c r="C100" s="199" t="s">
        <v>7424</v>
      </c>
      <c r="D100" s="199" t="s">
        <v>2203</v>
      </c>
      <c r="E100" s="199" t="s">
        <v>2203</v>
      </c>
      <c r="F100" s="199">
        <v>0</v>
      </c>
      <c r="G100" s="276">
        <v>45880</v>
      </c>
      <c r="H100" s="199">
        <v>0</v>
      </c>
      <c r="I100" s="199">
        <v>0</v>
      </c>
      <c r="J100" s="199">
        <v>960</v>
      </c>
      <c r="K100" s="275">
        <v>1055</v>
      </c>
      <c r="L100" s="199" t="s">
        <v>7293</v>
      </c>
    </row>
    <row r="101" spans="1:12">
      <c r="A101" s="199" t="s">
        <v>7291</v>
      </c>
      <c r="C101" s="199" t="s">
        <v>7425</v>
      </c>
      <c r="D101" s="199" t="s">
        <v>2203</v>
      </c>
      <c r="E101" s="199" t="s">
        <v>2203</v>
      </c>
      <c r="F101" s="199">
        <v>0</v>
      </c>
      <c r="G101" s="276">
        <v>45817</v>
      </c>
      <c r="H101" s="199">
        <v>0</v>
      </c>
      <c r="I101" s="199">
        <v>0</v>
      </c>
      <c r="J101" s="199">
        <v>905</v>
      </c>
      <c r="K101" s="199">
        <v>905</v>
      </c>
      <c r="L101" s="199" t="s">
        <v>7293</v>
      </c>
    </row>
    <row r="102" spans="1:12">
      <c r="A102" s="199">
        <v>148</v>
      </c>
      <c r="C102" s="199" t="s">
        <v>7426</v>
      </c>
      <c r="D102" s="199" t="s">
        <v>2203</v>
      </c>
      <c r="E102" s="199" t="s">
        <v>2203</v>
      </c>
      <c r="F102" s="199">
        <v>0</v>
      </c>
      <c r="G102" s="276">
        <v>45930</v>
      </c>
      <c r="H102" s="199">
        <v>0</v>
      </c>
      <c r="I102" s="199">
        <v>0</v>
      </c>
      <c r="J102" s="275">
        <v>1590</v>
      </c>
      <c r="K102" s="275">
        <v>1685</v>
      </c>
      <c r="L102" s="199" t="s">
        <v>7293</v>
      </c>
    </row>
    <row r="103" spans="1:12">
      <c r="A103" s="199">
        <v>2093</v>
      </c>
      <c r="C103" s="199" t="s">
        <v>7427</v>
      </c>
      <c r="D103" s="199" t="s">
        <v>2203</v>
      </c>
      <c r="E103" s="199" t="s">
        <v>2203</v>
      </c>
      <c r="F103" s="199">
        <v>0</v>
      </c>
      <c r="G103" s="276">
        <v>45971</v>
      </c>
      <c r="H103" s="199">
        <v>0</v>
      </c>
      <c r="I103" s="199">
        <v>0</v>
      </c>
      <c r="J103" s="199">
        <v>910</v>
      </c>
      <c r="K103" s="199">
        <v>784</v>
      </c>
      <c r="L103" s="199" t="s">
        <v>7293</v>
      </c>
    </row>
    <row r="104" spans="1:12">
      <c r="A104" s="199" t="s">
        <v>7291</v>
      </c>
      <c r="C104" s="199" t="s">
        <v>7428</v>
      </c>
      <c r="D104" s="199" t="s">
        <v>2203</v>
      </c>
      <c r="E104" s="199" t="s">
        <v>2203</v>
      </c>
      <c r="F104" s="199">
        <v>0</v>
      </c>
      <c r="G104" s="276">
        <v>45940</v>
      </c>
      <c r="H104" s="199">
        <v>0</v>
      </c>
      <c r="I104" s="199">
        <v>0</v>
      </c>
      <c r="J104" s="199">
        <v>905</v>
      </c>
      <c r="K104" s="199">
        <v>833</v>
      </c>
      <c r="L104" s="199" t="s">
        <v>7293</v>
      </c>
    </row>
    <row r="105" spans="1:12">
      <c r="A105" s="199">
        <v>2019</v>
      </c>
      <c r="B105" s="199" t="s">
        <v>7294</v>
      </c>
      <c r="C105" s="199" t="s">
        <v>7429</v>
      </c>
      <c r="D105" s="199" t="s">
        <v>2203</v>
      </c>
      <c r="E105" s="199" t="s">
        <v>2203</v>
      </c>
      <c r="F105" s="199">
        <v>0</v>
      </c>
      <c r="G105" s="276">
        <v>45812</v>
      </c>
      <c r="H105" s="199">
        <v>2</v>
      </c>
      <c r="I105" s="199">
        <v>0</v>
      </c>
      <c r="J105" s="199">
        <v>955</v>
      </c>
      <c r="K105" s="199">
        <v>988</v>
      </c>
      <c r="L105" s="199" t="s">
        <v>7296</v>
      </c>
    </row>
    <row r="106" spans="1:12">
      <c r="A106" s="199" t="s">
        <v>7430</v>
      </c>
      <c r="C106" s="199" t="s">
        <v>7431</v>
      </c>
      <c r="D106" s="199" t="s">
        <v>2203</v>
      </c>
      <c r="E106" s="199" t="s">
        <v>2203</v>
      </c>
      <c r="F106" s="199">
        <v>0</v>
      </c>
      <c r="G106" s="276">
        <v>45698</v>
      </c>
      <c r="H106" s="199">
        <v>0</v>
      </c>
      <c r="I106" s="199">
        <v>0</v>
      </c>
      <c r="J106" s="199">
        <v>848</v>
      </c>
      <c r="K106" s="199">
        <v>848</v>
      </c>
      <c r="L106" s="199" t="s">
        <v>7293</v>
      </c>
    </row>
    <row r="107" spans="1:12">
      <c r="A107" s="199">
        <v>424</v>
      </c>
      <c r="B107" s="199" t="s">
        <v>7294</v>
      </c>
      <c r="C107" s="199" t="s">
        <v>6206</v>
      </c>
      <c r="D107" s="199" t="s">
        <v>2203</v>
      </c>
      <c r="E107" s="199" t="s">
        <v>2203</v>
      </c>
      <c r="F107" s="199">
        <v>0</v>
      </c>
      <c r="G107" s="276">
        <v>45772</v>
      </c>
      <c r="H107" s="199">
        <v>2</v>
      </c>
      <c r="I107" s="199">
        <v>0</v>
      </c>
      <c r="J107" s="275">
        <v>1200</v>
      </c>
      <c r="K107" s="275">
        <v>1292</v>
      </c>
      <c r="L107" s="199" t="s">
        <v>7296</v>
      </c>
    </row>
    <row r="108" spans="1:12">
      <c r="A108" s="199" t="s">
        <v>7432</v>
      </c>
      <c r="B108" s="199" t="s">
        <v>7294</v>
      </c>
      <c r="C108" s="199" t="s">
        <v>7433</v>
      </c>
      <c r="D108" s="199" t="s">
        <v>2203</v>
      </c>
      <c r="E108" s="199" t="s">
        <v>2203</v>
      </c>
      <c r="F108" s="199">
        <v>0</v>
      </c>
      <c r="G108" s="276">
        <v>45791</v>
      </c>
      <c r="H108" s="199">
        <v>0</v>
      </c>
      <c r="I108" s="199">
        <v>0</v>
      </c>
      <c r="J108" s="199">
        <v>970</v>
      </c>
      <c r="K108" s="199">
        <v>996</v>
      </c>
      <c r="L108" s="199" t="s">
        <v>7318</v>
      </c>
    </row>
    <row r="109" spans="1:12">
      <c r="A109" s="199">
        <v>3066</v>
      </c>
      <c r="C109" s="199" t="s">
        <v>7434</v>
      </c>
      <c r="D109" s="199" t="s">
        <v>2203</v>
      </c>
      <c r="E109" s="199" t="s">
        <v>2203</v>
      </c>
      <c r="F109" s="199">
        <v>0</v>
      </c>
      <c r="G109" s="276">
        <v>45728</v>
      </c>
      <c r="H109" s="199">
        <v>0</v>
      </c>
      <c r="I109" s="199">
        <v>0</v>
      </c>
      <c r="J109" s="199">
        <v>960</v>
      </c>
      <c r="K109" s="275">
        <v>1055</v>
      </c>
      <c r="L109" s="199" t="s">
        <v>7351</v>
      </c>
    </row>
    <row r="110" spans="1:12">
      <c r="A110" s="199" t="s">
        <v>7435</v>
      </c>
      <c r="B110" s="199" t="s">
        <v>7294</v>
      </c>
      <c r="C110" s="199" t="s">
        <v>7436</v>
      </c>
      <c r="D110" s="199" t="s">
        <v>2203</v>
      </c>
      <c r="E110" s="199" t="s">
        <v>2203</v>
      </c>
      <c r="F110" s="199">
        <v>0</v>
      </c>
      <c r="G110" s="276">
        <v>45895</v>
      </c>
      <c r="H110" s="199">
        <v>0</v>
      </c>
      <c r="I110" s="199">
        <v>0</v>
      </c>
      <c r="J110" s="199">
        <v>970</v>
      </c>
      <c r="K110" s="199">
        <v>970</v>
      </c>
      <c r="L110" s="199" t="s">
        <v>7296</v>
      </c>
    </row>
    <row r="111" spans="1:12">
      <c r="A111" s="199">
        <v>3004</v>
      </c>
      <c r="C111" s="199" t="s">
        <v>7437</v>
      </c>
      <c r="D111" s="199" t="s">
        <v>2203</v>
      </c>
      <c r="E111" s="199" t="s">
        <v>2203</v>
      </c>
      <c r="F111" s="199">
        <v>0</v>
      </c>
      <c r="G111" s="276">
        <v>45880</v>
      </c>
      <c r="H111" s="199">
        <v>0</v>
      </c>
      <c r="I111" s="199">
        <v>0</v>
      </c>
      <c r="J111" s="199">
        <v>950</v>
      </c>
      <c r="K111" s="199">
        <v>950</v>
      </c>
      <c r="L111" s="199" t="s">
        <v>7293</v>
      </c>
    </row>
    <row r="112" spans="1:12">
      <c r="A112" s="199" t="s">
        <v>7438</v>
      </c>
      <c r="B112" s="199" t="s">
        <v>7294</v>
      </c>
      <c r="C112" s="199" t="s">
        <v>7439</v>
      </c>
      <c r="D112" s="199" t="s">
        <v>2203</v>
      </c>
      <c r="E112" s="199" t="s">
        <v>2203</v>
      </c>
      <c r="F112" s="199">
        <v>0</v>
      </c>
      <c r="G112" s="276">
        <v>45990</v>
      </c>
      <c r="H112" s="199">
        <v>0</v>
      </c>
      <c r="I112" s="199">
        <v>0</v>
      </c>
      <c r="J112" s="199">
        <v>940</v>
      </c>
      <c r="K112" s="275">
        <v>1005</v>
      </c>
      <c r="L112" s="199" t="s">
        <v>7440</v>
      </c>
    </row>
    <row r="113" spans="1:12">
      <c r="A113" s="199">
        <v>252</v>
      </c>
      <c r="C113" s="199" t="s">
        <v>7441</v>
      </c>
      <c r="D113" s="199" t="s">
        <v>2203</v>
      </c>
      <c r="E113" s="199" t="s">
        <v>2203</v>
      </c>
      <c r="F113" s="199">
        <v>0</v>
      </c>
      <c r="G113" s="276">
        <v>45742</v>
      </c>
      <c r="H113" s="199">
        <v>0</v>
      </c>
      <c r="I113" s="199">
        <v>0</v>
      </c>
      <c r="J113" s="275">
        <v>1310</v>
      </c>
      <c r="K113" s="199">
        <v>0</v>
      </c>
      <c r="L113" s="199" t="s">
        <v>7293</v>
      </c>
    </row>
    <row r="114" spans="1:12">
      <c r="A114" s="199" t="s">
        <v>7442</v>
      </c>
    </row>
    <row r="115" spans="1:12">
      <c r="A115" s="199" t="s">
        <v>1137</v>
      </c>
      <c r="C115" s="199" t="s">
        <v>7283</v>
      </c>
      <c r="D115" s="199" t="s">
        <v>7284</v>
      </c>
      <c r="E115" s="199" t="s">
        <v>7285</v>
      </c>
      <c r="F115" s="199" t="s">
        <v>7286</v>
      </c>
      <c r="G115" s="199" t="s">
        <v>7287</v>
      </c>
      <c r="H115" s="199" t="s">
        <v>7288</v>
      </c>
      <c r="J115" s="199" t="s">
        <v>2740</v>
      </c>
      <c r="K115" s="199" t="s">
        <v>7289</v>
      </c>
      <c r="L115" s="199" t="s">
        <v>7290</v>
      </c>
    </row>
    <row r="116" spans="1:12">
      <c r="A116" s="199" t="s">
        <v>2211</v>
      </c>
    </row>
    <row r="117" spans="1:12">
      <c r="A117" s="199">
        <v>2002</v>
      </c>
      <c r="C117" s="199" t="s">
        <v>7443</v>
      </c>
      <c r="D117" s="199">
        <v>-18</v>
      </c>
      <c r="E117" s="199" t="s">
        <v>7444</v>
      </c>
      <c r="F117" s="199">
        <v>0</v>
      </c>
      <c r="G117" s="276">
        <v>45835</v>
      </c>
      <c r="H117" s="199">
        <v>0</v>
      </c>
      <c r="I117" s="199">
        <v>0</v>
      </c>
      <c r="J117" s="199">
        <v>817</v>
      </c>
      <c r="K117" s="199">
        <v>817</v>
      </c>
      <c r="L117" s="199" t="s">
        <v>7445</v>
      </c>
    </row>
    <row r="118" spans="1:12">
      <c r="A118" s="200">
        <v>62855</v>
      </c>
      <c r="C118" s="199" t="s">
        <v>7446</v>
      </c>
      <c r="D118" s="199">
        <v>-5</v>
      </c>
      <c r="E118" s="199" t="s">
        <v>7444</v>
      </c>
      <c r="F118" s="199">
        <v>0</v>
      </c>
      <c r="G118" s="276">
        <v>45889</v>
      </c>
      <c r="H118" s="199">
        <v>0</v>
      </c>
      <c r="I118" s="199">
        <v>0</v>
      </c>
      <c r="J118" s="275">
        <v>1620</v>
      </c>
      <c r="K118" s="275">
        <v>1446</v>
      </c>
      <c r="L118" s="199" t="s">
        <v>7447</v>
      </c>
    </row>
    <row r="119" spans="1:12">
      <c r="A119" s="199">
        <v>403</v>
      </c>
      <c r="C119" s="199" t="s">
        <v>7448</v>
      </c>
      <c r="D119" s="199">
        <v>-5</v>
      </c>
      <c r="E119" s="199" t="s">
        <v>7444</v>
      </c>
      <c r="F119" s="199">
        <v>0</v>
      </c>
      <c r="G119" s="276">
        <v>46001</v>
      </c>
      <c r="H119" s="199">
        <v>0</v>
      </c>
      <c r="I119" s="199">
        <v>0</v>
      </c>
      <c r="J119" s="275">
        <v>1200</v>
      </c>
      <c r="K119" s="275">
        <v>1133</v>
      </c>
      <c r="L119" s="199" t="s">
        <v>7447</v>
      </c>
    </row>
    <row r="120" spans="1:12">
      <c r="A120" s="199" t="s">
        <v>7449</v>
      </c>
      <c r="C120" s="199" t="s">
        <v>7450</v>
      </c>
      <c r="D120" s="199">
        <v>8</v>
      </c>
      <c r="E120" s="199" t="s">
        <v>7444</v>
      </c>
      <c r="F120" s="199">
        <v>0</v>
      </c>
      <c r="G120" s="276">
        <v>45793</v>
      </c>
      <c r="H120" s="199">
        <v>0</v>
      </c>
      <c r="I120" s="199">
        <v>0</v>
      </c>
      <c r="J120" s="199">
        <v>975</v>
      </c>
      <c r="K120" s="199">
        <v>975</v>
      </c>
      <c r="L120" s="199" t="s">
        <v>7293</v>
      </c>
    </row>
    <row r="121" spans="1:12">
      <c r="A121" s="199" t="s">
        <v>7451</v>
      </c>
      <c r="C121" s="199" t="s">
        <v>7452</v>
      </c>
      <c r="D121" s="199">
        <v>0</v>
      </c>
      <c r="E121" s="199" t="s">
        <v>7444</v>
      </c>
      <c r="F121" s="199">
        <v>0</v>
      </c>
      <c r="G121" s="276">
        <v>45747</v>
      </c>
      <c r="H121" s="199">
        <v>0</v>
      </c>
      <c r="I121" s="199">
        <v>0</v>
      </c>
      <c r="J121" s="199">
        <v>960</v>
      </c>
      <c r="K121" s="199">
        <v>960</v>
      </c>
      <c r="L121" s="199" t="s">
        <v>7447</v>
      </c>
    </row>
    <row r="122" spans="1:12">
      <c r="A122" s="200">
        <v>64316</v>
      </c>
      <c r="C122" s="199" t="s">
        <v>7453</v>
      </c>
      <c r="D122" s="199">
        <v>7</v>
      </c>
      <c r="E122" s="199" t="s">
        <v>7444</v>
      </c>
      <c r="F122" s="199">
        <v>0</v>
      </c>
      <c r="G122" s="276">
        <v>45747</v>
      </c>
      <c r="H122" s="199">
        <v>0</v>
      </c>
      <c r="I122" s="199">
        <v>0</v>
      </c>
      <c r="J122" s="275">
        <v>1550</v>
      </c>
      <c r="K122" s="275">
        <v>1645</v>
      </c>
      <c r="L122" s="199" t="s">
        <v>7447</v>
      </c>
    </row>
    <row r="123" spans="1:12">
      <c r="A123" s="199">
        <v>221</v>
      </c>
      <c r="C123" s="199" t="s">
        <v>7454</v>
      </c>
      <c r="D123" s="199">
        <v>-2</v>
      </c>
      <c r="E123" s="199" t="s">
        <v>7444</v>
      </c>
      <c r="F123" s="199">
        <v>0</v>
      </c>
      <c r="G123" s="276">
        <v>45993</v>
      </c>
      <c r="H123" s="199">
        <v>0</v>
      </c>
      <c r="I123" s="199">
        <v>0</v>
      </c>
      <c r="J123" s="275">
        <v>1510</v>
      </c>
      <c r="K123" s="275">
        <v>1132</v>
      </c>
      <c r="L123" s="199" t="s">
        <v>7293</v>
      </c>
    </row>
    <row r="124" spans="1:12">
      <c r="A124" s="199" t="s">
        <v>7455</v>
      </c>
      <c r="C124" s="199" t="s">
        <v>7456</v>
      </c>
      <c r="D124" s="199">
        <v>-4</v>
      </c>
      <c r="E124" s="199" t="s">
        <v>7444</v>
      </c>
      <c r="F124" s="199">
        <v>0</v>
      </c>
      <c r="G124" s="276">
        <v>45782</v>
      </c>
      <c r="H124" s="199">
        <v>0</v>
      </c>
      <c r="I124" s="199">
        <v>0</v>
      </c>
      <c r="J124" s="199">
        <v>975</v>
      </c>
      <c r="K124" s="199">
        <v>975</v>
      </c>
      <c r="L124" s="199" t="s">
        <v>7447</v>
      </c>
    </row>
    <row r="125" spans="1:12">
      <c r="A125" s="199" t="s">
        <v>7430</v>
      </c>
      <c r="C125" s="199" t="s">
        <v>7457</v>
      </c>
      <c r="D125" s="199">
        <v>-10</v>
      </c>
      <c r="E125" s="199" t="s">
        <v>7444</v>
      </c>
      <c r="F125" s="199">
        <v>0</v>
      </c>
      <c r="G125" s="276">
        <v>45881</v>
      </c>
      <c r="H125" s="199">
        <v>0</v>
      </c>
      <c r="I125" s="199">
        <v>0</v>
      </c>
      <c r="J125" s="199">
        <v>848</v>
      </c>
      <c r="K125" s="199">
        <v>848</v>
      </c>
      <c r="L125" s="199" t="s">
        <v>7447</v>
      </c>
    </row>
    <row r="126" spans="1:12">
      <c r="A126" s="199">
        <v>204</v>
      </c>
      <c r="C126" s="199" t="s">
        <v>7458</v>
      </c>
      <c r="D126" s="199">
        <v>7</v>
      </c>
      <c r="E126" s="199" t="s">
        <v>7444</v>
      </c>
      <c r="F126" s="199">
        <v>0</v>
      </c>
      <c r="G126" s="276">
        <v>45817</v>
      </c>
      <c r="H126" s="199">
        <v>0</v>
      </c>
      <c r="I126" s="199">
        <v>0</v>
      </c>
      <c r="J126" s="199">
        <v>980</v>
      </c>
      <c r="K126" s="275">
        <v>1075</v>
      </c>
      <c r="L126" s="199" t="s">
        <v>7459</v>
      </c>
    </row>
    <row r="127" spans="1:12">
      <c r="A127" s="199">
        <v>237</v>
      </c>
      <c r="C127" s="199" t="s">
        <v>7460</v>
      </c>
      <c r="D127" s="199">
        <v>5</v>
      </c>
      <c r="E127" s="199" t="s">
        <v>7444</v>
      </c>
      <c r="F127" s="199">
        <v>0</v>
      </c>
      <c r="G127" s="276">
        <v>45866</v>
      </c>
      <c r="H127" s="199">
        <v>0</v>
      </c>
      <c r="I127" s="199">
        <v>0</v>
      </c>
      <c r="J127" s="199">
        <v>980</v>
      </c>
      <c r="K127" s="275">
        <v>1075</v>
      </c>
      <c r="L127" s="199" t="s">
        <v>7447</v>
      </c>
    </row>
    <row r="128" spans="1:12">
      <c r="A128" s="199">
        <v>415</v>
      </c>
      <c r="C128" s="199" t="s">
        <v>7461</v>
      </c>
      <c r="D128" s="199">
        <v>-10</v>
      </c>
      <c r="E128" s="199" t="s">
        <v>7444</v>
      </c>
      <c r="F128" s="199">
        <v>0</v>
      </c>
      <c r="G128" s="276">
        <v>45987</v>
      </c>
      <c r="H128" s="199">
        <v>0</v>
      </c>
      <c r="I128" s="199">
        <v>0</v>
      </c>
      <c r="J128" s="275">
        <v>1145</v>
      </c>
      <c r="K128" s="199">
        <v>983</v>
      </c>
      <c r="L128" s="199" t="s">
        <v>7447</v>
      </c>
    </row>
    <row r="129" spans="1:12">
      <c r="A129" s="199" t="s">
        <v>7462</v>
      </c>
      <c r="C129" s="199" t="s">
        <v>7463</v>
      </c>
      <c r="D129" s="199">
        <v>-13</v>
      </c>
      <c r="E129" s="199" t="s">
        <v>7444</v>
      </c>
      <c r="F129" s="199">
        <v>0</v>
      </c>
      <c r="G129" s="276">
        <v>45701</v>
      </c>
      <c r="H129" s="199">
        <v>0</v>
      </c>
      <c r="I129" s="199">
        <v>0</v>
      </c>
      <c r="J129" s="199">
        <v>920</v>
      </c>
      <c r="K129" s="199">
        <v>888</v>
      </c>
      <c r="L129" s="199" t="s">
        <v>7447</v>
      </c>
    </row>
    <row r="130" spans="1:12">
      <c r="A130" s="199" t="s">
        <v>7464</v>
      </c>
      <c r="C130" s="199" t="s">
        <v>7465</v>
      </c>
      <c r="D130" s="199">
        <v>-4</v>
      </c>
      <c r="E130" s="199" t="s">
        <v>7444</v>
      </c>
      <c r="F130" s="199">
        <v>0</v>
      </c>
      <c r="G130" s="276">
        <v>45817</v>
      </c>
      <c r="H130" s="199">
        <v>0</v>
      </c>
      <c r="I130" s="199">
        <v>0</v>
      </c>
      <c r="J130" s="275">
        <v>1645</v>
      </c>
      <c r="K130" s="275">
        <v>1570</v>
      </c>
      <c r="L130" s="199" t="s">
        <v>7459</v>
      </c>
    </row>
    <row r="131" spans="1:12">
      <c r="A131" s="200">
        <v>433576</v>
      </c>
      <c r="C131" s="199" t="s">
        <v>7466</v>
      </c>
      <c r="D131" s="199">
        <v>-21</v>
      </c>
      <c r="E131" s="199" t="s">
        <v>7444</v>
      </c>
      <c r="F131" s="199">
        <v>0</v>
      </c>
      <c r="G131" s="276">
        <v>45814</v>
      </c>
      <c r="H131" s="199">
        <v>0</v>
      </c>
      <c r="I131" s="199">
        <v>0</v>
      </c>
      <c r="J131" s="199">
        <v>974</v>
      </c>
      <c r="K131" s="199">
        <v>974</v>
      </c>
      <c r="L131" s="199" t="s">
        <v>7447</v>
      </c>
    </row>
    <row r="132" spans="1:12">
      <c r="A132" s="199" t="s">
        <v>7467</v>
      </c>
      <c r="C132" s="199" t="s">
        <v>7468</v>
      </c>
      <c r="D132" s="199">
        <v>0</v>
      </c>
      <c r="E132" s="199" t="s">
        <v>7444</v>
      </c>
      <c r="F132" s="199">
        <v>0</v>
      </c>
      <c r="G132" s="276">
        <v>45880</v>
      </c>
      <c r="H132" s="199">
        <v>0</v>
      </c>
      <c r="I132" s="199">
        <v>0</v>
      </c>
      <c r="J132" s="199">
        <v>970</v>
      </c>
      <c r="K132" s="199">
        <v>970</v>
      </c>
      <c r="L132" s="199" t="s">
        <v>7459</v>
      </c>
    </row>
    <row r="133" spans="1:12">
      <c r="A133" s="200">
        <v>51167</v>
      </c>
      <c r="C133" s="199" t="s">
        <v>7469</v>
      </c>
      <c r="D133" s="199">
        <v>7</v>
      </c>
      <c r="E133" s="199" t="s">
        <v>7444</v>
      </c>
      <c r="F133" s="199">
        <v>0</v>
      </c>
      <c r="G133" s="276">
        <v>45838</v>
      </c>
      <c r="H133" s="199">
        <v>0</v>
      </c>
      <c r="I133" s="199">
        <v>0</v>
      </c>
      <c r="J133" s="199">
        <v>835</v>
      </c>
      <c r="K133" s="199">
        <v>835</v>
      </c>
      <c r="L133" s="199" t="s">
        <v>7447</v>
      </c>
    </row>
    <row r="134" spans="1:12">
      <c r="A134" s="199">
        <v>219</v>
      </c>
      <c r="C134" s="199" t="s">
        <v>7470</v>
      </c>
      <c r="D134" s="199">
        <v>0</v>
      </c>
      <c r="E134" s="199" t="s">
        <v>7444</v>
      </c>
      <c r="F134" s="199">
        <v>0</v>
      </c>
      <c r="G134" s="276">
        <v>45915</v>
      </c>
      <c r="H134" s="199">
        <v>0</v>
      </c>
      <c r="I134" s="199">
        <v>0</v>
      </c>
      <c r="J134" s="275">
        <v>1565</v>
      </c>
      <c r="K134" s="275">
        <v>1495</v>
      </c>
      <c r="L134" s="199" t="s">
        <v>7293</v>
      </c>
    </row>
    <row r="135" spans="1:12">
      <c r="A135" s="199">
        <v>3002</v>
      </c>
      <c r="C135" s="199" t="s">
        <v>7471</v>
      </c>
      <c r="D135" s="199">
        <v>0</v>
      </c>
      <c r="E135" s="199" t="s">
        <v>7444</v>
      </c>
      <c r="F135" s="199">
        <v>0</v>
      </c>
      <c r="G135" s="276">
        <v>45869</v>
      </c>
      <c r="H135" s="199">
        <v>0</v>
      </c>
      <c r="I135" s="199">
        <v>0</v>
      </c>
      <c r="J135" s="199">
        <v>905</v>
      </c>
      <c r="K135" s="199">
        <v>905</v>
      </c>
      <c r="L135" s="199" t="s">
        <v>7459</v>
      </c>
    </row>
    <row r="136" spans="1:12">
      <c r="A136" s="199">
        <v>414</v>
      </c>
      <c r="C136" s="199" t="s">
        <v>7472</v>
      </c>
      <c r="D136" s="199">
        <v>-2</v>
      </c>
      <c r="E136" s="199" t="s">
        <v>7444</v>
      </c>
      <c r="F136" s="199">
        <v>0</v>
      </c>
      <c r="G136" s="276">
        <v>45845</v>
      </c>
      <c r="H136" s="199">
        <v>0</v>
      </c>
      <c r="I136" s="199">
        <v>0</v>
      </c>
      <c r="J136" s="275">
        <v>1200</v>
      </c>
      <c r="K136" s="275">
        <v>1295</v>
      </c>
      <c r="L136" s="199" t="s">
        <v>7447</v>
      </c>
    </row>
    <row r="137" spans="1:12">
      <c r="A137" s="199" t="s">
        <v>7473</v>
      </c>
      <c r="C137" s="199" t="s">
        <v>7474</v>
      </c>
      <c r="D137" s="199">
        <v>-10</v>
      </c>
      <c r="E137" s="199" t="s">
        <v>7444</v>
      </c>
      <c r="F137" s="199">
        <v>0</v>
      </c>
      <c r="G137" s="276">
        <v>45707</v>
      </c>
      <c r="H137" s="199">
        <v>0</v>
      </c>
      <c r="I137" s="199">
        <v>0</v>
      </c>
      <c r="J137" s="199">
        <v>975</v>
      </c>
      <c r="K137" s="199">
        <v>853</v>
      </c>
      <c r="L137" s="199" t="s">
        <v>7447</v>
      </c>
    </row>
    <row r="138" spans="1:12">
      <c r="A138" s="199">
        <v>258</v>
      </c>
      <c r="C138" s="199" t="s">
        <v>7475</v>
      </c>
      <c r="D138" s="199">
        <v>-4</v>
      </c>
      <c r="E138" s="199" t="s">
        <v>7444</v>
      </c>
      <c r="F138" s="199">
        <v>0</v>
      </c>
      <c r="G138" s="276">
        <v>45979</v>
      </c>
      <c r="H138" s="199">
        <v>0</v>
      </c>
      <c r="I138" s="199">
        <v>0</v>
      </c>
      <c r="J138" s="275">
        <v>1975</v>
      </c>
      <c r="K138" s="275">
        <v>1728</v>
      </c>
      <c r="L138" s="199" t="s">
        <v>7476</v>
      </c>
    </row>
    <row r="139" spans="1:12">
      <c r="A139" s="199" t="s">
        <v>7477</v>
      </c>
      <c r="C139" s="199" t="s">
        <v>7478</v>
      </c>
      <c r="D139" s="199">
        <v>0</v>
      </c>
      <c r="E139" s="199" t="s">
        <v>7444</v>
      </c>
      <c r="F139" s="199">
        <v>0</v>
      </c>
      <c r="G139" s="276">
        <v>45989</v>
      </c>
      <c r="H139" s="199">
        <v>0</v>
      </c>
      <c r="I139" s="199">
        <v>0</v>
      </c>
      <c r="J139" s="199">
        <v>935</v>
      </c>
      <c r="K139" s="199">
        <v>795</v>
      </c>
      <c r="L139" s="199" t="s">
        <v>7423</v>
      </c>
    </row>
    <row r="140" spans="1:12">
      <c r="A140" s="199">
        <v>3088</v>
      </c>
      <c r="C140" s="199" t="s">
        <v>7479</v>
      </c>
      <c r="D140" s="199">
        <v>-1</v>
      </c>
      <c r="E140" s="199" t="s">
        <v>7444</v>
      </c>
      <c r="F140" s="199">
        <v>0</v>
      </c>
      <c r="G140" s="276">
        <v>45995</v>
      </c>
      <c r="H140" s="199">
        <v>0</v>
      </c>
      <c r="I140" s="199">
        <v>0</v>
      </c>
      <c r="J140" s="199">
        <v>965</v>
      </c>
      <c r="K140" s="199">
        <v>0</v>
      </c>
      <c r="L140" s="199" t="s">
        <v>7476</v>
      </c>
    </row>
    <row r="141" spans="1:12">
      <c r="A141" s="200">
        <v>52628</v>
      </c>
      <c r="C141" s="199" t="s">
        <v>7480</v>
      </c>
      <c r="D141" s="199">
        <v>1</v>
      </c>
      <c r="E141" s="199" t="s">
        <v>7444</v>
      </c>
      <c r="F141" s="199">
        <v>0</v>
      </c>
      <c r="G141" s="276">
        <v>45769</v>
      </c>
      <c r="H141" s="199">
        <v>0</v>
      </c>
      <c r="I141" s="199">
        <v>0</v>
      </c>
      <c r="J141" s="199">
        <v>975</v>
      </c>
      <c r="K141" s="199">
        <v>975</v>
      </c>
      <c r="L141" s="199" t="s">
        <v>7447</v>
      </c>
    </row>
    <row r="142" spans="1:12">
      <c r="A142" s="199">
        <v>3046</v>
      </c>
      <c r="C142" s="199" t="s">
        <v>7481</v>
      </c>
      <c r="D142" s="199">
        <v>-8</v>
      </c>
      <c r="E142" s="199" t="s">
        <v>7444</v>
      </c>
      <c r="F142" s="199">
        <v>0</v>
      </c>
      <c r="G142" s="276">
        <v>45922</v>
      </c>
      <c r="H142" s="199">
        <v>0</v>
      </c>
      <c r="I142" s="199">
        <v>1</v>
      </c>
      <c r="J142" s="199">
        <v>832</v>
      </c>
      <c r="K142" s="199">
        <v>832</v>
      </c>
      <c r="L142" s="199" t="s">
        <v>7293</v>
      </c>
    </row>
    <row r="143" spans="1:12">
      <c r="A143" s="199">
        <v>1100</v>
      </c>
      <c r="C143" s="199" t="s">
        <v>7482</v>
      </c>
      <c r="D143" s="199">
        <v>-10</v>
      </c>
      <c r="E143" s="199" t="s">
        <v>7444</v>
      </c>
      <c r="F143" s="199">
        <v>0</v>
      </c>
      <c r="G143" s="276">
        <v>45814</v>
      </c>
      <c r="H143" s="199">
        <v>0</v>
      </c>
      <c r="I143" s="199">
        <v>0</v>
      </c>
      <c r="J143" s="275">
        <v>1675</v>
      </c>
      <c r="K143" s="199">
        <v>0</v>
      </c>
      <c r="L143" s="199" t="s">
        <v>7447</v>
      </c>
    </row>
    <row r="144" spans="1:12">
      <c r="A144" s="200">
        <v>425906</v>
      </c>
      <c r="C144" s="199" t="s">
        <v>7483</v>
      </c>
      <c r="D144" s="199">
        <v>-1</v>
      </c>
      <c r="E144" s="199" t="s">
        <v>7444</v>
      </c>
      <c r="F144" s="199">
        <v>0</v>
      </c>
      <c r="G144" s="276">
        <v>45663</v>
      </c>
      <c r="H144" s="199">
        <v>0</v>
      </c>
      <c r="I144" s="199">
        <v>0</v>
      </c>
      <c r="J144" s="275">
        <v>1585</v>
      </c>
      <c r="K144" s="275">
        <v>1585</v>
      </c>
      <c r="L144" s="199" t="s">
        <v>7447</v>
      </c>
    </row>
    <row r="145" spans="1:12">
      <c r="A145" s="200">
        <v>42036</v>
      </c>
      <c r="C145" s="199" t="s">
        <v>7484</v>
      </c>
      <c r="D145" s="199">
        <v>-7</v>
      </c>
      <c r="E145" s="199" t="s">
        <v>7444</v>
      </c>
      <c r="F145" s="199">
        <v>0</v>
      </c>
      <c r="G145" s="276">
        <v>45978</v>
      </c>
      <c r="H145" s="199">
        <v>0</v>
      </c>
      <c r="I145" s="199">
        <v>0</v>
      </c>
      <c r="J145" s="275">
        <v>1620</v>
      </c>
      <c r="K145" s="275">
        <v>1241</v>
      </c>
      <c r="L145" s="199" t="s">
        <v>7293</v>
      </c>
    </row>
    <row r="146" spans="1:12">
      <c r="A146" s="199" t="s">
        <v>7343</v>
      </c>
      <c r="C146" s="199" t="s">
        <v>7485</v>
      </c>
      <c r="D146" s="199">
        <v>-11</v>
      </c>
      <c r="E146" s="199" t="s">
        <v>7444</v>
      </c>
      <c r="F146" s="199">
        <v>0</v>
      </c>
      <c r="G146" s="276">
        <v>45964</v>
      </c>
      <c r="H146" s="199">
        <v>0</v>
      </c>
      <c r="I146" s="199">
        <v>0</v>
      </c>
      <c r="J146" s="199">
        <v>915</v>
      </c>
      <c r="K146" s="199">
        <v>775</v>
      </c>
      <c r="L146" s="199" t="s">
        <v>7476</v>
      </c>
    </row>
    <row r="147" spans="1:12">
      <c r="A147" s="199" t="s">
        <v>7462</v>
      </c>
      <c r="C147" s="199" t="s">
        <v>7486</v>
      </c>
      <c r="D147" s="199">
        <v>-7</v>
      </c>
      <c r="E147" s="199" t="s">
        <v>7444</v>
      </c>
      <c r="F147" s="199">
        <v>0</v>
      </c>
      <c r="G147" s="276">
        <v>45665</v>
      </c>
      <c r="H147" s="199">
        <v>0</v>
      </c>
      <c r="I147" s="199">
        <v>0</v>
      </c>
      <c r="J147" s="199">
        <v>920</v>
      </c>
      <c r="K147" s="275">
        <v>1015</v>
      </c>
      <c r="L147" s="199" t="s">
        <v>7447</v>
      </c>
    </row>
    <row r="148" spans="1:12">
      <c r="A148" s="200">
        <v>432846</v>
      </c>
      <c r="C148" s="199" t="s">
        <v>7487</v>
      </c>
      <c r="D148" s="199">
        <v>6</v>
      </c>
      <c r="E148" s="199" t="s">
        <v>7444</v>
      </c>
      <c r="F148" s="199">
        <v>0</v>
      </c>
      <c r="G148" s="276">
        <v>45862</v>
      </c>
      <c r="H148" s="199">
        <v>0</v>
      </c>
      <c r="I148" s="199">
        <v>0</v>
      </c>
      <c r="J148" s="275">
        <v>1120</v>
      </c>
      <c r="K148" s="275">
        <v>1120</v>
      </c>
      <c r="L148" s="199" t="s">
        <v>7447</v>
      </c>
    </row>
    <row r="149" spans="1:12">
      <c r="A149" s="199" t="s">
        <v>7488</v>
      </c>
      <c r="C149" s="199" t="s">
        <v>7489</v>
      </c>
      <c r="D149" s="199">
        <v>-5</v>
      </c>
      <c r="E149" s="199" t="s">
        <v>7444</v>
      </c>
      <c r="F149" s="199">
        <v>0</v>
      </c>
      <c r="G149" s="276">
        <v>45665</v>
      </c>
      <c r="H149" s="199">
        <v>0</v>
      </c>
      <c r="I149" s="199">
        <v>0</v>
      </c>
      <c r="J149" s="275">
        <v>1380</v>
      </c>
      <c r="K149" s="275">
        <v>1380</v>
      </c>
      <c r="L149" s="199" t="s">
        <v>7447</v>
      </c>
    </row>
    <row r="150" spans="1:12">
      <c r="A150" s="199">
        <v>2082</v>
      </c>
      <c r="C150" s="199" t="s">
        <v>7490</v>
      </c>
      <c r="D150" s="199">
        <v>-4</v>
      </c>
      <c r="E150" s="199" t="s">
        <v>7444</v>
      </c>
      <c r="F150" s="199">
        <v>0</v>
      </c>
      <c r="G150" s="276">
        <v>45926</v>
      </c>
      <c r="H150" s="199">
        <v>0</v>
      </c>
      <c r="I150" s="199">
        <v>0</v>
      </c>
      <c r="J150" s="275">
        <v>1130</v>
      </c>
      <c r="K150" s="275">
        <v>1130</v>
      </c>
      <c r="L150" s="199" t="s">
        <v>7423</v>
      </c>
    </row>
    <row r="151" spans="1:12">
      <c r="A151" s="199" t="s">
        <v>7491</v>
      </c>
      <c r="C151" s="199" t="s">
        <v>7492</v>
      </c>
      <c r="D151" s="199">
        <v>-8</v>
      </c>
      <c r="E151" s="199" t="s">
        <v>7444</v>
      </c>
      <c r="F151" s="199">
        <v>0</v>
      </c>
      <c r="G151" s="276">
        <v>45663</v>
      </c>
      <c r="H151" s="199">
        <v>0</v>
      </c>
      <c r="I151" s="199">
        <v>0</v>
      </c>
      <c r="J151" s="199">
        <v>975</v>
      </c>
      <c r="K151" s="199">
        <v>0</v>
      </c>
      <c r="L151" s="199" t="s">
        <v>7447</v>
      </c>
    </row>
    <row r="152" spans="1:12">
      <c r="A152" s="199">
        <v>2093</v>
      </c>
      <c r="C152" s="199" t="s">
        <v>7493</v>
      </c>
      <c r="D152" s="199">
        <v>-4</v>
      </c>
      <c r="E152" s="199" t="s">
        <v>7444</v>
      </c>
      <c r="F152" s="199">
        <v>0</v>
      </c>
      <c r="G152" s="276">
        <v>45978</v>
      </c>
      <c r="H152" s="199">
        <v>0</v>
      </c>
      <c r="I152" s="199">
        <v>0</v>
      </c>
      <c r="J152" s="199">
        <v>910</v>
      </c>
      <c r="K152" s="199">
        <v>784</v>
      </c>
      <c r="L152" s="199" t="s">
        <v>7293</v>
      </c>
    </row>
    <row r="153" spans="1:12">
      <c r="A153" s="199" t="s">
        <v>7352</v>
      </c>
      <c r="C153" s="199" t="s">
        <v>7494</v>
      </c>
      <c r="D153" s="199">
        <v>-6</v>
      </c>
      <c r="E153" s="199" t="s">
        <v>7444</v>
      </c>
      <c r="F153" s="199">
        <v>0</v>
      </c>
      <c r="G153" s="276">
        <v>45804</v>
      </c>
      <c r="H153" s="199">
        <v>0</v>
      </c>
      <c r="I153" s="199">
        <v>0</v>
      </c>
      <c r="J153" s="275">
        <v>1490</v>
      </c>
      <c r="K153" s="275">
        <v>1585</v>
      </c>
      <c r="L153" s="199" t="s">
        <v>7447</v>
      </c>
    </row>
    <row r="154" spans="1:12">
      <c r="A154" s="199" t="s">
        <v>7495</v>
      </c>
      <c r="C154" s="199" t="s">
        <v>7496</v>
      </c>
      <c r="D154" s="199">
        <v>3</v>
      </c>
      <c r="E154" s="199" t="s">
        <v>7444</v>
      </c>
      <c r="F154" s="199">
        <v>0</v>
      </c>
      <c r="G154" s="276">
        <v>45663</v>
      </c>
      <c r="H154" s="199">
        <v>0</v>
      </c>
      <c r="I154" s="199">
        <v>0</v>
      </c>
      <c r="J154" s="199">
        <v>840</v>
      </c>
      <c r="K154" s="199">
        <v>840</v>
      </c>
      <c r="L154" s="199" t="s">
        <v>7447</v>
      </c>
    </row>
    <row r="155" spans="1:12">
      <c r="A155" s="199">
        <v>2025</v>
      </c>
      <c r="C155" s="199" t="s">
        <v>7497</v>
      </c>
      <c r="D155" s="199">
        <v>1</v>
      </c>
      <c r="E155" s="199" t="s">
        <v>7444</v>
      </c>
      <c r="F155" s="199">
        <v>0</v>
      </c>
      <c r="G155" s="276">
        <v>45758</v>
      </c>
      <c r="H155" s="199">
        <v>0</v>
      </c>
      <c r="I155" s="199">
        <v>0</v>
      </c>
      <c r="J155" s="275">
        <v>1650</v>
      </c>
      <c r="K155" s="275">
        <v>1527</v>
      </c>
      <c r="L155" s="199" t="s">
        <v>7447</v>
      </c>
    </row>
    <row r="156" spans="1:12">
      <c r="A156" s="199" t="s">
        <v>7498</v>
      </c>
      <c r="C156" s="199" t="s">
        <v>7499</v>
      </c>
      <c r="D156" s="199">
        <v>-15</v>
      </c>
      <c r="E156" s="199" t="s">
        <v>7444</v>
      </c>
      <c r="F156" s="199">
        <v>0</v>
      </c>
      <c r="G156" s="276">
        <v>45884</v>
      </c>
      <c r="H156" s="199">
        <v>0</v>
      </c>
      <c r="I156" s="199">
        <v>0</v>
      </c>
      <c r="J156" s="275">
        <v>1575</v>
      </c>
      <c r="K156" s="275">
        <v>1545</v>
      </c>
      <c r="L156" s="199" t="s">
        <v>7447</v>
      </c>
    </row>
    <row r="157" spans="1:12">
      <c r="A157" s="199">
        <v>430</v>
      </c>
      <c r="C157" s="199" t="s">
        <v>7500</v>
      </c>
      <c r="D157" s="199">
        <v>-9</v>
      </c>
      <c r="E157" s="199" t="s">
        <v>7444</v>
      </c>
      <c r="F157" s="199">
        <v>0</v>
      </c>
      <c r="G157" s="276">
        <v>45680</v>
      </c>
      <c r="H157" s="199">
        <v>0</v>
      </c>
      <c r="I157" s="199">
        <v>0</v>
      </c>
      <c r="J157" s="275">
        <v>1700</v>
      </c>
      <c r="K157" s="275">
        <v>1488</v>
      </c>
      <c r="L157" s="199" t="s">
        <v>7447</v>
      </c>
    </row>
    <row r="158" spans="1:12">
      <c r="A158" s="199">
        <v>270</v>
      </c>
      <c r="C158" s="199" t="s">
        <v>7501</v>
      </c>
      <c r="D158" s="199">
        <v>-18</v>
      </c>
      <c r="E158" s="199" t="s">
        <v>7444</v>
      </c>
      <c r="F158" s="199">
        <v>0</v>
      </c>
      <c r="G158" s="276">
        <v>45670</v>
      </c>
      <c r="H158" s="199">
        <v>0</v>
      </c>
      <c r="I158" s="199">
        <v>0</v>
      </c>
      <c r="J158" s="275">
        <v>1975</v>
      </c>
      <c r="K158" s="275">
        <v>1975</v>
      </c>
      <c r="L158" s="199" t="s">
        <v>7447</v>
      </c>
    </row>
    <row r="159" spans="1:12">
      <c r="A159" s="199" t="s">
        <v>7502</v>
      </c>
      <c r="C159" s="199" t="s">
        <v>7503</v>
      </c>
      <c r="D159" s="199">
        <v>-8</v>
      </c>
      <c r="E159" s="199" t="s">
        <v>7444</v>
      </c>
      <c r="F159" s="199">
        <v>0</v>
      </c>
      <c r="G159" s="276">
        <v>45891</v>
      </c>
      <c r="H159" s="199">
        <v>0</v>
      </c>
      <c r="I159" s="199">
        <v>0</v>
      </c>
      <c r="J159" s="275">
        <v>1380</v>
      </c>
      <c r="K159" s="275">
        <v>1380</v>
      </c>
      <c r="L159" s="199" t="s">
        <v>7459</v>
      </c>
    </row>
    <row r="160" spans="1:12">
      <c r="A160" s="199">
        <v>1009</v>
      </c>
      <c r="C160" s="199" t="s">
        <v>7504</v>
      </c>
      <c r="D160" s="199">
        <v>-18</v>
      </c>
      <c r="E160" s="199" t="s">
        <v>7444</v>
      </c>
      <c r="F160" s="199">
        <v>0</v>
      </c>
      <c r="G160" s="276">
        <v>45971</v>
      </c>
      <c r="H160" s="199">
        <v>0</v>
      </c>
      <c r="I160" s="199">
        <v>0</v>
      </c>
      <c r="J160" s="275">
        <v>1200</v>
      </c>
      <c r="K160" s="275">
        <v>1034</v>
      </c>
      <c r="L160" s="199" t="s">
        <v>7476</v>
      </c>
    </row>
    <row r="161" spans="1:12">
      <c r="A161" s="199">
        <v>3066</v>
      </c>
      <c r="C161" s="199" t="s">
        <v>7505</v>
      </c>
      <c r="D161" s="199">
        <v>2</v>
      </c>
      <c r="E161" s="199" t="s">
        <v>7444</v>
      </c>
      <c r="F161" s="199">
        <v>0</v>
      </c>
      <c r="G161" s="276">
        <v>45733</v>
      </c>
      <c r="H161" s="199">
        <v>0</v>
      </c>
      <c r="I161" s="199">
        <v>0</v>
      </c>
      <c r="J161" s="199">
        <v>960</v>
      </c>
      <c r="K161" s="275">
        <v>1055</v>
      </c>
      <c r="L161" s="199" t="s">
        <v>7447</v>
      </c>
    </row>
    <row r="162" spans="1:12">
      <c r="A162" s="199">
        <v>252</v>
      </c>
      <c r="C162" s="199" t="s">
        <v>7506</v>
      </c>
      <c r="D162" s="199">
        <v>28</v>
      </c>
      <c r="E162" s="199" t="s">
        <v>7444</v>
      </c>
      <c r="F162" s="199">
        <v>0</v>
      </c>
      <c r="G162" s="276">
        <v>45808</v>
      </c>
      <c r="H162" s="199">
        <v>0</v>
      </c>
      <c r="I162" s="199">
        <v>0</v>
      </c>
      <c r="J162" s="275">
        <v>1310</v>
      </c>
      <c r="K162" s="275">
        <v>1405</v>
      </c>
      <c r="L162" s="199" t="s">
        <v>7447</v>
      </c>
    </row>
    <row r="163" spans="1:12">
      <c r="A163" s="199" t="s">
        <v>7507</v>
      </c>
      <c r="C163" s="199" t="s">
        <v>7508</v>
      </c>
      <c r="D163" s="199">
        <v>16</v>
      </c>
      <c r="E163" s="199" t="s">
        <v>7444</v>
      </c>
      <c r="F163" s="199">
        <v>0</v>
      </c>
      <c r="G163" s="276">
        <v>45747</v>
      </c>
      <c r="H163" s="199">
        <v>0</v>
      </c>
      <c r="I163" s="199">
        <v>0</v>
      </c>
      <c r="J163" s="275">
        <v>1555</v>
      </c>
      <c r="K163" s="275">
        <v>1650</v>
      </c>
      <c r="L163" s="199" t="s">
        <v>7447</v>
      </c>
    </row>
    <row r="164" spans="1:12">
      <c r="A164" s="199" t="s">
        <v>7509</v>
      </c>
      <c r="C164" s="199" t="s">
        <v>7510</v>
      </c>
      <c r="D164" s="199">
        <v>9</v>
      </c>
      <c r="E164" s="199" t="s">
        <v>7444</v>
      </c>
      <c r="F164" s="199">
        <v>0</v>
      </c>
      <c r="G164" s="276">
        <v>45898</v>
      </c>
      <c r="H164" s="199">
        <v>0</v>
      </c>
      <c r="I164" s="199">
        <v>0</v>
      </c>
      <c r="J164" s="199">
        <v>995</v>
      </c>
      <c r="K164" s="275">
        <v>1090</v>
      </c>
      <c r="L164" s="199" t="s">
        <v>7459</v>
      </c>
    </row>
    <row r="165" spans="1:12">
      <c r="A165" s="199" t="s">
        <v>7495</v>
      </c>
      <c r="C165" s="199" t="s">
        <v>7511</v>
      </c>
      <c r="D165" s="199">
        <v>-4</v>
      </c>
      <c r="E165" s="199" t="s">
        <v>7444</v>
      </c>
      <c r="F165" s="199">
        <v>0</v>
      </c>
      <c r="G165" s="276">
        <v>45670</v>
      </c>
      <c r="H165" s="199">
        <v>0</v>
      </c>
      <c r="I165" s="199">
        <v>0</v>
      </c>
      <c r="J165" s="199">
        <v>840</v>
      </c>
      <c r="K165" s="199">
        <v>840</v>
      </c>
      <c r="L165" s="199" t="s">
        <v>7459</v>
      </c>
    </row>
    <row r="166" spans="1:12">
      <c r="A166" s="199">
        <v>144</v>
      </c>
      <c r="C166" s="199" t="s">
        <v>7512</v>
      </c>
      <c r="D166" s="199">
        <v>7</v>
      </c>
      <c r="E166" s="199" t="s">
        <v>7444</v>
      </c>
      <c r="F166" s="199">
        <v>0</v>
      </c>
      <c r="G166" s="276">
        <v>45940</v>
      </c>
      <c r="H166" s="199">
        <v>0</v>
      </c>
      <c r="I166" s="199">
        <v>0</v>
      </c>
      <c r="J166" s="275">
        <v>1570</v>
      </c>
      <c r="K166" s="275">
        <v>1287</v>
      </c>
      <c r="L166" s="199" t="s">
        <v>7476</v>
      </c>
    </row>
    <row r="167" spans="1:12">
      <c r="A167" s="199">
        <v>3066</v>
      </c>
      <c r="C167" s="199" t="s">
        <v>7513</v>
      </c>
      <c r="D167" s="199">
        <v>-5</v>
      </c>
      <c r="E167" s="199" t="s">
        <v>7444</v>
      </c>
      <c r="F167" s="199">
        <v>0</v>
      </c>
      <c r="G167" s="276">
        <v>45721</v>
      </c>
      <c r="H167" s="199">
        <v>0</v>
      </c>
      <c r="I167" s="199">
        <v>0</v>
      </c>
      <c r="J167" s="199">
        <v>960</v>
      </c>
      <c r="K167" s="275">
        <v>1055</v>
      </c>
      <c r="L167" s="199" t="s">
        <v>7447</v>
      </c>
    </row>
    <row r="168" spans="1:12">
      <c r="A168" s="199" t="s">
        <v>7514</v>
      </c>
      <c r="C168" s="199" t="s">
        <v>7515</v>
      </c>
      <c r="D168" s="199">
        <v>-4</v>
      </c>
      <c r="E168" s="199" t="s">
        <v>7444</v>
      </c>
      <c r="F168" s="199">
        <v>0</v>
      </c>
      <c r="G168" s="276">
        <v>45761</v>
      </c>
      <c r="H168" s="199">
        <v>0</v>
      </c>
      <c r="I168" s="199">
        <v>0</v>
      </c>
      <c r="J168" s="199">
        <v>925</v>
      </c>
      <c r="K168" s="199">
        <v>925</v>
      </c>
      <c r="L168" s="199" t="s">
        <v>7447</v>
      </c>
    </row>
    <row r="169" spans="1:12">
      <c r="A169" s="199">
        <v>249</v>
      </c>
      <c r="C169" s="199" t="s">
        <v>7516</v>
      </c>
      <c r="D169" s="199">
        <v>6</v>
      </c>
      <c r="E169" s="199" t="s">
        <v>7444</v>
      </c>
      <c r="F169" s="199">
        <v>0</v>
      </c>
      <c r="G169" s="276">
        <v>45912</v>
      </c>
      <c r="H169" s="199">
        <v>0</v>
      </c>
      <c r="I169" s="199">
        <v>0</v>
      </c>
      <c r="J169" s="275">
        <v>1310</v>
      </c>
      <c r="K169" s="199">
        <v>0</v>
      </c>
      <c r="L169" s="199" t="s">
        <v>7293</v>
      </c>
    </row>
    <row r="170" spans="1:12">
      <c r="A170" s="199" t="s">
        <v>6003</v>
      </c>
      <c r="C170" s="199" t="s">
        <v>7517</v>
      </c>
      <c r="D170" s="199">
        <v>-4</v>
      </c>
      <c r="E170" s="199" t="s">
        <v>7444</v>
      </c>
      <c r="F170" s="199">
        <v>0</v>
      </c>
      <c r="G170" s="276">
        <v>45897</v>
      </c>
      <c r="H170" s="199">
        <v>0</v>
      </c>
      <c r="I170" s="199">
        <v>0</v>
      </c>
      <c r="J170" s="199">
        <v>848</v>
      </c>
      <c r="K170" s="199">
        <v>848</v>
      </c>
      <c r="L170" s="199" t="s">
        <v>7459</v>
      </c>
    </row>
    <row r="171" spans="1:12">
      <c r="A171" s="200">
        <v>47150</v>
      </c>
      <c r="C171" s="199" t="s">
        <v>7518</v>
      </c>
      <c r="D171" s="199">
        <v>-42</v>
      </c>
      <c r="E171" s="199" t="s">
        <v>7444</v>
      </c>
      <c r="F171" s="199">
        <v>0</v>
      </c>
      <c r="G171" s="276">
        <v>45783</v>
      </c>
      <c r="H171" s="199">
        <v>0</v>
      </c>
      <c r="I171" s="199">
        <v>0</v>
      </c>
      <c r="J171" s="199">
        <v>985</v>
      </c>
      <c r="K171" s="275">
        <v>1080</v>
      </c>
      <c r="L171" s="199" t="s">
        <v>7447</v>
      </c>
    </row>
    <row r="172" spans="1:12">
      <c r="A172" s="200">
        <v>51167</v>
      </c>
      <c r="C172" s="199" t="s">
        <v>7519</v>
      </c>
      <c r="D172" s="199">
        <v>-22</v>
      </c>
      <c r="E172" s="199" t="s">
        <v>7444</v>
      </c>
      <c r="F172" s="199">
        <v>0</v>
      </c>
      <c r="G172" s="276">
        <v>45840</v>
      </c>
      <c r="H172" s="199">
        <v>0</v>
      </c>
      <c r="I172" s="199">
        <v>0</v>
      </c>
      <c r="J172" s="199">
        <v>835</v>
      </c>
      <c r="K172" s="199">
        <v>835</v>
      </c>
      <c r="L172" s="199" t="s">
        <v>7459</v>
      </c>
    </row>
    <row r="173" spans="1:12">
      <c r="A173" s="199">
        <v>1041</v>
      </c>
      <c r="C173" s="199" t="s">
        <v>7520</v>
      </c>
      <c r="D173" s="199">
        <v>1</v>
      </c>
      <c r="E173" s="199" t="s">
        <v>7444</v>
      </c>
      <c r="F173" s="199">
        <v>0</v>
      </c>
      <c r="G173" s="276">
        <v>45993</v>
      </c>
      <c r="H173" s="199">
        <v>0</v>
      </c>
      <c r="I173" s="199">
        <v>0</v>
      </c>
      <c r="J173" s="199">
        <v>965</v>
      </c>
      <c r="K173" s="199">
        <v>893</v>
      </c>
      <c r="L173" s="199" t="s">
        <v>7476</v>
      </c>
    </row>
    <row r="174" spans="1:12">
      <c r="A174" s="199" t="s">
        <v>7521</v>
      </c>
      <c r="C174" s="199" t="s">
        <v>7522</v>
      </c>
      <c r="D174" s="199">
        <v>-5</v>
      </c>
      <c r="E174" s="199" t="s">
        <v>7444</v>
      </c>
      <c r="F174" s="199">
        <v>0</v>
      </c>
      <c r="G174" s="276">
        <v>45994</v>
      </c>
      <c r="H174" s="199">
        <v>0</v>
      </c>
      <c r="I174" s="199">
        <v>0</v>
      </c>
      <c r="J174" s="199">
        <v>925</v>
      </c>
      <c r="K174" s="199">
        <v>790</v>
      </c>
      <c r="L174" s="199" t="s">
        <v>7423</v>
      </c>
    </row>
    <row r="175" spans="1:12">
      <c r="A175" s="199">
        <v>159</v>
      </c>
      <c r="C175" s="199" t="s">
        <v>7523</v>
      </c>
      <c r="D175" s="199">
        <v>0</v>
      </c>
      <c r="E175" s="199" t="s">
        <v>7444</v>
      </c>
      <c r="F175" s="199">
        <v>0</v>
      </c>
      <c r="G175" s="276">
        <v>45681</v>
      </c>
      <c r="H175" s="199">
        <v>0</v>
      </c>
      <c r="I175" s="199">
        <v>0</v>
      </c>
      <c r="J175" s="275">
        <v>1335</v>
      </c>
      <c r="K175" s="275">
        <v>1252</v>
      </c>
      <c r="L175" s="199" t="s">
        <v>7447</v>
      </c>
    </row>
    <row r="176" spans="1:12">
      <c r="A176" s="199">
        <v>2094</v>
      </c>
      <c r="C176" s="199" t="s">
        <v>7524</v>
      </c>
      <c r="D176" s="199">
        <v>0</v>
      </c>
      <c r="E176" s="199" t="s">
        <v>7444</v>
      </c>
      <c r="F176" s="199">
        <v>0</v>
      </c>
      <c r="G176" s="276">
        <v>45912</v>
      </c>
      <c r="H176" s="199">
        <v>0</v>
      </c>
      <c r="I176" s="199">
        <v>0</v>
      </c>
      <c r="J176" s="199">
        <v>910</v>
      </c>
      <c r="K176" s="199">
        <v>0</v>
      </c>
      <c r="L176" s="199" t="s">
        <v>7293</v>
      </c>
    </row>
    <row r="177" spans="1:12">
      <c r="A177" s="199">
        <v>204</v>
      </c>
      <c r="C177" s="199" t="s">
        <v>7525</v>
      </c>
      <c r="D177" s="199">
        <v>0</v>
      </c>
      <c r="E177" s="199" t="s">
        <v>7444</v>
      </c>
      <c r="F177" s="199">
        <v>0</v>
      </c>
      <c r="G177" s="276">
        <v>45838</v>
      </c>
      <c r="H177" s="199">
        <v>0</v>
      </c>
      <c r="I177" s="199">
        <v>0</v>
      </c>
      <c r="J177" s="199">
        <v>980</v>
      </c>
      <c r="K177" s="275">
        <v>1075</v>
      </c>
      <c r="L177" s="199" t="s">
        <v>7447</v>
      </c>
    </row>
    <row r="178" spans="1:12">
      <c r="A178" s="199" t="s">
        <v>7526</v>
      </c>
    </row>
    <row r="179" spans="1:12">
      <c r="A179" s="199" t="s">
        <v>1137</v>
      </c>
      <c r="C179" s="199" t="s">
        <v>7283</v>
      </c>
      <c r="D179" s="199" t="s">
        <v>7284</v>
      </c>
      <c r="E179" s="199" t="s">
        <v>7285</v>
      </c>
      <c r="F179" s="199" t="s">
        <v>7286</v>
      </c>
      <c r="G179" s="199" t="s">
        <v>7287</v>
      </c>
      <c r="H179" s="199" t="s">
        <v>7288</v>
      </c>
      <c r="J179" s="199" t="s">
        <v>2740</v>
      </c>
      <c r="K179" s="199" t="s">
        <v>7289</v>
      </c>
      <c r="L179" s="199" t="s">
        <v>7290</v>
      </c>
    </row>
    <row r="180" spans="1:12">
      <c r="A180" s="199" t="s">
        <v>7527</v>
      </c>
    </row>
    <row r="181" spans="1:12">
      <c r="A181" s="200">
        <v>51167</v>
      </c>
      <c r="C181" s="199" t="s">
        <v>7528</v>
      </c>
      <c r="D181" s="199">
        <v>185</v>
      </c>
      <c r="E181" s="199" t="s">
        <v>7444</v>
      </c>
      <c r="F181" s="199">
        <v>0</v>
      </c>
      <c r="G181" s="276">
        <v>45790</v>
      </c>
      <c r="H181" s="199">
        <v>6</v>
      </c>
      <c r="I181" s="199">
        <v>0</v>
      </c>
      <c r="J181" s="199">
        <v>835</v>
      </c>
      <c r="K181" s="199">
        <v>835</v>
      </c>
      <c r="L181" s="199" t="s">
        <v>1167</v>
      </c>
    </row>
    <row r="182" spans="1:12">
      <c r="A182" s="199" t="s">
        <v>7514</v>
      </c>
      <c r="C182" s="199" t="s">
        <v>7529</v>
      </c>
      <c r="D182" s="199">
        <v>429</v>
      </c>
      <c r="E182" s="199" t="s">
        <v>7530</v>
      </c>
      <c r="F182" s="199">
        <v>0</v>
      </c>
      <c r="G182" s="276">
        <v>45751</v>
      </c>
      <c r="H182" s="199">
        <v>9</v>
      </c>
      <c r="I182" s="199">
        <v>2</v>
      </c>
      <c r="J182" s="199">
        <v>925</v>
      </c>
      <c r="K182" s="199">
        <v>965</v>
      </c>
      <c r="L182" s="199" t="s">
        <v>1167</v>
      </c>
    </row>
    <row r="183" spans="1:12">
      <c r="A183" s="199">
        <v>3091</v>
      </c>
      <c r="C183" s="199" t="s">
        <v>7531</v>
      </c>
      <c r="D183" s="199">
        <v>1886</v>
      </c>
      <c r="E183" s="199" t="s">
        <v>7444</v>
      </c>
      <c r="F183" s="199">
        <v>0</v>
      </c>
      <c r="G183" s="276">
        <v>45908</v>
      </c>
      <c r="H183" s="199">
        <v>7</v>
      </c>
      <c r="I183" s="199">
        <v>0</v>
      </c>
      <c r="J183" s="199">
        <v>965</v>
      </c>
      <c r="K183" s="199">
        <v>966</v>
      </c>
      <c r="L183" s="199" t="s">
        <v>1167</v>
      </c>
    </row>
    <row r="184" spans="1:12">
      <c r="A184" s="200">
        <v>426271</v>
      </c>
      <c r="C184" s="199" t="s">
        <v>7532</v>
      </c>
      <c r="D184" s="199">
        <v>574</v>
      </c>
      <c r="E184" s="199" t="s">
        <v>7444</v>
      </c>
      <c r="F184" s="199">
        <v>0</v>
      </c>
      <c r="G184" s="276">
        <v>45722</v>
      </c>
      <c r="H184" s="199">
        <v>14</v>
      </c>
      <c r="I184" s="199">
        <v>0</v>
      </c>
      <c r="J184" s="275">
        <v>1585</v>
      </c>
      <c r="K184" s="275">
        <v>1395</v>
      </c>
      <c r="L184" s="199" t="s">
        <v>1167</v>
      </c>
    </row>
    <row r="185" spans="1:12">
      <c r="A185" s="200">
        <v>435037</v>
      </c>
      <c r="C185" s="199" t="s">
        <v>7533</v>
      </c>
      <c r="D185" s="199">
        <v>2089</v>
      </c>
      <c r="E185" s="199" t="s">
        <v>7530</v>
      </c>
      <c r="F185" s="199">
        <v>0</v>
      </c>
      <c r="G185" s="276">
        <v>45828</v>
      </c>
      <c r="H185" s="199">
        <v>14</v>
      </c>
      <c r="I185" s="199">
        <v>0</v>
      </c>
      <c r="J185" s="275">
        <v>1075</v>
      </c>
      <c r="K185" s="275">
        <v>1159</v>
      </c>
      <c r="L185" s="199" t="s">
        <v>1167</v>
      </c>
    </row>
    <row r="186" spans="1:12">
      <c r="A186" s="199">
        <v>237</v>
      </c>
      <c r="C186" s="199" t="s">
        <v>7534</v>
      </c>
      <c r="D186" s="199">
        <v>299</v>
      </c>
      <c r="E186" s="199" t="s">
        <v>7444</v>
      </c>
      <c r="F186" s="199">
        <v>0</v>
      </c>
      <c r="G186" s="276">
        <v>45847</v>
      </c>
      <c r="H186" s="199">
        <v>6</v>
      </c>
      <c r="I186" s="199">
        <v>4</v>
      </c>
      <c r="J186" s="199">
        <v>980</v>
      </c>
      <c r="K186" s="275">
        <v>1125</v>
      </c>
      <c r="L186" s="199" t="s">
        <v>1167</v>
      </c>
    </row>
    <row r="187" spans="1:12">
      <c r="A187" s="199" t="s">
        <v>7535</v>
      </c>
      <c r="C187" s="199" t="s">
        <v>7536</v>
      </c>
      <c r="D187" s="199">
        <v>446</v>
      </c>
      <c r="E187" s="199" t="s">
        <v>7530</v>
      </c>
      <c r="F187" s="199">
        <v>0</v>
      </c>
      <c r="G187" s="276">
        <v>45769</v>
      </c>
      <c r="H187" s="199">
        <v>2</v>
      </c>
      <c r="I187" s="199">
        <v>0</v>
      </c>
      <c r="J187" s="275">
        <v>1645</v>
      </c>
      <c r="K187" s="275">
        <v>1465</v>
      </c>
      <c r="L187" s="199" t="s">
        <v>1167</v>
      </c>
    </row>
    <row r="188" spans="1:12">
      <c r="A188" s="199">
        <v>2047</v>
      </c>
      <c r="C188" s="199" t="s">
        <v>7537</v>
      </c>
      <c r="D188" s="199">
        <v>179</v>
      </c>
      <c r="E188" s="199" t="s">
        <v>7444</v>
      </c>
      <c r="F188" s="199">
        <v>0</v>
      </c>
      <c r="G188" s="276">
        <v>45908</v>
      </c>
      <c r="H188" s="199">
        <v>5</v>
      </c>
      <c r="I188" s="199">
        <v>0</v>
      </c>
      <c r="J188" s="199">
        <v>940</v>
      </c>
      <c r="K188" s="199">
        <v>940</v>
      </c>
      <c r="L188" s="199" t="s">
        <v>1167</v>
      </c>
    </row>
    <row r="189" spans="1:12">
      <c r="A189" s="199" t="s">
        <v>7451</v>
      </c>
      <c r="C189" s="199" t="s">
        <v>7538</v>
      </c>
      <c r="D189" s="199">
        <v>475</v>
      </c>
      <c r="E189" s="199" t="s">
        <v>7530</v>
      </c>
      <c r="F189" s="199">
        <v>0</v>
      </c>
      <c r="G189" s="276">
        <v>45756</v>
      </c>
      <c r="H189" s="199">
        <v>13</v>
      </c>
      <c r="I189" s="199">
        <v>0</v>
      </c>
      <c r="J189" s="199">
        <v>960</v>
      </c>
      <c r="K189" s="275">
        <v>1100</v>
      </c>
      <c r="L189" s="199" t="s">
        <v>1167</v>
      </c>
    </row>
    <row r="190" spans="1:12">
      <c r="A190" s="199" t="s">
        <v>7394</v>
      </c>
      <c r="C190" s="199" t="s">
        <v>7539</v>
      </c>
      <c r="D190" s="199">
        <v>153</v>
      </c>
      <c r="E190" s="199" t="s">
        <v>7444</v>
      </c>
      <c r="F190" s="199">
        <v>0</v>
      </c>
      <c r="G190" s="276">
        <v>45828</v>
      </c>
      <c r="H190" s="199">
        <v>3</v>
      </c>
      <c r="I190" s="199">
        <v>0</v>
      </c>
      <c r="J190" s="275">
        <v>1380</v>
      </c>
      <c r="K190" s="275">
        <v>1475</v>
      </c>
      <c r="L190" s="199" t="s">
        <v>1167</v>
      </c>
    </row>
    <row r="191" spans="1:12">
      <c r="A191" s="199">
        <v>2058</v>
      </c>
      <c r="C191" s="199" t="s">
        <v>7540</v>
      </c>
      <c r="D191" s="199">
        <v>262</v>
      </c>
      <c r="E191" s="199" t="s">
        <v>7444</v>
      </c>
      <c r="F191" s="199">
        <v>0</v>
      </c>
      <c r="G191" s="276">
        <v>45671</v>
      </c>
      <c r="H191" s="199">
        <v>5</v>
      </c>
      <c r="I191" s="199">
        <v>0</v>
      </c>
      <c r="J191" s="199">
        <v>955</v>
      </c>
      <c r="K191" s="275">
        <v>1030</v>
      </c>
      <c r="L191" s="199" t="s">
        <v>1167</v>
      </c>
    </row>
    <row r="192" spans="1:12">
      <c r="A192" s="199">
        <v>3090</v>
      </c>
      <c r="C192" s="199" t="s">
        <v>7541</v>
      </c>
      <c r="D192" s="199">
        <v>375</v>
      </c>
      <c r="E192" s="199" t="s">
        <v>7444</v>
      </c>
      <c r="F192" s="199">
        <v>0</v>
      </c>
      <c r="G192" s="276">
        <v>45854</v>
      </c>
      <c r="H192" s="199">
        <v>10</v>
      </c>
      <c r="I192" s="199">
        <v>0</v>
      </c>
      <c r="J192" s="199">
        <v>975</v>
      </c>
      <c r="K192" s="275">
        <v>1040</v>
      </c>
      <c r="L192" s="199" t="s">
        <v>1167</v>
      </c>
    </row>
    <row r="193" spans="1:12">
      <c r="A193" s="199" t="s">
        <v>7397</v>
      </c>
      <c r="C193" s="199" t="s">
        <v>7542</v>
      </c>
      <c r="D193" s="199">
        <v>1197</v>
      </c>
      <c r="E193" s="199" t="s">
        <v>7530</v>
      </c>
      <c r="F193" s="199">
        <v>0</v>
      </c>
      <c r="G193" s="276">
        <v>45818</v>
      </c>
      <c r="H193" s="199">
        <v>15</v>
      </c>
      <c r="I193" s="199">
        <v>0</v>
      </c>
      <c r="J193" s="275">
        <v>1090</v>
      </c>
      <c r="K193" s="275">
        <v>1185</v>
      </c>
      <c r="L193" s="199" t="s">
        <v>1167</v>
      </c>
    </row>
    <row r="194" spans="1:12">
      <c r="A194" s="199" t="s">
        <v>7543</v>
      </c>
      <c r="C194" s="199" t="s">
        <v>7544</v>
      </c>
      <c r="D194" s="199">
        <v>334</v>
      </c>
      <c r="E194" s="199" t="s">
        <v>7444</v>
      </c>
      <c r="F194" s="199">
        <v>0</v>
      </c>
      <c r="G194" s="276">
        <v>45763</v>
      </c>
      <c r="H194" s="199">
        <v>7</v>
      </c>
      <c r="I194" s="199">
        <v>0</v>
      </c>
      <c r="J194" s="275">
        <v>1395</v>
      </c>
      <c r="K194" s="275">
        <v>1410</v>
      </c>
      <c r="L194" s="199" t="s">
        <v>1167</v>
      </c>
    </row>
    <row r="195" spans="1:12">
      <c r="A195" s="199" t="s">
        <v>7502</v>
      </c>
      <c r="C195" s="199" t="s">
        <v>7545</v>
      </c>
      <c r="D195" s="199">
        <v>207</v>
      </c>
      <c r="E195" s="199" t="s">
        <v>7444</v>
      </c>
      <c r="F195" s="199">
        <v>0</v>
      </c>
      <c r="G195" s="276">
        <v>45828</v>
      </c>
      <c r="H195" s="199">
        <v>4</v>
      </c>
      <c r="I195" s="199">
        <v>0</v>
      </c>
      <c r="J195" s="275">
        <v>1380</v>
      </c>
      <c r="K195" s="275">
        <v>1380</v>
      </c>
      <c r="L195" s="199" t="s">
        <v>1167</v>
      </c>
    </row>
    <row r="196" spans="1:12">
      <c r="A196" s="200">
        <v>60299</v>
      </c>
      <c r="C196" s="199" t="s">
        <v>7546</v>
      </c>
      <c r="D196" s="199">
        <v>465</v>
      </c>
      <c r="E196" s="199" t="s">
        <v>7530</v>
      </c>
      <c r="F196" s="199">
        <v>0</v>
      </c>
      <c r="G196" s="276">
        <v>45691</v>
      </c>
      <c r="H196" s="199">
        <v>4</v>
      </c>
      <c r="I196" s="199">
        <v>1</v>
      </c>
      <c r="J196" s="275">
        <v>1530</v>
      </c>
      <c r="K196" s="275">
        <v>1290</v>
      </c>
      <c r="L196" s="199" t="s">
        <v>1167</v>
      </c>
    </row>
    <row r="197" spans="1:12">
      <c r="A197" s="199">
        <v>2002</v>
      </c>
      <c r="C197" s="199" t="s">
        <v>7547</v>
      </c>
      <c r="D197" s="199">
        <v>192</v>
      </c>
      <c r="E197" s="199" t="s">
        <v>7444</v>
      </c>
      <c r="F197" s="199">
        <v>0</v>
      </c>
      <c r="G197" s="276">
        <v>45807</v>
      </c>
      <c r="H197" s="199">
        <v>6</v>
      </c>
      <c r="I197" s="199">
        <v>0</v>
      </c>
      <c r="J197" s="199">
        <v>817</v>
      </c>
      <c r="K197" s="199">
        <v>817</v>
      </c>
      <c r="L197" s="199" t="s">
        <v>1167</v>
      </c>
    </row>
    <row r="198" spans="1:12">
      <c r="A198" s="199">
        <v>144</v>
      </c>
      <c r="C198" s="199" t="s">
        <v>7548</v>
      </c>
      <c r="D198" s="199">
        <v>170</v>
      </c>
      <c r="E198" s="199" t="s">
        <v>7444</v>
      </c>
      <c r="F198" s="199">
        <v>0</v>
      </c>
      <c r="G198" s="276">
        <v>45869</v>
      </c>
      <c r="H198" s="199">
        <v>4</v>
      </c>
      <c r="I198" s="199">
        <v>0</v>
      </c>
      <c r="J198" s="275">
        <v>1570</v>
      </c>
      <c r="K198" s="275">
        <v>1456</v>
      </c>
      <c r="L198" s="199" t="s">
        <v>1167</v>
      </c>
    </row>
    <row r="199" spans="1:12">
      <c r="A199" s="199">
        <v>433</v>
      </c>
      <c r="C199" s="199" t="s">
        <v>5784</v>
      </c>
      <c r="D199" s="199">
        <v>361</v>
      </c>
      <c r="E199" s="199" t="s">
        <v>7444</v>
      </c>
      <c r="F199" s="199">
        <v>0</v>
      </c>
      <c r="G199" s="276">
        <v>45973</v>
      </c>
      <c r="H199" s="199">
        <v>12</v>
      </c>
      <c r="I199" s="199">
        <v>1</v>
      </c>
      <c r="J199" s="275">
        <v>1466</v>
      </c>
      <c r="K199" s="275">
        <v>1561</v>
      </c>
      <c r="L199" s="199" t="s">
        <v>1167</v>
      </c>
    </row>
    <row r="200" spans="1:12">
      <c r="A200" s="199" t="s">
        <v>5855</v>
      </c>
      <c r="C200" s="199" t="s">
        <v>7549</v>
      </c>
      <c r="D200" s="199">
        <v>542</v>
      </c>
      <c r="E200" s="199" t="s">
        <v>7530</v>
      </c>
      <c r="F200" s="199">
        <v>0</v>
      </c>
      <c r="G200" s="276">
        <v>45951</v>
      </c>
      <c r="H200" s="199">
        <v>9</v>
      </c>
      <c r="I200" s="199">
        <v>0</v>
      </c>
      <c r="J200" s="275">
        <v>1455</v>
      </c>
      <c r="K200" s="275">
        <v>1330</v>
      </c>
      <c r="L200" s="199" t="s">
        <v>1167</v>
      </c>
    </row>
    <row r="201" spans="1:12">
      <c r="A201" s="199" t="s">
        <v>7550</v>
      </c>
      <c r="C201" s="199" t="s">
        <v>7551</v>
      </c>
      <c r="D201" s="199">
        <v>326</v>
      </c>
      <c r="E201" s="199" t="s">
        <v>7444</v>
      </c>
      <c r="F201" s="199">
        <v>0</v>
      </c>
      <c r="G201" s="276">
        <v>45972</v>
      </c>
      <c r="H201" s="199">
        <v>11</v>
      </c>
      <c r="I201" s="199">
        <v>0</v>
      </c>
      <c r="J201" s="199">
        <v>791</v>
      </c>
      <c r="K201" s="199">
        <v>791</v>
      </c>
      <c r="L201" s="199" t="s">
        <v>1167</v>
      </c>
    </row>
    <row r="202" spans="1:12">
      <c r="A202" s="199">
        <v>258</v>
      </c>
      <c r="C202" s="199" t="s">
        <v>7552</v>
      </c>
      <c r="D202" s="199">
        <v>270</v>
      </c>
      <c r="E202" s="199" t="s">
        <v>7444</v>
      </c>
      <c r="F202" s="199">
        <v>0</v>
      </c>
      <c r="G202" s="276">
        <v>45882</v>
      </c>
      <c r="H202" s="199">
        <v>7</v>
      </c>
      <c r="I202" s="199">
        <v>0</v>
      </c>
      <c r="J202" s="275">
        <v>1975</v>
      </c>
      <c r="K202" s="275">
        <v>1975</v>
      </c>
      <c r="L202" s="199" t="s">
        <v>1167</v>
      </c>
    </row>
    <row r="203" spans="1:12">
      <c r="A203" s="199" t="s">
        <v>5936</v>
      </c>
      <c r="C203" s="199" t="s">
        <v>5935</v>
      </c>
      <c r="D203" s="199">
        <v>127</v>
      </c>
      <c r="E203" s="199" t="s">
        <v>7444</v>
      </c>
      <c r="F203" s="199">
        <v>0</v>
      </c>
      <c r="G203" s="276">
        <v>45722</v>
      </c>
      <c r="H203" s="199">
        <v>5</v>
      </c>
      <c r="I203" s="199">
        <v>0</v>
      </c>
      <c r="J203" s="275">
        <v>1283</v>
      </c>
      <c r="K203" s="275">
        <v>1378</v>
      </c>
      <c r="L203" s="199" t="s">
        <v>1167</v>
      </c>
    </row>
    <row r="204" spans="1:12">
      <c r="A204" s="199">
        <v>115</v>
      </c>
      <c r="C204" s="199" t="s">
        <v>7553</v>
      </c>
      <c r="D204" s="199">
        <v>783</v>
      </c>
      <c r="E204" s="199" t="s">
        <v>7444</v>
      </c>
      <c r="F204" s="199">
        <v>0</v>
      </c>
      <c r="G204" s="276">
        <v>45769</v>
      </c>
      <c r="H204" s="199">
        <v>10</v>
      </c>
      <c r="I204" s="199">
        <v>0</v>
      </c>
      <c r="J204" s="275">
        <v>1005</v>
      </c>
      <c r="K204" s="275">
        <v>1205</v>
      </c>
      <c r="L204" s="199" t="s">
        <v>1167</v>
      </c>
    </row>
    <row r="205" spans="1:12">
      <c r="A205" s="200">
        <v>43497</v>
      </c>
      <c r="C205" s="199" t="s">
        <v>7554</v>
      </c>
      <c r="D205" s="199">
        <v>458</v>
      </c>
      <c r="E205" s="199" t="s">
        <v>7530</v>
      </c>
      <c r="F205" s="199">
        <v>0</v>
      </c>
      <c r="G205" s="276">
        <v>45845</v>
      </c>
      <c r="H205" s="199">
        <v>11</v>
      </c>
      <c r="I205" s="199">
        <v>0</v>
      </c>
      <c r="J205" s="275">
        <v>1580</v>
      </c>
      <c r="K205" s="275">
        <v>1495</v>
      </c>
      <c r="L205" s="199" t="s">
        <v>1167</v>
      </c>
    </row>
    <row r="206" spans="1:12">
      <c r="A206" s="200">
        <v>44228</v>
      </c>
      <c r="C206" s="199" t="s">
        <v>7555</v>
      </c>
      <c r="D206" s="199">
        <v>168</v>
      </c>
      <c r="E206" s="199" t="s">
        <v>7444</v>
      </c>
      <c r="F206" s="199">
        <v>0</v>
      </c>
      <c r="G206" s="276">
        <v>45891</v>
      </c>
      <c r="H206" s="199">
        <v>4</v>
      </c>
      <c r="I206" s="199">
        <v>0</v>
      </c>
      <c r="J206" s="275">
        <v>1550</v>
      </c>
      <c r="K206" s="199">
        <v>0</v>
      </c>
      <c r="L206" s="199" t="s">
        <v>1167</v>
      </c>
    </row>
    <row r="207" spans="1:12">
      <c r="A207" s="199">
        <v>2057</v>
      </c>
      <c r="C207" s="199" t="s">
        <v>6030</v>
      </c>
      <c r="D207" s="199">
        <v>347</v>
      </c>
      <c r="E207" s="199" t="s">
        <v>7444</v>
      </c>
      <c r="F207" s="199">
        <v>0</v>
      </c>
      <c r="G207" s="276">
        <v>45973</v>
      </c>
      <c r="H207" s="199">
        <v>11</v>
      </c>
      <c r="I207" s="199">
        <v>0</v>
      </c>
      <c r="J207" s="275">
        <v>1130</v>
      </c>
      <c r="K207" s="275">
        <v>1130</v>
      </c>
      <c r="L207" s="199" t="s">
        <v>1167</v>
      </c>
    </row>
    <row r="208" spans="1:12">
      <c r="A208" s="200">
        <v>61029</v>
      </c>
      <c r="C208" s="199" t="s">
        <v>7556</v>
      </c>
      <c r="D208" s="199">
        <v>299</v>
      </c>
      <c r="E208" s="199" t="s">
        <v>7444</v>
      </c>
      <c r="F208" s="199">
        <v>0</v>
      </c>
      <c r="G208" s="276">
        <v>45721</v>
      </c>
      <c r="H208" s="199">
        <v>8</v>
      </c>
      <c r="I208" s="199">
        <v>0</v>
      </c>
      <c r="J208" s="275">
        <v>1575</v>
      </c>
      <c r="K208" s="199">
        <v>0</v>
      </c>
      <c r="L208" s="199" t="s">
        <v>1167</v>
      </c>
    </row>
    <row r="209" spans="1:12">
      <c r="A209" s="199" t="s">
        <v>7557</v>
      </c>
      <c r="C209" s="199" t="s">
        <v>7558</v>
      </c>
      <c r="D209" s="199">
        <v>69</v>
      </c>
      <c r="E209" s="199" t="s">
        <v>7444</v>
      </c>
      <c r="F209" s="199">
        <v>0</v>
      </c>
      <c r="G209" s="276">
        <v>45807</v>
      </c>
      <c r="H209" s="199">
        <v>1</v>
      </c>
      <c r="I209" s="199">
        <v>0</v>
      </c>
      <c r="J209" s="275">
        <v>1585</v>
      </c>
      <c r="K209" s="275">
        <v>1585</v>
      </c>
      <c r="L209" s="199" t="s">
        <v>1167</v>
      </c>
    </row>
    <row r="210" spans="1:12">
      <c r="A210" s="199" t="s">
        <v>7559</v>
      </c>
      <c r="C210" s="199" t="s">
        <v>7560</v>
      </c>
      <c r="D210" s="199">
        <v>192</v>
      </c>
      <c r="E210" s="199" t="s">
        <v>7444</v>
      </c>
      <c r="F210" s="199">
        <v>0</v>
      </c>
      <c r="G210" s="276">
        <v>45818</v>
      </c>
      <c r="H210" s="199">
        <v>6</v>
      </c>
      <c r="I210" s="199">
        <v>0</v>
      </c>
      <c r="J210" s="275">
        <v>1000</v>
      </c>
      <c r="K210" s="275">
        <v>1000</v>
      </c>
      <c r="L210" s="199" t="s">
        <v>1167</v>
      </c>
    </row>
    <row r="211" spans="1:12">
      <c r="A211" s="199">
        <v>403</v>
      </c>
      <c r="C211" s="199" t="s">
        <v>7561</v>
      </c>
      <c r="D211" s="199">
        <v>265</v>
      </c>
      <c r="E211" s="199" t="s">
        <v>7444</v>
      </c>
      <c r="F211" s="199">
        <v>0</v>
      </c>
      <c r="G211" s="276">
        <v>45908</v>
      </c>
      <c r="H211" s="199">
        <v>7</v>
      </c>
      <c r="I211" s="199">
        <v>0</v>
      </c>
      <c r="J211" s="275">
        <v>1200</v>
      </c>
      <c r="K211" s="275">
        <v>1295</v>
      </c>
      <c r="L211" s="199" t="s">
        <v>1167</v>
      </c>
    </row>
    <row r="212" spans="1:12">
      <c r="A212" s="199" t="s">
        <v>7391</v>
      </c>
      <c r="C212" s="199" t="s">
        <v>7562</v>
      </c>
      <c r="D212" s="199">
        <v>170</v>
      </c>
      <c r="E212" s="199" t="s">
        <v>7444</v>
      </c>
      <c r="F212" s="199">
        <v>0</v>
      </c>
      <c r="G212" s="276">
        <v>45887</v>
      </c>
      <c r="H212" s="199">
        <v>4</v>
      </c>
      <c r="I212" s="199">
        <v>3</v>
      </c>
      <c r="J212" s="199">
        <v>895</v>
      </c>
      <c r="K212" s="199">
        <v>990</v>
      </c>
      <c r="L212" s="199" t="s">
        <v>1167</v>
      </c>
    </row>
    <row r="213" spans="1:12">
      <c r="A213" s="199">
        <v>252</v>
      </c>
      <c r="C213" s="199" t="s">
        <v>7563</v>
      </c>
      <c r="D213" s="199">
        <v>454</v>
      </c>
      <c r="E213" s="199" t="s">
        <v>7530</v>
      </c>
      <c r="F213" s="199">
        <v>0</v>
      </c>
      <c r="G213" s="276">
        <v>45684</v>
      </c>
      <c r="H213" s="199">
        <v>5</v>
      </c>
      <c r="I213" s="199">
        <v>0</v>
      </c>
      <c r="J213" s="275">
        <v>1310</v>
      </c>
      <c r="K213" s="275">
        <v>1240</v>
      </c>
      <c r="L213" s="199" t="s">
        <v>1167</v>
      </c>
    </row>
    <row r="214" spans="1:12">
      <c r="A214" s="199">
        <v>123</v>
      </c>
      <c r="C214" s="199" t="s">
        <v>7564</v>
      </c>
      <c r="D214" s="199">
        <v>155</v>
      </c>
      <c r="E214" s="199" t="s">
        <v>7444</v>
      </c>
      <c r="F214" s="199">
        <v>0</v>
      </c>
      <c r="G214" s="276">
        <v>45869</v>
      </c>
      <c r="H214" s="199">
        <v>3</v>
      </c>
      <c r="I214" s="199">
        <v>0</v>
      </c>
      <c r="J214" s="275">
        <v>1590</v>
      </c>
      <c r="K214" s="275">
        <v>1685</v>
      </c>
      <c r="L214" s="199" t="s">
        <v>1167</v>
      </c>
    </row>
    <row r="215" spans="1:12">
      <c r="A215" s="200">
        <v>51898</v>
      </c>
      <c r="C215" s="199" t="s">
        <v>7565</v>
      </c>
      <c r="D215" s="199">
        <v>266</v>
      </c>
      <c r="E215" s="199" t="s">
        <v>7444</v>
      </c>
      <c r="F215" s="199">
        <v>0</v>
      </c>
      <c r="G215" s="276">
        <v>45908</v>
      </c>
      <c r="H215" s="199">
        <v>5</v>
      </c>
      <c r="I215" s="199">
        <v>0</v>
      </c>
      <c r="J215" s="199">
        <v>985</v>
      </c>
      <c r="K215" s="275">
        <v>1080</v>
      </c>
      <c r="L215" s="199" t="s">
        <v>1167</v>
      </c>
    </row>
    <row r="216" spans="1:12">
      <c r="A216" s="199">
        <v>1002</v>
      </c>
      <c r="C216" s="199" t="s">
        <v>7566</v>
      </c>
      <c r="D216" s="199">
        <v>794</v>
      </c>
      <c r="E216" s="199" t="s">
        <v>7530</v>
      </c>
      <c r="F216" s="199">
        <v>0</v>
      </c>
      <c r="G216" s="276">
        <v>45721</v>
      </c>
      <c r="H216" s="199">
        <v>14</v>
      </c>
      <c r="I216" s="199">
        <v>0</v>
      </c>
      <c r="J216" s="199">
        <v>920</v>
      </c>
      <c r="K216" s="199">
        <v>900</v>
      </c>
      <c r="L216" s="199" t="s">
        <v>1167</v>
      </c>
    </row>
    <row r="217" spans="1:12">
      <c r="A217" s="200">
        <v>38384</v>
      </c>
      <c r="C217" s="199" t="s">
        <v>7567</v>
      </c>
      <c r="D217" s="199">
        <v>357</v>
      </c>
      <c r="E217" s="199" t="s">
        <v>7444</v>
      </c>
      <c r="F217" s="199">
        <v>0</v>
      </c>
      <c r="G217" s="276">
        <v>45925</v>
      </c>
      <c r="H217" s="199">
        <v>7</v>
      </c>
      <c r="I217" s="199">
        <v>0</v>
      </c>
      <c r="J217" s="199">
        <v>985</v>
      </c>
      <c r="K217" s="275">
        <v>1135</v>
      </c>
      <c r="L217" s="199" t="s">
        <v>1167</v>
      </c>
    </row>
    <row r="218" spans="1:12">
      <c r="A218" s="199">
        <v>1001</v>
      </c>
      <c r="C218" s="199" t="s">
        <v>7568</v>
      </c>
      <c r="D218" s="199">
        <v>746</v>
      </c>
      <c r="E218" s="199" t="s">
        <v>7444</v>
      </c>
      <c r="F218" s="199">
        <v>0</v>
      </c>
      <c r="G218" s="276">
        <v>45888</v>
      </c>
      <c r="H218" s="199">
        <v>8</v>
      </c>
      <c r="I218" s="199">
        <v>0</v>
      </c>
      <c r="J218" s="199">
        <v>920</v>
      </c>
      <c r="K218" s="199">
        <v>927</v>
      </c>
      <c r="L218" s="199" t="s">
        <v>1167</v>
      </c>
    </row>
    <row r="219" spans="1:12">
      <c r="A219" s="199" t="s">
        <v>5725</v>
      </c>
      <c r="C219" s="199" t="s">
        <v>7569</v>
      </c>
      <c r="D219" s="199">
        <v>350</v>
      </c>
      <c r="E219" s="199" t="s">
        <v>7444</v>
      </c>
      <c r="F219" s="199">
        <v>0</v>
      </c>
      <c r="G219" s="276">
        <v>45869</v>
      </c>
      <c r="H219" s="199">
        <v>7</v>
      </c>
      <c r="I219" s="199">
        <v>1</v>
      </c>
      <c r="J219" s="275">
        <v>1010</v>
      </c>
      <c r="K219" s="199">
        <v>0</v>
      </c>
      <c r="L219" s="199" t="s">
        <v>1167</v>
      </c>
    </row>
    <row r="220" spans="1:12">
      <c r="A220" s="199">
        <v>221</v>
      </c>
      <c r="C220" s="199" t="s">
        <v>7570</v>
      </c>
      <c r="D220" s="199">
        <v>239</v>
      </c>
      <c r="E220" s="199" t="s">
        <v>7444</v>
      </c>
      <c r="F220" s="199">
        <v>0</v>
      </c>
      <c r="G220" s="276">
        <v>45828</v>
      </c>
      <c r="H220" s="199">
        <v>5</v>
      </c>
      <c r="I220" s="199">
        <v>0</v>
      </c>
      <c r="J220" s="275">
        <v>1510</v>
      </c>
      <c r="K220" s="275">
        <v>1510</v>
      </c>
      <c r="L220" s="199" t="s">
        <v>1167</v>
      </c>
    </row>
    <row r="221" spans="1:12">
      <c r="A221" s="200">
        <v>426636</v>
      </c>
      <c r="C221" s="199" t="s">
        <v>7571</v>
      </c>
      <c r="D221" s="199">
        <v>252</v>
      </c>
      <c r="E221" s="199" t="s">
        <v>7444</v>
      </c>
      <c r="F221" s="199">
        <v>0</v>
      </c>
      <c r="G221" s="276">
        <v>45775</v>
      </c>
      <c r="H221" s="199">
        <v>6</v>
      </c>
      <c r="I221" s="199">
        <v>0</v>
      </c>
      <c r="J221" s="275">
        <v>1540</v>
      </c>
      <c r="K221" s="199">
        <v>0</v>
      </c>
      <c r="L221" s="199" t="s">
        <v>1167</v>
      </c>
    </row>
    <row r="222" spans="1:12">
      <c r="A222" s="199">
        <v>142</v>
      </c>
      <c r="C222" s="199" t="s">
        <v>7572</v>
      </c>
      <c r="D222" s="199">
        <v>111</v>
      </c>
      <c r="E222" s="199" t="s">
        <v>7444</v>
      </c>
      <c r="F222" s="199">
        <v>0</v>
      </c>
      <c r="G222" s="276">
        <v>45869</v>
      </c>
      <c r="H222" s="199">
        <v>2</v>
      </c>
      <c r="I222" s="199">
        <v>0</v>
      </c>
      <c r="J222" s="275">
        <v>1570</v>
      </c>
      <c r="K222" s="275">
        <v>1665</v>
      </c>
      <c r="L222" s="199" t="s">
        <v>1167</v>
      </c>
    </row>
    <row r="223" spans="1:12">
      <c r="A223" s="200">
        <v>41671</v>
      </c>
      <c r="C223" s="199" t="s">
        <v>7573</v>
      </c>
      <c r="D223" s="199">
        <v>550</v>
      </c>
      <c r="E223" s="199" t="s">
        <v>7530</v>
      </c>
      <c r="F223" s="199">
        <v>0</v>
      </c>
      <c r="G223" s="276">
        <v>45866</v>
      </c>
      <c r="H223" s="199">
        <v>17</v>
      </c>
      <c r="I223" s="199">
        <v>0</v>
      </c>
      <c r="J223" s="275">
        <v>1620</v>
      </c>
      <c r="K223" s="275">
        <v>1465</v>
      </c>
      <c r="L223" s="199" t="s">
        <v>1167</v>
      </c>
    </row>
    <row r="224" spans="1:12">
      <c r="A224" s="200">
        <v>55916</v>
      </c>
      <c r="C224" s="199" t="s">
        <v>7574</v>
      </c>
      <c r="D224" s="199">
        <v>291</v>
      </c>
      <c r="E224" s="199" t="s">
        <v>7444</v>
      </c>
      <c r="F224" s="199">
        <v>0</v>
      </c>
      <c r="G224" s="276">
        <v>45996</v>
      </c>
      <c r="H224" s="199">
        <v>4</v>
      </c>
      <c r="I224" s="199">
        <v>0</v>
      </c>
      <c r="J224" s="199">
        <v>955</v>
      </c>
      <c r="K224" s="275">
        <v>1050</v>
      </c>
      <c r="L224" s="199" t="s">
        <v>1167</v>
      </c>
    </row>
    <row r="225" spans="1:12">
      <c r="A225" s="199">
        <v>1021</v>
      </c>
      <c r="C225" s="199" t="s">
        <v>7575</v>
      </c>
      <c r="D225" s="199">
        <v>322</v>
      </c>
      <c r="E225" s="199" t="s">
        <v>7444</v>
      </c>
      <c r="F225" s="199">
        <v>0</v>
      </c>
      <c r="G225" s="276">
        <v>45814</v>
      </c>
      <c r="H225" s="199">
        <v>8</v>
      </c>
      <c r="I225" s="199">
        <v>0</v>
      </c>
      <c r="J225" s="199">
        <v>990</v>
      </c>
      <c r="K225" s="199">
        <v>0</v>
      </c>
      <c r="L225" s="199" t="s">
        <v>1167</v>
      </c>
    </row>
    <row r="226" spans="1:12">
      <c r="A226" s="200">
        <v>433576</v>
      </c>
      <c r="C226" s="199" t="s">
        <v>7576</v>
      </c>
      <c r="D226" s="199">
        <v>203</v>
      </c>
      <c r="E226" s="199" t="s">
        <v>7444</v>
      </c>
      <c r="F226" s="199">
        <v>0</v>
      </c>
      <c r="G226" s="276">
        <v>45791</v>
      </c>
      <c r="H226" s="199">
        <v>5</v>
      </c>
      <c r="I226" s="199">
        <v>0</v>
      </c>
      <c r="J226" s="199">
        <v>974</v>
      </c>
      <c r="K226" s="275">
        <v>1120</v>
      </c>
      <c r="L226" s="199" t="s">
        <v>1167</v>
      </c>
    </row>
    <row r="227" spans="1:12">
      <c r="A227" s="199" t="s">
        <v>7577</v>
      </c>
      <c r="C227" s="199" t="s">
        <v>7578</v>
      </c>
      <c r="D227" s="199">
        <v>624</v>
      </c>
      <c r="E227" s="199" t="s">
        <v>7444</v>
      </c>
      <c r="F227" s="199">
        <v>0</v>
      </c>
      <c r="G227" s="276">
        <v>45763</v>
      </c>
      <c r="H227" s="199">
        <v>4</v>
      </c>
      <c r="I227" s="199">
        <v>0</v>
      </c>
      <c r="J227" s="275">
        <v>1575</v>
      </c>
      <c r="K227" s="275">
        <v>1475</v>
      </c>
      <c r="L227" s="199" t="s">
        <v>1167</v>
      </c>
    </row>
    <row r="228" spans="1:12">
      <c r="A228" s="199" t="s">
        <v>7579</v>
      </c>
      <c r="C228" s="199" t="s">
        <v>7580</v>
      </c>
      <c r="D228" s="199">
        <v>439</v>
      </c>
      <c r="E228" s="199" t="s">
        <v>7530</v>
      </c>
      <c r="F228" s="199">
        <v>0</v>
      </c>
      <c r="G228" s="276">
        <v>45896</v>
      </c>
      <c r="H228" s="199">
        <v>7</v>
      </c>
      <c r="I228" s="199">
        <v>0</v>
      </c>
      <c r="J228" s="199">
        <v>920</v>
      </c>
      <c r="K228" s="275">
        <v>1005</v>
      </c>
      <c r="L228" s="199" t="s">
        <v>1167</v>
      </c>
    </row>
    <row r="229" spans="1:12">
      <c r="A229" s="199">
        <v>3048</v>
      </c>
      <c r="C229" s="199" t="s">
        <v>5741</v>
      </c>
      <c r="D229" s="199">
        <v>327</v>
      </c>
      <c r="E229" s="199" t="s">
        <v>7444</v>
      </c>
      <c r="F229" s="199">
        <v>0</v>
      </c>
      <c r="G229" s="276">
        <v>45973</v>
      </c>
      <c r="H229" s="199">
        <v>11</v>
      </c>
      <c r="I229" s="199">
        <v>0</v>
      </c>
      <c r="J229" s="199">
        <v>832</v>
      </c>
      <c r="K229" s="199">
        <v>832</v>
      </c>
      <c r="L229" s="199" t="s">
        <v>1167</v>
      </c>
    </row>
    <row r="230" spans="1:12">
      <c r="A230" s="199">
        <v>1012</v>
      </c>
      <c r="C230" s="199" t="s">
        <v>7581</v>
      </c>
      <c r="D230" s="199">
        <v>285</v>
      </c>
      <c r="E230" s="199" t="s">
        <v>7444</v>
      </c>
      <c r="F230" s="199">
        <v>0</v>
      </c>
      <c r="G230" s="276">
        <v>45854</v>
      </c>
      <c r="H230" s="199">
        <v>4</v>
      </c>
      <c r="I230" s="199">
        <v>0</v>
      </c>
      <c r="J230" s="275">
        <v>1210</v>
      </c>
      <c r="K230" s="275">
        <v>1275</v>
      </c>
      <c r="L230" s="199" t="s">
        <v>1167</v>
      </c>
    </row>
    <row r="231" spans="1:12">
      <c r="A231" s="199">
        <v>3046</v>
      </c>
      <c r="C231" s="199" t="s">
        <v>7582</v>
      </c>
      <c r="D231" s="199">
        <v>193</v>
      </c>
      <c r="E231" s="199" t="s">
        <v>7444</v>
      </c>
      <c r="F231" s="199">
        <v>0</v>
      </c>
      <c r="G231" s="276">
        <v>45908</v>
      </c>
      <c r="H231" s="199">
        <v>5</v>
      </c>
      <c r="I231" s="199">
        <v>0</v>
      </c>
      <c r="J231" s="199">
        <v>832</v>
      </c>
      <c r="K231" s="199">
        <v>832</v>
      </c>
      <c r="L231" s="199" t="s">
        <v>1167</v>
      </c>
    </row>
    <row r="232" spans="1:12">
      <c r="A232" s="199">
        <v>2039</v>
      </c>
      <c r="C232" s="199" t="s">
        <v>7583</v>
      </c>
      <c r="D232" s="199">
        <v>242</v>
      </c>
      <c r="E232" s="199" t="s">
        <v>7444</v>
      </c>
      <c r="F232" s="199">
        <v>0</v>
      </c>
      <c r="G232" s="276">
        <v>45812</v>
      </c>
      <c r="H232" s="199">
        <v>6</v>
      </c>
      <c r="I232" s="199">
        <v>0</v>
      </c>
      <c r="J232" s="199">
        <v>940</v>
      </c>
      <c r="K232" s="199">
        <v>905</v>
      </c>
      <c r="L232" s="199" t="s">
        <v>1167</v>
      </c>
    </row>
    <row r="233" spans="1:12">
      <c r="A233" s="199">
        <v>3069</v>
      </c>
      <c r="C233" s="199" t="s">
        <v>7584</v>
      </c>
      <c r="D233" s="199">
        <v>187</v>
      </c>
      <c r="E233" s="199" t="s">
        <v>7444</v>
      </c>
      <c r="F233" s="199">
        <v>0</v>
      </c>
      <c r="G233" s="276">
        <v>45671</v>
      </c>
      <c r="H233" s="199">
        <v>4</v>
      </c>
      <c r="I233" s="199">
        <v>0</v>
      </c>
      <c r="J233" s="199">
        <v>960</v>
      </c>
      <c r="K233" s="199">
        <v>990</v>
      </c>
      <c r="L233" s="199" t="s">
        <v>1167</v>
      </c>
    </row>
    <row r="234" spans="1:12">
      <c r="A234" s="199" t="s">
        <v>7585</v>
      </c>
      <c r="C234" s="199" t="s">
        <v>7586</v>
      </c>
      <c r="D234" s="199">
        <v>444</v>
      </c>
      <c r="E234" s="199" t="s">
        <v>7530</v>
      </c>
      <c r="F234" s="199">
        <v>0</v>
      </c>
      <c r="G234" s="276">
        <v>45887</v>
      </c>
      <c r="H234" s="199">
        <v>4</v>
      </c>
      <c r="I234" s="199">
        <v>0</v>
      </c>
      <c r="J234" s="199">
        <v>985</v>
      </c>
      <c r="K234" s="275">
        <v>1140</v>
      </c>
      <c r="L234" s="199" t="s">
        <v>1167</v>
      </c>
    </row>
    <row r="235" spans="1:12">
      <c r="A235" s="199" t="s">
        <v>7587</v>
      </c>
      <c r="C235" s="199" t="s">
        <v>7588</v>
      </c>
      <c r="D235" s="199">
        <v>247</v>
      </c>
      <c r="E235" s="199" t="s">
        <v>7444</v>
      </c>
      <c r="F235" s="199">
        <v>0</v>
      </c>
      <c r="G235" s="276">
        <v>45845</v>
      </c>
      <c r="H235" s="199">
        <v>6</v>
      </c>
      <c r="I235" s="199">
        <v>2</v>
      </c>
      <c r="J235" s="275">
        <v>1135</v>
      </c>
      <c r="K235" s="199">
        <v>0</v>
      </c>
      <c r="L235" s="199" t="s">
        <v>1167</v>
      </c>
    </row>
    <row r="236" spans="1:12">
      <c r="A236" s="199" t="s">
        <v>7589</v>
      </c>
      <c r="C236" s="199" t="s">
        <v>5865</v>
      </c>
      <c r="D236" s="199">
        <v>243</v>
      </c>
      <c r="E236" s="199" t="s">
        <v>7444</v>
      </c>
      <c r="F236" s="199">
        <v>0</v>
      </c>
      <c r="G236" s="276">
        <v>45958</v>
      </c>
      <c r="H236" s="199">
        <v>6</v>
      </c>
      <c r="I236" s="199">
        <v>2</v>
      </c>
      <c r="J236" s="275">
        <v>1035</v>
      </c>
      <c r="K236" s="275">
        <v>1035</v>
      </c>
      <c r="L236" s="199" t="s">
        <v>1167</v>
      </c>
    </row>
    <row r="237" spans="1:12">
      <c r="A237" s="200">
        <v>42767</v>
      </c>
      <c r="C237" s="199" t="s">
        <v>7590</v>
      </c>
      <c r="D237" s="199">
        <v>598</v>
      </c>
      <c r="E237" s="199" t="s">
        <v>7444</v>
      </c>
      <c r="F237" s="199">
        <v>0</v>
      </c>
      <c r="G237" s="276">
        <v>45769</v>
      </c>
      <c r="H237" s="199">
        <v>15</v>
      </c>
      <c r="I237" s="199">
        <v>0</v>
      </c>
      <c r="J237" s="275">
        <v>1550</v>
      </c>
      <c r="K237" s="275">
        <v>1465</v>
      </c>
      <c r="L237" s="199" t="s">
        <v>1167</v>
      </c>
    </row>
    <row r="238" spans="1:12">
      <c r="A238" s="199">
        <v>249</v>
      </c>
      <c r="C238" s="199" t="s">
        <v>7591</v>
      </c>
      <c r="D238" s="199">
        <v>939</v>
      </c>
      <c r="E238" s="199" t="s">
        <v>7530</v>
      </c>
      <c r="F238" s="199">
        <v>54</v>
      </c>
      <c r="G238" s="276">
        <v>45773</v>
      </c>
      <c r="H238" s="199">
        <v>15</v>
      </c>
      <c r="I238" s="199">
        <v>0</v>
      </c>
      <c r="J238" s="275">
        <v>1310</v>
      </c>
      <c r="K238" s="275">
        <v>1245</v>
      </c>
      <c r="L238" s="199" t="s">
        <v>1167</v>
      </c>
    </row>
    <row r="239" spans="1:12">
      <c r="A239" s="199" t="s">
        <v>7592</v>
      </c>
      <c r="C239" s="199" t="s">
        <v>7593</v>
      </c>
      <c r="D239" s="199">
        <v>484</v>
      </c>
      <c r="E239" s="199" t="s">
        <v>7530</v>
      </c>
      <c r="F239" s="199">
        <v>0</v>
      </c>
      <c r="G239" s="276">
        <v>45896</v>
      </c>
      <c r="H239" s="199">
        <v>3</v>
      </c>
      <c r="I239" s="199">
        <v>0</v>
      </c>
      <c r="J239" s="199">
        <v>970</v>
      </c>
      <c r="K239" s="275">
        <v>1030</v>
      </c>
      <c r="L239" s="199" t="s">
        <v>1167</v>
      </c>
    </row>
    <row r="240" spans="1:12">
      <c r="A240" s="200">
        <v>432846</v>
      </c>
      <c r="C240" s="199" t="s">
        <v>7594</v>
      </c>
      <c r="D240" s="199">
        <v>307</v>
      </c>
      <c r="E240" s="199" t="s">
        <v>7444</v>
      </c>
      <c r="F240" s="199">
        <v>0</v>
      </c>
      <c r="G240" s="276">
        <v>45828</v>
      </c>
      <c r="H240" s="199">
        <v>8</v>
      </c>
      <c r="I240" s="199">
        <v>0</v>
      </c>
      <c r="J240" s="275">
        <v>1120</v>
      </c>
      <c r="K240" s="275">
        <v>1190</v>
      </c>
      <c r="L240" s="199" t="s">
        <v>1167</v>
      </c>
    </row>
    <row r="241" spans="1:12">
      <c r="A241" s="199" t="s">
        <v>7595</v>
      </c>
      <c r="C241" s="199" t="s">
        <v>7596</v>
      </c>
      <c r="D241" s="199">
        <v>265</v>
      </c>
      <c r="E241" s="199" t="s">
        <v>7444</v>
      </c>
      <c r="F241" s="199">
        <v>0</v>
      </c>
      <c r="G241" s="276">
        <v>45870</v>
      </c>
      <c r="H241" s="199">
        <v>5</v>
      </c>
      <c r="I241" s="199">
        <v>0</v>
      </c>
      <c r="J241" s="275">
        <v>1480</v>
      </c>
      <c r="K241" s="199">
        <v>0</v>
      </c>
      <c r="L241" s="199" t="s">
        <v>1167</v>
      </c>
    </row>
    <row r="242" spans="1:12">
      <c r="A242" s="200">
        <v>59933</v>
      </c>
      <c r="C242" s="199" t="s">
        <v>7597</v>
      </c>
      <c r="D242" s="199">
        <v>192</v>
      </c>
      <c r="E242" s="199" t="s">
        <v>7444</v>
      </c>
      <c r="F242" s="199">
        <v>0</v>
      </c>
      <c r="G242" s="276">
        <v>45813</v>
      </c>
      <c r="H242" s="199">
        <v>4</v>
      </c>
      <c r="I242" s="199">
        <v>0</v>
      </c>
      <c r="J242" s="275">
        <v>1575</v>
      </c>
      <c r="K242" s="275">
        <v>1575</v>
      </c>
      <c r="L242" s="199" t="s">
        <v>1167</v>
      </c>
    </row>
    <row r="243" spans="1:12">
      <c r="A243" s="200">
        <v>60664</v>
      </c>
      <c r="C243" s="199" t="s">
        <v>7598</v>
      </c>
      <c r="D243" s="199">
        <v>733</v>
      </c>
      <c r="E243" s="199" t="s">
        <v>7530</v>
      </c>
      <c r="F243" s="199">
        <v>81</v>
      </c>
      <c r="G243" s="276">
        <v>45780</v>
      </c>
      <c r="H243" s="199">
        <v>3</v>
      </c>
      <c r="I243" s="199">
        <v>2</v>
      </c>
      <c r="J243" s="275">
        <v>1530</v>
      </c>
      <c r="K243" s="275">
        <v>1560</v>
      </c>
      <c r="L243" s="199" t="s">
        <v>1167</v>
      </c>
    </row>
    <row r="244" spans="1:12">
      <c r="A244" s="200">
        <v>55550</v>
      </c>
      <c r="C244" s="199" t="s">
        <v>7599</v>
      </c>
      <c r="D244" s="199">
        <v>153</v>
      </c>
      <c r="E244" s="199" t="s">
        <v>7444</v>
      </c>
      <c r="F244" s="199">
        <v>0</v>
      </c>
      <c r="G244" s="276">
        <v>45761</v>
      </c>
      <c r="H244" s="199">
        <v>5</v>
      </c>
      <c r="I244" s="199">
        <v>0</v>
      </c>
      <c r="J244" s="199">
        <v>822</v>
      </c>
      <c r="K244" s="199">
        <v>822</v>
      </c>
      <c r="L244" s="199" t="s">
        <v>1167</v>
      </c>
    </row>
    <row r="245" spans="1:12">
      <c r="A245" s="199" t="s">
        <v>7557</v>
      </c>
      <c r="C245" s="199" t="s">
        <v>7600</v>
      </c>
      <c r="D245" s="199">
        <v>236</v>
      </c>
      <c r="E245" s="199" t="s">
        <v>7444</v>
      </c>
      <c r="F245" s="199">
        <v>0</v>
      </c>
      <c r="G245" s="276">
        <v>45673</v>
      </c>
      <c r="H245" s="199">
        <v>5</v>
      </c>
      <c r="I245" s="199">
        <v>2</v>
      </c>
      <c r="J245" s="275">
        <v>1585</v>
      </c>
      <c r="K245" s="275">
        <v>1325</v>
      </c>
      <c r="L245" s="199" t="s">
        <v>7476</v>
      </c>
    </row>
    <row r="246" spans="1:12">
      <c r="A246" s="199">
        <v>2049</v>
      </c>
      <c r="C246" s="199" t="s">
        <v>7601</v>
      </c>
      <c r="D246" s="199">
        <v>543</v>
      </c>
      <c r="E246" s="199" t="s">
        <v>7530</v>
      </c>
      <c r="F246" s="199">
        <v>0</v>
      </c>
      <c r="G246" s="276">
        <v>45751</v>
      </c>
      <c r="H246" s="199">
        <v>13</v>
      </c>
      <c r="I246" s="199">
        <v>0</v>
      </c>
      <c r="J246" s="199">
        <v>940</v>
      </c>
      <c r="K246" s="199">
        <v>965</v>
      </c>
      <c r="L246" s="199" t="s">
        <v>1167</v>
      </c>
    </row>
    <row r="247" spans="1:12">
      <c r="A247" s="199">
        <v>1064</v>
      </c>
      <c r="C247" s="199" t="s">
        <v>7602</v>
      </c>
      <c r="D247" s="199">
        <v>350</v>
      </c>
      <c r="E247" s="199" t="s">
        <v>7444</v>
      </c>
      <c r="F247" s="199">
        <v>0</v>
      </c>
      <c r="G247" s="276">
        <v>45807</v>
      </c>
      <c r="H247" s="199">
        <v>3</v>
      </c>
      <c r="I247" s="199">
        <v>0</v>
      </c>
      <c r="J247" s="199">
        <v>980</v>
      </c>
      <c r="K247" s="199">
        <v>0</v>
      </c>
      <c r="L247" s="199" t="s">
        <v>1167</v>
      </c>
    </row>
    <row r="248" spans="1:12">
      <c r="A248" s="199" t="s">
        <v>7449</v>
      </c>
      <c r="C248" s="199" t="s">
        <v>7603</v>
      </c>
      <c r="D248" s="199">
        <v>2740</v>
      </c>
      <c r="E248" s="199" t="s">
        <v>7444</v>
      </c>
      <c r="F248" s="199">
        <v>0</v>
      </c>
      <c r="G248" s="276">
        <v>45747</v>
      </c>
      <c r="H248" s="199">
        <v>2</v>
      </c>
      <c r="I248" s="199">
        <v>0</v>
      </c>
      <c r="J248" s="199">
        <v>975</v>
      </c>
      <c r="K248" s="199">
        <v>894</v>
      </c>
      <c r="L248" s="199" t="s">
        <v>1167</v>
      </c>
    </row>
    <row r="249" spans="1:12">
      <c r="A249" s="200">
        <v>424445</v>
      </c>
      <c r="C249" s="199" t="s">
        <v>7604</v>
      </c>
      <c r="D249" s="199">
        <v>389</v>
      </c>
      <c r="E249" s="199" t="s">
        <v>7444</v>
      </c>
      <c r="F249" s="199">
        <v>0</v>
      </c>
      <c r="G249" s="276">
        <v>45888</v>
      </c>
      <c r="H249" s="199">
        <v>8</v>
      </c>
      <c r="I249" s="199">
        <v>0</v>
      </c>
      <c r="J249" s="275">
        <v>1585</v>
      </c>
      <c r="K249" s="275">
        <v>1405</v>
      </c>
      <c r="L249" s="199" t="s">
        <v>1167</v>
      </c>
    </row>
    <row r="250" spans="1:12">
      <c r="A250" s="199">
        <v>2040</v>
      </c>
      <c r="C250" s="199" t="s">
        <v>7605</v>
      </c>
      <c r="D250" s="199">
        <v>156</v>
      </c>
      <c r="E250" s="199" t="s">
        <v>7444</v>
      </c>
      <c r="F250" s="199">
        <v>0</v>
      </c>
      <c r="G250" s="276">
        <v>45887</v>
      </c>
      <c r="H250" s="199">
        <v>3</v>
      </c>
      <c r="I250" s="199">
        <v>0</v>
      </c>
      <c r="J250" s="199">
        <v>950</v>
      </c>
      <c r="K250" s="275">
        <v>1045</v>
      </c>
      <c r="L250" s="199" t="s">
        <v>1167</v>
      </c>
    </row>
    <row r="251" spans="1:12">
      <c r="A251" s="199">
        <v>2082</v>
      </c>
      <c r="C251" s="199" t="s">
        <v>7606</v>
      </c>
      <c r="D251" s="199">
        <v>269</v>
      </c>
      <c r="E251" s="199" t="s">
        <v>7444</v>
      </c>
      <c r="F251" s="199">
        <v>0</v>
      </c>
      <c r="G251" s="276">
        <v>45908</v>
      </c>
      <c r="H251" s="199">
        <v>5</v>
      </c>
      <c r="I251" s="199">
        <v>1</v>
      </c>
      <c r="J251" s="275">
        <v>1130</v>
      </c>
      <c r="K251" s="275">
        <v>1130</v>
      </c>
      <c r="L251" s="199" t="s">
        <v>1167</v>
      </c>
    </row>
    <row r="252" spans="1:12">
      <c r="A252" s="199" t="s">
        <v>7607</v>
      </c>
      <c r="C252" s="199" t="s">
        <v>7608</v>
      </c>
      <c r="D252" s="199">
        <v>251</v>
      </c>
      <c r="E252" s="199" t="s">
        <v>7444</v>
      </c>
      <c r="F252" s="199">
        <v>0</v>
      </c>
      <c r="G252" s="276">
        <v>45847</v>
      </c>
      <c r="H252" s="199">
        <v>5</v>
      </c>
      <c r="I252" s="199">
        <v>0</v>
      </c>
      <c r="J252" s="199">
        <v>960</v>
      </c>
      <c r="K252" s="199">
        <v>975</v>
      </c>
      <c r="L252" s="199" t="s">
        <v>1167</v>
      </c>
    </row>
    <row r="253" spans="1:12">
      <c r="A253" s="199">
        <v>2070</v>
      </c>
      <c r="C253" s="199" t="s">
        <v>7609</v>
      </c>
      <c r="D253" s="199">
        <v>1165</v>
      </c>
      <c r="E253" s="199" t="s">
        <v>7530</v>
      </c>
      <c r="F253" s="199">
        <v>0</v>
      </c>
      <c r="G253" s="276">
        <v>45751</v>
      </c>
      <c r="H253" s="199">
        <v>3</v>
      </c>
      <c r="I253" s="199">
        <v>0</v>
      </c>
      <c r="J253" s="275">
        <v>1650</v>
      </c>
      <c r="K253" s="275">
        <v>1543</v>
      </c>
      <c r="L253" s="199" t="s">
        <v>1167</v>
      </c>
    </row>
    <row r="254" spans="1:12">
      <c r="A254" s="199" t="s">
        <v>7477</v>
      </c>
      <c r="C254" s="199" t="s">
        <v>7610</v>
      </c>
      <c r="D254" s="199">
        <v>417</v>
      </c>
      <c r="E254" s="199" t="s">
        <v>7444</v>
      </c>
      <c r="F254" s="199">
        <v>0</v>
      </c>
      <c r="G254" s="276">
        <v>45891</v>
      </c>
      <c r="H254" s="199">
        <v>3</v>
      </c>
      <c r="I254" s="199">
        <v>0</v>
      </c>
      <c r="J254" s="199">
        <v>935</v>
      </c>
      <c r="K254" s="199">
        <v>950</v>
      </c>
      <c r="L254" s="199" t="s">
        <v>1167</v>
      </c>
    </row>
    <row r="255" spans="1:12">
      <c r="A255" s="199" t="s">
        <v>7611</v>
      </c>
      <c r="C255" s="199" t="s">
        <v>7612</v>
      </c>
      <c r="D255" s="199">
        <v>932</v>
      </c>
      <c r="E255" s="199" t="s">
        <v>7530</v>
      </c>
      <c r="F255" s="199">
        <v>0</v>
      </c>
      <c r="G255" s="276">
        <v>45828</v>
      </c>
      <c r="H255" s="199">
        <v>17</v>
      </c>
      <c r="I255" s="199">
        <v>0</v>
      </c>
      <c r="J255" s="199">
        <v>960</v>
      </c>
      <c r="K255" s="275">
        <v>1102</v>
      </c>
      <c r="L255" s="199" t="s">
        <v>1167</v>
      </c>
    </row>
    <row r="256" spans="1:12">
      <c r="A256" s="199" t="s">
        <v>7412</v>
      </c>
      <c r="C256" s="199" t="s">
        <v>7613</v>
      </c>
      <c r="D256" s="199">
        <v>106</v>
      </c>
      <c r="E256" s="199" t="s">
        <v>7444</v>
      </c>
      <c r="F256" s="199">
        <v>0</v>
      </c>
      <c r="G256" s="276">
        <v>45891</v>
      </c>
      <c r="H256" s="199">
        <v>3</v>
      </c>
      <c r="I256" s="199">
        <v>0</v>
      </c>
      <c r="J256" s="199">
        <v>975</v>
      </c>
      <c r="K256" s="199">
        <v>975</v>
      </c>
      <c r="L256" s="199" t="s">
        <v>1167</v>
      </c>
    </row>
    <row r="257" spans="1:12">
      <c r="A257" s="199" t="s">
        <v>7455</v>
      </c>
      <c r="C257" s="199" t="s">
        <v>7614</v>
      </c>
      <c r="D257" s="199">
        <v>469</v>
      </c>
      <c r="E257" s="199" t="s">
        <v>7530</v>
      </c>
      <c r="F257" s="199">
        <v>0</v>
      </c>
      <c r="G257" s="276">
        <v>45751</v>
      </c>
      <c r="H257" s="199">
        <v>9</v>
      </c>
      <c r="I257" s="199">
        <v>0</v>
      </c>
      <c r="J257" s="199">
        <v>975</v>
      </c>
      <c r="K257" s="275">
        <v>1015</v>
      </c>
      <c r="L257" s="199" t="s">
        <v>1167</v>
      </c>
    </row>
    <row r="258" spans="1:12">
      <c r="A258" s="199">
        <v>428</v>
      </c>
      <c r="C258" s="199" t="s">
        <v>7615</v>
      </c>
      <c r="D258" s="199">
        <v>182</v>
      </c>
      <c r="E258" s="199" t="s">
        <v>7444</v>
      </c>
      <c r="F258" s="199">
        <v>0</v>
      </c>
      <c r="G258" s="276">
        <v>45888</v>
      </c>
      <c r="H258" s="199">
        <v>6</v>
      </c>
      <c r="I258" s="199">
        <v>0</v>
      </c>
      <c r="J258" s="275">
        <v>1700</v>
      </c>
      <c r="K258" s="275">
        <v>1571</v>
      </c>
      <c r="L258" s="199" t="s">
        <v>1167</v>
      </c>
    </row>
    <row r="259" spans="1:12">
      <c r="A259" s="199">
        <v>352</v>
      </c>
      <c r="C259" s="199" t="s">
        <v>7616</v>
      </c>
      <c r="D259" s="199">
        <v>3256</v>
      </c>
      <c r="E259" s="199" t="s">
        <v>7530</v>
      </c>
      <c r="F259" s="199">
        <v>0</v>
      </c>
      <c r="G259" s="276">
        <v>45722</v>
      </c>
      <c r="H259" s="199">
        <v>9</v>
      </c>
      <c r="I259" s="199">
        <v>0</v>
      </c>
      <c r="J259" s="275">
        <v>1265</v>
      </c>
      <c r="K259" s="199">
        <v>979</v>
      </c>
      <c r="L259" s="199" t="s">
        <v>1167</v>
      </c>
    </row>
    <row r="260" spans="1:12">
      <c r="A260" s="200">
        <v>49341</v>
      </c>
      <c r="C260" s="199" t="s">
        <v>7617</v>
      </c>
      <c r="D260" s="199">
        <v>1122</v>
      </c>
      <c r="E260" s="199" t="s">
        <v>7530</v>
      </c>
      <c r="F260" s="199">
        <v>0</v>
      </c>
      <c r="G260" s="276">
        <v>45747</v>
      </c>
      <c r="H260" s="199">
        <v>12</v>
      </c>
      <c r="I260" s="199">
        <v>0</v>
      </c>
      <c r="J260" s="275">
        <v>1110</v>
      </c>
      <c r="K260" s="275">
        <v>1155</v>
      </c>
      <c r="L260" s="199" t="s">
        <v>1167</v>
      </c>
    </row>
    <row r="261" spans="1:12">
      <c r="A261" s="199">
        <v>2034</v>
      </c>
      <c r="C261" s="199" t="s">
        <v>7618</v>
      </c>
      <c r="D261" s="199">
        <v>694</v>
      </c>
      <c r="E261" s="199" t="s">
        <v>7444</v>
      </c>
      <c r="F261" s="199">
        <v>0</v>
      </c>
      <c r="G261" s="276">
        <v>45891</v>
      </c>
      <c r="H261" s="199">
        <v>10</v>
      </c>
      <c r="I261" s="199">
        <v>0</v>
      </c>
      <c r="J261" s="199">
        <v>940</v>
      </c>
      <c r="K261" s="199">
        <v>965</v>
      </c>
      <c r="L261" s="199" t="s">
        <v>1167</v>
      </c>
    </row>
    <row r="262" spans="1:12">
      <c r="A262" s="199">
        <v>354</v>
      </c>
      <c r="C262" s="199" t="s">
        <v>7619</v>
      </c>
      <c r="D262" s="199">
        <v>323</v>
      </c>
      <c r="E262" s="199" t="s">
        <v>7444</v>
      </c>
      <c r="F262" s="199">
        <v>0</v>
      </c>
      <c r="G262" s="276">
        <v>45847</v>
      </c>
      <c r="H262" s="199">
        <v>10</v>
      </c>
      <c r="I262" s="199">
        <v>2</v>
      </c>
      <c r="J262" s="275">
        <v>1320</v>
      </c>
      <c r="K262" s="275">
        <v>1265</v>
      </c>
      <c r="L262" s="199" t="s">
        <v>1167</v>
      </c>
    </row>
    <row r="263" spans="1:12">
      <c r="A263" s="199">
        <v>2093</v>
      </c>
      <c r="C263" s="199" t="s">
        <v>7620</v>
      </c>
      <c r="D263" s="199">
        <v>250</v>
      </c>
      <c r="E263" s="199" t="s">
        <v>7444</v>
      </c>
      <c r="F263" s="199">
        <v>0</v>
      </c>
      <c r="G263" s="276">
        <v>45896</v>
      </c>
      <c r="H263" s="199">
        <v>6</v>
      </c>
      <c r="I263" s="199">
        <v>0</v>
      </c>
      <c r="J263" s="199">
        <v>910</v>
      </c>
      <c r="K263" s="199">
        <v>910</v>
      </c>
      <c r="L263" s="199" t="s">
        <v>1167</v>
      </c>
    </row>
    <row r="264" spans="1:12">
      <c r="A264" s="199" t="s">
        <v>7412</v>
      </c>
      <c r="C264" s="199" t="s">
        <v>7621</v>
      </c>
      <c r="D264" s="199">
        <v>314</v>
      </c>
      <c r="E264" s="199" t="s">
        <v>7444</v>
      </c>
      <c r="F264" s="199">
        <v>0</v>
      </c>
      <c r="G264" s="276">
        <v>45756</v>
      </c>
      <c r="H264" s="199">
        <v>6</v>
      </c>
      <c r="I264" s="199">
        <v>2</v>
      </c>
      <c r="J264" s="199">
        <v>975</v>
      </c>
      <c r="K264" s="199">
        <v>985</v>
      </c>
      <c r="L264" s="199" t="s">
        <v>1167</v>
      </c>
    </row>
    <row r="265" spans="1:12">
      <c r="A265" s="199">
        <v>3058</v>
      </c>
      <c r="C265" s="199" t="s">
        <v>7622</v>
      </c>
      <c r="D265" s="199">
        <v>578</v>
      </c>
      <c r="E265" s="199" t="s">
        <v>7530</v>
      </c>
      <c r="F265" s="199">
        <v>0</v>
      </c>
      <c r="G265" s="276">
        <v>45887</v>
      </c>
      <c r="H265" s="199">
        <v>7</v>
      </c>
      <c r="I265" s="199">
        <v>1</v>
      </c>
      <c r="J265" s="199">
        <v>965</v>
      </c>
      <c r="K265" s="275">
        <v>1015</v>
      </c>
      <c r="L265" s="199" t="s">
        <v>1167</v>
      </c>
    </row>
    <row r="266" spans="1:12">
      <c r="A266" s="199">
        <v>243</v>
      </c>
      <c r="C266" s="199" t="s">
        <v>7623</v>
      </c>
      <c r="D266" s="199">
        <v>581</v>
      </c>
      <c r="E266" s="199" t="s">
        <v>7530</v>
      </c>
      <c r="F266" s="199">
        <v>0</v>
      </c>
      <c r="G266" s="276">
        <v>45796</v>
      </c>
      <c r="H266" s="199">
        <v>16</v>
      </c>
      <c r="I266" s="199">
        <v>0</v>
      </c>
      <c r="J266" s="275">
        <v>1510</v>
      </c>
      <c r="K266" s="275">
        <v>1190</v>
      </c>
      <c r="L266" s="199" t="s">
        <v>1167</v>
      </c>
    </row>
    <row r="267" spans="1:12">
      <c r="A267" s="199" t="s">
        <v>7624</v>
      </c>
      <c r="C267" s="199" t="s">
        <v>7625</v>
      </c>
      <c r="D267" s="199">
        <v>944</v>
      </c>
      <c r="E267" s="199" t="s">
        <v>7444</v>
      </c>
      <c r="F267" s="199">
        <v>0</v>
      </c>
      <c r="G267" s="276">
        <v>45751</v>
      </c>
      <c r="H267" s="199">
        <v>11</v>
      </c>
      <c r="I267" s="199">
        <v>3</v>
      </c>
      <c r="J267" s="199">
        <v>925</v>
      </c>
      <c r="K267" s="199">
        <v>987</v>
      </c>
      <c r="L267" s="199" t="s">
        <v>1167</v>
      </c>
    </row>
    <row r="268" spans="1:12">
      <c r="A268" s="199" t="s">
        <v>7521</v>
      </c>
      <c r="C268" s="199" t="s">
        <v>7626</v>
      </c>
      <c r="D268" s="199">
        <v>181</v>
      </c>
      <c r="E268" s="199" t="s">
        <v>7444</v>
      </c>
      <c r="F268" s="199">
        <v>0</v>
      </c>
      <c r="G268" s="276">
        <v>45908</v>
      </c>
      <c r="H268" s="199">
        <v>5</v>
      </c>
      <c r="I268" s="199">
        <v>0</v>
      </c>
      <c r="J268" s="199">
        <v>925</v>
      </c>
      <c r="K268" s="199">
        <v>925</v>
      </c>
      <c r="L268" s="199" t="s">
        <v>1167</v>
      </c>
    </row>
    <row r="269" spans="1:12">
      <c r="A269" s="199" t="s">
        <v>7627</v>
      </c>
      <c r="C269" s="199" t="s">
        <v>7628</v>
      </c>
      <c r="D269" s="199">
        <v>136</v>
      </c>
      <c r="E269" s="199" t="s">
        <v>7444</v>
      </c>
      <c r="F269" s="199">
        <v>0</v>
      </c>
      <c r="G269" s="276">
        <v>45684</v>
      </c>
      <c r="H269" s="199">
        <v>1</v>
      </c>
      <c r="I269" s="199">
        <v>1</v>
      </c>
      <c r="J269" s="275">
        <v>1010</v>
      </c>
      <c r="K269" s="199">
        <v>0</v>
      </c>
      <c r="L269" s="199" t="s">
        <v>7476</v>
      </c>
    </row>
    <row r="270" spans="1:12">
      <c r="A270" s="199">
        <v>123</v>
      </c>
      <c r="C270" s="199" t="s">
        <v>7629</v>
      </c>
      <c r="D270" s="199">
        <v>1830</v>
      </c>
      <c r="E270" s="199" t="s">
        <v>7530</v>
      </c>
      <c r="F270" s="199">
        <v>65</v>
      </c>
      <c r="G270" s="276">
        <v>45692</v>
      </c>
      <c r="H270" s="199">
        <v>0</v>
      </c>
      <c r="I270" s="199">
        <v>0</v>
      </c>
      <c r="J270" s="275">
        <v>1590</v>
      </c>
      <c r="K270" s="275">
        <v>1353</v>
      </c>
      <c r="L270" s="199" t="s">
        <v>7630</v>
      </c>
    </row>
    <row r="271" spans="1:12">
      <c r="A271" s="199">
        <v>2104</v>
      </c>
      <c r="C271" s="199" t="s">
        <v>7631</v>
      </c>
      <c r="D271" s="199">
        <v>367</v>
      </c>
      <c r="E271" s="199" t="s">
        <v>7530</v>
      </c>
      <c r="F271" s="199">
        <v>0</v>
      </c>
      <c r="G271" s="276">
        <v>45887</v>
      </c>
      <c r="H271" s="199">
        <v>10</v>
      </c>
      <c r="I271" s="199">
        <v>0</v>
      </c>
      <c r="J271" s="275">
        <v>1695</v>
      </c>
      <c r="K271" s="275">
        <v>1510</v>
      </c>
      <c r="L271" s="199" t="s">
        <v>7476</v>
      </c>
    </row>
    <row r="272" spans="1:12">
      <c r="A272" s="199" t="s">
        <v>7632</v>
      </c>
      <c r="C272" s="199" t="s">
        <v>7633</v>
      </c>
      <c r="D272" s="199">
        <v>355</v>
      </c>
      <c r="E272" s="199" t="s">
        <v>7444</v>
      </c>
      <c r="F272" s="199">
        <v>97</v>
      </c>
      <c r="G272" s="276">
        <v>45690</v>
      </c>
      <c r="H272" s="199">
        <v>2</v>
      </c>
      <c r="I272" s="199">
        <v>2</v>
      </c>
      <c r="J272" s="199">
        <v>980</v>
      </c>
      <c r="K272" s="275">
        <v>1100</v>
      </c>
      <c r="L272" s="199" t="s">
        <v>7378</v>
      </c>
    </row>
    <row r="273" spans="1:12">
      <c r="A273" s="199" t="s">
        <v>7337</v>
      </c>
      <c r="C273" s="199" t="s">
        <v>7634</v>
      </c>
      <c r="D273" s="199">
        <v>2585</v>
      </c>
      <c r="E273" s="199" t="s">
        <v>7530</v>
      </c>
      <c r="F273" s="199">
        <v>49</v>
      </c>
      <c r="G273" s="276">
        <v>45735</v>
      </c>
      <c r="H273" s="199">
        <v>11</v>
      </c>
      <c r="I273" s="199">
        <v>1</v>
      </c>
      <c r="J273" s="199">
        <v>975</v>
      </c>
      <c r="K273" s="199">
        <v>947</v>
      </c>
      <c r="L273" s="199" t="s">
        <v>7630</v>
      </c>
    </row>
    <row r="274" spans="1:12">
      <c r="A274" s="199" t="s">
        <v>7635</v>
      </c>
      <c r="C274" s="199" t="s">
        <v>7636</v>
      </c>
      <c r="D274" s="199">
        <v>3479</v>
      </c>
      <c r="E274" s="199" t="s">
        <v>7530</v>
      </c>
      <c r="F274" s="199">
        <v>84</v>
      </c>
      <c r="G274" s="276">
        <v>45695</v>
      </c>
      <c r="H274" s="199">
        <v>1</v>
      </c>
      <c r="I274" s="199">
        <v>0</v>
      </c>
      <c r="J274" s="275">
        <v>1575</v>
      </c>
      <c r="K274" s="275">
        <v>1410</v>
      </c>
      <c r="L274" s="199" t="s">
        <v>7355</v>
      </c>
    </row>
    <row r="275" spans="1:12">
      <c r="A275" s="199" t="s">
        <v>7637</v>
      </c>
      <c r="C275" s="199" t="s">
        <v>7638</v>
      </c>
      <c r="D275" s="199">
        <v>425</v>
      </c>
      <c r="E275" s="199" t="s">
        <v>7530</v>
      </c>
      <c r="F275" s="199">
        <v>68</v>
      </c>
      <c r="G275" s="276">
        <v>45794</v>
      </c>
      <c r="H275" s="199">
        <v>1</v>
      </c>
      <c r="I275" s="199">
        <v>0</v>
      </c>
      <c r="J275" s="199">
        <v>980</v>
      </c>
      <c r="K275" s="275">
        <v>1125</v>
      </c>
      <c r="L275" s="199" t="s">
        <v>7389</v>
      </c>
    </row>
    <row r="276" spans="1:12">
      <c r="A276" s="199">
        <v>3062</v>
      </c>
      <c r="C276" s="199" t="s">
        <v>7639</v>
      </c>
      <c r="D276" s="199">
        <v>426</v>
      </c>
      <c r="E276" s="199" t="s">
        <v>7530</v>
      </c>
      <c r="F276" s="199">
        <v>62</v>
      </c>
      <c r="G276" s="276">
        <v>45863</v>
      </c>
      <c r="H276" s="199">
        <v>1</v>
      </c>
      <c r="I276" s="199">
        <v>0</v>
      </c>
      <c r="J276" s="199">
        <v>920</v>
      </c>
      <c r="K276" s="199">
        <v>985</v>
      </c>
      <c r="L276" s="199" t="s">
        <v>7355</v>
      </c>
    </row>
    <row r="277" spans="1:12">
      <c r="A277" s="199">
        <v>1105</v>
      </c>
      <c r="C277" s="199" t="s">
        <v>7640</v>
      </c>
      <c r="D277" s="199">
        <v>1690</v>
      </c>
      <c r="E277" s="199" t="s">
        <v>7444</v>
      </c>
      <c r="F277" s="199">
        <v>0</v>
      </c>
      <c r="G277" s="276">
        <v>45856</v>
      </c>
      <c r="H277" s="199">
        <v>8</v>
      </c>
      <c r="I277" s="199">
        <v>1</v>
      </c>
      <c r="J277" s="275">
        <v>1720</v>
      </c>
      <c r="K277" s="275">
        <v>1271</v>
      </c>
      <c r="L277" s="199" t="s">
        <v>7476</v>
      </c>
    </row>
    <row r="278" spans="1:12">
      <c r="A278" s="199">
        <v>2048</v>
      </c>
      <c r="C278" s="199" t="s">
        <v>7641</v>
      </c>
      <c r="D278" s="199">
        <v>424</v>
      </c>
      <c r="E278" s="199" t="s">
        <v>7530</v>
      </c>
      <c r="F278" s="199">
        <v>61</v>
      </c>
      <c r="G278" s="276">
        <v>45966</v>
      </c>
      <c r="H278" s="199">
        <v>1</v>
      </c>
      <c r="I278" s="199">
        <v>0</v>
      </c>
      <c r="J278" s="199">
        <v>950</v>
      </c>
      <c r="K278" s="199">
        <v>990</v>
      </c>
      <c r="L278" s="199" t="s">
        <v>7642</v>
      </c>
    </row>
    <row r="279" spans="1:12">
      <c r="A279" s="199" t="s">
        <v>7643</v>
      </c>
      <c r="C279" s="199" t="s">
        <v>7644</v>
      </c>
      <c r="D279" s="199">
        <v>361</v>
      </c>
      <c r="E279" s="199" t="s">
        <v>7530</v>
      </c>
      <c r="F279" s="199">
        <v>0</v>
      </c>
      <c r="G279" s="276">
        <v>45839</v>
      </c>
      <c r="H279" s="199">
        <v>2</v>
      </c>
      <c r="I279" s="199">
        <v>0</v>
      </c>
      <c r="J279" s="275">
        <v>1645</v>
      </c>
      <c r="K279" s="275">
        <v>1550</v>
      </c>
      <c r="L279" s="199" t="s">
        <v>7355</v>
      </c>
    </row>
    <row r="280" spans="1:12">
      <c r="A280" s="199">
        <v>201</v>
      </c>
      <c r="C280" s="199" t="s">
        <v>7645</v>
      </c>
      <c r="D280" s="199">
        <v>360</v>
      </c>
      <c r="E280" s="199" t="s">
        <v>7530</v>
      </c>
      <c r="F280" s="199">
        <v>63</v>
      </c>
      <c r="G280" s="276">
        <v>45811</v>
      </c>
      <c r="H280" s="199">
        <v>3</v>
      </c>
      <c r="I280" s="199">
        <v>0</v>
      </c>
      <c r="J280" s="199">
        <v>980</v>
      </c>
      <c r="K280" s="275">
        <v>1140</v>
      </c>
      <c r="L280" s="199" t="s">
        <v>7387</v>
      </c>
    </row>
    <row r="281" spans="1:12">
      <c r="A281" s="199">
        <v>361</v>
      </c>
      <c r="C281" s="199" t="s">
        <v>7646</v>
      </c>
      <c r="D281" s="199">
        <v>746</v>
      </c>
      <c r="E281" s="199" t="s">
        <v>7530</v>
      </c>
      <c r="F281" s="199">
        <v>65</v>
      </c>
      <c r="G281" s="276">
        <v>45692</v>
      </c>
      <c r="H281" s="199">
        <v>1</v>
      </c>
      <c r="I281" s="199">
        <v>0</v>
      </c>
      <c r="J281" s="275">
        <v>1320</v>
      </c>
      <c r="K281" s="275">
        <v>1239</v>
      </c>
      <c r="L281" s="199" t="s">
        <v>7355</v>
      </c>
    </row>
    <row r="282" spans="1:12">
      <c r="A282" s="199" t="s">
        <v>6003</v>
      </c>
      <c r="C282" s="199" t="s">
        <v>7647</v>
      </c>
      <c r="D282" s="199">
        <v>276</v>
      </c>
      <c r="E282" s="199" t="s">
        <v>7444</v>
      </c>
      <c r="F282" s="199">
        <v>0</v>
      </c>
      <c r="G282" s="276">
        <v>45877</v>
      </c>
      <c r="H282" s="199">
        <v>6</v>
      </c>
      <c r="I282" s="199">
        <v>0</v>
      </c>
      <c r="J282" s="199">
        <v>848</v>
      </c>
      <c r="K282" s="199">
        <v>848</v>
      </c>
      <c r="L282" s="199" t="s">
        <v>7476</v>
      </c>
    </row>
    <row r="283" spans="1:12">
      <c r="A283" s="199" t="s">
        <v>5950</v>
      </c>
      <c r="C283" s="199" t="s">
        <v>7648</v>
      </c>
      <c r="D283" s="199">
        <v>425</v>
      </c>
      <c r="E283" s="199" t="s">
        <v>7530</v>
      </c>
      <c r="F283" s="199">
        <v>66</v>
      </c>
      <c r="G283" s="276">
        <v>45855</v>
      </c>
      <c r="H283" s="199">
        <v>2</v>
      </c>
      <c r="I283" s="199">
        <v>3</v>
      </c>
      <c r="J283" s="199">
        <v>970</v>
      </c>
      <c r="K283" s="275">
        <v>1140</v>
      </c>
      <c r="L283" s="199" t="s">
        <v>7355</v>
      </c>
    </row>
    <row r="284" spans="1:12">
      <c r="A284" s="199">
        <v>2094</v>
      </c>
      <c r="C284" s="199" t="s">
        <v>7649</v>
      </c>
      <c r="D284" s="199">
        <v>3058</v>
      </c>
      <c r="E284" s="199" t="s">
        <v>7444</v>
      </c>
      <c r="F284" s="199">
        <v>0</v>
      </c>
      <c r="G284" s="276">
        <v>45849</v>
      </c>
      <c r="H284" s="199">
        <v>3</v>
      </c>
      <c r="I284" s="199">
        <v>1</v>
      </c>
      <c r="J284" s="199">
        <v>910</v>
      </c>
      <c r="K284" s="199">
        <v>905</v>
      </c>
    </row>
    <row r="285" spans="1:12">
      <c r="A285" s="199">
        <v>3088</v>
      </c>
      <c r="C285" s="199" t="s">
        <v>7650</v>
      </c>
      <c r="D285" s="199">
        <v>799</v>
      </c>
      <c r="E285" s="199" t="s">
        <v>7530</v>
      </c>
      <c r="F285" s="199">
        <v>62</v>
      </c>
      <c r="G285" s="276">
        <v>45871</v>
      </c>
      <c r="H285" s="199">
        <v>7</v>
      </c>
      <c r="I285" s="199">
        <v>0</v>
      </c>
      <c r="J285" s="199">
        <v>965</v>
      </c>
      <c r="K285" s="275">
        <v>1015</v>
      </c>
      <c r="L285" s="199" t="s">
        <v>7389</v>
      </c>
    </row>
    <row r="286" spans="1:12">
      <c r="A286" s="199">
        <v>2068</v>
      </c>
      <c r="C286" s="199" t="s">
        <v>7651</v>
      </c>
      <c r="D286" s="199">
        <v>450</v>
      </c>
      <c r="E286" s="199" t="s">
        <v>7530</v>
      </c>
      <c r="F286" s="199">
        <v>61</v>
      </c>
      <c r="G286" s="276">
        <v>45880</v>
      </c>
      <c r="H286" s="199">
        <v>1</v>
      </c>
      <c r="I286" s="199">
        <v>0</v>
      </c>
      <c r="J286" s="199">
        <v>940</v>
      </c>
      <c r="K286" s="199">
        <v>965</v>
      </c>
      <c r="L286" s="199" t="s">
        <v>7378</v>
      </c>
    </row>
    <row r="287" spans="1:12">
      <c r="A287" s="199">
        <v>353</v>
      </c>
      <c r="C287" s="199" t="s">
        <v>7652</v>
      </c>
      <c r="D287" s="199">
        <v>1464</v>
      </c>
      <c r="E287" s="199" t="s">
        <v>7444</v>
      </c>
      <c r="F287" s="199">
        <v>80</v>
      </c>
      <c r="G287" s="276">
        <v>45990</v>
      </c>
      <c r="H287" s="199">
        <v>0</v>
      </c>
      <c r="I287" s="199">
        <v>0</v>
      </c>
      <c r="J287" s="275">
        <v>1320</v>
      </c>
      <c r="K287" s="275">
        <v>1362</v>
      </c>
      <c r="L287" s="199" t="s">
        <v>7387</v>
      </c>
    </row>
    <row r="288" spans="1:12">
      <c r="A288" s="199">
        <v>1053</v>
      </c>
      <c r="C288" s="199" t="s">
        <v>7653</v>
      </c>
      <c r="D288" s="199">
        <v>698</v>
      </c>
      <c r="E288" s="199" t="s">
        <v>7530</v>
      </c>
      <c r="F288" s="199">
        <v>106</v>
      </c>
      <c r="G288" s="276">
        <v>45930</v>
      </c>
      <c r="H288" s="199">
        <v>1</v>
      </c>
      <c r="I288" s="199">
        <v>0</v>
      </c>
      <c r="J288" s="275">
        <v>1155</v>
      </c>
      <c r="K288" s="275">
        <v>1148</v>
      </c>
      <c r="L288" s="199" t="s">
        <v>7387</v>
      </c>
    </row>
    <row r="289" spans="1:12">
      <c r="A289" s="199" t="s">
        <v>7654</v>
      </c>
      <c r="C289" s="199" t="s">
        <v>7655</v>
      </c>
      <c r="D289" s="199">
        <v>733</v>
      </c>
      <c r="E289" s="199" t="s">
        <v>7530</v>
      </c>
      <c r="F289" s="199">
        <v>73</v>
      </c>
      <c r="G289" s="276">
        <v>45719</v>
      </c>
      <c r="H289" s="199">
        <v>1</v>
      </c>
      <c r="I289" s="199">
        <v>0</v>
      </c>
      <c r="J289" s="275">
        <v>1380</v>
      </c>
      <c r="K289" s="275">
        <v>1406</v>
      </c>
      <c r="L289" s="199" t="s">
        <v>7656</v>
      </c>
    </row>
    <row r="290" spans="1:12">
      <c r="A290" s="199">
        <v>2076</v>
      </c>
      <c r="C290" s="199" t="s">
        <v>7657</v>
      </c>
      <c r="D290" s="199">
        <v>322</v>
      </c>
      <c r="E290" s="199" t="s">
        <v>7444</v>
      </c>
      <c r="F290" s="199">
        <v>0</v>
      </c>
      <c r="G290" s="276">
        <v>45807</v>
      </c>
      <c r="H290" s="199">
        <v>6</v>
      </c>
      <c r="I290" s="199">
        <v>1</v>
      </c>
      <c r="J290" s="275">
        <v>1185</v>
      </c>
      <c r="K290" s="275">
        <v>1275</v>
      </c>
      <c r="L290" s="199" t="s">
        <v>7368</v>
      </c>
    </row>
    <row r="291" spans="1:12">
      <c r="A291" s="199">
        <v>2091</v>
      </c>
      <c r="C291" s="199" t="s">
        <v>7401</v>
      </c>
      <c r="D291" s="199">
        <v>425</v>
      </c>
      <c r="E291" s="199" t="s">
        <v>7530</v>
      </c>
      <c r="F291" s="199">
        <v>47</v>
      </c>
      <c r="G291" s="276">
        <v>45959</v>
      </c>
      <c r="H291" s="199">
        <v>4</v>
      </c>
      <c r="I291" s="199">
        <v>0</v>
      </c>
      <c r="J291" s="199">
        <v>955</v>
      </c>
      <c r="K291" s="199">
        <v>950</v>
      </c>
      <c r="L291" s="199" t="s">
        <v>7387</v>
      </c>
    </row>
    <row r="292" spans="1:12">
      <c r="A292" s="199">
        <v>407</v>
      </c>
      <c r="C292" s="199" t="s">
        <v>6006</v>
      </c>
      <c r="D292" s="199">
        <v>904</v>
      </c>
      <c r="E292" s="199" t="s">
        <v>7444</v>
      </c>
      <c r="F292" s="199">
        <v>0</v>
      </c>
      <c r="G292" s="276">
        <v>45982</v>
      </c>
      <c r="H292" s="199">
        <v>5</v>
      </c>
      <c r="I292" s="199">
        <v>0</v>
      </c>
      <c r="J292" s="275">
        <v>1200</v>
      </c>
      <c r="K292" s="275">
        <v>1310</v>
      </c>
      <c r="L292" s="199" t="s">
        <v>7476</v>
      </c>
    </row>
    <row r="293" spans="1:12">
      <c r="A293" s="199">
        <v>1093</v>
      </c>
      <c r="C293" s="199" t="s">
        <v>7658</v>
      </c>
      <c r="D293" s="199">
        <v>445</v>
      </c>
      <c r="E293" s="199" t="s">
        <v>7530</v>
      </c>
      <c r="F293" s="199">
        <v>0</v>
      </c>
      <c r="G293" s="276">
        <v>45891</v>
      </c>
      <c r="H293" s="199">
        <v>5</v>
      </c>
      <c r="I293" s="199">
        <v>0</v>
      </c>
      <c r="J293" s="199">
        <v>935</v>
      </c>
      <c r="K293" s="199">
        <v>985</v>
      </c>
      <c r="L293" s="199" t="s">
        <v>7476</v>
      </c>
    </row>
    <row r="294" spans="1:12">
      <c r="A294" s="199" t="s">
        <v>7659</v>
      </c>
      <c r="C294" s="199" t="s">
        <v>7660</v>
      </c>
      <c r="D294" s="199">
        <v>1304</v>
      </c>
      <c r="E294" s="199" t="s">
        <v>7530</v>
      </c>
      <c r="F294" s="199">
        <v>41</v>
      </c>
      <c r="G294" s="276">
        <v>45969</v>
      </c>
      <c r="H294" s="199">
        <v>1</v>
      </c>
      <c r="I294" s="199">
        <v>1</v>
      </c>
      <c r="J294" s="199">
        <v>975</v>
      </c>
      <c r="K294" s="199">
        <v>981</v>
      </c>
      <c r="L294" s="199" t="s">
        <v>7661</v>
      </c>
    </row>
    <row r="295" spans="1:12">
      <c r="A295" s="199" t="s">
        <v>7662</v>
      </c>
      <c r="C295" s="199" t="s">
        <v>7663</v>
      </c>
      <c r="D295" s="199">
        <v>912</v>
      </c>
      <c r="E295" s="199" t="s">
        <v>7530</v>
      </c>
      <c r="F295" s="199">
        <v>28</v>
      </c>
      <c r="G295" s="276">
        <v>45747</v>
      </c>
      <c r="H295" s="199">
        <v>1</v>
      </c>
      <c r="I295" s="199">
        <v>0</v>
      </c>
      <c r="J295" s="275">
        <v>1405</v>
      </c>
      <c r="K295" s="275">
        <v>1520</v>
      </c>
      <c r="L295" s="199" t="s">
        <v>7358</v>
      </c>
    </row>
    <row r="296" spans="1:12">
      <c r="A296" s="199">
        <v>427</v>
      </c>
      <c r="C296" s="199" t="s">
        <v>7664</v>
      </c>
      <c r="D296" s="199">
        <v>738</v>
      </c>
      <c r="E296" s="199" t="s">
        <v>7530</v>
      </c>
      <c r="F296" s="199">
        <v>61</v>
      </c>
      <c r="G296" s="276">
        <v>45815</v>
      </c>
      <c r="H296" s="199">
        <v>4</v>
      </c>
      <c r="I296" s="199">
        <v>0</v>
      </c>
      <c r="J296" s="275">
        <v>1720</v>
      </c>
      <c r="K296" s="275">
        <v>1610</v>
      </c>
      <c r="L296" s="199" t="s">
        <v>7423</v>
      </c>
    </row>
    <row r="297" spans="1:12">
      <c r="A297" s="199">
        <v>408</v>
      </c>
      <c r="C297" s="199" t="s">
        <v>7665</v>
      </c>
      <c r="D297" s="199">
        <v>2603</v>
      </c>
      <c r="E297" s="199" t="s">
        <v>7530</v>
      </c>
      <c r="F297" s="199">
        <v>0</v>
      </c>
      <c r="G297" s="276">
        <v>45809</v>
      </c>
      <c r="H297" s="199">
        <v>1</v>
      </c>
      <c r="I297" s="199">
        <v>0</v>
      </c>
      <c r="J297" s="275">
        <v>1145</v>
      </c>
      <c r="K297" s="199">
        <v>970</v>
      </c>
      <c r="L297" s="199" t="s">
        <v>7476</v>
      </c>
    </row>
    <row r="298" spans="1:12">
      <c r="A298" s="199">
        <v>212</v>
      </c>
      <c r="C298" s="199" t="s">
        <v>7666</v>
      </c>
      <c r="D298" s="199">
        <v>365</v>
      </c>
      <c r="E298" s="199" t="s">
        <v>7530</v>
      </c>
      <c r="F298" s="199">
        <v>68</v>
      </c>
      <c r="G298" s="276">
        <v>45755</v>
      </c>
      <c r="H298" s="199">
        <v>10</v>
      </c>
      <c r="I298" s="199">
        <v>2</v>
      </c>
      <c r="J298" s="199">
        <v>980</v>
      </c>
      <c r="K298" s="275">
        <v>1165</v>
      </c>
      <c r="L298" s="199" t="s">
        <v>7355</v>
      </c>
    </row>
    <row r="299" spans="1:12">
      <c r="A299" s="200">
        <v>52994</v>
      </c>
      <c r="C299" s="199" t="s">
        <v>7667</v>
      </c>
      <c r="D299" s="199">
        <v>423</v>
      </c>
      <c r="E299" s="199" t="s">
        <v>7530</v>
      </c>
      <c r="F299" s="199">
        <v>65</v>
      </c>
      <c r="G299" s="276">
        <v>45775</v>
      </c>
      <c r="H299" s="199">
        <v>1</v>
      </c>
      <c r="I299" s="199">
        <v>0</v>
      </c>
      <c r="J299" s="199">
        <v>930</v>
      </c>
      <c r="K299" s="275">
        <v>1020</v>
      </c>
      <c r="L299" s="199" t="s">
        <v>7389</v>
      </c>
    </row>
    <row r="300" spans="1:12">
      <c r="A300" s="199">
        <v>2064</v>
      </c>
      <c r="C300" s="199" t="s">
        <v>7668</v>
      </c>
      <c r="D300" s="199">
        <v>972</v>
      </c>
      <c r="E300" s="199" t="s">
        <v>7444</v>
      </c>
      <c r="F300" s="199">
        <v>35</v>
      </c>
      <c r="G300" s="276">
        <v>45778</v>
      </c>
      <c r="H300" s="199">
        <v>2</v>
      </c>
      <c r="I300" s="199">
        <v>2</v>
      </c>
      <c r="J300" s="199">
        <v>955</v>
      </c>
      <c r="K300" s="275">
        <v>1138</v>
      </c>
      <c r="L300" s="199" t="s">
        <v>7476</v>
      </c>
    </row>
    <row r="301" spans="1:12">
      <c r="A301" s="199">
        <v>167</v>
      </c>
      <c r="C301" s="199" t="s">
        <v>7669</v>
      </c>
      <c r="D301" s="199">
        <v>1917</v>
      </c>
      <c r="E301" s="199" t="s">
        <v>7530</v>
      </c>
      <c r="F301" s="199">
        <v>89</v>
      </c>
      <c r="G301" s="276">
        <v>45869</v>
      </c>
      <c r="H301" s="199">
        <v>0</v>
      </c>
      <c r="I301" s="199">
        <v>0</v>
      </c>
      <c r="J301" s="275">
        <v>2000</v>
      </c>
      <c r="K301" s="275">
        <v>1650</v>
      </c>
    </row>
    <row r="302" spans="1:12">
      <c r="A302" s="199" t="s">
        <v>7670</v>
      </c>
      <c r="C302" s="199" t="s">
        <v>7671</v>
      </c>
      <c r="D302" s="199">
        <v>437</v>
      </c>
      <c r="E302" s="199" t="s">
        <v>7530</v>
      </c>
      <c r="F302" s="199">
        <v>60</v>
      </c>
      <c r="G302" s="276">
        <v>45738</v>
      </c>
      <c r="H302" s="199">
        <v>1</v>
      </c>
      <c r="I302" s="199">
        <v>0</v>
      </c>
      <c r="J302" s="275">
        <v>1555</v>
      </c>
      <c r="K302" s="275">
        <v>1475</v>
      </c>
      <c r="L302" s="199" t="s">
        <v>7642</v>
      </c>
    </row>
    <row r="303" spans="1:12">
      <c r="A303" s="199">
        <v>362</v>
      </c>
      <c r="C303" s="199" t="s">
        <v>7672</v>
      </c>
      <c r="D303" s="199">
        <v>736</v>
      </c>
      <c r="E303" s="199" t="s">
        <v>7530</v>
      </c>
      <c r="F303" s="199">
        <v>68</v>
      </c>
      <c r="G303" s="276">
        <v>45997</v>
      </c>
      <c r="H303" s="199">
        <v>1</v>
      </c>
      <c r="I303" s="199">
        <v>0</v>
      </c>
      <c r="J303" s="275">
        <v>1320</v>
      </c>
      <c r="K303" s="275">
        <v>1336</v>
      </c>
      <c r="L303" s="199" t="s">
        <v>7358</v>
      </c>
    </row>
    <row r="304" spans="1:12">
      <c r="A304" s="199" t="s">
        <v>7356</v>
      </c>
      <c r="C304" s="199" t="s">
        <v>7418</v>
      </c>
      <c r="D304" s="199">
        <v>1170</v>
      </c>
      <c r="E304" s="199" t="s">
        <v>7530</v>
      </c>
      <c r="F304" s="199">
        <v>64</v>
      </c>
      <c r="G304" s="276">
        <v>45930</v>
      </c>
      <c r="H304" s="199">
        <v>0</v>
      </c>
      <c r="I304" s="199">
        <v>1</v>
      </c>
      <c r="J304" s="199">
        <v>950</v>
      </c>
      <c r="K304" s="199">
        <v>920</v>
      </c>
      <c r="L304" s="199" t="s">
        <v>7661</v>
      </c>
    </row>
    <row r="305" spans="1:12">
      <c r="A305" s="199">
        <v>203</v>
      </c>
      <c r="C305" s="199" t="s">
        <v>7673</v>
      </c>
      <c r="D305" s="199">
        <v>1664</v>
      </c>
      <c r="E305" s="199" t="s">
        <v>7444</v>
      </c>
      <c r="F305" s="199">
        <v>0</v>
      </c>
      <c r="G305" s="276">
        <v>45861</v>
      </c>
      <c r="H305" s="199">
        <v>5</v>
      </c>
      <c r="I305" s="199">
        <v>1</v>
      </c>
      <c r="J305" s="199">
        <v>980</v>
      </c>
      <c r="K305" s="275">
        <v>1075</v>
      </c>
      <c r="L305" s="199" t="s">
        <v>7674</v>
      </c>
    </row>
    <row r="306" spans="1:12">
      <c r="A306" s="199" t="s">
        <v>7438</v>
      </c>
      <c r="C306" s="199" t="s">
        <v>7439</v>
      </c>
      <c r="D306" s="199">
        <v>651</v>
      </c>
      <c r="E306" s="199" t="s">
        <v>7444</v>
      </c>
      <c r="F306" s="199">
        <v>46</v>
      </c>
      <c r="G306" s="276">
        <v>45992</v>
      </c>
      <c r="H306" s="199">
        <v>0</v>
      </c>
      <c r="I306" s="199">
        <v>0</v>
      </c>
      <c r="J306" s="199">
        <v>940</v>
      </c>
      <c r="K306" s="275">
        <v>1049.5</v>
      </c>
      <c r="L306" s="199" t="s">
        <v>7674</v>
      </c>
    </row>
    <row r="307" spans="1:12">
      <c r="A307" s="199">
        <v>2047</v>
      </c>
      <c r="C307" s="199" t="s">
        <v>7675</v>
      </c>
      <c r="D307" s="199">
        <v>2073</v>
      </c>
      <c r="E307" s="199" t="s">
        <v>7530</v>
      </c>
      <c r="F307" s="199">
        <v>0</v>
      </c>
      <c r="G307" s="276">
        <v>45689</v>
      </c>
      <c r="H307" s="199">
        <v>8</v>
      </c>
      <c r="I307" s="199">
        <v>0</v>
      </c>
      <c r="J307" s="199">
        <v>940</v>
      </c>
      <c r="K307" s="199">
        <v>840</v>
      </c>
      <c r="L307" s="199" t="s">
        <v>7476</v>
      </c>
    </row>
    <row r="308" spans="1:12">
      <c r="A308" s="199">
        <v>154</v>
      </c>
      <c r="C308" s="199" t="s">
        <v>7676</v>
      </c>
      <c r="D308" s="199">
        <v>618</v>
      </c>
      <c r="E308" s="199" t="s">
        <v>7530</v>
      </c>
      <c r="F308" s="199">
        <v>0</v>
      </c>
      <c r="G308" s="276">
        <v>45854</v>
      </c>
      <c r="H308" s="199">
        <v>3</v>
      </c>
      <c r="I308" s="199">
        <v>0</v>
      </c>
      <c r="J308" s="275">
        <v>1335</v>
      </c>
      <c r="K308" s="275">
        <v>1240</v>
      </c>
      <c r="L308" s="199" t="s">
        <v>7476</v>
      </c>
    </row>
    <row r="309" spans="1:12">
      <c r="A309" s="199" t="s">
        <v>7677</v>
      </c>
      <c r="C309" s="199" t="s">
        <v>7306</v>
      </c>
      <c r="D309" s="199">
        <v>2233</v>
      </c>
      <c r="E309" s="199" t="s">
        <v>7530</v>
      </c>
      <c r="F309" s="199">
        <v>73</v>
      </c>
      <c r="G309" s="276">
        <v>45992</v>
      </c>
      <c r="H309" s="199">
        <v>6</v>
      </c>
      <c r="I309" s="199">
        <v>0</v>
      </c>
      <c r="J309" s="199">
        <v>960</v>
      </c>
      <c r="K309" s="199">
        <v>984</v>
      </c>
      <c r="L309" s="199" t="s">
        <v>7389</v>
      </c>
    </row>
    <row r="310" spans="1:12">
      <c r="A310" s="199">
        <v>3066</v>
      </c>
      <c r="C310" s="199" t="s">
        <v>7678</v>
      </c>
      <c r="D310" s="199">
        <v>251</v>
      </c>
      <c r="E310" s="199" t="s">
        <v>7444</v>
      </c>
      <c r="F310" s="199">
        <v>0</v>
      </c>
      <c r="G310" s="276">
        <v>45708</v>
      </c>
      <c r="H310" s="199">
        <v>5</v>
      </c>
      <c r="I310" s="199">
        <v>0</v>
      </c>
      <c r="J310" s="199">
        <v>960</v>
      </c>
      <c r="K310" s="275">
        <v>1025</v>
      </c>
      <c r="L310" s="199" t="s">
        <v>7476</v>
      </c>
    </row>
    <row r="311" spans="1:12">
      <c r="A311" s="199">
        <v>2038</v>
      </c>
      <c r="C311" s="199" t="s">
        <v>7679</v>
      </c>
      <c r="D311" s="199">
        <v>2035</v>
      </c>
      <c r="E311" s="199" t="s">
        <v>7530</v>
      </c>
      <c r="F311" s="199">
        <v>61</v>
      </c>
      <c r="G311" s="276">
        <v>45663</v>
      </c>
      <c r="H311" s="199">
        <v>2</v>
      </c>
      <c r="I311" s="199">
        <v>0</v>
      </c>
      <c r="J311" s="199">
        <v>895</v>
      </c>
      <c r="K311" s="199">
        <v>895</v>
      </c>
      <c r="L311" s="199" t="s">
        <v>7358</v>
      </c>
    </row>
    <row r="312" spans="1:12">
      <c r="A312" s="199">
        <v>2020</v>
      </c>
      <c r="C312" s="199" t="s">
        <v>7680</v>
      </c>
      <c r="D312" s="199">
        <v>950</v>
      </c>
      <c r="E312" s="199" t="s">
        <v>7530</v>
      </c>
      <c r="F312" s="199">
        <v>117</v>
      </c>
      <c r="G312" s="276">
        <v>45689</v>
      </c>
      <c r="H312" s="199">
        <v>0</v>
      </c>
      <c r="I312" s="199">
        <v>0</v>
      </c>
      <c r="J312" s="199">
        <v>955</v>
      </c>
      <c r="K312" s="199">
        <v>990</v>
      </c>
      <c r="L312" s="199" t="s">
        <v>7351</v>
      </c>
    </row>
    <row r="313" spans="1:12">
      <c r="A313" s="199">
        <v>404</v>
      </c>
      <c r="C313" s="199" t="s">
        <v>5872</v>
      </c>
      <c r="D313" s="199">
        <v>1130</v>
      </c>
      <c r="E313" s="199" t="s">
        <v>7530</v>
      </c>
      <c r="F313" s="199">
        <v>59</v>
      </c>
      <c r="G313" s="276">
        <v>45965</v>
      </c>
      <c r="H313" s="199">
        <v>3</v>
      </c>
      <c r="I313" s="199">
        <v>0</v>
      </c>
      <c r="J313" s="275">
        <v>1200</v>
      </c>
      <c r="K313" s="275">
        <v>1295</v>
      </c>
      <c r="L313" s="199" t="s">
        <v>7358</v>
      </c>
    </row>
    <row r="314" spans="1:12">
      <c r="A314" s="199">
        <v>1019</v>
      </c>
      <c r="C314" s="199" t="s">
        <v>7681</v>
      </c>
      <c r="D314" s="199">
        <v>1473</v>
      </c>
      <c r="E314" s="199" t="s">
        <v>7530</v>
      </c>
      <c r="F314" s="199">
        <v>111</v>
      </c>
      <c r="G314" s="276">
        <v>45992</v>
      </c>
      <c r="H314" s="199">
        <v>3</v>
      </c>
      <c r="I314" s="199">
        <v>1</v>
      </c>
      <c r="J314" s="199">
        <v>980</v>
      </c>
      <c r="K314" s="199">
        <v>950</v>
      </c>
      <c r="L314" s="199" t="s">
        <v>7378</v>
      </c>
    </row>
    <row r="315" spans="1:12">
      <c r="A315" s="199" t="s">
        <v>7507</v>
      </c>
      <c r="C315" s="199" t="s">
        <v>7682</v>
      </c>
      <c r="D315" s="199">
        <v>346</v>
      </c>
      <c r="E315" s="199" t="s">
        <v>7444</v>
      </c>
      <c r="F315" s="199">
        <v>41</v>
      </c>
      <c r="G315" s="276">
        <v>45670</v>
      </c>
      <c r="H315" s="199">
        <v>1</v>
      </c>
      <c r="I315" s="199">
        <v>0</v>
      </c>
      <c r="J315" s="275">
        <v>1555</v>
      </c>
      <c r="K315" s="275">
        <v>1341</v>
      </c>
      <c r="L315" s="199" t="s">
        <v>7423</v>
      </c>
    </row>
    <row r="316" spans="1:12">
      <c r="A316" s="199" t="s">
        <v>7683</v>
      </c>
      <c r="C316" s="199" t="s">
        <v>7684</v>
      </c>
      <c r="D316" s="199">
        <v>1491</v>
      </c>
      <c r="E316" s="199" t="s">
        <v>7530</v>
      </c>
      <c r="F316" s="199">
        <v>62</v>
      </c>
      <c r="G316" s="276">
        <v>45992</v>
      </c>
      <c r="H316" s="199">
        <v>7</v>
      </c>
      <c r="I316" s="199">
        <v>0</v>
      </c>
      <c r="J316" s="275">
        <v>1135</v>
      </c>
      <c r="K316" s="275">
        <v>1159</v>
      </c>
      <c r="L316" s="199" t="s">
        <v>7387</v>
      </c>
    </row>
    <row r="317" spans="1:12">
      <c r="A317" s="199">
        <v>2004</v>
      </c>
      <c r="C317" s="199" t="s">
        <v>7685</v>
      </c>
      <c r="D317" s="199">
        <v>353</v>
      </c>
      <c r="E317" s="199" t="s">
        <v>7444</v>
      </c>
      <c r="F317" s="199">
        <v>0</v>
      </c>
      <c r="G317" s="276">
        <v>45806</v>
      </c>
      <c r="H317" s="199">
        <v>1</v>
      </c>
      <c r="I317" s="199">
        <v>0</v>
      </c>
      <c r="J317" s="199">
        <v>895</v>
      </c>
      <c r="K317" s="199">
        <v>930</v>
      </c>
      <c r="L317" s="199" t="s">
        <v>7476</v>
      </c>
    </row>
    <row r="318" spans="1:12">
      <c r="A318" s="199">
        <v>3093</v>
      </c>
      <c r="C318" s="199" t="s">
        <v>7686</v>
      </c>
      <c r="D318" s="199">
        <v>426</v>
      </c>
      <c r="E318" s="199" t="s">
        <v>7530</v>
      </c>
      <c r="F318" s="199">
        <v>62</v>
      </c>
      <c r="G318" s="276">
        <v>45908</v>
      </c>
      <c r="H318" s="199">
        <v>2</v>
      </c>
      <c r="I318" s="199">
        <v>0</v>
      </c>
      <c r="J318" s="199">
        <v>965</v>
      </c>
      <c r="K318" s="199">
        <v>950</v>
      </c>
      <c r="L318" s="199" t="s">
        <v>7378</v>
      </c>
    </row>
    <row r="319" spans="1:12">
      <c r="A319" s="199">
        <v>415</v>
      </c>
      <c r="C319" s="199" t="s">
        <v>7687</v>
      </c>
      <c r="D319" s="199">
        <v>2475</v>
      </c>
      <c r="E319" s="199" t="s">
        <v>7530</v>
      </c>
      <c r="F319" s="199">
        <v>63</v>
      </c>
      <c r="G319" s="276">
        <v>45838</v>
      </c>
      <c r="H319" s="199">
        <v>10</v>
      </c>
      <c r="I319" s="199">
        <v>3</v>
      </c>
      <c r="J319" s="275">
        <v>1145</v>
      </c>
      <c r="K319" s="275">
        <v>1064</v>
      </c>
      <c r="L319" s="199" t="s">
        <v>7688</v>
      </c>
    </row>
    <row r="320" spans="1:12">
      <c r="A320" s="199" t="s">
        <v>7689</v>
      </c>
      <c r="C320" s="199" t="s">
        <v>6009</v>
      </c>
      <c r="D320" s="199">
        <v>1894</v>
      </c>
      <c r="E320" s="199" t="s">
        <v>7530</v>
      </c>
      <c r="F320" s="199">
        <v>63</v>
      </c>
      <c r="G320" s="276">
        <v>45992</v>
      </c>
      <c r="H320" s="199">
        <v>5</v>
      </c>
      <c r="I320" s="199">
        <v>0</v>
      </c>
      <c r="J320" s="199">
        <v>840</v>
      </c>
      <c r="K320" s="199">
        <v>838</v>
      </c>
      <c r="L320" s="199" t="s">
        <v>7358</v>
      </c>
    </row>
    <row r="321" spans="1:12">
      <c r="A321" s="199" t="s">
        <v>7690</v>
      </c>
      <c r="C321" s="199" t="s">
        <v>6026</v>
      </c>
      <c r="D321" s="199">
        <v>1346</v>
      </c>
      <c r="E321" s="199" t="s">
        <v>7444</v>
      </c>
      <c r="F321" s="199">
        <v>0</v>
      </c>
      <c r="G321" s="276">
        <v>45877</v>
      </c>
      <c r="H321" s="199">
        <v>7</v>
      </c>
      <c r="I321" s="199">
        <v>0</v>
      </c>
      <c r="J321" s="199">
        <v>915</v>
      </c>
      <c r="K321" s="199">
        <v>931</v>
      </c>
      <c r="L321" s="199" t="s">
        <v>7476</v>
      </c>
    </row>
    <row r="322" spans="1:12">
      <c r="A322" s="199">
        <v>2083</v>
      </c>
      <c r="C322" s="199" t="s">
        <v>7691</v>
      </c>
      <c r="D322" s="199">
        <v>693</v>
      </c>
      <c r="E322" s="199" t="s">
        <v>7444</v>
      </c>
      <c r="F322" s="199">
        <v>5</v>
      </c>
      <c r="G322" s="276">
        <v>45810</v>
      </c>
      <c r="H322" s="199">
        <v>3</v>
      </c>
      <c r="I322" s="199">
        <v>1</v>
      </c>
      <c r="J322" s="275">
        <v>1175</v>
      </c>
      <c r="K322" s="275">
        <v>1186</v>
      </c>
      <c r="L322" s="199" t="s">
        <v>7355</v>
      </c>
    </row>
    <row r="323" spans="1:12">
      <c r="A323" s="199">
        <v>430</v>
      </c>
      <c r="C323" s="199" t="s">
        <v>6038</v>
      </c>
      <c r="D323" s="199">
        <v>259</v>
      </c>
      <c r="E323" s="199" t="s">
        <v>7444</v>
      </c>
      <c r="F323" s="199">
        <v>0</v>
      </c>
      <c r="G323" s="276">
        <v>45973</v>
      </c>
      <c r="H323" s="199">
        <v>5</v>
      </c>
      <c r="I323" s="199">
        <v>0</v>
      </c>
      <c r="J323" s="275">
        <v>1700</v>
      </c>
      <c r="K323" s="275">
        <v>1488</v>
      </c>
      <c r="L323" s="199" t="s">
        <v>7476</v>
      </c>
    </row>
    <row r="324" spans="1:12">
      <c r="A324" s="199" t="s">
        <v>7692</v>
      </c>
      <c r="C324" s="199" t="s">
        <v>7693</v>
      </c>
      <c r="D324" s="199">
        <v>2319</v>
      </c>
      <c r="E324" s="199" t="s">
        <v>7444</v>
      </c>
      <c r="F324" s="199">
        <v>44</v>
      </c>
      <c r="G324" s="276">
        <v>45658</v>
      </c>
      <c r="H324" s="199">
        <v>1</v>
      </c>
      <c r="I324" s="199">
        <v>0</v>
      </c>
      <c r="J324" s="275">
        <v>1600</v>
      </c>
      <c r="K324" s="275">
        <v>1196</v>
      </c>
      <c r="L324" s="199" t="s">
        <v>7630</v>
      </c>
    </row>
    <row r="325" spans="1:12">
      <c r="A325" s="200">
        <v>45689</v>
      </c>
      <c r="C325" s="199" t="s">
        <v>7694</v>
      </c>
      <c r="D325" s="199">
        <v>683</v>
      </c>
      <c r="E325" s="199" t="s">
        <v>7444</v>
      </c>
      <c r="F325" s="199">
        <v>0</v>
      </c>
      <c r="G325" s="276">
        <v>45747</v>
      </c>
      <c r="H325" s="199">
        <v>0</v>
      </c>
      <c r="I325" s="199">
        <v>0</v>
      </c>
      <c r="J325" s="199">
        <v>930</v>
      </c>
      <c r="K325" s="275">
        <v>1095</v>
      </c>
      <c r="L325" s="199" t="s">
        <v>7476</v>
      </c>
    </row>
    <row r="326" spans="1:12">
      <c r="A326" s="199" t="s">
        <v>7695</v>
      </c>
      <c r="C326" s="199" t="s">
        <v>7696</v>
      </c>
      <c r="D326" s="199">
        <v>367</v>
      </c>
      <c r="E326" s="199" t="s">
        <v>7530</v>
      </c>
      <c r="F326" s="199">
        <v>93</v>
      </c>
      <c r="G326" s="276">
        <v>45841</v>
      </c>
      <c r="H326" s="199">
        <v>2</v>
      </c>
      <c r="I326" s="199">
        <v>0</v>
      </c>
      <c r="J326" s="199">
        <v>995</v>
      </c>
      <c r="K326" s="275">
        <v>1125</v>
      </c>
      <c r="L326" s="199" t="s">
        <v>7697</v>
      </c>
    </row>
    <row r="327" spans="1:12">
      <c r="A327" s="199" t="s">
        <v>7698</v>
      </c>
      <c r="C327" s="199" t="s">
        <v>7699</v>
      </c>
      <c r="D327" s="199">
        <v>795</v>
      </c>
      <c r="E327" s="199" t="s">
        <v>7530</v>
      </c>
      <c r="F327" s="199">
        <v>145</v>
      </c>
      <c r="G327" s="276">
        <v>45901</v>
      </c>
      <c r="H327" s="199">
        <v>3</v>
      </c>
      <c r="I327" s="199">
        <v>0</v>
      </c>
      <c r="J327" s="275">
        <v>1135</v>
      </c>
      <c r="K327" s="275">
        <v>1195</v>
      </c>
      <c r="L327" s="199" t="s">
        <v>7355</v>
      </c>
    </row>
    <row r="328" spans="1:12">
      <c r="A328" s="199">
        <v>418</v>
      </c>
      <c r="C328" s="199" t="s">
        <v>7700</v>
      </c>
      <c r="D328" s="199">
        <v>719</v>
      </c>
      <c r="E328" s="199" t="s">
        <v>7530</v>
      </c>
      <c r="F328" s="199">
        <v>89</v>
      </c>
      <c r="G328" s="276">
        <v>45809</v>
      </c>
      <c r="H328" s="199">
        <v>1</v>
      </c>
      <c r="I328" s="199">
        <v>0</v>
      </c>
      <c r="J328" s="275">
        <v>1145</v>
      </c>
      <c r="K328" s="275">
        <v>1117</v>
      </c>
      <c r="L328" s="199" t="s">
        <v>7355</v>
      </c>
    </row>
    <row r="329" spans="1:12">
      <c r="A329" s="199">
        <v>151</v>
      </c>
      <c r="C329" s="199" t="s">
        <v>7701</v>
      </c>
      <c r="D329" s="199">
        <v>371</v>
      </c>
      <c r="E329" s="199" t="s">
        <v>7530</v>
      </c>
      <c r="F329" s="199">
        <v>65</v>
      </c>
      <c r="G329" s="276">
        <v>45891</v>
      </c>
      <c r="H329" s="199">
        <v>6</v>
      </c>
      <c r="I329" s="199">
        <v>2</v>
      </c>
      <c r="J329" s="275">
        <v>1335</v>
      </c>
      <c r="K329" s="275">
        <v>1265</v>
      </c>
    </row>
    <row r="330" spans="1:12">
      <c r="A330" s="199" t="s">
        <v>7702</v>
      </c>
      <c r="C330" s="199" t="s">
        <v>7703</v>
      </c>
      <c r="D330" s="199">
        <v>821</v>
      </c>
      <c r="E330" s="199" t="s">
        <v>7530</v>
      </c>
      <c r="F330" s="199">
        <v>0</v>
      </c>
      <c r="G330" s="276">
        <v>45735</v>
      </c>
      <c r="H330" s="199">
        <v>6</v>
      </c>
      <c r="I330" s="199">
        <v>0</v>
      </c>
      <c r="J330" s="275">
        <v>1035</v>
      </c>
      <c r="K330" s="275">
        <v>1075</v>
      </c>
      <c r="L330" s="199" t="s">
        <v>7476</v>
      </c>
    </row>
    <row r="331" spans="1:12">
      <c r="A331" s="199" t="s">
        <v>7464</v>
      </c>
      <c r="C331" s="199" t="s">
        <v>7704</v>
      </c>
      <c r="D331" s="199">
        <v>436</v>
      </c>
      <c r="E331" s="199" t="s">
        <v>7530</v>
      </c>
      <c r="F331" s="199">
        <v>60</v>
      </c>
      <c r="G331" s="276">
        <v>45775</v>
      </c>
      <c r="H331" s="199">
        <v>0</v>
      </c>
      <c r="I331" s="199">
        <v>2</v>
      </c>
      <c r="J331" s="275">
        <v>1645</v>
      </c>
      <c r="K331" s="275">
        <v>1465</v>
      </c>
      <c r="L331" s="199" t="s">
        <v>7378</v>
      </c>
    </row>
    <row r="332" spans="1:12">
      <c r="A332" s="199">
        <v>3094</v>
      </c>
      <c r="C332" s="199" t="s">
        <v>6041</v>
      </c>
      <c r="D332" s="199">
        <v>431</v>
      </c>
      <c r="E332" s="199" t="s">
        <v>7530</v>
      </c>
      <c r="F332" s="199">
        <v>0</v>
      </c>
      <c r="G332" s="276">
        <v>45979</v>
      </c>
      <c r="H332" s="199">
        <v>3</v>
      </c>
      <c r="I332" s="199">
        <v>0</v>
      </c>
      <c r="J332" s="199">
        <v>965</v>
      </c>
      <c r="K332" s="199">
        <v>950</v>
      </c>
      <c r="L332" s="199" t="s">
        <v>7476</v>
      </c>
    </row>
    <row r="333" spans="1:12">
      <c r="A333" s="199">
        <v>1085</v>
      </c>
      <c r="C333" s="199" t="s">
        <v>7705</v>
      </c>
      <c r="D333" s="199">
        <v>1826</v>
      </c>
      <c r="E333" s="199" t="s">
        <v>7530</v>
      </c>
      <c r="F333" s="199">
        <v>63</v>
      </c>
      <c r="G333" s="276">
        <v>45962</v>
      </c>
      <c r="H333" s="199">
        <v>0</v>
      </c>
      <c r="I333" s="199">
        <v>0</v>
      </c>
      <c r="J333" s="275">
        <v>1675</v>
      </c>
      <c r="K333" s="275">
        <v>1368</v>
      </c>
      <c r="L333" s="199" t="s">
        <v>7387</v>
      </c>
    </row>
    <row r="334" spans="1:12">
      <c r="A334" s="199" t="s">
        <v>7706</v>
      </c>
      <c r="C334" s="199" t="s">
        <v>7707</v>
      </c>
      <c r="D334" s="199">
        <v>1383</v>
      </c>
      <c r="E334" s="199" t="s">
        <v>7530</v>
      </c>
      <c r="F334" s="199">
        <v>1</v>
      </c>
      <c r="G334" s="276">
        <v>45809</v>
      </c>
      <c r="H334" s="199">
        <v>1</v>
      </c>
      <c r="I334" s="199">
        <v>0</v>
      </c>
      <c r="J334" s="199">
        <v>960</v>
      </c>
      <c r="K334" s="199">
        <v>961</v>
      </c>
      <c r="L334" s="199" t="s">
        <v>7630</v>
      </c>
    </row>
    <row r="335" spans="1:12">
      <c r="A335" s="199" t="s">
        <v>5859</v>
      </c>
      <c r="C335" s="199" t="s">
        <v>7708</v>
      </c>
      <c r="D335" s="199">
        <v>247</v>
      </c>
      <c r="E335" s="199" t="s">
        <v>7444</v>
      </c>
      <c r="F335" s="199">
        <v>0</v>
      </c>
      <c r="G335" s="276">
        <v>45891</v>
      </c>
      <c r="H335" s="199">
        <v>3</v>
      </c>
      <c r="I335" s="199">
        <v>0</v>
      </c>
      <c r="J335" s="275">
        <v>1010</v>
      </c>
      <c r="K335" s="275">
        <v>1105</v>
      </c>
      <c r="L335" s="199" t="s">
        <v>7476</v>
      </c>
    </row>
    <row r="336" spans="1:12">
      <c r="A336" s="200">
        <v>47880</v>
      </c>
      <c r="C336" s="199" t="s">
        <v>5913</v>
      </c>
      <c r="D336" s="199">
        <v>425</v>
      </c>
      <c r="E336" s="199" t="s">
        <v>7530</v>
      </c>
      <c r="F336" s="199">
        <v>70</v>
      </c>
      <c r="G336" s="276">
        <v>45990</v>
      </c>
      <c r="H336" s="199">
        <v>0</v>
      </c>
      <c r="I336" s="199">
        <v>0</v>
      </c>
      <c r="J336" s="199">
        <v>930</v>
      </c>
      <c r="K336" s="199">
        <v>930</v>
      </c>
      <c r="L336" s="199" t="s">
        <v>7378</v>
      </c>
    </row>
    <row r="337" spans="1:12">
      <c r="A337" s="199" t="s">
        <v>7702</v>
      </c>
      <c r="C337" s="199" t="s">
        <v>5756</v>
      </c>
      <c r="D337" s="199">
        <v>225</v>
      </c>
      <c r="E337" s="199" t="s">
        <v>7444</v>
      </c>
      <c r="F337" s="199">
        <v>0</v>
      </c>
      <c r="G337" s="276">
        <v>45973</v>
      </c>
      <c r="H337" s="199">
        <v>6</v>
      </c>
      <c r="I337" s="199">
        <v>0</v>
      </c>
      <c r="J337" s="275">
        <v>1035</v>
      </c>
      <c r="K337" s="275">
        <v>1035</v>
      </c>
      <c r="L337" s="199" t="s">
        <v>7476</v>
      </c>
    </row>
    <row r="338" spans="1:12">
      <c r="A338" s="199">
        <v>1091</v>
      </c>
      <c r="C338" s="199" t="s">
        <v>5909</v>
      </c>
      <c r="D338" s="199">
        <v>431</v>
      </c>
      <c r="E338" s="199" t="s">
        <v>7444</v>
      </c>
      <c r="F338" s="199">
        <v>63</v>
      </c>
      <c r="G338" s="276">
        <v>45951</v>
      </c>
      <c r="H338" s="199">
        <v>5</v>
      </c>
      <c r="I338" s="199">
        <v>2</v>
      </c>
      <c r="J338" s="199">
        <v>990</v>
      </c>
      <c r="K338" s="275">
        <v>1040</v>
      </c>
      <c r="L338" s="199" t="s">
        <v>7642</v>
      </c>
    </row>
    <row r="339" spans="1:12">
      <c r="A339" s="199">
        <v>219</v>
      </c>
      <c r="C339" s="199" t="s">
        <v>7709</v>
      </c>
      <c r="D339" s="199">
        <v>364</v>
      </c>
      <c r="E339" s="199" t="s">
        <v>7530</v>
      </c>
      <c r="F339" s="199">
        <v>70</v>
      </c>
      <c r="G339" s="276">
        <v>45740</v>
      </c>
      <c r="H339" s="199">
        <v>1</v>
      </c>
      <c r="I339" s="199">
        <v>0</v>
      </c>
      <c r="J339" s="275">
        <v>1565</v>
      </c>
      <c r="K339" s="275">
        <v>1520</v>
      </c>
      <c r="L339" s="199" t="s">
        <v>7355</v>
      </c>
    </row>
    <row r="340" spans="1:12">
      <c r="A340" s="199">
        <v>414</v>
      </c>
      <c r="C340" s="199" t="s">
        <v>7710</v>
      </c>
      <c r="D340" s="199">
        <v>792</v>
      </c>
      <c r="E340" s="199" t="s">
        <v>7530</v>
      </c>
      <c r="F340" s="199">
        <v>0</v>
      </c>
      <c r="G340" s="276">
        <v>45778</v>
      </c>
      <c r="H340" s="199">
        <v>1</v>
      </c>
      <c r="I340" s="199">
        <v>0</v>
      </c>
      <c r="J340" s="275">
        <v>1200</v>
      </c>
      <c r="K340" s="275">
        <v>1368</v>
      </c>
      <c r="L340" s="199" t="s">
        <v>7476</v>
      </c>
    </row>
    <row r="341" spans="1:12">
      <c r="A341" s="199">
        <v>2103</v>
      </c>
      <c r="C341" s="199" t="s">
        <v>7711</v>
      </c>
      <c r="D341" s="199">
        <v>397</v>
      </c>
      <c r="E341" s="199" t="s">
        <v>7530</v>
      </c>
      <c r="F341" s="199">
        <v>62</v>
      </c>
      <c r="G341" s="276">
        <v>45916</v>
      </c>
      <c r="H341" s="199">
        <v>4</v>
      </c>
      <c r="I341" s="199">
        <v>0</v>
      </c>
      <c r="J341" s="275">
        <v>1650</v>
      </c>
      <c r="K341" s="275">
        <v>1745</v>
      </c>
      <c r="L341" s="199" t="s">
        <v>7661</v>
      </c>
    </row>
    <row r="342" spans="1:12">
      <c r="A342" s="199" t="s">
        <v>7712</v>
      </c>
      <c r="C342" s="199" t="s">
        <v>5942</v>
      </c>
      <c r="D342" s="199">
        <v>1275</v>
      </c>
      <c r="E342" s="199" t="s">
        <v>7444</v>
      </c>
      <c r="F342" s="199">
        <v>61</v>
      </c>
      <c r="G342" s="276">
        <v>45960</v>
      </c>
      <c r="H342" s="199">
        <v>13</v>
      </c>
      <c r="I342" s="199">
        <v>0</v>
      </c>
      <c r="J342" s="199">
        <v>895</v>
      </c>
      <c r="K342" s="199">
        <v>827</v>
      </c>
      <c r="L342" s="199" t="s">
        <v>7423</v>
      </c>
    </row>
    <row r="343" spans="1:12">
      <c r="A343" s="199">
        <v>2061</v>
      </c>
      <c r="C343" s="199" t="s">
        <v>7713</v>
      </c>
      <c r="D343" s="199">
        <v>434</v>
      </c>
      <c r="E343" s="199" t="s">
        <v>7530</v>
      </c>
      <c r="F343" s="199">
        <v>0</v>
      </c>
      <c r="G343" s="276">
        <v>45919</v>
      </c>
      <c r="H343" s="199">
        <v>6</v>
      </c>
      <c r="I343" s="199">
        <v>0</v>
      </c>
      <c r="J343" s="199">
        <v>965</v>
      </c>
      <c r="K343" s="275">
        <v>1060</v>
      </c>
      <c r="L343" s="199" t="s">
        <v>7423</v>
      </c>
    </row>
    <row r="344" spans="1:12">
      <c r="A344" s="199">
        <v>256</v>
      </c>
      <c r="C344" s="199" t="s">
        <v>7714</v>
      </c>
      <c r="D344" s="199">
        <v>1280</v>
      </c>
      <c r="E344" s="199" t="s">
        <v>7530</v>
      </c>
      <c r="F344" s="199">
        <v>62</v>
      </c>
      <c r="G344" s="276">
        <v>45901</v>
      </c>
      <c r="H344" s="199">
        <v>1</v>
      </c>
      <c r="I344" s="199">
        <v>0</v>
      </c>
      <c r="J344" s="275">
        <v>1975</v>
      </c>
      <c r="K344" s="275">
        <v>1682</v>
      </c>
      <c r="L344" s="199" t="s">
        <v>7355</v>
      </c>
    </row>
    <row r="345" spans="1:12">
      <c r="A345" s="199">
        <v>1069</v>
      </c>
      <c r="C345" s="199" t="s">
        <v>7417</v>
      </c>
      <c r="D345" s="199">
        <v>3112</v>
      </c>
      <c r="E345" s="199" t="s">
        <v>7530</v>
      </c>
      <c r="F345" s="199">
        <v>62</v>
      </c>
      <c r="G345" s="276">
        <v>45931</v>
      </c>
      <c r="H345" s="199">
        <v>0</v>
      </c>
      <c r="I345" s="199">
        <v>0</v>
      </c>
      <c r="J345" s="199">
        <v>920</v>
      </c>
      <c r="K345" s="199">
        <v>920</v>
      </c>
      <c r="L345" s="199" t="s">
        <v>7630</v>
      </c>
    </row>
    <row r="346" spans="1:12">
      <c r="A346" s="199" t="s">
        <v>7715</v>
      </c>
      <c r="C346" s="199" t="s">
        <v>7716</v>
      </c>
      <c r="D346" s="199">
        <v>3293</v>
      </c>
      <c r="E346" s="199" t="s">
        <v>7530</v>
      </c>
      <c r="F346" s="199">
        <v>69</v>
      </c>
      <c r="G346" s="276">
        <v>45876</v>
      </c>
      <c r="H346" s="199">
        <v>2</v>
      </c>
      <c r="I346" s="199">
        <v>1</v>
      </c>
      <c r="J346" s="275">
        <v>1000</v>
      </c>
      <c r="K346" s="275">
        <v>1000</v>
      </c>
      <c r="L346" s="199" t="s">
        <v>7378</v>
      </c>
    </row>
    <row r="347" spans="1:12">
      <c r="A347" s="199">
        <v>2058</v>
      </c>
      <c r="C347" s="199" t="s">
        <v>7328</v>
      </c>
      <c r="D347" s="199">
        <v>246</v>
      </c>
      <c r="E347" s="199" t="s">
        <v>7444</v>
      </c>
      <c r="F347" s="199">
        <v>0</v>
      </c>
      <c r="G347" s="276">
        <v>45944</v>
      </c>
      <c r="H347" s="199">
        <v>2</v>
      </c>
      <c r="I347" s="199">
        <v>0</v>
      </c>
      <c r="J347" s="199">
        <v>955</v>
      </c>
      <c r="K347" s="199">
        <v>955</v>
      </c>
      <c r="L347" s="199" t="s">
        <v>7476</v>
      </c>
    </row>
    <row r="348" spans="1:12">
      <c r="A348" s="199">
        <v>3038</v>
      </c>
      <c r="C348" s="199" t="s">
        <v>7717</v>
      </c>
      <c r="D348" s="199">
        <v>425</v>
      </c>
      <c r="E348" s="199" t="s">
        <v>7530</v>
      </c>
      <c r="F348" s="199">
        <v>57</v>
      </c>
      <c r="G348" s="276">
        <v>45946</v>
      </c>
      <c r="H348" s="199">
        <v>2</v>
      </c>
      <c r="I348" s="199">
        <v>0</v>
      </c>
      <c r="J348" s="199">
        <v>960</v>
      </c>
      <c r="K348" s="199">
        <v>990</v>
      </c>
      <c r="L348" s="199" t="s">
        <v>7355</v>
      </c>
    </row>
    <row r="349" spans="1:12">
      <c r="A349" s="199">
        <v>1074</v>
      </c>
      <c r="C349" s="199" t="s">
        <v>7718</v>
      </c>
      <c r="D349" s="199">
        <v>865</v>
      </c>
      <c r="E349" s="199" t="s">
        <v>7444</v>
      </c>
      <c r="F349" s="199">
        <v>0</v>
      </c>
      <c r="G349" s="276">
        <v>45944</v>
      </c>
      <c r="H349" s="199">
        <v>2</v>
      </c>
      <c r="I349" s="199">
        <v>0</v>
      </c>
      <c r="J349" s="275">
        <v>1675</v>
      </c>
      <c r="K349" s="275">
        <v>1489</v>
      </c>
      <c r="L349" s="199" t="s">
        <v>7476</v>
      </c>
    </row>
    <row r="350" spans="1:12">
      <c r="A350" s="199">
        <v>102</v>
      </c>
      <c r="C350" s="199" t="s">
        <v>7719</v>
      </c>
      <c r="D350" s="199">
        <v>630</v>
      </c>
      <c r="E350" s="199" t="s">
        <v>7530</v>
      </c>
      <c r="F350" s="199">
        <v>91</v>
      </c>
      <c r="G350" s="276">
        <v>45839</v>
      </c>
      <c r="H350" s="199">
        <v>7</v>
      </c>
      <c r="I350" s="199">
        <v>0</v>
      </c>
      <c r="J350" s="199">
        <v>950</v>
      </c>
      <c r="K350" s="199">
        <v>940</v>
      </c>
      <c r="L350" s="199" t="s">
        <v>7389</v>
      </c>
    </row>
    <row r="351" spans="1:12">
      <c r="A351" s="199" t="s">
        <v>7420</v>
      </c>
      <c r="C351" s="199" t="s">
        <v>7720</v>
      </c>
      <c r="D351" s="199">
        <v>424</v>
      </c>
      <c r="E351" s="199" t="s">
        <v>7530</v>
      </c>
      <c r="F351" s="199">
        <v>65</v>
      </c>
      <c r="G351" s="276">
        <v>45735</v>
      </c>
      <c r="H351" s="199">
        <v>2</v>
      </c>
      <c r="I351" s="199">
        <v>0</v>
      </c>
      <c r="J351" s="199">
        <v>995</v>
      </c>
      <c r="K351" s="275">
        <v>1140</v>
      </c>
      <c r="L351" s="199" t="s">
        <v>7389</v>
      </c>
    </row>
    <row r="352" spans="1:12">
      <c r="A352" s="199">
        <v>268</v>
      </c>
      <c r="C352" s="199" t="s">
        <v>7721</v>
      </c>
      <c r="D352" s="199">
        <v>1246</v>
      </c>
      <c r="E352" s="199" t="s">
        <v>7444</v>
      </c>
      <c r="F352" s="199">
        <v>0</v>
      </c>
      <c r="G352" s="276">
        <v>45839</v>
      </c>
      <c r="H352" s="199">
        <v>1</v>
      </c>
      <c r="I352" s="199">
        <v>0</v>
      </c>
      <c r="J352" s="275">
        <v>1975</v>
      </c>
      <c r="K352" s="275">
        <v>1794</v>
      </c>
    </row>
    <row r="353" spans="1:12">
      <c r="A353" s="199">
        <v>401</v>
      </c>
      <c r="C353" s="199" t="s">
        <v>7722</v>
      </c>
      <c r="D353" s="199">
        <v>725</v>
      </c>
      <c r="E353" s="199" t="s">
        <v>7444</v>
      </c>
      <c r="F353" s="199">
        <v>88</v>
      </c>
      <c r="G353" s="276">
        <v>45839</v>
      </c>
      <c r="H353" s="199">
        <v>0</v>
      </c>
      <c r="I353" s="199">
        <v>0</v>
      </c>
      <c r="J353" s="275">
        <v>1200</v>
      </c>
      <c r="K353" s="275">
        <v>1310</v>
      </c>
      <c r="L353" s="199" t="s">
        <v>7642</v>
      </c>
    </row>
    <row r="354" spans="1:12">
      <c r="A354" s="200">
        <v>54820</v>
      </c>
      <c r="C354" s="199" t="s">
        <v>7723</v>
      </c>
      <c r="D354" s="199">
        <v>376</v>
      </c>
      <c r="E354" s="199" t="s">
        <v>7444</v>
      </c>
      <c r="F354" s="199">
        <v>0</v>
      </c>
      <c r="G354" s="276">
        <v>45973</v>
      </c>
      <c r="H354" s="199">
        <v>5</v>
      </c>
      <c r="I354" s="199">
        <v>0</v>
      </c>
      <c r="J354" s="275">
        <v>1575</v>
      </c>
      <c r="K354" s="275">
        <v>1575</v>
      </c>
      <c r="L354" s="199" t="s">
        <v>7476</v>
      </c>
    </row>
    <row r="355" spans="1:12">
      <c r="A355" s="199">
        <v>402</v>
      </c>
      <c r="C355" s="199" t="s">
        <v>7724</v>
      </c>
      <c r="D355" s="199">
        <v>426</v>
      </c>
      <c r="E355" s="199" t="s">
        <v>7530</v>
      </c>
      <c r="F355" s="199">
        <v>75</v>
      </c>
      <c r="G355" s="276">
        <v>45894</v>
      </c>
      <c r="H355" s="199">
        <v>2</v>
      </c>
      <c r="I355" s="199">
        <v>0</v>
      </c>
      <c r="J355" s="275">
        <v>1200</v>
      </c>
      <c r="K355" s="275">
        <v>1280</v>
      </c>
      <c r="L355" s="199" t="s">
        <v>7358</v>
      </c>
    </row>
    <row r="356" spans="1:12">
      <c r="A356" s="199">
        <v>2071</v>
      </c>
      <c r="C356" s="199" t="s">
        <v>7725</v>
      </c>
      <c r="D356" s="199">
        <v>440</v>
      </c>
      <c r="E356" s="199" t="s">
        <v>7530</v>
      </c>
      <c r="F356" s="199">
        <v>63</v>
      </c>
      <c r="G356" s="276">
        <v>45918</v>
      </c>
      <c r="H356" s="199">
        <v>1</v>
      </c>
      <c r="I356" s="199">
        <v>0</v>
      </c>
      <c r="J356" s="275">
        <v>1650</v>
      </c>
      <c r="K356" s="275">
        <v>1745</v>
      </c>
      <c r="L356" s="199" t="s">
        <v>7661</v>
      </c>
    </row>
    <row r="357" spans="1:12">
      <c r="A357" s="199" t="s">
        <v>7726</v>
      </c>
      <c r="C357" s="199" t="s">
        <v>7727</v>
      </c>
      <c r="D357" s="199">
        <v>395</v>
      </c>
      <c r="E357" s="199" t="s">
        <v>7444</v>
      </c>
      <c r="F357" s="199">
        <v>0</v>
      </c>
      <c r="G357" s="276">
        <v>45684</v>
      </c>
      <c r="H357" s="199">
        <v>9</v>
      </c>
      <c r="I357" s="199">
        <v>4</v>
      </c>
      <c r="J357" s="199">
        <v>950</v>
      </c>
      <c r="K357" s="275">
        <v>1015</v>
      </c>
      <c r="L357" s="199" t="s">
        <v>7476</v>
      </c>
    </row>
    <row r="358" spans="1:12">
      <c r="A358" s="199">
        <v>3002</v>
      </c>
      <c r="C358" s="199" t="s">
        <v>7728</v>
      </c>
      <c r="D358" s="199">
        <v>1830</v>
      </c>
      <c r="E358" s="199" t="s">
        <v>7530</v>
      </c>
      <c r="F358" s="199">
        <v>67</v>
      </c>
      <c r="G358" s="276">
        <v>45838</v>
      </c>
      <c r="H358" s="199">
        <v>5</v>
      </c>
      <c r="I358" s="199">
        <v>0</v>
      </c>
      <c r="J358" s="199">
        <v>905</v>
      </c>
      <c r="K358" s="199">
        <v>872</v>
      </c>
      <c r="L358" s="199" t="s">
        <v>7355</v>
      </c>
    </row>
    <row r="359" spans="1:12">
      <c r="A359" s="200">
        <v>62490</v>
      </c>
      <c r="C359" s="199" t="s">
        <v>7729</v>
      </c>
      <c r="D359" s="199">
        <v>2372</v>
      </c>
      <c r="E359" s="199" t="s">
        <v>7530</v>
      </c>
      <c r="F359" s="199">
        <v>66</v>
      </c>
      <c r="G359" s="276">
        <v>45869</v>
      </c>
      <c r="H359" s="199">
        <v>0</v>
      </c>
      <c r="I359" s="199">
        <v>0</v>
      </c>
      <c r="J359" s="275">
        <v>1620</v>
      </c>
      <c r="K359" s="275">
        <v>1522</v>
      </c>
      <c r="L359" s="199" t="s">
        <v>7730</v>
      </c>
    </row>
    <row r="360" spans="1:12">
      <c r="A360" s="199" t="s">
        <v>7731</v>
      </c>
      <c r="C360" s="199" t="s">
        <v>7732</v>
      </c>
      <c r="D360" s="199">
        <v>2042</v>
      </c>
      <c r="E360" s="199" t="s">
        <v>7530</v>
      </c>
      <c r="F360" s="199">
        <v>79</v>
      </c>
      <c r="G360" s="276">
        <v>45901</v>
      </c>
      <c r="H360" s="199">
        <v>1</v>
      </c>
      <c r="I360" s="199">
        <v>0</v>
      </c>
      <c r="J360" s="275">
        <v>1035</v>
      </c>
      <c r="K360" s="275">
        <v>1035</v>
      </c>
      <c r="L360" s="199" t="s">
        <v>7355</v>
      </c>
    </row>
    <row r="361" spans="1:12">
      <c r="A361" s="199">
        <v>247</v>
      </c>
      <c r="C361" s="199" t="s">
        <v>7733</v>
      </c>
      <c r="D361" s="199">
        <v>1125</v>
      </c>
      <c r="E361" s="199" t="s">
        <v>7530</v>
      </c>
      <c r="F361" s="199">
        <v>92</v>
      </c>
      <c r="G361" s="276">
        <v>45689</v>
      </c>
      <c r="H361" s="199">
        <v>1</v>
      </c>
      <c r="I361" s="199">
        <v>0</v>
      </c>
      <c r="J361" s="275">
        <v>1565</v>
      </c>
      <c r="K361" s="275">
        <v>1395</v>
      </c>
      <c r="L361" s="199" t="s">
        <v>7630</v>
      </c>
    </row>
    <row r="362" spans="1:12">
      <c r="A362" s="199" t="s">
        <v>7734</v>
      </c>
      <c r="C362" s="199" t="s">
        <v>7735</v>
      </c>
      <c r="D362" s="199">
        <v>306</v>
      </c>
      <c r="E362" s="199" t="s">
        <v>7444</v>
      </c>
      <c r="F362" s="199">
        <v>0</v>
      </c>
      <c r="G362" s="276">
        <v>45866</v>
      </c>
      <c r="H362" s="199">
        <v>1</v>
      </c>
      <c r="I362" s="199">
        <v>0</v>
      </c>
      <c r="J362" s="275">
        <v>1405</v>
      </c>
      <c r="K362" s="275">
        <v>1530</v>
      </c>
      <c r="L362" s="199" t="s">
        <v>7355</v>
      </c>
    </row>
    <row r="363" spans="1:12">
      <c r="A363" s="199">
        <v>3041</v>
      </c>
      <c r="C363" s="199" t="s">
        <v>7736</v>
      </c>
      <c r="D363" s="199">
        <v>566</v>
      </c>
      <c r="E363" s="199" t="s">
        <v>7444</v>
      </c>
      <c r="F363" s="199">
        <v>0</v>
      </c>
      <c r="G363" s="276">
        <v>45827</v>
      </c>
      <c r="H363" s="199">
        <v>2</v>
      </c>
      <c r="I363" s="199">
        <v>0</v>
      </c>
      <c r="J363" s="199">
        <v>960</v>
      </c>
      <c r="K363" s="275">
        <v>1050</v>
      </c>
      <c r="L363" s="199" t="s">
        <v>7476</v>
      </c>
    </row>
    <row r="364" spans="1:12">
      <c r="A364" s="199">
        <v>122</v>
      </c>
      <c r="C364" s="199" t="s">
        <v>7737</v>
      </c>
      <c r="D364" s="199">
        <v>248</v>
      </c>
      <c r="E364" s="199" t="s">
        <v>7444</v>
      </c>
      <c r="F364" s="199">
        <v>0</v>
      </c>
      <c r="G364" s="276">
        <v>45944</v>
      </c>
      <c r="H364" s="199">
        <v>7</v>
      </c>
      <c r="I364" s="199">
        <v>0</v>
      </c>
      <c r="J364" s="275">
        <v>1590</v>
      </c>
      <c r="K364" s="275">
        <v>1474</v>
      </c>
      <c r="L364" s="199" t="s">
        <v>7476</v>
      </c>
    </row>
    <row r="365" spans="1:12">
      <c r="A365" s="199">
        <v>121</v>
      </c>
      <c r="C365" s="199" t="s">
        <v>7738</v>
      </c>
      <c r="D365" s="199">
        <v>426</v>
      </c>
      <c r="E365" s="199" t="s">
        <v>7530</v>
      </c>
      <c r="F365" s="199">
        <v>85</v>
      </c>
      <c r="G365" s="276">
        <v>45961</v>
      </c>
      <c r="H365" s="199">
        <v>3</v>
      </c>
      <c r="I365" s="199">
        <v>2</v>
      </c>
      <c r="J365" s="275">
        <v>1590</v>
      </c>
      <c r="K365" s="275">
        <v>1520</v>
      </c>
      <c r="L365" s="199" t="s">
        <v>7358</v>
      </c>
    </row>
    <row r="366" spans="1:12">
      <c r="A366" s="199">
        <v>425</v>
      </c>
      <c r="C366" s="199" t="s">
        <v>7739</v>
      </c>
      <c r="D366" s="199">
        <v>1096</v>
      </c>
      <c r="E366" s="199" t="s">
        <v>7530</v>
      </c>
      <c r="F366" s="199">
        <v>63</v>
      </c>
      <c r="G366" s="276">
        <v>45901</v>
      </c>
      <c r="H366" s="199">
        <v>2</v>
      </c>
      <c r="I366" s="199">
        <v>1</v>
      </c>
      <c r="J366" s="275">
        <v>1720</v>
      </c>
      <c r="K366" s="275">
        <v>1671</v>
      </c>
      <c r="L366" s="199" t="s">
        <v>7661</v>
      </c>
    </row>
    <row r="367" spans="1:12">
      <c r="A367" s="200">
        <v>52628</v>
      </c>
      <c r="C367" s="199" t="s">
        <v>7740</v>
      </c>
      <c r="D367" s="199">
        <v>203</v>
      </c>
      <c r="E367" s="199" t="s">
        <v>7444</v>
      </c>
      <c r="F367" s="199">
        <v>0</v>
      </c>
      <c r="G367" s="276">
        <v>45747</v>
      </c>
      <c r="H367" s="199">
        <v>2</v>
      </c>
      <c r="I367" s="199">
        <v>0</v>
      </c>
      <c r="J367" s="199">
        <v>975</v>
      </c>
      <c r="K367" s="275">
        <v>1050</v>
      </c>
      <c r="L367" s="199" t="s">
        <v>7476</v>
      </c>
    </row>
    <row r="368" spans="1:12">
      <c r="A368" s="199" t="s">
        <v>7741</v>
      </c>
      <c r="C368" s="199" t="s">
        <v>7742</v>
      </c>
      <c r="D368" s="199">
        <v>2220</v>
      </c>
      <c r="E368" s="199" t="s">
        <v>7530</v>
      </c>
      <c r="F368" s="199">
        <v>63</v>
      </c>
      <c r="G368" s="276">
        <v>45780</v>
      </c>
      <c r="H368" s="199">
        <v>1</v>
      </c>
      <c r="I368" s="199">
        <v>0</v>
      </c>
      <c r="J368" s="199">
        <v>985</v>
      </c>
      <c r="K368" s="199">
        <v>960</v>
      </c>
      <c r="L368" s="199" t="s">
        <v>7630</v>
      </c>
    </row>
    <row r="369" spans="1:12">
      <c r="A369" s="199">
        <v>3063</v>
      </c>
      <c r="C369" s="199" t="s">
        <v>7743</v>
      </c>
      <c r="D369" s="199">
        <v>2215</v>
      </c>
      <c r="E369" s="199" t="s">
        <v>7530</v>
      </c>
      <c r="F369" s="199">
        <v>63</v>
      </c>
      <c r="G369" s="276">
        <v>45789</v>
      </c>
      <c r="H369" s="199">
        <v>3</v>
      </c>
      <c r="I369" s="199">
        <v>0</v>
      </c>
      <c r="J369" s="199">
        <v>920</v>
      </c>
      <c r="K369" s="199">
        <v>933</v>
      </c>
      <c r="L369" s="199" t="s">
        <v>7378</v>
      </c>
    </row>
    <row r="370" spans="1:12">
      <c r="A370" s="199" t="s">
        <v>5837</v>
      </c>
      <c r="C370" s="199" t="s">
        <v>7744</v>
      </c>
      <c r="D370" s="199">
        <v>425</v>
      </c>
      <c r="E370" s="199" t="s">
        <v>7530</v>
      </c>
      <c r="F370" s="199">
        <v>66</v>
      </c>
      <c r="G370" s="276">
        <v>45815</v>
      </c>
      <c r="H370" s="199">
        <v>1</v>
      </c>
      <c r="I370" s="199">
        <v>0</v>
      </c>
      <c r="J370" s="199">
        <v>970</v>
      </c>
      <c r="K370" s="275">
        <v>1125</v>
      </c>
      <c r="L370" s="199" t="s">
        <v>7387</v>
      </c>
    </row>
    <row r="371" spans="1:12">
      <c r="A371" s="199">
        <v>2073</v>
      </c>
      <c r="C371" s="199" t="s">
        <v>7745</v>
      </c>
      <c r="D371" s="199">
        <v>941</v>
      </c>
      <c r="E371" s="199" t="s">
        <v>7530</v>
      </c>
      <c r="F371" s="199">
        <v>91</v>
      </c>
      <c r="G371" s="276">
        <v>45717</v>
      </c>
      <c r="H371" s="199">
        <v>2</v>
      </c>
      <c r="I371" s="199">
        <v>0</v>
      </c>
      <c r="J371" s="275">
        <v>1695</v>
      </c>
      <c r="K371" s="275">
        <v>1574</v>
      </c>
      <c r="L371" s="199" t="s">
        <v>7351</v>
      </c>
    </row>
    <row r="372" spans="1:12">
      <c r="A372" s="199" t="s">
        <v>7746</v>
      </c>
      <c r="C372" s="199" t="s">
        <v>7747</v>
      </c>
      <c r="D372" s="199">
        <v>332</v>
      </c>
      <c r="E372" s="199" t="s">
        <v>7444</v>
      </c>
      <c r="F372" s="199">
        <v>4</v>
      </c>
      <c r="G372" s="276">
        <v>45923</v>
      </c>
      <c r="H372" s="199">
        <v>3</v>
      </c>
      <c r="I372" s="199">
        <v>0</v>
      </c>
      <c r="J372" s="275">
        <v>1090</v>
      </c>
      <c r="K372" s="275">
        <v>1185</v>
      </c>
      <c r="L372" s="199" t="s">
        <v>7476</v>
      </c>
    </row>
    <row r="373" spans="1:12">
      <c r="A373" s="200">
        <v>52263</v>
      </c>
      <c r="C373" s="199" t="s">
        <v>7748</v>
      </c>
      <c r="D373" s="199">
        <v>396</v>
      </c>
      <c r="E373" s="199" t="s">
        <v>7530</v>
      </c>
      <c r="F373" s="199">
        <v>79</v>
      </c>
      <c r="G373" s="276">
        <v>45870</v>
      </c>
      <c r="H373" s="199">
        <v>1</v>
      </c>
      <c r="I373" s="199">
        <v>0</v>
      </c>
      <c r="J373" s="199">
        <v>985</v>
      </c>
      <c r="K373" s="275">
        <v>1180</v>
      </c>
      <c r="L373" s="199" t="s">
        <v>7323</v>
      </c>
    </row>
    <row r="374" spans="1:12">
      <c r="A374" s="199" t="s">
        <v>7749</v>
      </c>
      <c r="C374" s="199" t="s">
        <v>7750</v>
      </c>
      <c r="D374" s="199">
        <v>1141</v>
      </c>
      <c r="E374" s="199" t="s">
        <v>7530</v>
      </c>
      <c r="F374" s="199">
        <v>0</v>
      </c>
      <c r="G374" s="276">
        <v>45762</v>
      </c>
      <c r="H374" s="199">
        <v>2</v>
      </c>
      <c r="I374" s="199">
        <v>0</v>
      </c>
      <c r="J374" s="199">
        <v>960</v>
      </c>
      <c r="K374" s="275">
        <v>1122</v>
      </c>
      <c r="L374" s="199" t="s">
        <v>7368</v>
      </c>
    </row>
    <row r="375" spans="1:12">
      <c r="A375" s="199">
        <v>1007</v>
      </c>
      <c r="C375" s="199" t="s">
        <v>7751</v>
      </c>
      <c r="D375" s="199">
        <v>2191</v>
      </c>
      <c r="E375" s="199" t="s">
        <v>7530</v>
      </c>
      <c r="F375" s="199">
        <v>31</v>
      </c>
      <c r="G375" s="276">
        <v>45992</v>
      </c>
      <c r="H375" s="199">
        <v>7</v>
      </c>
      <c r="I375" s="199">
        <v>0</v>
      </c>
      <c r="J375" s="275">
        <v>1200</v>
      </c>
      <c r="K375" s="275">
        <v>1130</v>
      </c>
      <c r="L375" s="199" t="s">
        <v>7374</v>
      </c>
    </row>
    <row r="376" spans="1:12">
      <c r="A376" s="199">
        <v>1027</v>
      </c>
      <c r="C376" s="199" t="s">
        <v>7752</v>
      </c>
      <c r="D376" s="199">
        <v>3291</v>
      </c>
      <c r="E376" s="199" t="s">
        <v>7530</v>
      </c>
      <c r="F376" s="199">
        <v>63</v>
      </c>
      <c r="G376" s="276">
        <v>45869</v>
      </c>
      <c r="H376" s="199">
        <v>0</v>
      </c>
      <c r="I376" s="199">
        <v>0</v>
      </c>
      <c r="J376" s="275">
        <v>1720</v>
      </c>
      <c r="K376" s="275">
        <v>1469</v>
      </c>
      <c r="L376" s="199" t="s">
        <v>7389</v>
      </c>
    </row>
    <row r="377" spans="1:12">
      <c r="A377" s="199">
        <v>109</v>
      </c>
      <c r="C377" s="199" t="s">
        <v>7753</v>
      </c>
      <c r="D377" s="199">
        <v>626</v>
      </c>
      <c r="E377" s="199" t="s">
        <v>7530</v>
      </c>
      <c r="F377" s="199">
        <v>61</v>
      </c>
      <c r="G377" s="276">
        <v>45878</v>
      </c>
      <c r="H377" s="199">
        <v>1</v>
      </c>
      <c r="I377" s="199">
        <v>0</v>
      </c>
      <c r="J377" s="275">
        <v>1005</v>
      </c>
      <c r="K377" s="275">
        <v>1140</v>
      </c>
      <c r="L377" s="199" t="s">
        <v>7355</v>
      </c>
    </row>
    <row r="378" spans="1:12">
      <c r="A378" s="199" t="s">
        <v>7352</v>
      </c>
      <c r="C378" s="199" t="s">
        <v>7754</v>
      </c>
      <c r="D378" s="199">
        <v>348</v>
      </c>
      <c r="E378" s="199" t="s">
        <v>7444</v>
      </c>
      <c r="F378" s="199">
        <v>0</v>
      </c>
      <c r="G378" s="276">
        <v>45735</v>
      </c>
      <c r="H378" s="199">
        <v>9</v>
      </c>
      <c r="I378" s="199">
        <v>0</v>
      </c>
      <c r="J378" s="275">
        <v>1490</v>
      </c>
      <c r="K378" s="275">
        <v>1420</v>
      </c>
      <c r="L378" s="199" t="s">
        <v>7476</v>
      </c>
    </row>
    <row r="379" spans="1:12">
      <c r="A379" s="199">
        <v>431</v>
      </c>
      <c r="C379" s="199" t="s">
        <v>7755</v>
      </c>
      <c r="D379" s="199">
        <v>364</v>
      </c>
      <c r="E379" s="199" t="s">
        <v>7530</v>
      </c>
      <c r="F379" s="199">
        <v>62</v>
      </c>
      <c r="G379" s="276">
        <v>45961</v>
      </c>
      <c r="H379" s="199">
        <v>1</v>
      </c>
      <c r="I379" s="199">
        <v>0</v>
      </c>
      <c r="J379" s="275">
        <v>1700</v>
      </c>
      <c r="K379" s="275">
        <v>1795</v>
      </c>
      <c r="L379" s="199" t="s">
        <v>7358</v>
      </c>
    </row>
    <row r="380" spans="1:12">
      <c r="A380" s="199" t="s">
        <v>7756</v>
      </c>
      <c r="C380" s="199" t="s">
        <v>7757</v>
      </c>
      <c r="D380" s="199">
        <v>1428</v>
      </c>
      <c r="E380" s="199" t="s">
        <v>7530</v>
      </c>
      <c r="F380" s="199">
        <v>49</v>
      </c>
      <c r="G380" s="276">
        <v>45962</v>
      </c>
      <c r="H380" s="199">
        <v>0</v>
      </c>
      <c r="I380" s="199">
        <v>0</v>
      </c>
      <c r="J380" s="275">
        <v>1010</v>
      </c>
      <c r="K380" s="275">
        <v>1140</v>
      </c>
      <c r="L380" s="199" t="s">
        <v>7358</v>
      </c>
    </row>
    <row r="381" spans="1:12">
      <c r="A381" s="199" t="s">
        <v>7758</v>
      </c>
      <c r="C381" s="199" t="s">
        <v>7759</v>
      </c>
      <c r="D381" s="199">
        <v>497</v>
      </c>
      <c r="E381" s="199" t="s">
        <v>7444</v>
      </c>
      <c r="F381" s="199">
        <v>0</v>
      </c>
      <c r="G381" s="276">
        <v>45789</v>
      </c>
      <c r="H381" s="199">
        <v>3</v>
      </c>
      <c r="I381" s="199">
        <v>0</v>
      </c>
      <c r="J381" s="199">
        <v>960</v>
      </c>
      <c r="K381" s="275">
        <v>1025</v>
      </c>
      <c r="L381" s="199" t="s">
        <v>7476</v>
      </c>
    </row>
    <row r="382" spans="1:12">
      <c r="A382" s="199">
        <v>242</v>
      </c>
      <c r="C382" s="199" t="s">
        <v>7760</v>
      </c>
      <c r="D382" s="199">
        <v>2195</v>
      </c>
      <c r="E382" s="199" t="s">
        <v>7530</v>
      </c>
      <c r="F382" s="199">
        <v>63</v>
      </c>
      <c r="G382" s="276">
        <v>45933</v>
      </c>
      <c r="H382" s="199">
        <v>6</v>
      </c>
      <c r="I382" s="199">
        <v>0</v>
      </c>
      <c r="J382" s="275">
        <v>1565</v>
      </c>
      <c r="K382" s="275">
        <v>1660</v>
      </c>
      <c r="L382" s="199" t="s">
        <v>7358</v>
      </c>
    </row>
    <row r="383" spans="1:12">
      <c r="A383" s="199">
        <v>2102</v>
      </c>
      <c r="C383" s="199" t="s">
        <v>7761</v>
      </c>
      <c r="D383" s="199">
        <v>942</v>
      </c>
      <c r="E383" s="199" t="s">
        <v>7444</v>
      </c>
      <c r="F383" s="199">
        <v>0</v>
      </c>
      <c r="G383" s="276">
        <v>45777</v>
      </c>
      <c r="H383" s="199">
        <v>0</v>
      </c>
      <c r="I383" s="199">
        <v>0</v>
      </c>
      <c r="J383" s="275">
        <v>1695</v>
      </c>
      <c r="K383" s="275">
        <v>1540</v>
      </c>
      <c r="L383" s="199" t="s">
        <v>7423</v>
      </c>
    </row>
    <row r="384" spans="1:12">
      <c r="A384" s="199">
        <v>2033</v>
      </c>
      <c r="C384" s="199" t="s">
        <v>7762</v>
      </c>
      <c r="D384" s="199">
        <v>1531</v>
      </c>
      <c r="E384" s="199" t="s">
        <v>7530</v>
      </c>
      <c r="F384" s="199">
        <v>75</v>
      </c>
      <c r="G384" s="276">
        <v>45945</v>
      </c>
      <c r="H384" s="199">
        <v>17</v>
      </c>
      <c r="I384" s="199">
        <v>3</v>
      </c>
      <c r="J384" s="275">
        <v>1695</v>
      </c>
      <c r="K384" s="275">
        <v>1695</v>
      </c>
      <c r="L384" s="199" t="s">
        <v>7389</v>
      </c>
    </row>
    <row r="385" spans="1:12">
      <c r="A385" s="200">
        <v>37288</v>
      </c>
      <c r="C385" s="199" t="s">
        <v>7763</v>
      </c>
      <c r="D385" s="199">
        <v>3290</v>
      </c>
      <c r="E385" s="199" t="s">
        <v>7530</v>
      </c>
      <c r="F385" s="199">
        <v>84</v>
      </c>
      <c r="G385" s="276">
        <v>45869</v>
      </c>
      <c r="H385" s="199">
        <v>0</v>
      </c>
      <c r="I385" s="199">
        <v>0</v>
      </c>
      <c r="J385" s="199">
        <v>930</v>
      </c>
      <c r="K385" s="199">
        <v>947</v>
      </c>
      <c r="L385" s="199" t="s">
        <v>7642</v>
      </c>
    </row>
    <row r="386" spans="1:12">
      <c r="A386" s="199" t="s">
        <v>7299</v>
      </c>
      <c r="C386" s="199" t="s">
        <v>7764</v>
      </c>
      <c r="D386" s="199">
        <v>984</v>
      </c>
      <c r="E386" s="199" t="s">
        <v>7444</v>
      </c>
      <c r="F386" s="199">
        <v>0</v>
      </c>
      <c r="G386" s="276">
        <v>45666</v>
      </c>
      <c r="H386" s="199">
        <v>1</v>
      </c>
      <c r="I386" s="199">
        <v>0</v>
      </c>
      <c r="J386" s="199">
        <v>905</v>
      </c>
      <c r="K386" s="199">
        <v>996</v>
      </c>
      <c r="L386" s="199" t="s">
        <v>7476</v>
      </c>
    </row>
    <row r="387" spans="1:12">
      <c r="A387" s="199">
        <v>2059</v>
      </c>
      <c r="C387" s="199" t="s">
        <v>7765</v>
      </c>
      <c r="D387" s="199">
        <v>906</v>
      </c>
      <c r="E387" s="199" t="s">
        <v>7530</v>
      </c>
      <c r="F387" s="199">
        <v>92</v>
      </c>
      <c r="G387" s="276">
        <v>45870</v>
      </c>
      <c r="H387" s="199">
        <v>4</v>
      </c>
      <c r="I387" s="199">
        <v>0</v>
      </c>
      <c r="J387" s="199">
        <v>955</v>
      </c>
      <c r="K387" s="275">
        <v>1010</v>
      </c>
      <c r="L387" s="199" t="s">
        <v>7630</v>
      </c>
    </row>
    <row r="388" spans="1:12">
      <c r="A388" s="199">
        <v>2014</v>
      </c>
      <c r="C388" s="199" t="s">
        <v>5969</v>
      </c>
      <c r="D388" s="199">
        <v>251</v>
      </c>
      <c r="E388" s="199" t="s">
        <v>7444</v>
      </c>
      <c r="F388" s="199">
        <v>0</v>
      </c>
      <c r="G388" s="276">
        <v>45979</v>
      </c>
      <c r="H388" s="199">
        <v>4</v>
      </c>
      <c r="I388" s="199">
        <v>0</v>
      </c>
      <c r="J388" s="199">
        <v>955</v>
      </c>
      <c r="K388" s="199">
        <v>955</v>
      </c>
      <c r="L388" s="199" t="s">
        <v>7476</v>
      </c>
    </row>
    <row r="389" spans="1:12">
      <c r="A389" s="199">
        <v>2014</v>
      </c>
      <c r="C389" s="199" t="s">
        <v>7766</v>
      </c>
      <c r="D389" s="199">
        <v>554</v>
      </c>
      <c r="E389" s="199" t="s">
        <v>7530</v>
      </c>
      <c r="F389" s="199">
        <v>0</v>
      </c>
      <c r="G389" s="276">
        <v>45702</v>
      </c>
      <c r="H389" s="199">
        <v>5</v>
      </c>
      <c r="I389" s="199">
        <v>0</v>
      </c>
      <c r="J389" s="199">
        <v>955</v>
      </c>
      <c r="K389" s="275">
        <v>1015</v>
      </c>
      <c r="L389" s="199" t="s">
        <v>7476</v>
      </c>
    </row>
    <row r="390" spans="1:12">
      <c r="A390" s="199" t="s">
        <v>7767</v>
      </c>
      <c r="C390" s="199" t="s">
        <v>7768</v>
      </c>
      <c r="D390" s="199">
        <v>964</v>
      </c>
      <c r="E390" s="199" t="s">
        <v>7444</v>
      </c>
      <c r="F390" s="199">
        <v>26</v>
      </c>
      <c r="G390" s="276">
        <v>45922</v>
      </c>
      <c r="H390" s="199">
        <v>11</v>
      </c>
      <c r="I390" s="199">
        <v>0</v>
      </c>
      <c r="J390" s="275">
        <v>1090</v>
      </c>
      <c r="K390" s="275">
        <v>1275</v>
      </c>
      <c r="L390" s="199" t="s">
        <v>7476</v>
      </c>
    </row>
    <row r="391" spans="1:12">
      <c r="A391" s="199" t="s">
        <v>7769</v>
      </c>
      <c r="C391" s="199" t="s">
        <v>7770</v>
      </c>
      <c r="D391" s="199">
        <v>3318</v>
      </c>
      <c r="E391" s="199" t="s">
        <v>7530</v>
      </c>
      <c r="F391" s="199">
        <v>64</v>
      </c>
      <c r="G391" s="276">
        <v>45689</v>
      </c>
      <c r="H391" s="199">
        <v>1</v>
      </c>
      <c r="I391" s="199">
        <v>0</v>
      </c>
      <c r="J391" s="199">
        <v>915</v>
      </c>
      <c r="K391" s="199">
        <v>887</v>
      </c>
      <c r="L391" s="199" t="s">
        <v>7387</v>
      </c>
    </row>
    <row r="392" spans="1:12">
      <c r="A392" s="200">
        <v>47150</v>
      </c>
      <c r="C392" s="199" t="s">
        <v>7771</v>
      </c>
      <c r="D392" s="199">
        <v>425</v>
      </c>
      <c r="E392" s="199" t="s">
        <v>7530</v>
      </c>
      <c r="F392" s="199">
        <v>98</v>
      </c>
      <c r="G392" s="276">
        <v>45805</v>
      </c>
      <c r="H392" s="199">
        <v>0</v>
      </c>
      <c r="I392" s="199">
        <v>0</v>
      </c>
      <c r="J392" s="199">
        <v>985</v>
      </c>
      <c r="K392" s="275">
        <v>1180</v>
      </c>
      <c r="L392" s="199" t="s">
        <v>7358</v>
      </c>
    </row>
    <row r="393" spans="1:12">
      <c r="A393" s="200">
        <v>48245</v>
      </c>
      <c r="C393" s="199" t="s">
        <v>7772</v>
      </c>
      <c r="D393" s="199">
        <v>2380</v>
      </c>
      <c r="E393" s="199" t="s">
        <v>7444</v>
      </c>
      <c r="F393" s="199">
        <v>73</v>
      </c>
      <c r="G393" s="276">
        <v>45990</v>
      </c>
      <c r="H393" s="199">
        <v>0</v>
      </c>
      <c r="I393" s="199">
        <v>0</v>
      </c>
      <c r="J393" s="275">
        <v>1065</v>
      </c>
      <c r="K393" s="275">
        <v>1089</v>
      </c>
      <c r="L393" s="199" t="s">
        <v>7358</v>
      </c>
    </row>
    <row r="394" spans="1:12">
      <c r="A394" s="199" t="s">
        <v>7773</v>
      </c>
      <c r="C394" s="199" t="s">
        <v>7774</v>
      </c>
      <c r="D394" s="199">
        <v>1276</v>
      </c>
      <c r="E394" s="199" t="s">
        <v>7444</v>
      </c>
      <c r="F394" s="199">
        <v>0</v>
      </c>
      <c r="G394" s="276">
        <v>45838</v>
      </c>
      <c r="H394" s="199">
        <v>2</v>
      </c>
      <c r="I394" s="199">
        <v>0</v>
      </c>
      <c r="J394" s="275">
        <v>1575</v>
      </c>
      <c r="K394" s="275">
        <v>1584</v>
      </c>
      <c r="L394" s="199" t="s">
        <v>7476</v>
      </c>
    </row>
    <row r="395" spans="1:12">
      <c r="A395" s="199" t="s">
        <v>7775</v>
      </c>
      <c r="C395" s="199" t="s">
        <v>7776</v>
      </c>
      <c r="D395" s="199">
        <v>1128</v>
      </c>
      <c r="E395" s="199" t="s">
        <v>7530</v>
      </c>
      <c r="F395" s="199">
        <v>0</v>
      </c>
      <c r="G395" s="276">
        <v>45870</v>
      </c>
      <c r="H395" s="199">
        <v>18</v>
      </c>
      <c r="I395" s="199">
        <v>0</v>
      </c>
      <c r="J395" s="275">
        <v>1480</v>
      </c>
      <c r="K395" s="275">
        <v>1290</v>
      </c>
      <c r="L395" s="199" t="s">
        <v>7358</v>
      </c>
    </row>
    <row r="396" spans="1:12">
      <c r="A396" s="199" t="s">
        <v>7777</v>
      </c>
      <c r="C396" s="199" t="s">
        <v>7778</v>
      </c>
      <c r="D396" s="199">
        <v>371</v>
      </c>
      <c r="E396" s="199" t="s">
        <v>7444</v>
      </c>
      <c r="F396" s="199">
        <v>0</v>
      </c>
      <c r="G396" s="276">
        <v>45783</v>
      </c>
      <c r="H396" s="199">
        <v>5</v>
      </c>
      <c r="I396" s="199">
        <v>0</v>
      </c>
      <c r="J396" s="275">
        <v>1000</v>
      </c>
      <c r="K396" s="275">
        <v>1160</v>
      </c>
      <c r="L396" s="199" t="s">
        <v>7476</v>
      </c>
    </row>
    <row r="397" spans="1:12">
      <c r="A397" s="199" t="s">
        <v>7451</v>
      </c>
      <c r="C397" s="199" t="s">
        <v>6022</v>
      </c>
      <c r="D397" s="199">
        <v>158</v>
      </c>
      <c r="E397" s="199" t="s">
        <v>7444</v>
      </c>
      <c r="F397" s="199">
        <v>0</v>
      </c>
      <c r="G397" s="276">
        <v>45951</v>
      </c>
      <c r="H397" s="199">
        <v>3</v>
      </c>
      <c r="I397" s="199">
        <v>0</v>
      </c>
      <c r="J397" s="199">
        <v>960</v>
      </c>
      <c r="K397" s="199">
        <v>960</v>
      </c>
      <c r="L397" s="199" t="s">
        <v>7476</v>
      </c>
    </row>
    <row r="398" spans="1:12">
      <c r="A398" s="199">
        <v>1011</v>
      </c>
      <c r="C398" s="199" t="s">
        <v>7779</v>
      </c>
      <c r="D398" s="199">
        <v>976</v>
      </c>
      <c r="E398" s="199" t="s">
        <v>7530</v>
      </c>
      <c r="F398" s="199">
        <v>12</v>
      </c>
      <c r="G398" s="276">
        <v>45901</v>
      </c>
      <c r="H398" s="199">
        <v>2</v>
      </c>
      <c r="I398" s="199">
        <v>0</v>
      </c>
      <c r="J398" s="275">
        <v>1200</v>
      </c>
      <c r="K398" s="275">
        <v>1263</v>
      </c>
      <c r="L398" s="199" t="s">
        <v>7387</v>
      </c>
    </row>
    <row r="399" spans="1:12">
      <c r="A399" s="199">
        <v>262</v>
      </c>
      <c r="C399" s="199" t="s">
        <v>7780</v>
      </c>
      <c r="D399" s="199">
        <v>941</v>
      </c>
      <c r="E399" s="199" t="s">
        <v>7444</v>
      </c>
      <c r="F399" s="199">
        <v>63</v>
      </c>
      <c r="G399" s="276">
        <v>45705</v>
      </c>
      <c r="H399" s="199">
        <v>5</v>
      </c>
      <c r="I399" s="199">
        <v>0</v>
      </c>
      <c r="J399" s="275">
        <v>1310</v>
      </c>
      <c r="K399" s="275">
        <v>1283</v>
      </c>
      <c r="L399" s="199" t="s">
        <v>7358</v>
      </c>
    </row>
    <row r="400" spans="1:12">
      <c r="A400" s="199" t="s">
        <v>7498</v>
      </c>
      <c r="C400" s="199" t="s">
        <v>7781</v>
      </c>
      <c r="D400" s="199">
        <v>1826</v>
      </c>
      <c r="E400" s="199" t="s">
        <v>7530</v>
      </c>
      <c r="F400" s="199">
        <v>65</v>
      </c>
      <c r="G400" s="276">
        <v>45809</v>
      </c>
      <c r="H400" s="199">
        <v>9</v>
      </c>
      <c r="I400" s="199">
        <v>0</v>
      </c>
      <c r="J400" s="275">
        <v>1575</v>
      </c>
      <c r="K400" s="275">
        <v>1610</v>
      </c>
      <c r="L400" s="199" t="s">
        <v>7355</v>
      </c>
    </row>
    <row r="401" spans="1:12">
      <c r="A401" s="199">
        <v>1062</v>
      </c>
      <c r="C401" s="199" t="s">
        <v>7782</v>
      </c>
      <c r="D401" s="199">
        <v>600</v>
      </c>
      <c r="E401" s="199" t="s">
        <v>7444</v>
      </c>
      <c r="F401" s="199">
        <v>0</v>
      </c>
      <c r="G401" s="276">
        <v>45684</v>
      </c>
      <c r="H401" s="199">
        <v>10</v>
      </c>
      <c r="I401" s="199">
        <v>0</v>
      </c>
      <c r="J401" s="199">
        <v>990</v>
      </c>
      <c r="K401" s="275">
        <v>1370</v>
      </c>
      <c r="L401" s="199" t="s">
        <v>7476</v>
      </c>
    </row>
    <row r="402" spans="1:12">
      <c r="A402" s="199" t="s">
        <v>7467</v>
      </c>
      <c r="C402" s="199" t="s">
        <v>7783</v>
      </c>
      <c r="D402" s="199">
        <v>714</v>
      </c>
      <c r="E402" s="199" t="s">
        <v>7530</v>
      </c>
      <c r="F402" s="199">
        <v>65</v>
      </c>
      <c r="G402" s="276">
        <v>45838</v>
      </c>
      <c r="H402" s="199">
        <v>0</v>
      </c>
      <c r="I402" s="199">
        <v>0</v>
      </c>
      <c r="J402" s="199">
        <v>970</v>
      </c>
      <c r="K402" s="275">
        <v>1010</v>
      </c>
      <c r="L402" s="199" t="s">
        <v>7355</v>
      </c>
    </row>
    <row r="403" spans="1:12">
      <c r="A403" s="200">
        <v>58107</v>
      </c>
      <c r="C403" s="199" t="s">
        <v>7784</v>
      </c>
      <c r="D403" s="199">
        <v>688</v>
      </c>
      <c r="E403" s="199" t="s">
        <v>7444</v>
      </c>
      <c r="F403" s="199">
        <v>8</v>
      </c>
      <c r="G403" s="276">
        <v>45904</v>
      </c>
      <c r="H403" s="199">
        <v>8</v>
      </c>
      <c r="I403" s="199">
        <v>0</v>
      </c>
      <c r="J403" s="199">
        <v>945</v>
      </c>
      <c r="K403" s="199">
        <v>965</v>
      </c>
      <c r="L403" s="199" t="s">
        <v>7476</v>
      </c>
    </row>
    <row r="404" spans="1:12">
      <c r="A404" s="199" t="s">
        <v>7785</v>
      </c>
      <c r="C404" s="199" t="s">
        <v>7786</v>
      </c>
      <c r="D404" s="199">
        <v>2084</v>
      </c>
      <c r="E404" s="199" t="s">
        <v>7530</v>
      </c>
      <c r="F404" s="199">
        <v>75</v>
      </c>
      <c r="G404" s="276">
        <v>45945</v>
      </c>
      <c r="H404" s="199">
        <v>17</v>
      </c>
      <c r="I404" s="199">
        <v>0</v>
      </c>
      <c r="J404" s="275">
        <v>1410</v>
      </c>
      <c r="K404" s="275">
        <v>1410</v>
      </c>
      <c r="L404" s="199" t="s">
        <v>7387</v>
      </c>
    </row>
    <row r="405" spans="1:12">
      <c r="A405" s="199" t="s">
        <v>7787</v>
      </c>
      <c r="C405" s="199" t="s">
        <v>5828</v>
      </c>
      <c r="D405" s="199">
        <v>608</v>
      </c>
      <c r="E405" s="199" t="s">
        <v>7444</v>
      </c>
      <c r="F405" s="199">
        <v>0</v>
      </c>
      <c r="G405" s="276">
        <v>45986</v>
      </c>
      <c r="H405" s="199">
        <v>1</v>
      </c>
      <c r="I405" s="199">
        <v>0</v>
      </c>
      <c r="J405" s="199">
        <v>960</v>
      </c>
      <c r="K405" s="275">
        <v>1080</v>
      </c>
      <c r="L405" s="199" t="s">
        <v>7661</v>
      </c>
    </row>
    <row r="406" spans="1:12">
      <c r="A406" s="199">
        <v>139</v>
      </c>
      <c r="C406" s="199" t="s">
        <v>7788</v>
      </c>
      <c r="D406" s="199">
        <v>415</v>
      </c>
      <c r="E406" s="199" t="s">
        <v>7444</v>
      </c>
      <c r="F406" s="199">
        <v>61</v>
      </c>
      <c r="G406" s="276">
        <v>45667</v>
      </c>
      <c r="H406" s="199">
        <v>2</v>
      </c>
      <c r="I406" s="199">
        <v>0</v>
      </c>
      <c r="J406" s="199">
        <v>950</v>
      </c>
      <c r="K406" s="275">
        <v>1040</v>
      </c>
      <c r="L406" s="199" t="s">
        <v>7387</v>
      </c>
    </row>
    <row r="407" spans="1:12">
      <c r="A407" s="199" t="s">
        <v>7789</v>
      </c>
      <c r="C407" s="199" t="s">
        <v>7790</v>
      </c>
      <c r="D407" s="199">
        <v>705</v>
      </c>
      <c r="E407" s="199" t="s">
        <v>7530</v>
      </c>
      <c r="F407" s="199">
        <v>65</v>
      </c>
      <c r="G407" s="276">
        <v>45934</v>
      </c>
      <c r="H407" s="199">
        <v>2</v>
      </c>
      <c r="I407" s="199">
        <v>0</v>
      </c>
      <c r="J407" s="275">
        <v>1455</v>
      </c>
      <c r="K407" s="275">
        <v>1455</v>
      </c>
      <c r="L407" s="199" t="s">
        <v>7323</v>
      </c>
    </row>
    <row r="408" spans="1:12">
      <c r="A408" s="199" t="s">
        <v>7791</v>
      </c>
      <c r="C408" s="199" t="s">
        <v>7792</v>
      </c>
      <c r="D408" s="199">
        <v>466</v>
      </c>
      <c r="E408" s="199" t="s">
        <v>7530</v>
      </c>
      <c r="F408" s="199">
        <v>62</v>
      </c>
      <c r="G408" s="276">
        <v>45689</v>
      </c>
      <c r="H408" s="199">
        <v>2</v>
      </c>
      <c r="I408" s="199">
        <v>0</v>
      </c>
      <c r="J408" s="199">
        <v>955</v>
      </c>
      <c r="K408" s="275">
        <v>1065</v>
      </c>
      <c r="L408" s="199" t="s">
        <v>7630</v>
      </c>
    </row>
    <row r="409" spans="1:12">
      <c r="A409" s="199">
        <v>1017</v>
      </c>
      <c r="C409" s="199" t="s">
        <v>7793</v>
      </c>
      <c r="D409" s="199">
        <v>426</v>
      </c>
      <c r="E409" s="199" t="s">
        <v>7530</v>
      </c>
      <c r="F409" s="199">
        <v>102</v>
      </c>
      <c r="G409" s="276">
        <v>45898</v>
      </c>
      <c r="H409" s="199">
        <v>0</v>
      </c>
      <c r="I409" s="199">
        <v>0</v>
      </c>
      <c r="J409" s="199">
        <v>990</v>
      </c>
      <c r="K409" s="275">
        <v>1040</v>
      </c>
      <c r="L409" s="199" t="s">
        <v>7387</v>
      </c>
    </row>
    <row r="410" spans="1:12">
      <c r="A410" s="199" t="s">
        <v>7794</v>
      </c>
      <c r="C410" s="199" t="s">
        <v>7795</v>
      </c>
      <c r="D410" s="199">
        <v>1987</v>
      </c>
      <c r="E410" s="199" t="s">
        <v>7530</v>
      </c>
      <c r="F410" s="199">
        <v>77</v>
      </c>
      <c r="G410" s="276">
        <v>45869</v>
      </c>
      <c r="H410" s="199">
        <v>0</v>
      </c>
      <c r="I410" s="199">
        <v>0</v>
      </c>
      <c r="J410" s="199">
        <v>960</v>
      </c>
      <c r="K410" s="199">
        <v>964</v>
      </c>
      <c r="L410" s="199" t="s">
        <v>7661</v>
      </c>
    </row>
    <row r="411" spans="1:12">
      <c r="A411" s="199" t="s">
        <v>7796</v>
      </c>
      <c r="C411" s="199" t="s">
        <v>7797</v>
      </c>
      <c r="D411" s="199">
        <v>426</v>
      </c>
      <c r="E411" s="199" t="s">
        <v>7530</v>
      </c>
      <c r="F411" s="199">
        <v>77</v>
      </c>
      <c r="G411" s="276">
        <v>45883</v>
      </c>
      <c r="H411" s="199">
        <v>1</v>
      </c>
      <c r="I411" s="199">
        <v>0</v>
      </c>
      <c r="J411" s="199">
        <v>970</v>
      </c>
      <c r="K411" s="275">
        <v>1090</v>
      </c>
      <c r="L411" s="199" t="s">
        <v>7355</v>
      </c>
    </row>
    <row r="412" spans="1:12">
      <c r="A412" s="199">
        <v>3014</v>
      </c>
      <c r="C412" s="199" t="s">
        <v>7798</v>
      </c>
      <c r="D412" s="199">
        <v>364</v>
      </c>
      <c r="E412" s="199" t="s">
        <v>7530</v>
      </c>
      <c r="F412" s="199">
        <v>56</v>
      </c>
      <c r="G412" s="276">
        <v>45989</v>
      </c>
      <c r="H412" s="199">
        <v>1</v>
      </c>
      <c r="I412" s="199">
        <v>0</v>
      </c>
      <c r="J412" s="199">
        <v>839</v>
      </c>
      <c r="K412" s="199">
        <v>839</v>
      </c>
      <c r="L412" s="199" t="s">
        <v>7642</v>
      </c>
    </row>
    <row r="413" spans="1:12">
      <c r="A413" s="199">
        <v>107</v>
      </c>
      <c r="C413" s="199" t="s">
        <v>7799</v>
      </c>
      <c r="D413" s="199">
        <v>426</v>
      </c>
      <c r="E413" s="199" t="s">
        <v>7530</v>
      </c>
      <c r="F413" s="199">
        <v>57</v>
      </c>
      <c r="G413" s="276">
        <v>45930</v>
      </c>
      <c r="H413" s="199">
        <v>0</v>
      </c>
      <c r="I413" s="199">
        <v>0</v>
      </c>
      <c r="J413" s="275">
        <v>1005</v>
      </c>
      <c r="K413" s="275">
        <v>1125</v>
      </c>
      <c r="L413" s="199" t="s">
        <v>7358</v>
      </c>
    </row>
    <row r="414" spans="1:12">
      <c r="A414" s="199">
        <v>1070</v>
      </c>
      <c r="C414" s="199" t="s">
        <v>7800</v>
      </c>
      <c r="D414" s="199">
        <v>424</v>
      </c>
      <c r="E414" s="199" t="s">
        <v>7530</v>
      </c>
      <c r="F414" s="199">
        <v>61</v>
      </c>
      <c r="G414" s="276">
        <v>45769</v>
      </c>
      <c r="H414" s="199">
        <v>1</v>
      </c>
      <c r="I414" s="199">
        <v>0</v>
      </c>
      <c r="J414" s="275">
        <v>1675</v>
      </c>
      <c r="K414" s="275">
        <v>1590</v>
      </c>
      <c r="L414" s="199" t="s">
        <v>7423</v>
      </c>
    </row>
    <row r="415" spans="1:12">
      <c r="A415" s="199" t="s">
        <v>7343</v>
      </c>
      <c r="C415" s="199" t="s">
        <v>7801</v>
      </c>
      <c r="D415" s="199">
        <v>3867</v>
      </c>
      <c r="E415" s="199" t="s">
        <v>7530</v>
      </c>
      <c r="F415" s="199">
        <v>62</v>
      </c>
      <c r="G415" s="276">
        <v>45870</v>
      </c>
      <c r="H415" s="199">
        <v>2</v>
      </c>
      <c r="I415" s="199">
        <v>0</v>
      </c>
      <c r="J415" s="199">
        <v>915</v>
      </c>
      <c r="K415" s="199">
        <v>915</v>
      </c>
      <c r="L415" s="199" t="s">
        <v>7355</v>
      </c>
    </row>
    <row r="416" spans="1:12">
      <c r="A416" s="199">
        <v>2051</v>
      </c>
      <c r="C416" s="199" t="s">
        <v>5882</v>
      </c>
      <c r="D416" s="199">
        <v>261</v>
      </c>
      <c r="E416" s="199" t="s">
        <v>7444</v>
      </c>
      <c r="F416" s="199">
        <v>0</v>
      </c>
      <c r="G416" s="276">
        <v>45966</v>
      </c>
      <c r="H416" s="199">
        <v>6</v>
      </c>
      <c r="I416" s="199">
        <v>1</v>
      </c>
      <c r="J416" s="275">
        <v>1130</v>
      </c>
      <c r="K416" s="275">
        <v>1130</v>
      </c>
      <c r="L416" s="199" t="s">
        <v>7476</v>
      </c>
    </row>
    <row r="417" spans="1:12">
      <c r="A417" s="199">
        <v>124</v>
      </c>
      <c r="C417" s="199" t="s">
        <v>7336</v>
      </c>
      <c r="D417" s="199">
        <v>882</v>
      </c>
      <c r="E417" s="199" t="s">
        <v>7530</v>
      </c>
      <c r="F417" s="199">
        <v>90</v>
      </c>
      <c r="G417" s="276">
        <v>45717</v>
      </c>
      <c r="H417" s="199">
        <v>12</v>
      </c>
      <c r="I417" s="199">
        <v>0</v>
      </c>
      <c r="J417" s="275">
        <v>1590</v>
      </c>
      <c r="K417" s="275">
        <v>1504</v>
      </c>
      <c r="L417" s="199" t="s">
        <v>7630</v>
      </c>
    </row>
    <row r="418" spans="1:12">
      <c r="A418" s="199">
        <v>2097</v>
      </c>
      <c r="C418" s="199" t="s">
        <v>7802</v>
      </c>
      <c r="D418" s="199">
        <v>426</v>
      </c>
      <c r="E418" s="199" t="s">
        <v>7530</v>
      </c>
      <c r="F418" s="199">
        <v>58</v>
      </c>
      <c r="G418" s="276">
        <v>45925</v>
      </c>
      <c r="H418" s="199">
        <v>0</v>
      </c>
      <c r="I418" s="199">
        <v>0</v>
      </c>
      <c r="J418" s="275">
        <v>1650</v>
      </c>
      <c r="K418" s="275">
        <v>1625</v>
      </c>
      <c r="L418" s="199" t="s">
        <v>7803</v>
      </c>
    </row>
    <row r="419" spans="1:12">
      <c r="A419" s="199">
        <v>142</v>
      </c>
      <c r="C419" s="199" t="s">
        <v>7804</v>
      </c>
      <c r="D419" s="199">
        <v>193</v>
      </c>
      <c r="E419" s="199" t="s">
        <v>7444</v>
      </c>
      <c r="F419" s="199">
        <v>0</v>
      </c>
      <c r="G419" s="276">
        <v>45749</v>
      </c>
      <c r="H419" s="199">
        <v>0</v>
      </c>
      <c r="I419" s="199">
        <v>0</v>
      </c>
      <c r="J419" s="275">
        <v>1570</v>
      </c>
      <c r="K419" s="275">
        <v>1520</v>
      </c>
      <c r="L419" s="199" t="s">
        <v>7476</v>
      </c>
    </row>
    <row r="420" spans="1:12">
      <c r="A420" s="199" t="s">
        <v>7420</v>
      </c>
      <c r="C420" s="199" t="s">
        <v>5850</v>
      </c>
      <c r="D420" s="199">
        <v>221</v>
      </c>
      <c r="E420" s="199" t="s">
        <v>7444</v>
      </c>
      <c r="F420" s="199">
        <v>61</v>
      </c>
      <c r="G420" s="276">
        <v>45983</v>
      </c>
      <c r="H420" s="199">
        <v>1</v>
      </c>
      <c r="I420" s="199">
        <v>0</v>
      </c>
      <c r="J420" s="199">
        <v>995</v>
      </c>
      <c r="K420" s="275">
        <v>1080</v>
      </c>
      <c r="L420" s="199" t="s">
        <v>7358</v>
      </c>
    </row>
    <row r="421" spans="1:12">
      <c r="A421" s="199">
        <v>3004</v>
      </c>
      <c r="C421" s="199" t="s">
        <v>7805</v>
      </c>
      <c r="D421" s="199">
        <v>1472</v>
      </c>
      <c r="E421" s="199" t="s">
        <v>7530</v>
      </c>
      <c r="F421" s="199">
        <v>88</v>
      </c>
      <c r="G421" s="276">
        <v>45809</v>
      </c>
      <c r="H421" s="199">
        <v>5</v>
      </c>
      <c r="I421" s="199">
        <v>0</v>
      </c>
      <c r="J421" s="199">
        <v>950</v>
      </c>
      <c r="K421" s="199">
        <v>798</v>
      </c>
      <c r="L421" s="199" t="s">
        <v>7358</v>
      </c>
    </row>
    <row r="422" spans="1:12">
      <c r="A422" s="199" t="s">
        <v>7806</v>
      </c>
      <c r="C422" s="199" t="s">
        <v>7807</v>
      </c>
      <c r="D422" s="199">
        <v>2436</v>
      </c>
      <c r="E422" s="199" t="s">
        <v>7444</v>
      </c>
      <c r="F422" s="199">
        <v>111</v>
      </c>
      <c r="G422" s="276">
        <v>45902</v>
      </c>
      <c r="H422" s="199">
        <v>2</v>
      </c>
      <c r="I422" s="199">
        <v>0</v>
      </c>
      <c r="J422" s="199">
        <v>960</v>
      </c>
      <c r="K422" s="199">
        <v>897</v>
      </c>
      <c r="L422" s="199" t="s">
        <v>7378</v>
      </c>
    </row>
    <row r="423" spans="1:12">
      <c r="A423" s="200">
        <v>69795</v>
      </c>
      <c r="C423" s="199" t="s">
        <v>7808</v>
      </c>
      <c r="D423" s="199">
        <v>1513</v>
      </c>
      <c r="E423" s="199" t="s">
        <v>7444</v>
      </c>
      <c r="F423" s="199">
        <v>78</v>
      </c>
      <c r="G423" s="276">
        <v>45898</v>
      </c>
      <c r="H423" s="199">
        <v>0</v>
      </c>
      <c r="I423" s="199">
        <v>0</v>
      </c>
      <c r="J423" s="275">
        <v>1110</v>
      </c>
      <c r="K423" s="199">
        <v>925</v>
      </c>
      <c r="L423" s="199" t="s">
        <v>7378</v>
      </c>
    </row>
    <row r="424" spans="1:12">
      <c r="A424" s="199">
        <v>1058</v>
      </c>
      <c r="C424" s="199" t="s">
        <v>7809</v>
      </c>
      <c r="D424" s="199">
        <v>923</v>
      </c>
      <c r="E424" s="199" t="s">
        <v>7530</v>
      </c>
      <c r="F424" s="199">
        <v>62</v>
      </c>
      <c r="G424" s="276">
        <v>45789</v>
      </c>
      <c r="H424" s="199">
        <v>2</v>
      </c>
      <c r="I424" s="199">
        <v>1</v>
      </c>
      <c r="J424" s="199">
        <v>980</v>
      </c>
      <c r="K424" s="275">
        <v>1059</v>
      </c>
      <c r="L424" s="199" t="s">
        <v>7387</v>
      </c>
    </row>
    <row r="425" spans="1:12">
      <c r="A425" s="200">
        <v>43862</v>
      </c>
      <c r="C425" s="199" t="s">
        <v>7403</v>
      </c>
      <c r="D425" s="199">
        <v>402</v>
      </c>
      <c r="E425" s="199" t="s">
        <v>7530</v>
      </c>
      <c r="F425" s="199">
        <v>80</v>
      </c>
      <c r="G425" s="276">
        <v>45880</v>
      </c>
      <c r="H425" s="199">
        <v>12</v>
      </c>
      <c r="I425" s="199">
        <v>0</v>
      </c>
      <c r="J425" s="275">
        <v>1595</v>
      </c>
      <c r="K425" s="275">
        <v>1595</v>
      </c>
      <c r="L425" s="199" t="s">
        <v>7630</v>
      </c>
    </row>
    <row r="426" spans="1:12">
      <c r="A426" s="199" t="s">
        <v>7810</v>
      </c>
      <c r="C426" s="199" t="s">
        <v>6015</v>
      </c>
      <c r="D426" s="199">
        <v>427</v>
      </c>
      <c r="E426" s="199" t="s">
        <v>7530</v>
      </c>
      <c r="F426" s="199">
        <v>65</v>
      </c>
      <c r="G426" s="276">
        <v>45961</v>
      </c>
      <c r="H426" s="199">
        <v>6</v>
      </c>
      <c r="I426" s="199">
        <v>0</v>
      </c>
      <c r="J426" s="199">
        <v>995</v>
      </c>
      <c r="K426" s="275">
        <v>1050</v>
      </c>
      <c r="L426" s="199" t="s">
        <v>7358</v>
      </c>
    </row>
    <row r="427" spans="1:12">
      <c r="A427" s="200">
        <v>44593</v>
      </c>
      <c r="C427" s="199" t="s">
        <v>7811</v>
      </c>
      <c r="D427" s="199">
        <v>362</v>
      </c>
      <c r="E427" s="199" t="s">
        <v>7530</v>
      </c>
      <c r="F427" s="199">
        <v>73</v>
      </c>
      <c r="G427" s="276">
        <v>45981</v>
      </c>
      <c r="H427" s="199">
        <v>1</v>
      </c>
      <c r="I427" s="199">
        <v>0</v>
      </c>
      <c r="J427" s="275">
        <v>1595</v>
      </c>
      <c r="K427" s="275">
        <v>1595</v>
      </c>
      <c r="L427" s="199" t="s">
        <v>7387</v>
      </c>
    </row>
    <row r="428" spans="1:12">
      <c r="A428" s="199">
        <v>1022</v>
      </c>
      <c r="C428" s="199" t="s">
        <v>6058</v>
      </c>
      <c r="D428" s="199">
        <v>102</v>
      </c>
      <c r="E428" s="199" t="s">
        <v>7444</v>
      </c>
      <c r="F428" s="199">
        <v>0</v>
      </c>
      <c r="G428" s="276">
        <v>45971</v>
      </c>
      <c r="H428" s="199">
        <v>1</v>
      </c>
      <c r="I428" s="199">
        <v>0</v>
      </c>
      <c r="J428" s="275">
        <v>1675</v>
      </c>
      <c r="K428" s="275">
        <v>1695</v>
      </c>
      <c r="L428" s="199" t="s">
        <v>7476</v>
      </c>
    </row>
    <row r="429" spans="1:12">
      <c r="A429" s="199">
        <v>272</v>
      </c>
      <c r="C429" s="199" t="s">
        <v>5906</v>
      </c>
      <c r="D429" s="199">
        <v>383</v>
      </c>
      <c r="E429" s="199" t="s">
        <v>7444</v>
      </c>
      <c r="F429" s="199">
        <v>0</v>
      </c>
      <c r="G429" s="276">
        <v>45979</v>
      </c>
      <c r="H429" s="199">
        <v>11</v>
      </c>
      <c r="I429" s="199">
        <v>0</v>
      </c>
      <c r="J429" s="275">
        <v>1975</v>
      </c>
      <c r="K429" s="275">
        <v>2070</v>
      </c>
      <c r="L429" s="199" t="s">
        <v>7476</v>
      </c>
    </row>
    <row r="430" spans="1:12">
      <c r="A430" s="200">
        <v>46419</v>
      </c>
      <c r="C430" s="199" t="s">
        <v>7812</v>
      </c>
      <c r="D430" s="199">
        <v>425</v>
      </c>
      <c r="E430" s="199" t="s">
        <v>7530</v>
      </c>
      <c r="F430" s="199">
        <v>66</v>
      </c>
      <c r="G430" s="276">
        <v>45995</v>
      </c>
      <c r="H430" s="199">
        <v>2</v>
      </c>
      <c r="I430" s="199">
        <v>0</v>
      </c>
      <c r="J430" s="199">
        <v>985</v>
      </c>
      <c r="K430" s="275">
        <v>1080</v>
      </c>
      <c r="L430" s="199" t="s">
        <v>7378</v>
      </c>
    </row>
    <row r="431" spans="1:12">
      <c r="A431" s="200">
        <v>434307</v>
      </c>
      <c r="C431" s="199" t="s">
        <v>7813</v>
      </c>
      <c r="D431" s="199">
        <v>183</v>
      </c>
      <c r="E431" s="199" t="s">
        <v>7444</v>
      </c>
      <c r="F431" s="199">
        <v>0</v>
      </c>
      <c r="G431" s="276">
        <v>45735</v>
      </c>
      <c r="H431" s="199">
        <v>2</v>
      </c>
      <c r="I431" s="199">
        <v>0</v>
      </c>
      <c r="J431" s="275">
        <v>1120</v>
      </c>
      <c r="K431" s="275">
        <v>1120</v>
      </c>
      <c r="L431" s="199" t="s">
        <v>7476</v>
      </c>
    </row>
    <row r="432" spans="1:12">
      <c r="A432" s="199" t="s">
        <v>7814</v>
      </c>
      <c r="C432" s="199" t="s">
        <v>7815</v>
      </c>
      <c r="D432" s="199">
        <v>1629</v>
      </c>
      <c r="E432" s="199" t="s">
        <v>7444</v>
      </c>
      <c r="F432" s="199">
        <v>0</v>
      </c>
      <c r="G432" s="276">
        <v>45692</v>
      </c>
      <c r="H432" s="199">
        <v>2</v>
      </c>
      <c r="I432" s="199">
        <v>0</v>
      </c>
      <c r="J432" s="199">
        <v>985</v>
      </c>
      <c r="K432" s="199">
        <v>960</v>
      </c>
      <c r="L432" s="199" t="s">
        <v>7213</v>
      </c>
    </row>
    <row r="433" spans="1:12">
      <c r="A433" s="200">
        <v>40210</v>
      </c>
      <c r="C433" s="199" t="s">
        <v>7816</v>
      </c>
      <c r="D433" s="199">
        <v>450</v>
      </c>
      <c r="E433" s="199" t="s">
        <v>7530</v>
      </c>
      <c r="F433" s="199">
        <v>62</v>
      </c>
      <c r="G433" s="276">
        <v>45838</v>
      </c>
      <c r="H433" s="199">
        <v>0</v>
      </c>
      <c r="I433" s="199">
        <v>0</v>
      </c>
      <c r="J433" s="199">
        <v>985</v>
      </c>
      <c r="K433" s="275">
        <v>1180</v>
      </c>
      <c r="L433" s="199" t="s">
        <v>7358</v>
      </c>
    </row>
    <row r="434" spans="1:12">
      <c r="A434" s="199">
        <v>3095</v>
      </c>
      <c r="C434" s="199" t="s">
        <v>7817</v>
      </c>
      <c r="D434" s="199">
        <v>387</v>
      </c>
      <c r="E434" s="199" t="s">
        <v>7444</v>
      </c>
      <c r="F434" s="199">
        <v>7</v>
      </c>
      <c r="G434" s="276">
        <v>45922</v>
      </c>
      <c r="H434" s="199">
        <v>5</v>
      </c>
      <c r="I434" s="199">
        <v>0</v>
      </c>
      <c r="J434" s="199">
        <v>965</v>
      </c>
      <c r="K434" s="199">
        <v>950</v>
      </c>
      <c r="L434" s="199" t="s">
        <v>7476</v>
      </c>
    </row>
    <row r="435" spans="1:12">
      <c r="A435" s="199" t="s">
        <v>7818</v>
      </c>
      <c r="C435" s="199" t="s">
        <v>7819</v>
      </c>
      <c r="D435" s="199">
        <v>1041</v>
      </c>
      <c r="E435" s="199" t="s">
        <v>7530</v>
      </c>
      <c r="F435" s="199">
        <v>63</v>
      </c>
      <c r="G435" s="276">
        <v>45782</v>
      </c>
      <c r="H435" s="199">
        <v>9</v>
      </c>
      <c r="I435" s="199">
        <v>0</v>
      </c>
      <c r="J435" s="199">
        <v>960</v>
      </c>
      <c r="K435" s="275">
        <v>1026</v>
      </c>
      <c r="L435" s="199" t="s">
        <v>7358</v>
      </c>
    </row>
    <row r="436" spans="1:12">
      <c r="A436" s="200">
        <v>42036</v>
      </c>
      <c r="C436" s="199" t="s">
        <v>7820</v>
      </c>
      <c r="D436" s="199">
        <v>1523</v>
      </c>
      <c r="E436" s="199" t="s">
        <v>7444</v>
      </c>
      <c r="F436" s="199">
        <v>0</v>
      </c>
      <c r="G436" s="276">
        <v>45840</v>
      </c>
      <c r="H436" s="199">
        <v>7</v>
      </c>
      <c r="I436" s="199">
        <v>0</v>
      </c>
      <c r="J436" s="275">
        <v>1620</v>
      </c>
      <c r="K436" s="275">
        <v>1383</v>
      </c>
      <c r="L436" s="199" t="s">
        <v>7476</v>
      </c>
    </row>
    <row r="437" spans="1:12">
      <c r="A437" s="200">
        <v>433211</v>
      </c>
      <c r="C437" s="199" t="s">
        <v>5759</v>
      </c>
      <c r="D437" s="199">
        <v>1434</v>
      </c>
      <c r="E437" s="199" t="s">
        <v>7530</v>
      </c>
      <c r="F437" s="199">
        <v>79</v>
      </c>
      <c r="G437" s="276">
        <v>45869</v>
      </c>
      <c r="H437" s="199">
        <v>8</v>
      </c>
      <c r="I437" s="199">
        <v>0</v>
      </c>
      <c r="J437" s="275">
        <v>1120</v>
      </c>
      <c r="K437" s="275">
        <v>1056</v>
      </c>
      <c r="L437" s="199" t="s">
        <v>7358</v>
      </c>
    </row>
    <row r="438" spans="1:12">
      <c r="A438" s="199" t="s">
        <v>7359</v>
      </c>
      <c r="C438" s="199" t="s">
        <v>7371</v>
      </c>
      <c r="D438" s="199">
        <v>1360</v>
      </c>
      <c r="E438" s="199" t="s">
        <v>7530</v>
      </c>
      <c r="F438" s="199">
        <v>67</v>
      </c>
      <c r="G438" s="276">
        <v>45809</v>
      </c>
      <c r="H438" s="199">
        <v>2</v>
      </c>
      <c r="I438" s="199">
        <v>0</v>
      </c>
      <c r="J438" s="275">
        <v>1135</v>
      </c>
      <c r="K438" s="275">
        <v>1090</v>
      </c>
      <c r="L438" s="199" t="s">
        <v>7423</v>
      </c>
    </row>
    <row r="439" spans="1:12">
      <c r="A439" s="199" t="s">
        <v>7319</v>
      </c>
      <c r="C439" s="199" t="s">
        <v>6054</v>
      </c>
      <c r="D439" s="199">
        <v>466</v>
      </c>
      <c r="E439" s="199" t="s">
        <v>7444</v>
      </c>
      <c r="F439" s="199">
        <v>0</v>
      </c>
      <c r="G439" s="276">
        <v>45950</v>
      </c>
      <c r="H439" s="199">
        <v>8</v>
      </c>
      <c r="I439" s="199">
        <v>0</v>
      </c>
      <c r="J439" s="199">
        <v>970</v>
      </c>
      <c r="K439" s="199">
        <v>970</v>
      </c>
      <c r="L439" s="199" t="s">
        <v>7476</v>
      </c>
    </row>
    <row r="440" spans="1:12">
      <c r="A440" s="199" t="s">
        <v>7821</v>
      </c>
      <c r="C440" s="199" t="s">
        <v>7822</v>
      </c>
      <c r="D440" s="199">
        <v>703</v>
      </c>
      <c r="E440" s="199" t="s">
        <v>7444</v>
      </c>
      <c r="F440" s="199">
        <v>0</v>
      </c>
      <c r="G440" s="276">
        <v>45684</v>
      </c>
      <c r="H440" s="199">
        <v>4</v>
      </c>
      <c r="I440" s="199">
        <v>0</v>
      </c>
      <c r="J440" s="275">
        <v>1455</v>
      </c>
      <c r="K440" s="275">
        <v>1405</v>
      </c>
      <c r="L440" s="199" t="s">
        <v>7476</v>
      </c>
    </row>
    <row r="441" spans="1:12">
      <c r="A441" s="199">
        <v>160</v>
      </c>
      <c r="C441" s="199" t="s">
        <v>7823</v>
      </c>
      <c r="D441" s="199">
        <v>916</v>
      </c>
      <c r="E441" s="199" t="s">
        <v>7530</v>
      </c>
      <c r="F441" s="199">
        <v>73</v>
      </c>
      <c r="G441" s="276">
        <v>45869</v>
      </c>
      <c r="H441" s="199">
        <v>0</v>
      </c>
      <c r="I441" s="199">
        <v>0</v>
      </c>
      <c r="J441" s="275">
        <v>1335</v>
      </c>
      <c r="K441" s="275">
        <v>1330</v>
      </c>
      <c r="L441" s="199" t="s">
        <v>7355</v>
      </c>
    </row>
    <row r="442" spans="1:12">
      <c r="A442" s="199" t="s">
        <v>7824</v>
      </c>
      <c r="C442" s="199" t="s">
        <v>7825</v>
      </c>
      <c r="D442" s="199">
        <v>1461</v>
      </c>
      <c r="E442" s="199" t="s">
        <v>7530</v>
      </c>
      <c r="F442" s="199">
        <v>90</v>
      </c>
      <c r="G442" s="276">
        <v>45870</v>
      </c>
      <c r="H442" s="199">
        <v>14</v>
      </c>
      <c r="I442" s="199">
        <v>0</v>
      </c>
      <c r="J442" s="275">
        <v>1395</v>
      </c>
      <c r="K442" s="275">
        <v>1395</v>
      </c>
      <c r="L442" s="199" t="s">
        <v>7630</v>
      </c>
    </row>
    <row r="443" spans="1:12">
      <c r="A443" s="199" t="s">
        <v>7826</v>
      </c>
      <c r="C443" s="199" t="s">
        <v>7827</v>
      </c>
      <c r="D443" s="199">
        <v>1357</v>
      </c>
      <c r="E443" s="199" t="s">
        <v>7530</v>
      </c>
      <c r="F443" s="199">
        <v>0</v>
      </c>
      <c r="G443" s="276">
        <v>45778</v>
      </c>
      <c r="H443" s="199">
        <v>4</v>
      </c>
      <c r="I443" s="199">
        <v>0</v>
      </c>
      <c r="J443" s="199">
        <v>985</v>
      </c>
      <c r="K443" s="275">
        <v>1173</v>
      </c>
      <c r="L443" s="199" t="s">
        <v>7476</v>
      </c>
    </row>
    <row r="444" spans="1:12">
      <c r="A444" s="199">
        <v>2040</v>
      </c>
      <c r="C444" s="199" t="s">
        <v>7828</v>
      </c>
      <c r="D444" s="199">
        <v>174</v>
      </c>
      <c r="E444" s="199" t="s">
        <v>7444</v>
      </c>
      <c r="F444" s="199">
        <v>0</v>
      </c>
      <c r="G444" s="276">
        <v>45684</v>
      </c>
      <c r="H444" s="199">
        <v>3</v>
      </c>
      <c r="I444" s="199">
        <v>0</v>
      </c>
      <c r="J444" s="199">
        <v>950</v>
      </c>
      <c r="K444" s="199">
        <v>990</v>
      </c>
      <c r="L444" s="199" t="s">
        <v>7476</v>
      </c>
    </row>
    <row r="445" spans="1:12">
      <c r="A445" s="199" t="s">
        <v>7509</v>
      </c>
      <c r="C445" s="199" t="s">
        <v>7829</v>
      </c>
      <c r="D445" s="199">
        <v>1461</v>
      </c>
      <c r="E445" s="199" t="s">
        <v>7530</v>
      </c>
      <c r="F445" s="199">
        <v>61</v>
      </c>
      <c r="G445" s="276">
        <v>45748</v>
      </c>
      <c r="H445" s="199">
        <v>1</v>
      </c>
      <c r="I445" s="199">
        <v>0</v>
      </c>
      <c r="J445" s="199">
        <v>995</v>
      </c>
      <c r="K445" s="275">
        <v>1165</v>
      </c>
      <c r="L445" s="199" t="s">
        <v>7358</v>
      </c>
    </row>
    <row r="446" spans="1:12">
      <c r="A446" s="199" t="s">
        <v>7830</v>
      </c>
      <c r="C446" s="199" t="s">
        <v>7831</v>
      </c>
      <c r="D446" s="199">
        <v>2650</v>
      </c>
      <c r="E446" s="199" t="s">
        <v>7530</v>
      </c>
      <c r="F446" s="199">
        <v>0</v>
      </c>
      <c r="G446" s="276">
        <v>45735</v>
      </c>
      <c r="H446" s="199">
        <v>14</v>
      </c>
      <c r="I446" s="199">
        <v>0</v>
      </c>
      <c r="J446" s="275">
        <v>1645</v>
      </c>
      <c r="K446" s="275">
        <v>1450</v>
      </c>
      <c r="L446" s="199" t="s">
        <v>1167</v>
      </c>
    </row>
    <row r="447" spans="1:12">
      <c r="A447" s="199" t="s">
        <v>7832</v>
      </c>
      <c r="C447" s="199" t="s">
        <v>7833</v>
      </c>
      <c r="D447" s="199">
        <v>1467</v>
      </c>
      <c r="E447" s="199" t="s">
        <v>7530</v>
      </c>
      <c r="F447" s="199">
        <v>117</v>
      </c>
      <c r="G447" s="276">
        <v>45748</v>
      </c>
      <c r="H447" s="199">
        <v>1</v>
      </c>
      <c r="I447" s="199">
        <v>0</v>
      </c>
      <c r="J447" s="199">
        <v>970</v>
      </c>
      <c r="K447" s="199">
        <v>989</v>
      </c>
      <c r="L447" s="199" t="s">
        <v>7358</v>
      </c>
    </row>
    <row r="448" spans="1:12">
      <c r="A448" s="199">
        <v>2089</v>
      </c>
      <c r="C448" s="199" t="s">
        <v>7834</v>
      </c>
      <c r="D448" s="199">
        <v>2138</v>
      </c>
      <c r="E448" s="199" t="s">
        <v>7530</v>
      </c>
      <c r="F448" s="199">
        <v>65</v>
      </c>
      <c r="G448" s="276">
        <v>45747</v>
      </c>
      <c r="H448" s="199">
        <v>1</v>
      </c>
      <c r="I448" s="199">
        <v>0</v>
      </c>
      <c r="J448" s="199">
        <v>955</v>
      </c>
      <c r="K448" s="199">
        <v>968</v>
      </c>
      <c r="L448" s="199" t="s">
        <v>7378</v>
      </c>
    </row>
    <row r="449" spans="1:12">
      <c r="A449" s="199" t="s">
        <v>7835</v>
      </c>
      <c r="C449" s="199" t="s">
        <v>7836</v>
      </c>
      <c r="D449" s="199">
        <v>1158</v>
      </c>
      <c r="E449" s="199" t="s">
        <v>7444</v>
      </c>
      <c r="F449" s="199">
        <v>59</v>
      </c>
      <c r="G449" s="276">
        <v>45990</v>
      </c>
      <c r="H449" s="199">
        <v>0</v>
      </c>
      <c r="I449" s="199">
        <v>0</v>
      </c>
      <c r="J449" s="199">
        <v>960</v>
      </c>
      <c r="K449" s="199">
        <v>995</v>
      </c>
      <c r="L449" s="199" t="s">
        <v>7355</v>
      </c>
    </row>
    <row r="450" spans="1:12">
      <c r="A450" s="199">
        <v>1102</v>
      </c>
      <c r="C450" s="199" t="s">
        <v>7837</v>
      </c>
      <c r="D450" s="199">
        <v>2402</v>
      </c>
      <c r="E450" s="199" t="s">
        <v>7530</v>
      </c>
      <c r="F450" s="199">
        <v>0</v>
      </c>
      <c r="G450" s="276">
        <v>45684</v>
      </c>
      <c r="H450" s="199">
        <v>2</v>
      </c>
      <c r="I450" s="199">
        <v>2</v>
      </c>
      <c r="J450" s="275">
        <v>1720</v>
      </c>
      <c r="K450" s="275">
        <v>1304</v>
      </c>
      <c r="L450" s="199" t="s">
        <v>7476</v>
      </c>
    </row>
    <row r="451" spans="1:12">
      <c r="A451" s="199" t="s">
        <v>7838</v>
      </c>
      <c r="C451" s="199" t="s">
        <v>7839</v>
      </c>
      <c r="D451" s="199">
        <v>218</v>
      </c>
      <c r="E451" s="199" t="s">
        <v>7444</v>
      </c>
      <c r="F451" s="199">
        <v>0</v>
      </c>
      <c r="G451" s="276">
        <v>45769</v>
      </c>
      <c r="H451" s="199">
        <v>4</v>
      </c>
      <c r="I451" s="199">
        <v>2</v>
      </c>
      <c r="J451" s="275">
        <v>1645</v>
      </c>
      <c r="K451" s="275">
        <v>1550</v>
      </c>
      <c r="L451" s="199" t="s">
        <v>7476</v>
      </c>
    </row>
    <row r="452" spans="1:12">
      <c r="A452" s="199" t="s">
        <v>7840</v>
      </c>
      <c r="C452" s="199" t="s">
        <v>7841</v>
      </c>
      <c r="D452" s="199">
        <v>426</v>
      </c>
      <c r="E452" s="199" t="s">
        <v>7530</v>
      </c>
      <c r="F452" s="199">
        <v>60</v>
      </c>
      <c r="G452" s="276">
        <v>45877</v>
      </c>
      <c r="H452" s="199">
        <v>1</v>
      </c>
      <c r="I452" s="199">
        <v>0</v>
      </c>
      <c r="J452" s="199">
        <v>955</v>
      </c>
      <c r="K452" s="275">
        <v>1020</v>
      </c>
      <c r="L452" s="199" t="s">
        <v>7355</v>
      </c>
    </row>
    <row r="453" spans="1:12">
      <c r="A453" s="199">
        <v>244</v>
      </c>
      <c r="C453" s="199" t="s">
        <v>7842</v>
      </c>
      <c r="D453" s="199">
        <v>1096</v>
      </c>
      <c r="E453" s="199" t="s">
        <v>7530</v>
      </c>
      <c r="F453" s="199">
        <v>70</v>
      </c>
      <c r="G453" s="276">
        <v>45992</v>
      </c>
      <c r="H453" s="199">
        <v>5</v>
      </c>
      <c r="I453" s="199">
        <v>1</v>
      </c>
      <c r="J453" s="275">
        <v>1565</v>
      </c>
      <c r="K453" s="275">
        <v>1517</v>
      </c>
      <c r="L453" s="199" t="s">
        <v>7355</v>
      </c>
    </row>
    <row r="454" spans="1:12">
      <c r="A454" s="199">
        <v>1104</v>
      </c>
      <c r="C454" s="199" t="s">
        <v>7843</v>
      </c>
      <c r="D454" s="199">
        <v>561</v>
      </c>
      <c r="E454" s="199" t="s">
        <v>7444</v>
      </c>
      <c r="F454" s="199">
        <v>0</v>
      </c>
      <c r="G454" s="276">
        <v>45944</v>
      </c>
      <c r="H454" s="199">
        <v>2</v>
      </c>
      <c r="I454" s="199">
        <v>0</v>
      </c>
      <c r="J454" s="275">
        <v>1720</v>
      </c>
      <c r="K454" s="275">
        <v>1460</v>
      </c>
      <c r="L454" s="199" t="s">
        <v>7476</v>
      </c>
    </row>
    <row r="455" spans="1:12">
      <c r="A455" s="199" t="s">
        <v>7521</v>
      </c>
      <c r="C455" s="199" t="s">
        <v>7844</v>
      </c>
      <c r="D455" s="199">
        <v>136</v>
      </c>
      <c r="E455" s="199" t="s">
        <v>7444</v>
      </c>
      <c r="F455" s="199">
        <v>0</v>
      </c>
      <c r="G455" s="276">
        <v>45708</v>
      </c>
      <c r="H455" s="199">
        <v>2</v>
      </c>
      <c r="I455" s="199">
        <v>0</v>
      </c>
      <c r="J455" s="199">
        <v>925</v>
      </c>
      <c r="K455" s="199">
        <v>0</v>
      </c>
      <c r="L455" s="199" t="s">
        <v>7476</v>
      </c>
    </row>
    <row r="456" spans="1:12">
      <c r="A456" s="199">
        <v>1018</v>
      </c>
      <c r="C456" s="199" t="s">
        <v>7845</v>
      </c>
      <c r="D456" s="199">
        <v>426</v>
      </c>
      <c r="E456" s="199" t="s">
        <v>7530</v>
      </c>
      <c r="F456" s="199">
        <v>63</v>
      </c>
      <c r="G456" s="276">
        <v>45908</v>
      </c>
      <c r="H456" s="199">
        <v>1</v>
      </c>
      <c r="I456" s="199">
        <v>0</v>
      </c>
      <c r="J456" s="199">
        <v>980</v>
      </c>
      <c r="K456" s="199">
        <v>950</v>
      </c>
      <c r="L456" s="199" t="s">
        <v>7355</v>
      </c>
    </row>
    <row r="457" spans="1:12">
      <c r="A457" s="200">
        <v>54455</v>
      </c>
      <c r="C457" s="199" t="s">
        <v>7846</v>
      </c>
      <c r="D457" s="199">
        <v>1773</v>
      </c>
      <c r="E457" s="199" t="s">
        <v>7444</v>
      </c>
      <c r="F457" s="199">
        <v>19</v>
      </c>
      <c r="G457" s="276">
        <v>45878</v>
      </c>
      <c r="H457" s="199">
        <v>2</v>
      </c>
      <c r="I457" s="199">
        <v>0</v>
      </c>
      <c r="J457" s="275">
        <v>1530</v>
      </c>
      <c r="K457" s="275">
        <v>1425</v>
      </c>
      <c r="L457" s="199" t="s">
        <v>7378</v>
      </c>
    </row>
    <row r="458" spans="1:12">
      <c r="A458" s="199">
        <v>162</v>
      </c>
      <c r="C458" s="199" t="s">
        <v>7847</v>
      </c>
      <c r="D458" s="199">
        <v>376</v>
      </c>
      <c r="E458" s="199" t="s">
        <v>7530</v>
      </c>
      <c r="F458" s="199">
        <v>0</v>
      </c>
      <c r="G458" s="276">
        <v>45973</v>
      </c>
      <c r="H458" s="199">
        <v>6</v>
      </c>
      <c r="I458" s="199">
        <v>2</v>
      </c>
      <c r="J458" s="275">
        <v>1148</v>
      </c>
      <c r="K458" s="275">
        <v>1377</v>
      </c>
      <c r="L458" s="199" t="s">
        <v>7476</v>
      </c>
    </row>
    <row r="459" spans="1:12">
      <c r="A459" s="199" t="s">
        <v>7848</v>
      </c>
      <c r="C459" s="199" t="s">
        <v>7849</v>
      </c>
      <c r="D459" s="199">
        <v>744</v>
      </c>
      <c r="E459" s="199" t="s">
        <v>7530</v>
      </c>
      <c r="F459" s="199">
        <v>68</v>
      </c>
      <c r="G459" s="276">
        <v>45809</v>
      </c>
      <c r="H459" s="199">
        <v>1</v>
      </c>
      <c r="I459" s="199">
        <v>0</v>
      </c>
      <c r="J459" s="275">
        <v>1620</v>
      </c>
      <c r="K459" s="275">
        <v>1500</v>
      </c>
      <c r="L459" s="199" t="s">
        <v>7355</v>
      </c>
    </row>
    <row r="460" spans="1:12">
      <c r="A460" s="199" t="s">
        <v>7850</v>
      </c>
      <c r="C460" s="199" t="s">
        <v>7851</v>
      </c>
      <c r="D460" s="199">
        <v>2004</v>
      </c>
      <c r="E460" s="199" t="s">
        <v>7530</v>
      </c>
      <c r="F460" s="199">
        <v>62</v>
      </c>
      <c r="G460" s="276">
        <v>45838</v>
      </c>
      <c r="H460" s="199">
        <v>0</v>
      </c>
      <c r="I460" s="199">
        <v>0</v>
      </c>
      <c r="J460" s="199">
        <v>925</v>
      </c>
      <c r="K460" s="199">
        <v>868</v>
      </c>
      <c r="L460" s="199" t="s">
        <v>7661</v>
      </c>
    </row>
    <row r="461" spans="1:12">
      <c r="A461" s="199" t="s">
        <v>7297</v>
      </c>
      <c r="C461" s="199" t="s">
        <v>7298</v>
      </c>
      <c r="D461" s="199">
        <v>2114</v>
      </c>
      <c r="E461" s="199" t="s">
        <v>7530</v>
      </c>
      <c r="F461" s="199">
        <v>10</v>
      </c>
      <c r="G461" s="276">
        <v>45967</v>
      </c>
      <c r="H461" s="199">
        <v>4</v>
      </c>
      <c r="I461" s="199">
        <v>0</v>
      </c>
      <c r="J461" s="275">
        <v>1380</v>
      </c>
      <c r="K461" s="275">
        <v>1231</v>
      </c>
      <c r="L461" s="199" t="s">
        <v>7423</v>
      </c>
    </row>
    <row r="462" spans="1:12">
      <c r="A462" s="199">
        <v>2105</v>
      </c>
      <c r="C462" s="199" t="s">
        <v>7852</v>
      </c>
      <c r="D462" s="199">
        <v>432</v>
      </c>
      <c r="E462" s="199" t="s">
        <v>7530</v>
      </c>
      <c r="F462" s="199">
        <v>78</v>
      </c>
      <c r="G462" s="276">
        <v>45951</v>
      </c>
      <c r="H462" s="199">
        <v>2</v>
      </c>
      <c r="I462" s="199">
        <v>0</v>
      </c>
      <c r="J462" s="275">
        <v>1650</v>
      </c>
      <c r="K462" s="275">
        <v>1485</v>
      </c>
      <c r="L462" s="199" t="s">
        <v>7423</v>
      </c>
    </row>
    <row r="463" spans="1:12">
      <c r="A463" s="199" t="s">
        <v>7853</v>
      </c>
      <c r="C463" s="199" t="s">
        <v>7854</v>
      </c>
      <c r="D463" s="199">
        <v>316</v>
      </c>
      <c r="E463" s="199" t="s">
        <v>7444</v>
      </c>
      <c r="F463" s="199">
        <v>0</v>
      </c>
      <c r="G463" s="276">
        <v>45948</v>
      </c>
      <c r="H463" s="199">
        <v>2</v>
      </c>
      <c r="I463" s="199">
        <v>0</v>
      </c>
      <c r="J463" s="199">
        <v>915</v>
      </c>
      <c r="K463" s="199">
        <v>915</v>
      </c>
      <c r="L463" s="199" t="s">
        <v>7476</v>
      </c>
    </row>
    <row r="464" spans="1:12">
      <c r="A464" s="199">
        <v>435</v>
      </c>
      <c r="C464" s="199" t="s">
        <v>7855</v>
      </c>
      <c r="D464" s="199">
        <v>426</v>
      </c>
      <c r="E464" s="199" t="s">
        <v>7530</v>
      </c>
      <c r="F464" s="199">
        <v>62</v>
      </c>
      <c r="G464" s="276">
        <v>45930</v>
      </c>
      <c r="H464" s="199">
        <v>0</v>
      </c>
      <c r="I464" s="199">
        <v>0</v>
      </c>
      <c r="J464" s="275">
        <v>1720</v>
      </c>
      <c r="K464" s="275">
        <v>1665</v>
      </c>
      <c r="L464" s="199" t="s">
        <v>7856</v>
      </c>
    </row>
    <row r="465" spans="1:12">
      <c r="A465" s="199" t="s">
        <v>7857</v>
      </c>
      <c r="C465" s="199" t="s">
        <v>5768</v>
      </c>
      <c r="D465" s="199">
        <v>379</v>
      </c>
      <c r="E465" s="199" t="s">
        <v>7444</v>
      </c>
      <c r="F465" s="199">
        <v>0</v>
      </c>
      <c r="G465" s="276">
        <v>45986</v>
      </c>
      <c r="H465" s="199">
        <v>6</v>
      </c>
      <c r="I465" s="199">
        <v>0</v>
      </c>
      <c r="J465" s="199">
        <v>955</v>
      </c>
      <c r="K465" s="199">
        <v>955</v>
      </c>
      <c r="L465" s="199" t="s">
        <v>7476</v>
      </c>
    </row>
    <row r="466" spans="1:12">
      <c r="A466" s="200">
        <v>63951</v>
      </c>
      <c r="C466" s="199" t="s">
        <v>7858</v>
      </c>
      <c r="D466" s="199">
        <v>723</v>
      </c>
      <c r="E466" s="199" t="s">
        <v>7530</v>
      </c>
      <c r="F466" s="199">
        <v>63</v>
      </c>
      <c r="G466" s="276">
        <v>45689</v>
      </c>
      <c r="H466" s="199">
        <v>0</v>
      </c>
      <c r="I466" s="199">
        <v>0</v>
      </c>
      <c r="J466" s="275">
        <v>1595</v>
      </c>
      <c r="K466" s="275">
        <v>1455</v>
      </c>
      <c r="L466" s="199" t="s">
        <v>7355</v>
      </c>
    </row>
    <row r="467" spans="1:12">
      <c r="A467" s="199" t="s">
        <v>7509</v>
      </c>
      <c r="C467" s="199" t="s">
        <v>7859</v>
      </c>
      <c r="D467" s="199">
        <v>115</v>
      </c>
      <c r="E467" s="199" t="s">
        <v>7444</v>
      </c>
      <c r="F467" s="199">
        <v>0</v>
      </c>
      <c r="G467" s="276">
        <v>45877</v>
      </c>
      <c r="H467" s="199">
        <v>4</v>
      </c>
      <c r="I467" s="199">
        <v>0</v>
      </c>
      <c r="J467" s="199">
        <v>995</v>
      </c>
      <c r="K467" s="275">
        <v>1090</v>
      </c>
      <c r="L467" s="199" t="s">
        <v>7476</v>
      </c>
    </row>
    <row r="468" spans="1:12">
      <c r="A468" s="199" t="s">
        <v>7860</v>
      </c>
      <c r="C468" s="199" t="s">
        <v>5946</v>
      </c>
      <c r="D468" s="199">
        <v>281</v>
      </c>
      <c r="E468" s="199" t="s">
        <v>7444</v>
      </c>
      <c r="F468" s="199">
        <v>0</v>
      </c>
      <c r="G468" s="276">
        <v>45877</v>
      </c>
      <c r="H468" s="199">
        <v>3</v>
      </c>
      <c r="I468" s="199">
        <v>1</v>
      </c>
      <c r="J468" s="199">
        <v>925</v>
      </c>
      <c r="K468" s="199">
        <v>925</v>
      </c>
      <c r="L468" s="199" t="s">
        <v>7476</v>
      </c>
    </row>
    <row r="469" spans="1:12">
      <c r="A469" s="200">
        <v>70160</v>
      </c>
      <c r="C469" s="199" t="s">
        <v>5900</v>
      </c>
      <c r="D469" s="199">
        <v>399</v>
      </c>
      <c r="E469" s="199" t="s">
        <v>7444</v>
      </c>
      <c r="F469" s="199">
        <v>0</v>
      </c>
      <c r="G469" s="276">
        <v>45986</v>
      </c>
      <c r="H469" s="199">
        <v>5</v>
      </c>
      <c r="I469" s="199">
        <v>0</v>
      </c>
      <c r="J469" s="275">
        <v>1065</v>
      </c>
      <c r="K469" s="275">
        <v>1160</v>
      </c>
      <c r="L469" s="199" t="s">
        <v>7476</v>
      </c>
    </row>
    <row r="470" spans="1:12">
      <c r="A470" s="199">
        <v>1100</v>
      </c>
      <c r="C470" s="199" t="s">
        <v>7861</v>
      </c>
      <c r="D470" s="199">
        <v>317</v>
      </c>
      <c r="E470" s="199" t="s">
        <v>7444</v>
      </c>
      <c r="F470" s="199">
        <v>0</v>
      </c>
      <c r="G470" s="276">
        <v>45684</v>
      </c>
      <c r="H470" s="199">
        <v>9</v>
      </c>
      <c r="I470" s="199">
        <v>1</v>
      </c>
      <c r="J470" s="275">
        <v>1675</v>
      </c>
      <c r="K470" s="275">
        <v>1485</v>
      </c>
      <c r="L470" s="199" t="s">
        <v>7476</v>
      </c>
    </row>
    <row r="471" spans="1:12">
      <c r="A471" s="199">
        <v>1022</v>
      </c>
      <c r="C471" s="199" t="s">
        <v>7862</v>
      </c>
      <c r="D471" s="199">
        <v>459</v>
      </c>
      <c r="E471" s="199" t="s">
        <v>7444</v>
      </c>
      <c r="F471" s="199">
        <v>0</v>
      </c>
      <c r="G471" s="276">
        <v>45751</v>
      </c>
      <c r="H471" s="199">
        <v>3</v>
      </c>
      <c r="I471" s="199">
        <v>0</v>
      </c>
      <c r="J471" s="275">
        <v>1675</v>
      </c>
      <c r="K471" s="275">
        <v>1590</v>
      </c>
      <c r="L471" s="199" t="s">
        <v>7476</v>
      </c>
    </row>
    <row r="472" spans="1:12">
      <c r="A472" s="199">
        <v>204</v>
      </c>
      <c r="C472" s="199" t="s">
        <v>7863</v>
      </c>
      <c r="D472" s="199">
        <v>364</v>
      </c>
      <c r="E472" s="199" t="s">
        <v>7530</v>
      </c>
      <c r="F472" s="199">
        <v>67</v>
      </c>
      <c r="G472" s="276">
        <v>45793</v>
      </c>
      <c r="H472" s="199">
        <v>1</v>
      </c>
      <c r="I472" s="199">
        <v>0</v>
      </c>
      <c r="J472" s="199">
        <v>980</v>
      </c>
      <c r="K472" s="275">
        <v>1115</v>
      </c>
      <c r="L472" s="199" t="s">
        <v>7355</v>
      </c>
    </row>
    <row r="473" spans="1:12">
      <c r="A473" s="199">
        <v>1101</v>
      </c>
      <c r="C473" s="199" t="s">
        <v>7864</v>
      </c>
      <c r="D473" s="199">
        <v>432</v>
      </c>
      <c r="E473" s="199" t="s">
        <v>7530</v>
      </c>
      <c r="F473" s="199">
        <v>0</v>
      </c>
      <c r="G473" s="276">
        <v>45967</v>
      </c>
      <c r="H473" s="199">
        <v>13</v>
      </c>
      <c r="I473" s="199">
        <v>0</v>
      </c>
      <c r="J473" s="275">
        <v>1675</v>
      </c>
      <c r="K473" s="275">
        <v>1675</v>
      </c>
      <c r="L473" s="199" t="s">
        <v>7476</v>
      </c>
    </row>
    <row r="474" spans="1:12">
      <c r="A474" s="199">
        <v>2021</v>
      </c>
      <c r="C474" s="199" t="s">
        <v>7865</v>
      </c>
      <c r="D474" s="199">
        <v>1488</v>
      </c>
      <c r="E474" s="199" t="s">
        <v>7530</v>
      </c>
      <c r="F474" s="199">
        <v>62</v>
      </c>
      <c r="G474" s="276">
        <v>45747</v>
      </c>
      <c r="H474" s="199">
        <v>1</v>
      </c>
      <c r="I474" s="199">
        <v>2</v>
      </c>
      <c r="J474" s="199">
        <v>910</v>
      </c>
      <c r="K474" s="199">
        <v>870</v>
      </c>
      <c r="L474" s="199" t="s">
        <v>7358</v>
      </c>
    </row>
    <row r="475" spans="1:12">
      <c r="A475" s="199" t="s">
        <v>7866</v>
      </c>
      <c r="C475" s="199" t="s">
        <v>7867</v>
      </c>
      <c r="D475" s="199">
        <v>389</v>
      </c>
      <c r="E475" s="199" t="s">
        <v>7444</v>
      </c>
      <c r="F475" s="199">
        <v>0</v>
      </c>
      <c r="G475" s="276">
        <v>45986</v>
      </c>
      <c r="H475" s="199">
        <v>6</v>
      </c>
      <c r="I475" s="199">
        <v>3</v>
      </c>
      <c r="J475" s="199">
        <v>970</v>
      </c>
      <c r="K475" s="199">
        <v>970</v>
      </c>
      <c r="L475" s="199" t="s">
        <v>7476</v>
      </c>
    </row>
    <row r="476" spans="1:12">
      <c r="A476" s="199">
        <v>2084</v>
      </c>
      <c r="C476" s="199" t="s">
        <v>7868</v>
      </c>
      <c r="D476" s="199">
        <v>396</v>
      </c>
      <c r="E476" s="199" t="s">
        <v>7530</v>
      </c>
      <c r="F476" s="199">
        <v>130</v>
      </c>
      <c r="G476" s="276">
        <v>45717</v>
      </c>
      <c r="H476" s="199">
        <v>2</v>
      </c>
      <c r="I476" s="199">
        <v>0</v>
      </c>
      <c r="J476" s="275">
        <v>1650</v>
      </c>
      <c r="K476" s="199">
        <v>0</v>
      </c>
      <c r="L476" s="199" t="s">
        <v>7869</v>
      </c>
    </row>
    <row r="477" spans="1:12">
      <c r="A477" s="199">
        <v>1057</v>
      </c>
      <c r="C477" s="199" t="s">
        <v>7870</v>
      </c>
      <c r="D477" s="199">
        <v>1489</v>
      </c>
      <c r="E477" s="199" t="s">
        <v>7530</v>
      </c>
      <c r="F477" s="199">
        <v>38</v>
      </c>
      <c r="G477" s="276">
        <v>45837</v>
      </c>
      <c r="H477" s="199">
        <v>2</v>
      </c>
      <c r="I477" s="199">
        <v>0</v>
      </c>
      <c r="J477" s="275">
        <v>1155</v>
      </c>
      <c r="K477" s="275">
        <v>1081</v>
      </c>
      <c r="L477" s="199" t="s">
        <v>7358</v>
      </c>
    </row>
    <row r="478" spans="1:12">
      <c r="A478" s="199">
        <v>169</v>
      </c>
      <c r="C478" s="199" t="s">
        <v>7871</v>
      </c>
      <c r="D478" s="199">
        <v>428</v>
      </c>
      <c r="E478" s="199" t="s">
        <v>7530</v>
      </c>
      <c r="F478" s="199">
        <v>33</v>
      </c>
      <c r="G478" s="276">
        <v>45689</v>
      </c>
      <c r="H478" s="199">
        <v>2</v>
      </c>
      <c r="I478" s="199">
        <v>0</v>
      </c>
      <c r="J478" s="275">
        <v>2000</v>
      </c>
      <c r="K478" s="275">
        <v>1895</v>
      </c>
      <c r="L478" s="199" t="s">
        <v>7630</v>
      </c>
    </row>
    <row r="479" spans="1:12">
      <c r="A479" s="199" t="s">
        <v>7872</v>
      </c>
      <c r="C479" s="199" t="s">
        <v>7873</v>
      </c>
      <c r="D479" s="199">
        <v>1098</v>
      </c>
      <c r="E479" s="199" t="s">
        <v>7530</v>
      </c>
      <c r="F479" s="199">
        <v>61</v>
      </c>
      <c r="G479" s="276">
        <v>45782</v>
      </c>
      <c r="H479" s="199">
        <v>5</v>
      </c>
      <c r="I479" s="199">
        <v>0</v>
      </c>
      <c r="J479" s="275">
        <v>1455</v>
      </c>
      <c r="K479" s="275">
        <v>1303</v>
      </c>
      <c r="L479" s="199" t="s">
        <v>7358</v>
      </c>
    </row>
    <row r="480" spans="1:12">
      <c r="A480" s="199" t="s">
        <v>7399</v>
      </c>
      <c r="C480" s="199" t="s">
        <v>7874</v>
      </c>
      <c r="D480" s="199">
        <v>263</v>
      </c>
      <c r="E480" s="199" t="s">
        <v>7444</v>
      </c>
      <c r="F480" s="199">
        <v>0</v>
      </c>
      <c r="G480" s="276">
        <v>45944</v>
      </c>
      <c r="H480" s="199">
        <v>7</v>
      </c>
      <c r="I480" s="199">
        <v>0</v>
      </c>
      <c r="J480" s="275">
        <v>1410</v>
      </c>
      <c r="K480" s="275">
        <v>1410</v>
      </c>
      <c r="L480" s="199" t="s">
        <v>7476</v>
      </c>
    </row>
    <row r="481" spans="1:12">
      <c r="A481" s="199" t="s">
        <v>7346</v>
      </c>
      <c r="C481" s="199" t="s">
        <v>5787</v>
      </c>
      <c r="D481" s="199">
        <v>533</v>
      </c>
      <c r="E481" s="199" t="s">
        <v>7530</v>
      </c>
      <c r="F481" s="199">
        <v>0</v>
      </c>
      <c r="G481" s="276">
        <v>45891</v>
      </c>
      <c r="H481" s="199">
        <v>4</v>
      </c>
      <c r="I481" s="199">
        <v>0</v>
      </c>
      <c r="J481" s="199">
        <v>905</v>
      </c>
      <c r="K481" s="199">
        <v>980</v>
      </c>
      <c r="L481" s="199" t="s">
        <v>7476</v>
      </c>
    </row>
    <row r="482" spans="1:12">
      <c r="A482" s="199">
        <v>1009</v>
      </c>
      <c r="C482" s="199" t="s">
        <v>7875</v>
      </c>
      <c r="D482" s="199">
        <v>1704</v>
      </c>
      <c r="E482" s="199" t="s">
        <v>7530</v>
      </c>
      <c r="F482" s="199">
        <v>63</v>
      </c>
      <c r="G482" s="276">
        <v>45869</v>
      </c>
      <c r="H482" s="199">
        <v>1</v>
      </c>
      <c r="I482" s="199">
        <v>1</v>
      </c>
      <c r="J482" s="275">
        <v>1200</v>
      </c>
      <c r="K482" s="275">
        <v>1300</v>
      </c>
      <c r="L482" s="199" t="s">
        <v>7630</v>
      </c>
    </row>
    <row r="483" spans="1:12">
      <c r="A483" s="200">
        <v>48611</v>
      </c>
      <c r="C483" s="199" t="s">
        <v>7876</v>
      </c>
      <c r="D483" s="199">
        <v>188</v>
      </c>
      <c r="E483" s="199" t="s">
        <v>7444</v>
      </c>
      <c r="F483" s="199">
        <v>94</v>
      </c>
      <c r="G483" s="276">
        <v>45660</v>
      </c>
      <c r="H483" s="199">
        <v>0</v>
      </c>
      <c r="I483" s="199">
        <v>1</v>
      </c>
      <c r="J483" s="275">
        <v>1065</v>
      </c>
      <c r="K483" s="275">
        <v>1200</v>
      </c>
      <c r="L483" s="199" t="s">
        <v>7630</v>
      </c>
    </row>
    <row r="484" spans="1:12">
      <c r="A484" s="200">
        <v>67604</v>
      </c>
      <c r="C484" s="199" t="s">
        <v>7877</v>
      </c>
      <c r="D484" s="199">
        <v>426</v>
      </c>
      <c r="E484" s="199" t="s">
        <v>7530</v>
      </c>
      <c r="F484" s="199">
        <v>59</v>
      </c>
      <c r="G484" s="276">
        <v>45736</v>
      </c>
      <c r="H484" s="199">
        <v>0</v>
      </c>
      <c r="I484" s="199">
        <v>0</v>
      </c>
      <c r="J484" s="275">
        <v>1065</v>
      </c>
      <c r="K484" s="275">
        <v>1250</v>
      </c>
      <c r="L484" s="199" t="s">
        <v>7355</v>
      </c>
    </row>
    <row r="485" spans="1:12">
      <c r="A485" s="200">
        <v>44228</v>
      </c>
      <c r="C485" s="199" t="s">
        <v>7878</v>
      </c>
      <c r="D485" s="199">
        <v>731</v>
      </c>
      <c r="E485" s="199" t="s">
        <v>7530</v>
      </c>
      <c r="F485" s="199">
        <v>102</v>
      </c>
      <c r="G485" s="276">
        <v>45689</v>
      </c>
      <c r="H485" s="199">
        <v>2</v>
      </c>
      <c r="I485" s="199">
        <v>0</v>
      </c>
      <c r="J485" s="275">
        <v>1550</v>
      </c>
      <c r="K485" s="275">
        <v>1545</v>
      </c>
      <c r="L485" s="199" t="s">
        <v>7661</v>
      </c>
    </row>
    <row r="486" spans="1:12">
      <c r="A486" s="199" t="s">
        <v>7327</v>
      </c>
      <c r="C486" s="199" t="s">
        <v>5953</v>
      </c>
      <c r="D486" s="199">
        <v>426</v>
      </c>
      <c r="E486" s="199" t="s">
        <v>7530</v>
      </c>
      <c r="F486" s="199">
        <v>79</v>
      </c>
      <c r="G486" s="276">
        <v>45868</v>
      </c>
      <c r="H486" s="199">
        <v>0</v>
      </c>
      <c r="I486" s="199">
        <v>0</v>
      </c>
      <c r="J486" s="199">
        <v>980</v>
      </c>
      <c r="K486" s="275">
        <v>1125</v>
      </c>
      <c r="L486" s="199" t="s">
        <v>7661</v>
      </c>
    </row>
    <row r="487" spans="1:12">
      <c r="A487" s="199" t="s">
        <v>7879</v>
      </c>
      <c r="C487" s="199" t="s">
        <v>5983</v>
      </c>
      <c r="D487" s="199">
        <v>526</v>
      </c>
      <c r="E487" s="199" t="s">
        <v>7444</v>
      </c>
      <c r="F487" s="199">
        <v>0</v>
      </c>
      <c r="G487" s="276">
        <v>45951</v>
      </c>
      <c r="H487" s="199">
        <v>3</v>
      </c>
      <c r="I487" s="199">
        <v>0</v>
      </c>
      <c r="J487" s="199">
        <v>910</v>
      </c>
      <c r="K487" s="199">
        <v>940</v>
      </c>
      <c r="L487" s="199" t="s">
        <v>7476</v>
      </c>
    </row>
    <row r="488" spans="1:12">
      <c r="A488" s="199">
        <v>104</v>
      </c>
      <c r="C488" s="199" t="s">
        <v>7880</v>
      </c>
      <c r="D488" s="199">
        <v>375</v>
      </c>
      <c r="E488" s="199" t="s">
        <v>7530</v>
      </c>
      <c r="F488" s="199">
        <v>90</v>
      </c>
      <c r="G488" s="276">
        <v>45717</v>
      </c>
      <c r="H488" s="199">
        <v>2</v>
      </c>
      <c r="I488" s="199">
        <v>0</v>
      </c>
      <c r="J488" s="275">
        <v>1005</v>
      </c>
      <c r="K488" s="275">
        <v>1140</v>
      </c>
      <c r="L488" s="199" t="s">
        <v>7355</v>
      </c>
    </row>
    <row r="489" spans="1:12">
      <c r="A489" s="200">
        <v>427002</v>
      </c>
      <c r="C489" s="199" t="s">
        <v>7881</v>
      </c>
      <c r="D489" s="199">
        <v>1075</v>
      </c>
      <c r="E489" s="199" t="s">
        <v>7444</v>
      </c>
      <c r="F489" s="199">
        <v>0</v>
      </c>
      <c r="G489" s="276">
        <v>45839</v>
      </c>
      <c r="H489" s="199">
        <v>2</v>
      </c>
      <c r="I489" s="199">
        <v>0</v>
      </c>
      <c r="J489" s="275">
        <v>1585</v>
      </c>
      <c r="K489" s="275">
        <v>1468</v>
      </c>
      <c r="L489" s="199" t="s">
        <v>7476</v>
      </c>
    </row>
    <row r="490" spans="1:12">
      <c r="A490" s="199" t="s">
        <v>7882</v>
      </c>
      <c r="C490" s="199" t="s">
        <v>7883</v>
      </c>
      <c r="D490" s="199">
        <v>213</v>
      </c>
      <c r="E490" s="199" t="s">
        <v>7444</v>
      </c>
      <c r="F490" s="199">
        <v>0</v>
      </c>
      <c r="G490" s="276">
        <v>45761</v>
      </c>
      <c r="H490" s="199">
        <v>2</v>
      </c>
      <c r="I490" s="199">
        <v>1</v>
      </c>
      <c r="J490" s="199">
        <v>970</v>
      </c>
      <c r="K490" s="199">
        <v>0</v>
      </c>
      <c r="L490" s="199" t="s">
        <v>7476</v>
      </c>
    </row>
    <row r="491" spans="1:12">
      <c r="A491" s="199" t="s">
        <v>7430</v>
      </c>
      <c r="C491" s="199" t="s">
        <v>7884</v>
      </c>
      <c r="D491" s="199">
        <v>175</v>
      </c>
      <c r="E491" s="199" t="s">
        <v>7444</v>
      </c>
      <c r="F491" s="199">
        <v>0</v>
      </c>
      <c r="G491" s="276">
        <v>45877</v>
      </c>
      <c r="H491" s="199">
        <v>2</v>
      </c>
      <c r="I491" s="199">
        <v>0</v>
      </c>
      <c r="J491" s="199">
        <v>848</v>
      </c>
      <c r="K491" s="199">
        <v>848</v>
      </c>
      <c r="L491" s="199" t="s">
        <v>7476</v>
      </c>
    </row>
    <row r="492" spans="1:12">
      <c r="A492" s="199" t="s">
        <v>7885</v>
      </c>
      <c r="C492" s="199" t="s">
        <v>7886</v>
      </c>
      <c r="D492" s="199">
        <v>823</v>
      </c>
      <c r="E492" s="199" t="s">
        <v>7530</v>
      </c>
      <c r="F492" s="199">
        <v>63</v>
      </c>
      <c r="G492" s="276">
        <v>45901</v>
      </c>
      <c r="H492" s="199">
        <v>2</v>
      </c>
      <c r="I492" s="199">
        <v>0</v>
      </c>
      <c r="J492" s="199">
        <v>970</v>
      </c>
      <c r="K492" s="275">
        <v>1155</v>
      </c>
      <c r="L492" s="199" t="s">
        <v>7355</v>
      </c>
    </row>
    <row r="493" spans="1:12">
      <c r="A493" s="199" t="s">
        <v>7887</v>
      </c>
      <c r="C493" s="199" t="s">
        <v>7888</v>
      </c>
      <c r="D493" s="199">
        <v>1095</v>
      </c>
      <c r="E493" s="199" t="s">
        <v>7530</v>
      </c>
      <c r="F493" s="199">
        <v>62</v>
      </c>
      <c r="G493" s="276">
        <v>45869</v>
      </c>
      <c r="H493" s="199">
        <v>0</v>
      </c>
      <c r="I493" s="199">
        <v>0</v>
      </c>
      <c r="J493" s="199">
        <v>950</v>
      </c>
      <c r="K493" s="275">
        <v>1014</v>
      </c>
      <c r="L493" s="199" t="s">
        <v>7378</v>
      </c>
    </row>
    <row r="494" spans="1:12">
      <c r="A494" s="199">
        <v>159</v>
      </c>
      <c r="C494" s="199" t="s">
        <v>7889</v>
      </c>
      <c r="D494" s="199">
        <v>257</v>
      </c>
      <c r="E494" s="199" t="s">
        <v>7444</v>
      </c>
      <c r="F494" s="199">
        <v>0</v>
      </c>
      <c r="G494" s="276">
        <v>45973</v>
      </c>
      <c r="H494" s="199">
        <v>8</v>
      </c>
      <c r="I494" s="199">
        <v>1</v>
      </c>
      <c r="J494" s="275">
        <v>1335</v>
      </c>
      <c r="K494" s="275">
        <v>1252</v>
      </c>
      <c r="L494" s="199" t="s">
        <v>7476</v>
      </c>
    </row>
    <row r="495" spans="1:12">
      <c r="A495" s="199">
        <v>1084</v>
      </c>
      <c r="C495" s="199" t="s">
        <v>7890</v>
      </c>
      <c r="D495" s="199">
        <v>1096</v>
      </c>
      <c r="E495" s="199" t="s">
        <v>7444</v>
      </c>
      <c r="F495" s="199">
        <v>66</v>
      </c>
      <c r="G495" s="276">
        <v>45689</v>
      </c>
      <c r="H495" s="199">
        <v>0</v>
      </c>
      <c r="I495" s="199">
        <v>0</v>
      </c>
      <c r="J495" s="275">
        <v>1675</v>
      </c>
      <c r="K495" s="275">
        <v>1635</v>
      </c>
      <c r="L495" s="199" t="s">
        <v>7389</v>
      </c>
    </row>
    <row r="496" spans="1:12">
      <c r="A496" s="199">
        <v>432</v>
      </c>
      <c r="C496" s="199" t="s">
        <v>7891</v>
      </c>
      <c r="D496" s="199">
        <v>913</v>
      </c>
      <c r="E496" s="199" t="s">
        <v>7530</v>
      </c>
      <c r="F496" s="199">
        <v>69</v>
      </c>
      <c r="G496" s="276">
        <v>45809</v>
      </c>
      <c r="H496" s="199">
        <v>1</v>
      </c>
      <c r="I496" s="199">
        <v>0</v>
      </c>
      <c r="J496" s="275">
        <v>1720</v>
      </c>
      <c r="K496" s="275">
        <v>1625</v>
      </c>
      <c r="L496" s="199" t="s">
        <v>7378</v>
      </c>
    </row>
    <row r="497" spans="1:12">
      <c r="A497" s="199">
        <v>1038</v>
      </c>
      <c r="C497" s="199" t="s">
        <v>7892</v>
      </c>
      <c r="D497" s="199">
        <v>244</v>
      </c>
      <c r="E497" s="199" t="s">
        <v>7444</v>
      </c>
      <c r="F497" s="199">
        <v>10</v>
      </c>
      <c r="G497" s="276">
        <v>45904</v>
      </c>
      <c r="H497" s="199">
        <v>7</v>
      </c>
      <c r="I497" s="199">
        <v>0</v>
      </c>
      <c r="J497" s="199">
        <v>844</v>
      </c>
      <c r="K497" s="199">
        <v>844</v>
      </c>
      <c r="L497" s="199" t="s">
        <v>7476</v>
      </c>
    </row>
    <row r="498" spans="1:12">
      <c r="A498" s="199" t="s">
        <v>7893</v>
      </c>
      <c r="C498" s="199" t="s">
        <v>7894</v>
      </c>
      <c r="D498" s="199">
        <v>363</v>
      </c>
      <c r="E498" s="199" t="s">
        <v>7444</v>
      </c>
      <c r="F498" s="199">
        <v>60</v>
      </c>
      <c r="G498" s="276">
        <v>45975</v>
      </c>
      <c r="H498" s="199">
        <v>1</v>
      </c>
      <c r="I498" s="199">
        <v>0</v>
      </c>
      <c r="J498" s="275">
        <v>1409</v>
      </c>
      <c r="K498" s="275">
        <v>1409</v>
      </c>
      <c r="L498" s="199" t="s">
        <v>7355</v>
      </c>
    </row>
    <row r="499" spans="1:12">
      <c r="A499" s="199" t="s">
        <v>7895</v>
      </c>
      <c r="C499" s="199" t="s">
        <v>7896</v>
      </c>
      <c r="D499" s="199">
        <v>591</v>
      </c>
      <c r="E499" s="199" t="s">
        <v>7530</v>
      </c>
      <c r="F499" s="199">
        <v>0</v>
      </c>
      <c r="G499" s="276">
        <v>45909</v>
      </c>
      <c r="H499" s="199">
        <v>5</v>
      </c>
      <c r="I499" s="199">
        <v>0</v>
      </c>
      <c r="J499" s="275">
        <v>1455</v>
      </c>
      <c r="K499" s="275">
        <v>1455</v>
      </c>
      <c r="L499" s="199" t="s">
        <v>7476</v>
      </c>
    </row>
    <row r="500" spans="1:12">
      <c r="A500" s="199">
        <v>1041</v>
      </c>
      <c r="C500" s="199" t="s">
        <v>7897</v>
      </c>
      <c r="D500" s="199">
        <v>832</v>
      </c>
      <c r="E500" s="199" t="s">
        <v>7444</v>
      </c>
      <c r="F500" s="199">
        <v>0</v>
      </c>
      <c r="G500" s="276">
        <v>45772</v>
      </c>
      <c r="H500" s="199">
        <v>1</v>
      </c>
      <c r="I500" s="199">
        <v>0</v>
      </c>
      <c r="J500" s="199">
        <v>965</v>
      </c>
      <c r="K500" s="275">
        <v>1057</v>
      </c>
      <c r="L500" s="199" t="s">
        <v>7358</v>
      </c>
    </row>
    <row r="501" spans="1:12">
      <c r="A501" s="200">
        <v>54089</v>
      </c>
      <c r="C501" s="199" t="s">
        <v>7898</v>
      </c>
      <c r="D501" s="199">
        <v>1247</v>
      </c>
      <c r="E501" s="199" t="s">
        <v>7444</v>
      </c>
      <c r="F501" s="199">
        <v>0</v>
      </c>
      <c r="G501" s="276">
        <v>45791</v>
      </c>
      <c r="H501" s="199">
        <v>0</v>
      </c>
      <c r="I501" s="199">
        <v>0</v>
      </c>
      <c r="J501" s="275">
        <v>1575</v>
      </c>
      <c r="K501" s="275">
        <v>1351</v>
      </c>
      <c r="L501" s="199" t="s">
        <v>7378</v>
      </c>
    </row>
    <row r="502" spans="1:12">
      <c r="A502" s="200">
        <v>50437</v>
      </c>
      <c r="C502" s="199" t="s">
        <v>7899</v>
      </c>
      <c r="D502" s="199">
        <v>425</v>
      </c>
      <c r="E502" s="199" t="s">
        <v>7530</v>
      </c>
      <c r="F502" s="199">
        <v>64</v>
      </c>
      <c r="G502" s="276">
        <v>45791</v>
      </c>
      <c r="H502" s="199">
        <v>3</v>
      </c>
      <c r="I502" s="199">
        <v>0</v>
      </c>
      <c r="J502" s="275">
        <v>1065</v>
      </c>
      <c r="K502" s="275">
        <v>1200</v>
      </c>
      <c r="L502" s="199" t="s">
        <v>7368</v>
      </c>
    </row>
    <row r="503" spans="1:12">
      <c r="A503" s="200">
        <v>39845</v>
      </c>
      <c r="C503" s="199" t="s">
        <v>7900</v>
      </c>
      <c r="D503" s="199">
        <v>527</v>
      </c>
      <c r="E503" s="199" t="s">
        <v>7444</v>
      </c>
      <c r="F503" s="199">
        <v>0</v>
      </c>
      <c r="G503" s="276">
        <v>45927</v>
      </c>
      <c r="H503" s="199">
        <v>1</v>
      </c>
      <c r="I503" s="199">
        <v>0</v>
      </c>
      <c r="J503" s="199">
        <v>985</v>
      </c>
      <c r="K503" s="275">
        <v>1180</v>
      </c>
      <c r="L503" s="199" t="s">
        <v>7476</v>
      </c>
    </row>
    <row r="504" spans="1:12">
      <c r="A504" s="199" t="s">
        <v>5833</v>
      </c>
      <c r="C504" s="199" t="s">
        <v>7901</v>
      </c>
      <c r="D504" s="199">
        <v>349</v>
      </c>
      <c r="E504" s="199" t="s">
        <v>7444</v>
      </c>
      <c r="F504" s="199">
        <v>4</v>
      </c>
      <c r="G504" s="276">
        <v>45923</v>
      </c>
      <c r="H504" s="199">
        <v>9</v>
      </c>
      <c r="I504" s="199">
        <v>0</v>
      </c>
      <c r="J504" s="199">
        <v>850</v>
      </c>
      <c r="K504" s="199">
        <v>840</v>
      </c>
      <c r="L504" s="199" t="s">
        <v>7476</v>
      </c>
    </row>
    <row r="505" spans="1:12">
      <c r="A505" s="199" t="s">
        <v>7902</v>
      </c>
      <c r="C505" s="199" t="s">
        <v>5990</v>
      </c>
      <c r="D505" s="199">
        <v>1127</v>
      </c>
      <c r="E505" s="199" t="s">
        <v>7530</v>
      </c>
      <c r="F505" s="199">
        <v>77</v>
      </c>
      <c r="G505" s="276">
        <v>45962</v>
      </c>
      <c r="H505" s="199">
        <v>2</v>
      </c>
      <c r="I505" s="199">
        <v>1</v>
      </c>
      <c r="J505" s="275">
        <v>1465</v>
      </c>
      <c r="K505" s="275">
        <v>1560</v>
      </c>
      <c r="L505" s="199" t="s">
        <v>7387</v>
      </c>
    </row>
    <row r="506" spans="1:12">
      <c r="A506" s="199" t="s">
        <v>7903</v>
      </c>
      <c r="C506" s="199" t="s">
        <v>7904</v>
      </c>
      <c r="D506" s="199">
        <v>710</v>
      </c>
      <c r="E506" s="199" t="s">
        <v>7530</v>
      </c>
      <c r="F506" s="199">
        <v>62</v>
      </c>
      <c r="G506" s="276">
        <v>45691</v>
      </c>
      <c r="H506" s="199">
        <v>1</v>
      </c>
      <c r="I506" s="199">
        <v>0</v>
      </c>
      <c r="J506" s="199">
        <v>850</v>
      </c>
      <c r="K506" s="199">
        <v>964</v>
      </c>
      <c r="L506" s="199" t="s">
        <v>7661</v>
      </c>
    </row>
    <row r="507" spans="1:12">
      <c r="A507" s="199" t="s">
        <v>7905</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2CF82-3CD5-4DB8-B131-39F5282BC704}">
  <dimension ref="A1:G169"/>
  <sheetViews>
    <sheetView workbookViewId="0"/>
  </sheetViews>
  <sheetFormatPr defaultRowHeight="14.4"/>
  <cols>
    <col min="1" max="1" width="92.44140625" bestFit="1" customWidth="1"/>
    <col min="2" max="2" width="23.5546875" bestFit="1" customWidth="1"/>
    <col min="3" max="3" width="11.33203125" bestFit="1" customWidth="1"/>
    <col min="4" max="4" width="24.33203125" bestFit="1" customWidth="1"/>
    <col min="5" max="5" width="70.88671875" bestFit="1" customWidth="1"/>
    <col min="6" max="6" width="85.109375" bestFit="1" customWidth="1"/>
    <col min="7" max="7" width="11.44140625" bestFit="1" customWidth="1"/>
  </cols>
  <sheetData>
    <row r="1" spans="1:7">
      <c r="A1" s="1148" t="s">
        <v>7906</v>
      </c>
    </row>
    <row r="2" spans="1:7">
      <c r="A2" s="1148" t="s">
        <v>1019</v>
      </c>
      <c r="B2" s="1148" t="s">
        <v>7907</v>
      </c>
      <c r="C2" s="1148" t="s">
        <v>1137</v>
      </c>
      <c r="D2" s="1148" t="s">
        <v>1138</v>
      </c>
      <c r="E2" s="1148" t="s">
        <v>7908</v>
      </c>
      <c r="F2" s="1148" t="s">
        <v>7909</v>
      </c>
      <c r="G2" s="1148" t="s">
        <v>7910</v>
      </c>
    </row>
    <row r="3" spans="1:7">
      <c r="A3" t="s">
        <v>7911</v>
      </c>
      <c r="C3" t="s">
        <v>2627</v>
      </c>
      <c r="D3" t="s">
        <v>2628</v>
      </c>
      <c r="E3" t="s">
        <v>7912</v>
      </c>
    </row>
    <row r="4" spans="1:7">
      <c r="A4" t="s">
        <v>7911</v>
      </c>
      <c r="C4" t="s">
        <v>6651</v>
      </c>
      <c r="D4" t="s">
        <v>1110</v>
      </c>
    </row>
    <row r="5" spans="1:7">
      <c r="A5" t="s">
        <v>7911</v>
      </c>
      <c r="C5" t="s">
        <v>2676</v>
      </c>
      <c r="D5" t="s">
        <v>2677</v>
      </c>
      <c r="E5" t="s">
        <v>7913</v>
      </c>
      <c r="F5" t="s">
        <v>7914</v>
      </c>
      <c r="G5" t="s">
        <v>7915</v>
      </c>
    </row>
    <row r="6" spans="1:7">
      <c r="A6" t="s">
        <v>7911</v>
      </c>
      <c r="C6" t="s">
        <v>2706</v>
      </c>
      <c r="D6" t="s">
        <v>2707</v>
      </c>
      <c r="E6" t="s">
        <v>7912</v>
      </c>
    </row>
    <row r="7" spans="1:7">
      <c r="A7" t="s">
        <v>7911</v>
      </c>
      <c r="C7" t="s">
        <v>2131</v>
      </c>
      <c r="D7" t="s">
        <v>2130</v>
      </c>
      <c r="E7" t="s">
        <v>7916</v>
      </c>
      <c r="F7" t="s">
        <v>7917</v>
      </c>
      <c r="G7" t="s">
        <v>7915</v>
      </c>
    </row>
    <row r="8" spans="1:7">
      <c r="A8" t="s">
        <v>7911</v>
      </c>
      <c r="C8" t="s">
        <v>3426</v>
      </c>
      <c r="D8" t="s">
        <v>7918</v>
      </c>
      <c r="E8" t="s">
        <v>7919</v>
      </c>
      <c r="F8" t="s">
        <v>7920</v>
      </c>
      <c r="G8" t="s">
        <v>7915</v>
      </c>
    </row>
    <row r="9" spans="1:7">
      <c r="A9" t="s">
        <v>7911</v>
      </c>
      <c r="C9" t="s">
        <v>2493</v>
      </c>
      <c r="D9" t="s">
        <v>1136</v>
      </c>
      <c r="E9" t="s">
        <v>7921</v>
      </c>
    </row>
    <row r="10" spans="1:7">
      <c r="A10" t="s">
        <v>7911</v>
      </c>
      <c r="C10" t="s">
        <v>1961</v>
      </c>
      <c r="D10" t="s">
        <v>2119</v>
      </c>
      <c r="E10" t="s">
        <v>7922</v>
      </c>
    </row>
    <row r="11" spans="1:7">
      <c r="A11" t="s">
        <v>7911</v>
      </c>
      <c r="C11" t="s">
        <v>2617</v>
      </c>
      <c r="D11" t="s">
        <v>2618</v>
      </c>
    </row>
    <row r="12" spans="1:7">
      <c r="A12" t="s">
        <v>7911</v>
      </c>
      <c r="C12" t="s">
        <v>2415</v>
      </c>
      <c r="D12" t="s">
        <v>2416</v>
      </c>
      <c r="E12" t="s">
        <v>7923</v>
      </c>
    </row>
    <row r="13" spans="1:7">
      <c r="A13" t="s">
        <v>7911</v>
      </c>
      <c r="C13" t="s">
        <v>2645</v>
      </c>
      <c r="D13" t="s">
        <v>1117</v>
      </c>
    </row>
    <row r="14" spans="1:7">
      <c r="A14" t="s">
        <v>7911</v>
      </c>
      <c r="C14" t="s">
        <v>2658</v>
      </c>
      <c r="D14" t="s">
        <v>2659</v>
      </c>
      <c r="E14" t="s">
        <v>7923</v>
      </c>
    </row>
    <row r="15" spans="1:7">
      <c r="A15" t="s">
        <v>7911</v>
      </c>
      <c r="C15" t="s">
        <v>2692</v>
      </c>
      <c r="D15" t="s">
        <v>2693</v>
      </c>
      <c r="E15" t="s">
        <v>7912</v>
      </c>
    </row>
    <row r="16" spans="1:7">
      <c r="A16" t="s">
        <v>7911</v>
      </c>
      <c r="C16" t="s">
        <v>1573</v>
      </c>
      <c r="D16" t="s">
        <v>2157</v>
      </c>
      <c r="E16" t="s">
        <v>7924</v>
      </c>
    </row>
    <row r="17" spans="1:7">
      <c r="A17" t="s">
        <v>7911</v>
      </c>
      <c r="C17" t="s">
        <v>1566</v>
      </c>
      <c r="D17" t="s">
        <v>2167</v>
      </c>
      <c r="E17" t="s">
        <v>7925</v>
      </c>
    </row>
    <row r="18" spans="1:7">
      <c r="A18" t="s">
        <v>7911</v>
      </c>
      <c r="C18" t="s">
        <v>2599</v>
      </c>
      <c r="D18" t="s">
        <v>2600</v>
      </c>
      <c r="E18" t="s">
        <v>7926</v>
      </c>
    </row>
    <row r="19" spans="1:7">
      <c r="A19" t="s">
        <v>7911</v>
      </c>
      <c r="C19" t="s">
        <v>1565</v>
      </c>
      <c r="D19" t="s">
        <v>2144</v>
      </c>
      <c r="E19" t="s">
        <v>7919</v>
      </c>
    </row>
    <row r="20" spans="1:7">
      <c r="A20" t="s">
        <v>7911</v>
      </c>
      <c r="C20" t="s">
        <v>1519</v>
      </c>
      <c r="D20" t="s">
        <v>2125</v>
      </c>
      <c r="E20" t="s">
        <v>7927</v>
      </c>
    </row>
    <row r="21" spans="1:7">
      <c r="A21" t="s">
        <v>7911</v>
      </c>
      <c r="C21" t="s">
        <v>2124</v>
      </c>
      <c r="D21" t="s">
        <v>2123</v>
      </c>
      <c r="E21" t="s">
        <v>7928</v>
      </c>
    </row>
    <row r="22" spans="1:7">
      <c r="A22" t="s">
        <v>7911</v>
      </c>
      <c r="C22" t="s">
        <v>2700</v>
      </c>
      <c r="D22" t="s">
        <v>2701</v>
      </c>
      <c r="E22" t="s">
        <v>7912</v>
      </c>
    </row>
    <row r="23" spans="1:7">
      <c r="A23" t="s">
        <v>7911</v>
      </c>
      <c r="C23" t="s">
        <v>2419</v>
      </c>
      <c r="D23" t="s">
        <v>2420</v>
      </c>
      <c r="E23" t="s">
        <v>7929</v>
      </c>
    </row>
    <row r="24" spans="1:7">
      <c r="A24" t="s">
        <v>7911</v>
      </c>
      <c r="C24" t="s">
        <v>2550</v>
      </c>
      <c r="D24" t="s">
        <v>2551</v>
      </c>
      <c r="E24" t="s">
        <v>7930</v>
      </c>
    </row>
    <row r="25" spans="1:7">
      <c r="A25" t="s">
        <v>7911</v>
      </c>
      <c r="C25" t="s">
        <v>2127</v>
      </c>
      <c r="D25" t="s">
        <v>2126</v>
      </c>
      <c r="E25" t="s">
        <v>7927</v>
      </c>
    </row>
    <row r="26" spans="1:7">
      <c r="A26" t="s">
        <v>7911</v>
      </c>
      <c r="C26" t="s">
        <v>1567</v>
      </c>
      <c r="D26" t="s">
        <v>2169</v>
      </c>
      <c r="E26" t="s">
        <v>7931</v>
      </c>
    </row>
    <row r="27" spans="1:7">
      <c r="A27" t="s">
        <v>7911</v>
      </c>
      <c r="C27" t="s">
        <v>2129</v>
      </c>
      <c r="D27" t="s">
        <v>2128</v>
      </c>
      <c r="F27" t="s">
        <v>7932</v>
      </c>
      <c r="G27" t="s">
        <v>7915</v>
      </c>
    </row>
    <row r="28" spans="1:7">
      <c r="A28" t="s">
        <v>7911</v>
      </c>
      <c r="C28" t="s">
        <v>1520</v>
      </c>
      <c r="D28" t="s">
        <v>2168</v>
      </c>
      <c r="E28" t="s">
        <v>7928</v>
      </c>
      <c r="F28" t="s">
        <v>7933</v>
      </c>
      <c r="G28" t="s">
        <v>7915</v>
      </c>
    </row>
    <row r="29" spans="1:7">
      <c r="A29" t="s">
        <v>7911</v>
      </c>
      <c r="C29" t="s">
        <v>6298</v>
      </c>
      <c r="D29" t="s">
        <v>7254</v>
      </c>
      <c r="E29" t="s">
        <v>7934</v>
      </c>
      <c r="F29" t="s">
        <v>7935</v>
      </c>
      <c r="G29" t="s">
        <v>7915</v>
      </c>
    </row>
    <row r="30" spans="1:7">
      <c r="A30" t="s">
        <v>7911</v>
      </c>
      <c r="C30" t="s">
        <v>2141</v>
      </c>
      <c r="D30" t="s">
        <v>2140</v>
      </c>
      <c r="E30" t="s">
        <v>7936</v>
      </c>
    </row>
    <row r="31" spans="1:7">
      <c r="A31" t="s">
        <v>7911</v>
      </c>
      <c r="C31" t="s">
        <v>1969</v>
      </c>
      <c r="D31" t="s">
        <v>1098</v>
      </c>
      <c r="E31" t="s">
        <v>7923</v>
      </c>
    </row>
    <row r="32" spans="1:7">
      <c r="A32" t="s">
        <v>7911</v>
      </c>
      <c r="C32" t="s">
        <v>2646</v>
      </c>
      <c r="D32" t="s">
        <v>2647</v>
      </c>
      <c r="E32" t="s">
        <v>7912</v>
      </c>
    </row>
    <row r="33" spans="1:7">
      <c r="A33" t="s">
        <v>7911</v>
      </c>
      <c r="C33" t="s">
        <v>2488</v>
      </c>
      <c r="D33" t="s">
        <v>2489</v>
      </c>
      <c r="E33" t="s">
        <v>7921</v>
      </c>
    </row>
    <row r="34" spans="1:7">
      <c r="A34" t="s">
        <v>7911</v>
      </c>
      <c r="C34" t="s">
        <v>1521</v>
      </c>
      <c r="D34" t="s">
        <v>2150</v>
      </c>
      <c r="E34" t="s">
        <v>7937</v>
      </c>
      <c r="F34" t="s">
        <v>1152</v>
      </c>
      <c r="G34" t="s">
        <v>7915</v>
      </c>
    </row>
    <row r="35" spans="1:7">
      <c r="A35" t="s">
        <v>7911</v>
      </c>
      <c r="C35" t="s">
        <v>1945</v>
      </c>
      <c r="D35" t="s">
        <v>2143</v>
      </c>
      <c r="E35" t="s">
        <v>7919</v>
      </c>
    </row>
    <row r="36" spans="1:7">
      <c r="A36" t="s">
        <v>7911</v>
      </c>
      <c r="C36" t="s">
        <v>2455</v>
      </c>
      <c r="D36" t="s">
        <v>2456</v>
      </c>
      <c r="E36" t="s">
        <v>7921</v>
      </c>
    </row>
    <row r="37" spans="1:7">
      <c r="A37" t="s">
        <v>7911</v>
      </c>
      <c r="C37" t="s">
        <v>1522</v>
      </c>
      <c r="D37" t="s">
        <v>2151</v>
      </c>
      <c r="E37" t="s">
        <v>7938</v>
      </c>
    </row>
    <row r="38" spans="1:7">
      <c r="A38" t="s">
        <v>7911</v>
      </c>
      <c r="C38" t="s">
        <v>2589</v>
      </c>
      <c r="D38" t="s">
        <v>1114</v>
      </c>
      <c r="E38" t="s">
        <v>7939</v>
      </c>
      <c r="F38" t="s">
        <v>1153</v>
      </c>
      <c r="G38" t="s">
        <v>7915</v>
      </c>
    </row>
    <row r="39" spans="1:7">
      <c r="A39" t="s">
        <v>7911</v>
      </c>
      <c r="C39" t="s">
        <v>2698</v>
      </c>
      <c r="D39" t="s">
        <v>2699</v>
      </c>
      <c r="E39" t="s">
        <v>7912</v>
      </c>
    </row>
    <row r="40" spans="1:7">
      <c r="A40" t="s">
        <v>7911</v>
      </c>
      <c r="C40" t="s">
        <v>3457</v>
      </c>
      <c r="D40" t="s">
        <v>7190</v>
      </c>
      <c r="E40" t="s">
        <v>7939</v>
      </c>
    </row>
    <row r="41" spans="1:7">
      <c r="A41" t="s">
        <v>7911</v>
      </c>
      <c r="C41" t="s">
        <v>1569</v>
      </c>
      <c r="D41" t="s">
        <v>2154</v>
      </c>
      <c r="E41" t="s">
        <v>7940</v>
      </c>
    </row>
    <row r="42" spans="1:7">
      <c r="A42" t="s">
        <v>7911</v>
      </c>
      <c r="C42" t="s">
        <v>1571</v>
      </c>
      <c r="D42" t="s">
        <v>7202</v>
      </c>
    </row>
    <row r="43" spans="1:7">
      <c r="A43" t="s">
        <v>7911</v>
      </c>
      <c r="C43" t="s">
        <v>1568</v>
      </c>
      <c r="D43" t="s">
        <v>7227</v>
      </c>
      <c r="E43" t="s">
        <v>7941</v>
      </c>
    </row>
    <row r="44" spans="1:7">
      <c r="A44" t="s">
        <v>7911</v>
      </c>
      <c r="C44" t="s">
        <v>1576</v>
      </c>
      <c r="D44" t="s">
        <v>2159</v>
      </c>
      <c r="E44" t="s">
        <v>7937</v>
      </c>
    </row>
    <row r="45" spans="1:7">
      <c r="A45" t="s">
        <v>7911</v>
      </c>
      <c r="C45" t="s">
        <v>1570</v>
      </c>
      <c r="D45" t="s">
        <v>1091</v>
      </c>
      <c r="E45" t="s">
        <v>7941</v>
      </c>
      <c r="F45" t="s">
        <v>7942</v>
      </c>
      <c r="G45" t="s">
        <v>7915</v>
      </c>
    </row>
    <row r="46" spans="1:7">
      <c r="A46" t="s">
        <v>7911</v>
      </c>
      <c r="C46" t="s">
        <v>1965</v>
      </c>
      <c r="D46" t="s">
        <v>2142</v>
      </c>
      <c r="E46" t="s">
        <v>7927</v>
      </c>
    </row>
    <row r="47" spans="1:7">
      <c r="A47" t="s">
        <v>7911</v>
      </c>
      <c r="C47" t="s">
        <v>2986</v>
      </c>
      <c r="D47" t="s">
        <v>2987</v>
      </c>
      <c r="E47" t="s">
        <v>7921</v>
      </c>
    </row>
    <row r="48" spans="1:7">
      <c r="A48" t="s">
        <v>7911</v>
      </c>
      <c r="C48" t="s">
        <v>1572</v>
      </c>
      <c r="D48" t="s">
        <v>2153</v>
      </c>
      <c r="E48" t="s">
        <v>7939</v>
      </c>
    </row>
    <row r="49" spans="1:7">
      <c r="A49" t="s">
        <v>7911</v>
      </c>
      <c r="C49" t="s">
        <v>1525</v>
      </c>
      <c r="D49" t="s">
        <v>2152</v>
      </c>
      <c r="E49" t="s">
        <v>7919</v>
      </c>
    </row>
    <row r="50" spans="1:7">
      <c r="A50" t="s">
        <v>7911</v>
      </c>
      <c r="C50" t="s">
        <v>2941</v>
      </c>
      <c r="D50" t="s">
        <v>7212</v>
      </c>
    </row>
    <row r="51" spans="1:7">
      <c r="A51" t="s">
        <v>7911</v>
      </c>
      <c r="C51" t="s">
        <v>2405</v>
      </c>
      <c r="D51" t="s">
        <v>2992</v>
      </c>
      <c r="E51" t="s">
        <v>7943</v>
      </c>
      <c r="F51" t="s">
        <v>7944</v>
      </c>
      <c r="G51" t="s">
        <v>7915</v>
      </c>
    </row>
    <row r="52" spans="1:7">
      <c r="A52" t="s">
        <v>7911</v>
      </c>
      <c r="C52" t="s">
        <v>2576</v>
      </c>
      <c r="D52" t="s">
        <v>2577</v>
      </c>
      <c r="E52" t="s">
        <v>7921</v>
      </c>
    </row>
    <row r="53" spans="1:7">
      <c r="A53" t="s">
        <v>7911</v>
      </c>
      <c r="C53" t="s">
        <v>1526</v>
      </c>
      <c r="D53" t="s">
        <v>2160</v>
      </c>
    </row>
    <row r="54" spans="1:7">
      <c r="A54" t="s">
        <v>7911</v>
      </c>
      <c r="C54" t="s">
        <v>1574</v>
      </c>
      <c r="D54" t="s">
        <v>7226</v>
      </c>
      <c r="F54" t="s">
        <v>7945</v>
      </c>
      <c r="G54" t="s">
        <v>7915</v>
      </c>
    </row>
    <row r="55" spans="1:7">
      <c r="A55" t="s">
        <v>7911</v>
      </c>
      <c r="C55" t="s">
        <v>1575</v>
      </c>
      <c r="D55" t="s">
        <v>2166</v>
      </c>
    </row>
    <row r="56" spans="1:7">
      <c r="A56" t="s">
        <v>7911</v>
      </c>
      <c r="C56" t="s">
        <v>2431</v>
      </c>
      <c r="D56" t="s">
        <v>2432</v>
      </c>
      <c r="E56" t="s">
        <v>7929</v>
      </c>
    </row>
    <row r="57" spans="1:7">
      <c r="A57" t="s">
        <v>7911</v>
      </c>
      <c r="C57" t="s">
        <v>1528</v>
      </c>
      <c r="D57" t="s">
        <v>2164</v>
      </c>
      <c r="E57" t="s">
        <v>7939</v>
      </c>
    </row>
    <row r="58" spans="1:7">
      <c r="A58" t="s">
        <v>7911</v>
      </c>
      <c r="C58" t="s">
        <v>2652</v>
      </c>
      <c r="D58" t="s">
        <v>2653</v>
      </c>
      <c r="E58" t="s">
        <v>7946</v>
      </c>
    </row>
    <row r="59" spans="1:7">
      <c r="A59" t="s">
        <v>7911</v>
      </c>
      <c r="C59" t="s">
        <v>1527</v>
      </c>
      <c r="D59" t="s">
        <v>2165</v>
      </c>
      <c r="E59" t="s">
        <v>7938</v>
      </c>
      <c r="F59" t="s">
        <v>7947</v>
      </c>
      <c r="G59" t="s">
        <v>7915</v>
      </c>
    </row>
    <row r="60" spans="1:7">
      <c r="A60" t="s">
        <v>7911</v>
      </c>
      <c r="C60" t="s">
        <v>1577</v>
      </c>
      <c r="D60" t="s">
        <v>2161</v>
      </c>
    </row>
    <row r="61" spans="1:7">
      <c r="A61" t="s">
        <v>7911</v>
      </c>
      <c r="C61" t="s">
        <v>1529</v>
      </c>
      <c r="D61" t="s">
        <v>2155</v>
      </c>
      <c r="E61" t="s">
        <v>7940</v>
      </c>
    </row>
    <row r="62" spans="1:7">
      <c r="A62" t="s">
        <v>7911</v>
      </c>
      <c r="C62" t="s">
        <v>2466</v>
      </c>
      <c r="D62" t="s">
        <v>2467</v>
      </c>
      <c r="E62" t="s">
        <v>7921</v>
      </c>
    </row>
    <row r="63" spans="1:7">
      <c r="A63" t="s">
        <v>7911</v>
      </c>
      <c r="C63" t="s">
        <v>2146</v>
      </c>
      <c r="D63" t="s">
        <v>2145</v>
      </c>
      <c r="E63" t="s">
        <v>7927</v>
      </c>
    </row>
    <row r="64" spans="1:7">
      <c r="A64" t="s">
        <v>7911</v>
      </c>
      <c r="C64" t="s">
        <v>1530</v>
      </c>
      <c r="D64" t="s">
        <v>7261</v>
      </c>
      <c r="E64" t="s">
        <v>7939</v>
      </c>
    </row>
    <row r="65" spans="1:7">
      <c r="A65" t="s">
        <v>7911</v>
      </c>
      <c r="C65" t="s">
        <v>2640</v>
      </c>
      <c r="D65" t="s">
        <v>2641</v>
      </c>
    </row>
    <row r="66" spans="1:7">
      <c r="A66" t="s">
        <v>7911</v>
      </c>
      <c r="C66" t="s">
        <v>2472</v>
      </c>
      <c r="D66" t="s">
        <v>2473</v>
      </c>
      <c r="E66" t="s">
        <v>7923</v>
      </c>
    </row>
    <row r="67" spans="1:7">
      <c r="A67" t="s">
        <v>7911</v>
      </c>
      <c r="C67" t="s">
        <v>2407</v>
      </c>
      <c r="D67" t="s">
        <v>2408</v>
      </c>
      <c r="E67" t="s">
        <v>7921</v>
      </c>
    </row>
    <row r="68" spans="1:7">
      <c r="A68" t="s">
        <v>7911</v>
      </c>
      <c r="C68" t="s">
        <v>2509</v>
      </c>
      <c r="D68" t="s">
        <v>1122</v>
      </c>
      <c r="E68" t="s">
        <v>7913</v>
      </c>
    </row>
    <row r="69" spans="1:7">
      <c r="A69" t="s">
        <v>7911</v>
      </c>
      <c r="C69" t="s">
        <v>2543</v>
      </c>
      <c r="D69" t="s">
        <v>2544</v>
      </c>
      <c r="F69" t="s">
        <v>1155</v>
      </c>
      <c r="G69" t="s">
        <v>7915</v>
      </c>
    </row>
    <row r="70" spans="1:7">
      <c r="A70" t="s">
        <v>7911</v>
      </c>
      <c r="C70" t="s">
        <v>2611</v>
      </c>
      <c r="D70" t="s">
        <v>2612</v>
      </c>
      <c r="E70" t="s">
        <v>7923</v>
      </c>
    </row>
    <row r="71" spans="1:7">
      <c r="A71" t="s">
        <v>7911</v>
      </c>
      <c r="C71" t="s">
        <v>1531</v>
      </c>
      <c r="D71" t="s">
        <v>2177</v>
      </c>
      <c r="E71" t="s">
        <v>7948</v>
      </c>
    </row>
    <row r="72" spans="1:7">
      <c r="A72" t="s">
        <v>7911</v>
      </c>
      <c r="C72" t="s">
        <v>2173</v>
      </c>
      <c r="D72" t="s">
        <v>2172</v>
      </c>
      <c r="E72" t="s">
        <v>7927</v>
      </c>
    </row>
    <row r="73" spans="1:7">
      <c r="A73" t="s">
        <v>7911</v>
      </c>
      <c r="C73" t="s">
        <v>2539</v>
      </c>
      <c r="D73" t="s">
        <v>2540</v>
      </c>
      <c r="E73" t="s">
        <v>7913</v>
      </c>
    </row>
    <row r="74" spans="1:7">
      <c r="A74" t="s">
        <v>7911</v>
      </c>
      <c r="C74" t="s">
        <v>2572</v>
      </c>
      <c r="D74" t="s">
        <v>2573</v>
      </c>
      <c r="E74" t="s">
        <v>7923</v>
      </c>
    </row>
    <row r="75" spans="1:7">
      <c r="A75" t="s">
        <v>7911</v>
      </c>
      <c r="C75" t="s">
        <v>2462</v>
      </c>
      <c r="D75" t="s">
        <v>2463</v>
      </c>
      <c r="E75" t="s">
        <v>7923</v>
      </c>
      <c r="F75" t="s">
        <v>7949</v>
      </c>
      <c r="G75" t="s">
        <v>7915</v>
      </c>
    </row>
    <row r="76" spans="1:7">
      <c r="A76" t="s">
        <v>7911</v>
      </c>
      <c r="C76" t="s">
        <v>1533</v>
      </c>
      <c r="D76" t="s">
        <v>7252</v>
      </c>
      <c r="E76" t="s">
        <v>7946</v>
      </c>
      <c r="F76" t="s">
        <v>7947</v>
      </c>
      <c r="G76" t="s">
        <v>7915</v>
      </c>
    </row>
    <row r="77" spans="1:7">
      <c r="A77" t="s">
        <v>7911</v>
      </c>
      <c r="C77" t="s">
        <v>2448</v>
      </c>
      <c r="D77" t="s">
        <v>1126</v>
      </c>
      <c r="E77" t="s">
        <v>7913</v>
      </c>
    </row>
    <row r="78" spans="1:7">
      <c r="A78" t="s">
        <v>7911</v>
      </c>
      <c r="C78" t="s">
        <v>6281</v>
      </c>
      <c r="D78" t="s">
        <v>7222</v>
      </c>
      <c r="E78" t="s">
        <v>7950</v>
      </c>
    </row>
    <row r="79" spans="1:7">
      <c r="A79" t="s">
        <v>7911</v>
      </c>
      <c r="C79" t="s">
        <v>1532</v>
      </c>
      <c r="D79" t="s">
        <v>7263</v>
      </c>
      <c r="E79" t="s">
        <v>7927</v>
      </c>
    </row>
    <row r="80" spans="1:7">
      <c r="A80" t="s">
        <v>7911</v>
      </c>
      <c r="C80" t="s">
        <v>2176</v>
      </c>
      <c r="D80" t="s">
        <v>2175</v>
      </c>
      <c r="E80" t="s">
        <v>7919</v>
      </c>
    </row>
    <row r="81" spans="1:7">
      <c r="A81" t="s">
        <v>7911</v>
      </c>
      <c r="C81" t="s">
        <v>2654</v>
      </c>
      <c r="D81" t="s">
        <v>2655</v>
      </c>
      <c r="E81" t="s">
        <v>7939</v>
      </c>
      <c r="F81" t="s">
        <v>1156</v>
      </c>
      <c r="G81" t="s">
        <v>7915</v>
      </c>
    </row>
    <row r="82" spans="1:7">
      <c r="A82" t="s">
        <v>7911</v>
      </c>
      <c r="C82" t="s">
        <v>3752</v>
      </c>
      <c r="D82" t="s">
        <v>7185</v>
      </c>
      <c r="E82" t="s">
        <v>7951</v>
      </c>
    </row>
    <row r="83" spans="1:7">
      <c r="A83" t="s">
        <v>7911</v>
      </c>
      <c r="C83" t="s">
        <v>2545</v>
      </c>
      <c r="D83" t="s">
        <v>2546</v>
      </c>
    </row>
    <row r="84" spans="1:7">
      <c r="A84" t="s">
        <v>7911</v>
      </c>
      <c r="C84" t="s">
        <v>2629</v>
      </c>
      <c r="D84" t="s">
        <v>1134</v>
      </c>
      <c r="E84" t="s">
        <v>7913</v>
      </c>
    </row>
    <row r="85" spans="1:7">
      <c r="A85" t="s">
        <v>7911</v>
      </c>
      <c r="C85" t="s">
        <v>2409</v>
      </c>
      <c r="D85" t="s">
        <v>2410</v>
      </c>
      <c r="E85" t="s">
        <v>7921</v>
      </c>
    </row>
    <row r="86" spans="1:7">
      <c r="A86" t="s">
        <v>7911</v>
      </c>
      <c r="C86" t="s">
        <v>2678</v>
      </c>
      <c r="D86" t="s">
        <v>2679</v>
      </c>
      <c r="E86" t="s">
        <v>7952</v>
      </c>
    </row>
    <row r="87" spans="1:7">
      <c r="A87" t="s">
        <v>7911</v>
      </c>
      <c r="C87" t="s">
        <v>2500</v>
      </c>
      <c r="D87" t="s">
        <v>2501</v>
      </c>
      <c r="E87" t="s">
        <v>7923</v>
      </c>
    </row>
    <row r="88" spans="1:7">
      <c r="A88" t="s">
        <v>7911</v>
      </c>
      <c r="C88" t="s">
        <v>1535</v>
      </c>
      <c r="D88" t="s">
        <v>1102</v>
      </c>
    </row>
    <row r="89" spans="1:7">
      <c r="A89" t="s">
        <v>7911</v>
      </c>
      <c r="C89" t="s">
        <v>2476</v>
      </c>
      <c r="D89" t="s">
        <v>2477</v>
      </c>
      <c r="E89" t="s">
        <v>7929</v>
      </c>
      <c r="F89" t="s">
        <v>7953</v>
      </c>
      <c r="G89" t="s">
        <v>7915</v>
      </c>
    </row>
    <row r="90" spans="1:7">
      <c r="A90" t="s">
        <v>7911</v>
      </c>
      <c r="C90" t="s">
        <v>1592</v>
      </c>
      <c r="D90" t="s">
        <v>7266</v>
      </c>
    </row>
    <row r="91" spans="1:7">
      <c r="A91" t="s">
        <v>7911</v>
      </c>
      <c r="C91" t="s">
        <v>1594</v>
      </c>
      <c r="D91" t="s">
        <v>7211</v>
      </c>
      <c r="F91" t="s">
        <v>7954</v>
      </c>
      <c r="G91" t="s">
        <v>7915</v>
      </c>
    </row>
    <row r="92" spans="1:7">
      <c r="A92" t="s">
        <v>7911</v>
      </c>
      <c r="C92" t="s">
        <v>1534</v>
      </c>
      <c r="D92" t="s">
        <v>7209</v>
      </c>
      <c r="E92" t="s">
        <v>7955</v>
      </c>
    </row>
    <row r="93" spans="1:7">
      <c r="A93" t="s">
        <v>7911</v>
      </c>
      <c r="C93" t="s">
        <v>2182</v>
      </c>
      <c r="D93" t="s">
        <v>2181</v>
      </c>
      <c r="F93" t="s">
        <v>7956</v>
      </c>
      <c r="G93" t="s">
        <v>7915</v>
      </c>
    </row>
    <row r="94" spans="1:7">
      <c r="A94" t="s">
        <v>7911</v>
      </c>
      <c r="C94" t="s">
        <v>2487</v>
      </c>
      <c r="D94" t="s">
        <v>1130</v>
      </c>
      <c r="E94" t="s">
        <v>7952</v>
      </c>
    </row>
    <row r="95" spans="1:7">
      <c r="A95" t="s">
        <v>7911</v>
      </c>
      <c r="C95" t="s">
        <v>1593</v>
      </c>
      <c r="D95" t="s">
        <v>7220</v>
      </c>
      <c r="E95" t="s">
        <v>7957</v>
      </c>
    </row>
    <row r="96" spans="1:7">
      <c r="A96" t="s">
        <v>7911</v>
      </c>
      <c r="C96" t="s">
        <v>2425</v>
      </c>
      <c r="D96" t="s">
        <v>2426</v>
      </c>
      <c r="E96" t="s">
        <v>7939</v>
      </c>
      <c r="F96" t="s">
        <v>1157</v>
      </c>
      <c r="G96" t="s">
        <v>7915</v>
      </c>
    </row>
    <row r="97" spans="1:5">
      <c r="A97" t="s">
        <v>7911</v>
      </c>
      <c r="C97" t="s">
        <v>2179</v>
      </c>
      <c r="D97" t="s">
        <v>2178</v>
      </c>
    </row>
    <row r="98" spans="1:5">
      <c r="A98" t="s">
        <v>7911</v>
      </c>
      <c r="C98" t="s">
        <v>2498</v>
      </c>
      <c r="D98" t="s">
        <v>2499</v>
      </c>
    </row>
    <row r="99" spans="1:5">
      <c r="A99" t="s">
        <v>7911</v>
      </c>
      <c r="C99" t="s">
        <v>2437</v>
      </c>
      <c r="D99" t="s">
        <v>2438</v>
      </c>
    </row>
    <row r="100" spans="1:5">
      <c r="A100" t="s">
        <v>7911</v>
      </c>
      <c r="C100" t="s">
        <v>1580</v>
      </c>
      <c r="D100" t="s">
        <v>2979</v>
      </c>
    </row>
    <row r="101" spans="1:5">
      <c r="A101" t="s">
        <v>7911</v>
      </c>
      <c r="C101" t="s">
        <v>2502</v>
      </c>
      <c r="D101" t="s">
        <v>1147</v>
      </c>
    </row>
    <row r="102" spans="1:5">
      <c r="A102" t="s">
        <v>7911</v>
      </c>
      <c r="C102" t="s">
        <v>1517</v>
      </c>
      <c r="D102" t="s">
        <v>2117</v>
      </c>
      <c r="E102" t="s">
        <v>7958</v>
      </c>
    </row>
    <row r="103" spans="1:5">
      <c r="A103" t="s">
        <v>7911</v>
      </c>
      <c r="C103" t="s">
        <v>1225</v>
      </c>
      <c r="D103" t="s">
        <v>1148</v>
      </c>
    </row>
    <row r="104" spans="1:5">
      <c r="A104" t="s">
        <v>7911</v>
      </c>
      <c r="C104" t="s">
        <v>1540</v>
      </c>
      <c r="D104" t="s">
        <v>2180</v>
      </c>
      <c r="E104" t="s">
        <v>7958</v>
      </c>
    </row>
    <row r="105" spans="1:5">
      <c r="A105" t="s">
        <v>7911</v>
      </c>
      <c r="C105" t="s">
        <v>1581</v>
      </c>
      <c r="D105" t="s">
        <v>7237</v>
      </c>
    </row>
    <row r="106" spans="1:5">
      <c r="A106" t="s">
        <v>7911</v>
      </c>
      <c r="C106" t="s">
        <v>2397</v>
      </c>
      <c r="D106" t="s">
        <v>2398</v>
      </c>
    </row>
    <row r="107" spans="1:5">
      <c r="A107" t="s">
        <v>7911</v>
      </c>
      <c r="C107" t="s">
        <v>1536</v>
      </c>
      <c r="D107" t="s">
        <v>7256</v>
      </c>
      <c r="E107" t="s">
        <v>7919</v>
      </c>
    </row>
    <row r="108" spans="1:5">
      <c r="A108" t="s">
        <v>7911</v>
      </c>
      <c r="C108" t="s">
        <v>1524</v>
      </c>
      <c r="D108" t="s">
        <v>1094</v>
      </c>
      <c r="E108" t="s">
        <v>7959</v>
      </c>
    </row>
    <row r="109" spans="1:5">
      <c r="A109" t="s">
        <v>7911</v>
      </c>
      <c r="C109" t="s">
        <v>1587</v>
      </c>
      <c r="D109" t="s">
        <v>2968</v>
      </c>
      <c r="E109" t="s">
        <v>7960</v>
      </c>
    </row>
    <row r="110" spans="1:5">
      <c r="A110" t="s">
        <v>7911</v>
      </c>
      <c r="C110" t="s">
        <v>1923</v>
      </c>
      <c r="D110" t="s">
        <v>2457</v>
      </c>
      <c r="E110" t="s">
        <v>7952</v>
      </c>
    </row>
    <row r="111" spans="1:5">
      <c r="A111" t="s">
        <v>7911</v>
      </c>
      <c r="C111" t="s">
        <v>1537</v>
      </c>
      <c r="D111" t="s">
        <v>7251</v>
      </c>
      <c r="E111" t="s">
        <v>7919</v>
      </c>
    </row>
    <row r="112" spans="1:5">
      <c r="A112" t="s">
        <v>7911</v>
      </c>
      <c r="C112" t="s">
        <v>2609</v>
      </c>
      <c r="D112" t="s">
        <v>2610</v>
      </c>
    </row>
    <row r="113" spans="1:7">
      <c r="A113" t="s">
        <v>7911</v>
      </c>
      <c r="C113" t="s">
        <v>1538</v>
      </c>
      <c r="D113" t="s">
        <v>1106</v>
      </c>
      <c r="E113" t="s">
        <v>7927</v>
      </c>
    </row>
    <row r="114" spans="1:7">
      <c r="A114" t="s">
        <v>7911</v>
      </c>
      <c r="C114" t="s">
        <v>1579</v>
      </c>
      <c r="D114" t="s">
        <v>7215</v>
      </c>
      <c r="E114" t="s">
        <v>7946</v>
      </c>
    </row>
    <row r="115" spans="1:7">
      <c r="A115" t="s">
        <v>7911</v>
      </c>
      <c r="C115" t="s">
        <v>1590</v>
      </c>
      <c r="D115" t="s">
        <v>7240</v>
      </c>
    </row>
    <row r="116" spans="1:7">
      <c r="A116" t="s">
        <v>7911</v>
      </c>
      <c r="C116" t="s">
        <v>1544</v>
      </c>
      <c r="D116" t="s">
        <v>7247</v>
      </c>
    </row>
    <row r="117" spans="1:7">
      <c r="A117" t="s">
        <v>7911</v>
      </c>
      <c r="C117" t="s">
        <v>1543</v>
      </c>
      <c r="D117" t="s">
        <v>7241</v>
      </c>
    </row>
    <row r="118" spans="1:7">
      <c r="A118" t="s">
        <v>7911</v>
      </c>
      <c r="C118" t="s">
        <v>1545</v>
      </c>
      <c r="D118" t="s">
        <v>7204</v>
      </c>
      <c r="E118" t="s">
        <v>7946</v>
      </c>
    </row>
    <row r="119" spans="1:7">
      <c r="A119" t="s">
        <v>7911</v>
      </c>
      <c r="C119" t="s">
        <v>1541</v>
      </c>
      <c r="D119" t="s">
        <v>7269</v>
      </c>
      <c r="E119" t="s">
        <v>7927</v>
      </c>
    </row>
    <row r="120" spans="1:7">
      <c r="A120" t="s">
        <v>7911</v>
      </c>
      <c r="C120" t="s">
        <v>2562</v>
      </c>
      <c r="D120" t="s">
        <v>2563</v>
      </c>
    </row>
    <row r="121" spans="1:7">
      <c r="A121" t="s">
        <v>2392</v>
      </c>
      <c r="C121" t="s">
        <v>2415</v>
      </c>
      <c r="D121" t="s">
        <v>2416</v>
      </c>
      <c r="E121" t="s">
        <v>7923</v>
      </c>
      <c r="F121" t="s">
        <v>7961</v>
      </c>
      <c r="G121" t="s">
        <v>7915</v>
      </c>
    </row>
    <row r="122" spans="1:7">
      <c r="A122" t="s">
        <v>2392</v>
      </c>
      <c r="C122" t="s">
        <v>2419</v>
      </c>
      <c r="D122" t="s">
        <v>2420</v>
      </c>
      <c r="E122" t="s">
        <v>7929</v>
      </c>
      <c r="F122" t="s">
        <v>1160</v>
      </c>
      <c r="G122" t="s">
        <v>7915</v>
      </c>
    </row>
    <row r="123" spans="1:7">
      <c r="A123" t="s">
        <v>2392</v>
      </c>
      <c r="C123" t="s">
        <v>2431</v>
      </c>
      <c r="D123" t="s">
        <v>2432</v>
      </c>
      <c r="E123" t="s">
        <v>7929</v>
      </c>
      <c r="F123" t="s">
        <v>1160</v>
      </c>
      <c r="G123" t="s">
        <v>7915</v>
      </c>
    </row>
    <row r="124" spans="1:7">
      <c r="A124" t="s">
        <v>2392</v>
      </c>
      <c r="C124" t="s">
        <v>2472</v>
      </c>
      <c r="D124" t="s">
        <v>2473</v>
      </c>
      <c r="E124" t="s">
        <v>7923</v>
      </c>
      <c r="F124" t="s">
        <v>7962</v>
      </c>
      <c r="G124" t="s">
        <v>7915</v>
      </c>
    </row>
    <row r="125" spans="1:7">
      <c r="A125" t="s">
        <v>2392</v>
      </c>
      <c r="C125" t="s">
        <v>2509</v>
      </c>
      <c r="D125" t="s">
        <v>1122</v>
      </c>
      <c r="E125" t="s">
        <v>7913</v>
      </c>
      <c r="F125" t="s">
        <v>7963</v>
      </c>
      <c r="G125" t="s">
        <v>7915</v>
      </c>
    </row>
    <row r="126" spans="1:7">
      <c r="A126" t="s">
        <v>2392</v>
      </c>
      <c r="C126" t="s">
        <v>2611</v>
      </c>
      <c r="D126" t="s">
        <v>2612</v>
      </c>
      <c r="E126" t="s">
        <v>7923</v>
      </c>
      <c r="F126" t="s">
        <v>7962</v>
      </c>
      <c r="G126" t="s">
        <v>7915</v>
      </c>
    </row>
    <row r="127" spans="1:7">
      <c r="A127" t="s">
        <v>2392</v>
      </c>
      <c r="C127" t="s">
        <v>2572</v>
      </c>
      <c r="D127" t="s">
        <v>2573</v>
      </c>
      <c r="E127" t="s">
        <v>7923</v>
      </c>
      <c r="F127" t="s">
        <v>7962</v>
      </c>
      <c r="G127" t="s">
        <v>7915</v>
      </c>
    </row>
    <row r="128" spans="1:7">
      <c r="A128" t="s">
        <v>2392</v>
      </c>
      <c r="C128" t="s">
        <v>2462</v>
      </c>
      <c r="D128" t="s">
        <v>2463</v>
      </c>
      <c r="E128" t="s">
        <v>7923</v>
      </c>
      <c r="F128" t="s">
        <v>7962</v>
      </c>
      <c r="G128" t="s">
        <v>7915</v>
      </c>
    </row>
    <row r="129" spans="1:7">
      <c r="A129" t="s">
        <v>2392</v>
      </c>
      <c r="C129" t="s">
        <v>2448</v>
      </c>
      <c r="D129" t="s">
        <v>1126</v>
      </c>
      <c r="E129" t="s">
        <v>7913</v>
      </c>
      <c r="F129" t="s">
        <v>7964</v>
      </c>
      <c r="G129" t="s">
        <v>7915</v>
      </c>
    </row>
    <row r="130" spans="1:7">
      <c r="A130" t="s">
        <v>2392</v>
      </c>
      <c r="C130" t="s">
        <v>2629</v>
      </c>
      <c r="D130" t="s">
        <v>1134</v>
      </c>
      <c r="E130" t="s">
        <v>7913</v>
      </c>
      <c r="F130" t="s">
        <v>7964</v>
      </c>
      <c r="G130" t="s">
        <v>7915</v>
      </c>
    </row>
    <row r="131" spans="1:7">
      <c r="A131" t="s">
        <v>2392</v>
      </c>
      <c r="C131" t="s">
        <v>2500</v>
      </c>
      <c r="D131" t="s">
        <v>2501</v>
      </c>
      <c r="E131" t="s">
        <v>7923</v>
      </c>
      <c r="F131" t="s">
        <v>1160</v>
      </c>
      <c r="G131" t="s">
        <v>7915</v>
      </c>
    </row>
    <row r="132" spans="1:7">
      <c r="A132" t="s">
        <v>2392</v>
      </c>
      <c r="C132" t="s">
        <v>2476</v>
      </c>
      <c r="D132" t="s">
        <v>2477</v>
      </c>
      <c r="E132" t="s">
        <v>7929</v>
      </c>
      <c r="F132" t="s">
        <v>1160</v>
      </c>
      <c r="G132" t="s">
        <v>7915</v>
      </c>
    </row>
    <row r="133" spans="1:7">
      <c r="A133" t="s">
        <v>2392</v>
      </c>
      <c r="C133" t="s">
        <v>2437</v>
      </c>
      <c r="D133" t="s">
        <v>2438</v>
      </c>
      <c r="F133" t="s">
        <v>7962</v>
      </c>
      <c r="G133" t="s">
        <v>7915</v>
      </c>
    </row>
    <row r="134" spans="1:7">
      <c r="A134" t="s">
        <v>2392</v>
      </c>
      <c r="C134" t="s">
        <v>2502</v>
      </c>
      <c r="D134" t="s">
        <v>1147</v>
      </c>
      <c r="F134" t="s">
        <v>7964</v>
      </c>
      <c r="G134" t="s">
        <v>7915</v>
      </c>
    </row>
    <row r="135" spans="1:7">
      <c r="A135" t="s">
        <v>2392</v>
      </c>
      <c r="C135" t="s">
        <v>1225</v>
      </c>
      <c r="D135" t="s">
        <v>1148</v>
      </c>
      <c r="F135" t="s">
        <v>7965</v>
      </c>
      <c r="G135" t="s">
        <v>7915</v>
      </c>
    </row>
    <row r="136" spans="1:7">
      <c r="A136" t="s">
        <v>2392</v>
      </c>
      <c r="C136" t="s">
        <v>2397</v>
      </c>
      <c r="D136" t="s">
        <v>2398</v>
      </c>
      <c r="F136" t="s">
        <v>1161</v>
      </c>
      <c r="G136" t="s">
        <v>7915</v>
      </c>
    </row>
    <row r="137" spans="1:7">
      <c r="A137" t="s">
        <v>2392</v>
      </c>
      <c r="C137" t="s">
        <v>2411</v>
      </c>
      <c r="D137" t="s">
        <v>2412</v>
      </c>
      <c r="F137" t="s">
        <v>7966</v>
      </c>
      <c r="G137" t="s">
        <v>7915</v>
      </c>
    </row>
    <row r="138" spans="1:7">
      <c r="A138" t="s">
        <v>2392</v>
      </c>
      <c r="C138" t="s">
        <v>2547</v>
      </c>
      <c r="D138" t="s">
        <v>1150</v>
      </c>
      <c r="F138" t="s">
        <v>7966</v>
      </c>
      <c r="G138" t="s">
        <v>7915</v>
      </c>
    </row>
    <row r="139" spans="1:7">
      <c r="A139" t="s">
        <v>2392</v>
      </c>
      <c r="C139" t="s">
        <v>2605</v>
      </c>
      <c r="D139" t="s">
        <v>2606</v>
      </c>
      <c r="F139" t="s">
        <v>7967</v>
      </c>
      <c r="G139" t="s">
        <v>7915</v>
      </c>
    </row>
    <row r="140" spans="1:7">
      <c r="A140" t="s">
        <v>2392</v>
      </c>
      <c r="C140" t="s">
        <v>2638</v>
      </c>
      <c r="D140" t="s">
        <v>2639</v>
      </c>
      <c r="F140" t="s">
        <v>7968</v>
      </c>
      <c r="G140" t="s">
        <v>7915</v>
      </c>
    </row>
    <row r="141" spans="1:7">
      <c r="A141" t="s">
        <v>2392</v>
      </c>
      <c r="C141" t="s">
        <v>2552</v>
      </c>
      <c r="D141" t="s">
        <v>2553</v>
      </c>
      <c r="F141" t="s">
        <v>7968</v>
      </c>
      <c r="G141" t="s">
        <v>7915</v>
      </c>
    </row>
    <row r="142" spans="1:7">
      <c r="A142" t="s">
        <v>2392</v>
      </c>
      <c r="C142" t="s">
        <v>2439</v>
      </c>
      <c r="D142" t="s">
        <v>2440</v>
      </c>
      <c r="F142" t="s">
        <v>7969</v>
      </c>
      <c r="G142" t="s">
        <v>7915</v>
      </c>
    </row>
    <row r="143" spans="1:7">
      <c r="A143" t="s">
        <v>2392</v>
      </c>
      <c r="C143" t="s">
        <v>2603</v>
      </c>
      <c r="D143" t="s">
        <v>2604</v>
      </c>
      <c r="F143" t="s">
        <v>7964</v>
      </c>
      <c r="G143" t="s">
        <v>7915</v>
      </c>
    </row>
    <row r="144" spans="1:7">
      <c r="A144" t="s">
        <v>2392</v>
      </c>
      <c r="C144" t="s">
        <v>1821</v>
      </c>
      <c r="D144" t="s">
        <v>1822</v>
      </c>
      <c r="F144" t="s">
        <v>7967</v>
      </c>
      <c r="G144" t="s">
        <v>7915</v>
      </c>
    </row>
    <row r="145" spans="1:7">
      <c r="A145" t="s">
        <v>2392</v>
      </c>
      <c r="C145" t="s">
        <v>7035</v>
      </c>
      <c r="D145" t="s">
        <v>7036</v>
      </c>
      <c r="F145" t="s">
        <v>7970</v>
      </c>
      <c r="G145" t="s">
        <v>7915</v>
      </c>
    </row>
    <row r="146" spans="1:7">
      <c r="A146" t="s">
        <v>2392</v>
      </c>
      <c r="C146" t="s">
        <v>2621</v>
      </c>
      <c r="D146" t="s">
        <v>2622</v>
      </c>
      <c r="F146" t="s">
        <v>7970</v>
      </c>
      <c r="G146" t="s">
        <v>7915</v>
      </c>
    </row>
    <row r="148" spans="1:7">
      <c r="A148" t="s">
        <v>7971</v>
      </c>
      <c r="B148">
        <v>161</v>
      </c>
      <c r="F148" t="s">
        <v>7972</v>
      </c>
      <c r="G148" t="s">
        <v>7915</v>
      </c>
    </row>
    <row r="149" spans="1:7">
      <c r="A149" t="s">
        <v>7971</v>
      </c>
      <c r="B149">
        <v>162</v>
      </c>
      <c r="F149" t="s">
        <v>7972</v>
      </c>
      <c r="G149" t="s">
        <v>7915</v>
      </c>
    </row>
    <row r="150" spans="1:7">
      <c r="A150" t="s">
        <v>7971</v>
      </c>
      <c r="B150">
        <v>163</v>
      </c>
      <c r="F150" t="s">
        <v>7972</v>
      </c>
      <c r="G150" t="s">
        <v>7915</v>
      </c>
    </row>
    <row r="151" spans="1:7">
      <c r="A151" t="s">
        <v>7971</v>
      </c>
      <c r="B151">
        <v>164</v>
      </c>
      <c r="F151" t="s">
        <v>7972</v>
      </c>
      <c r="G151" t="s">
        <v>7915</v>
      </c>
    </row>
    <row r="152" spans="1:7">
      <c r="A152" t="s">
        <v>7971</v>
      </c>
      <c r="B152">
        <v>165</v>
      </c>
      <c r="F152" t="s">
        <v>7973</v>
      </c>
      <c r="G152" t="s">
        <v>7915</v>
      </c>
    </row>
    <row r="153" spans="1:7">
      <c r="A153" t="s">
        <v>7971</v>
      </c>
      <c r="B153">
        <v>166</v>
      </c>
      <c r="F153" t="s">
        <v>7972</v>
      </c>
      <c r="G153" t="s">
        <v>7915</v>
      </c>
    </row>
    <row r="154" spans="1:7">
      <c r="A154" t="s">
        <v>7971</v>
      </c>
      <c r="B154">
        <v>167</v>
      </c>
      <c r="F154" t="s">
        <v>7974</v>
      </c>
      <c r="G154" t="s">
        <v>7915</v>
      </c>
    </row>
    <row r="155" spans="1:7">
      <c r="A155" t="s">
        <v>7971</v>
      </c>
      <c r="B155">
        <v>168</v>
      </c>
      <c r="F155" t="s">
        <v>7972</v>
      </c>
      <c r="G155" t="s">
        <v>7915</v>
      </c>
    </row>
    <row r="156" spans="1:7">
      <c r="A156" t="s">
        <v>7971</v>
      </c>
      <c r="B156">
        <v>169</v>
      </c>
      <c r="F156" t="s">
        <v>7975</v>
      </c>
      <c r="G156" t="s">
        <v>7915</v>
      </c>
    </row>
    <row r="157" spans="1:7">
      <c r="A157" t="s">
        <v>7971</v>
      </c>
      <c r="B157">
        <v>170</v>
      </c>
      <c r="F157" t="s">
        <v>7975</v>
      </c>
      <c r="G157" t="s">
        <v>7915</v>
      </c>
    </row>
    <row r="158" spans="1:7">
      <c r="A158" t="s">
        <v>7971</v>
      </c>
      <c r="B158">
        <v>171</v>
      </c>
      <c r="F158" t="s">
        <v>7975</v>
      </c>
      <c r="G158" t="s">
        <v>7915</v>
      </c>
    </row>
    <row r="159" spans="1:7">
      <c r="A159" t="s">
        <v>7971</v>
      </c>
      <c r="B159">
        <v>172</v>
      </c>
      <c r="F159" t="s">
        <v>7975</v>
      </c>
      <c r="G159" t="s">
        <v>7915</v>
      </c>
    </row>
    <row r="160" spans="1:7">
      <c r="A160" t="s">
        <v>7971</v>
      </c>
      <c r="B160">
        <v>173</v>
      </c>
      <c r="F160" t="s">
        <v>7975</v>
      </c>
      <c r="G160" t="s">
        <v>7915</v>
      </c>
    </row>
    <row r="161" spans="1:7">
      <c r="A161" t="s">
        <v>7971</v>
      </c>
      <c r="B161">
        <v>174</v>
      </c>
      <c r="F161" t="s">
        <v>7975</v>
      </c>
      <c r="G161" t="s">
        <v>7915</v>
      </c>
    </row>
    <row r="162" spans="1:7">
      <c r="A162" t="s">
        <v>7971</v>
      </c>
      <c r="B162">
        <v>175</v>
      </c>
      <c r="F162" t="s">
        <v>7975</v>
      </c>
      <c r="G162" t="s">
        <v>7915</v>
      </c>
    </row>
    <row r="163" spans="1:7">
      <c r="A163" t="s">
        <v>7971</v>
      </c>
      <c r="B163">
        <v>176</v>
      </c>
      <c r="F163" t="s">
        <v>7975</v>
      </c>
      <c r="G163" t="s">
        <v>7915</v>
      </c>
    </row>
    <row r="164" spans="1:7">
      <c r="A164" t="s">
        <v>7971</v>
      </c>
      <c r="B164">
        <v>177</v>
      </c>
      <c r="F164" t="s">
        <v>7975</v>
      </c>
      <c r="G164" t="s">
        <v>7915</v>
      </c>
    </row>
    <row r="165" spans="1:7">
      <c r="A165" t="s">
        <v>7971</v>
      </c>
      <c r="B165">
        <v>178</v>
      </c>
      <c r="F165" t="s">
        <v>7975</v>
      </c>
      <c r="G165" t="s">
        <v>7915</v>
      </c>
    </row>
    <row r="166" spans="1:7">
      <c r="A166" t="s">
        <v>7971</v>
      </c>
      <c r="B166">
        <v>179</v>
      </c>
      <c r="F166" t="s">
        <v>7975</v>
      </c>
      <c r="G166" t="s">
        <v>7915</v>
      </c>
    </row>
    <row r="167" spans="1:7">
      <c r="A167" t="s">
        <v>7971</v>
      </c>
      <c r="B167">
        <v>180</v>
      </c>
      <c r="F167" t="s">
        <v>7976</v>
      </c>
      <c r="G167" t="s">
        <v>7915</v>
      </c>
    </row>
    <row r="168" spans="1:7">
      <c r="A168" t="s">
        <v>7971</v>
      </c>
      <c r="B168">
        <v>181</v>
      </c>
      <c r="F168" t="s">
        <v>7976</v>
      </c>
      <c r="G168" t="s">
        <v>7915</v>
      </c>
    </row>
    <row r="169" spans="1:7">
      <c r="A169" t="s">
        <v>7977</v>
      </c>
      <c r="D169" t="s">
        <v>7978</v>
      </c>
      <c r="F169" t="s">
        <v>1151</v>
      </c>
      <c r="G169" t="s">
        <v>7915</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F4AA46-C7CE-49B3-B531-5F785C23EB4E}">
  <sheetPr>
    <tabColor rgb="FFC00000"/>
  </sheetPr>
  <dimension ref="A1:I149"/>
  <sheetViews>
    <sheetView topLeftCell="A12" workbookViewId="0">
      <selection activeCell="A2" sqref="A2"/>
    </sheetView>
  </sheetViews>
  <sheetFormatPr defaultColWidth="30.5546875" defaultRowHeight="14.4"/>
  <cols>
    <col min="1" max="16384" width="30.5546875" style="402"/>
  </cols>
  <sheetData>
    <row r="1" spans="1:9" ht="18">
      <c r="A1" s="405" t="s">
        <v>5138</v>
      </c>
      <c r="B1" s="405" t="s">
        <v>7979</v>
      </c>
      <c r="C1" s="405" t="s">
        <v>7980</v>
      </c>
      <c r="D1" s="405" t="s">
        <v>7981</v>
      </c>
      <c r="E1" s="405" t="s">
        <v>7982</v>
      </c>
      <c r="F1" s="405" t="s">
        <v>2301</v>
      </c>
      <c r="G1" s="405" t="s">
        <v>7983</v>
      </c>
      <c r="H1" s="405" t="s">
        <v>7984</v>
      </c>
      <c r="I1" s="405" t="s">
        <v>7985</v>
      </c>
    </row>
    <row r="2" spans="1:9">
      <c r="A2" s="863"/>
      <c r="B2" s="863"/>
      <c r="C2" s="402" t="s">
        <v>7986</v>
      </c>
      <c r="D2" s="402" t="s">
        <v>2722</v>
      </c>
      <c r="E2" s="402" t="s">
        <v>7987</v>
      </c>
      <c r="F2" s="402" t="s">
        <v>2195</v>
      </c>
      <c r="G2" s="402" t="s">
        <v>7988</v>
      </c>
      <c r="H2" s="402" t="s">
        <v>7989</v>
      </c>
      <c r="I2" s="863"/>
    </row>
    <row r="3" spans="1:9">
      <c r="A3" s="863"/>
      <c r="B3" s="863"/>
      <c r="D3" s="402" t="s">
        <v>2722</v>
      </c>
      <c r="E3" s="402" t="s">
        <v>7990</v>
      </c>
      <c r="F3" s="402" t="s">
        <v>2195</v>
      </c>
      <c r="G3" s="402" t="s">
        <v>7988</v>
      </c>
      <c r="H3" s="402" t="s">
        <v>7991</v>
      </c>
      <c r="I3" s="863" t="s">
        <v>7992</v>
      </c>
    </row>
    <row r="4" spans="1:9">
      <c r="A4" s="863"/>
      <c r="B4" s="863"/>
      <c r="C4" s="402" t="s">
        <v>7986</v>
      </c>
      <c r="D4" s="402" t="s">
        <v>2722</v>
      </c>
      <c r="E4" s="402" t="s">
        <v>7993</v>
      </c>
      <c r="F4" s="402" t="s">
        <v>2195</v>
      </c>
      <c r="G4" s="402" t="s">
        <v>7988</v>
      </c>
      <c r="H4" s="402" t="s">
        <v>7994</v>
      </c>
      <c r="I4" s="863"/>
    </row>
    <row r="5" spans="1:9">
      <c r="A5" s="863"/>
      <c r="B5" s="863"/>
      <c r="C5" s="402" t="s">
        <v>7986</v>
      </c>
      <c r="D5" s="402" t="s">
        <v>2722</v>
      </c>
      <c r="E5" s="402" t="s">
        <v>6114</v>
      </c>
      <c r="F5" s="402" t="s">
        <v>2195</v>
      </c>
      <c r="G5" s="402" t="s">
        <v>7988</v>
      </c>
      <c r="H5" s="402" t="s">
        <v>7995</v>
      </c>
      <c r="I5" s="863"/>
    </row>
    <row r="6" spans="1:9">
      <c r="A6" s="863"/>
      <c r="B6" s="863"/>
      <c r="C6" s="402" t="s">
        <v>7996</v>
      </c>
      <c r="D6" s="402" t="s">
        <v>2722</v>
      </c>
      <c r="E6" s="402" t="s">
        <v>7997</v>
      </c>
      <c r="F6" s="402" t="s">
        <v>2195</v>
      </c>
      <c r="G6" s="402" t="s">
        <v>7988</v>
      </c>
      <c r="H6" s="402" t="s">
        <v>7998</v>
      </c>
      <c r="I6" s="863" t="s">
        <v>7999</v>
      </c>
    </row>
    <row r="7" spans="1:9">
      <c r="A7" s="863"/>
      <c r="B7" s="863"/>
      <c r="C7" s="402" t="s">
        <v>7996</v>
      </c>
      <c r="D7" s="402" t="s">
        <v>2722</v>
      </c>
      <c r="E7" s="402" t="s">
        <v>8000</v>
      </c>
      <c r="F7" s="402" t="s">
        <v>2195</v>
      </c>
      <c r="G7" s="402" t="s">
        <v>7988</v>
      </c>
      <c r="H7" s="402" t="s">
        <v>8001</v>
      </c>
      <c r="I7" s="863" t="s">
        <v>7999</v>
      </c>
    </row>
    <row r="9" spans="1:9" ht="17.399999999999999">
      <c r="A9" s="404">
        <v>46035</v>
      </c>
      <c r="B9" s="403" t="s">
        <v>8002</v>
      </c>
      <c r="C9" s="403"/>
      <c r="D9" s="403"/>
      <c r="E9" s="403"/>
      <c r="F9" s="403"/>
      <c r="G9" s="403"/>
      <c r="H9" s="403"/>
      <c r="I9" s="403"/>
    </row>
    <row r="10" spans="1:9">
      <c r="A10" s="864">
        <v>46035</v>
      </c>
      <c r="B10" s="863" t="s">
        <v>8002</v>
      </c>
      <c r="C10" s="402" t="s">
        <v>7986</v>
      </c>
      <c r="D10" s="402" t="s">
        <v>2722</v>
      </c>
      <c r="E10" s="402" t="s">
        <v>8003</v>
      </c>
      <c r="F10" s="402" t="s">
        <v>2195</v>
      </c>
      <c r="G10" s="402" t="s">
        <v>7988</v>
      </c>
      <c r="H10" s="402" t="s">
        <v>8004</v>
      </c>
      <c r="I10" s="863" t="s">
        <v>8005</v>
      </c>
    </row>
    <row r="11" spans="1:9">
      <c r="A11" s="864">
        <v>46035</v>
      </c>
      <c r="B11" s="863" t="s">
        <v>8002</v>
      </c>
      <c r="C11" s="402" t="s">
        <v>7986</v>
      </c>
      <c r="D11" s="402" t="s">
        <v>2722</v>
      </c>
      <c r="E11" s="402" t="s">
        <v>6180</v>
      </c>
      <c r="F11" s="402" t="s">
        <v>2195</v>
      </c>
      <c r="G11" s="402" t="s">
        <v>7988</v>
      </c>
      <c r="H11" s="402" t="s">
        <v>8006</v>
      </c>
      <c r="I11" s="863" t="s">
        <v>8007</v>
      </c>
    </row>
    <row r="12" spans="1:9">
      <c r="A12" s="864">
        <v>46035</v>
      </c>
      <c r="B12" s="863" t="s">
        <v>8002</v>
      </c>
      <c r="C12" s="402" t="s">
        <v>7986</v>
      </c>
      <c r="D12" s="402" t="s">
        <v>2722</v>
      </c>
      <c r="E12" s="402" t="s">
        <v>6220</v>
      </c>
      <c r="F12" s="402" t="s">
        <v>2195</v>
      </c>
      <c r="G12" s="402" t="s">
        <v>7988</v>
      </c>
      <c r="H12" s="402" t="s">
        <v>8008</v>
      </c>
      <c r="I12" s="863" t="s">
        <v>8009</v>
      </c>
    </row>
    <row r="14" spans="1:9" ht="17.399999999999999">
      <c r="A14" s="404">
        <v>46036</v>
      </c>
      <c r="B14" s="403" t="s">
        <v>8010</v>
      </c>
      <c r="C14" s="403"/>
      <c r="D14" s="403"/>
      <c r="E14" s="403"/>
      <c r="F14" s="403"/>
      <c r="G14" s="403"/>
      <c r="H14" s="403"/>
      <c r="I14" s="403"/>
    </row>
    <row r="15" spans="1:9">
      <c r="A15" s="864">
        <v>46036</v>
      </c>
      <c r="B15" s="863" t="s">
        <v>8010</v>
      </c>
      <c r="C15" s="402" t="s">
        <v>7986</v>
      </c>
      <c r="D15" s="402" t="s">
        <v>2722</v>
      </c>
      <c r="E15" s="402" t="s">
        <v>5768</v>
      </c>
      <c r="F15" s="402" t="s">
        <v>2195</v>
      </c>
      <c r="G15" s="402" t="s">
        <v>7988</v>
      </c>
      <c r="H15" s="402" t="s">
        <v>8011</v>
      </c>
      <c r="I15" s="863" t="s">
        <v>8012</v>
      </c>
    </row>
    <row r="16" spans="1:9">
      <c r="A16" s="864">
        <v>46036</v>
      </c>
      <c r="B16" s="863" t="s">
        <v>8010</v>
      </c>
      <c r="C16" s="402" t="s">
        <v>7986</v>
      </c>
      <c r="D16" s="402" t="s">
        <v>2722</v>
      </c>
      <c r="E16" s="402" t="s">
        <v>6268</v>
      </c>
      <c r="F16" s="402" t="s">
        <v>2195</v>
      </c>
      <c r="G16" s="402" t="s">
        <v>7988</v>
      </c>
      <c r="H16" s="402" t="s">
        <v>8013</v>
      </c>
      <c r="I16" s="863" t="s">
        <v>8014</v>
      </c>
    </row>
    <row r="17" spans="1:9">
      <c r="A17" s="864">
        <v>46036</v>
      </c>
      <c r="B17" s="863" t="s">
        <v>8010</v>
      </c>
      <c r="C17" s="402" t="s">
        <v>7986</v>
      </c>
      <c r="D17" s="402" t="s">
        <v>2722</v>
      </c>
      <c r="E17" s="402" t="s">
        <v>6196</v>
      </c>
      <c r="F17" s="402" t="s">
        <v>2195</v>
      </c>
      <c r="G17" s="402" t="s">
        <v>7988</v>
      </c>
      <c r="H17" s="402" t="s">
        <v>8015</v>
      </c>
      <c r="I17" s="863" t="s">
        <v>8016</v>
      </c>
    </row>
    <row r="19" spans="1:9" ht="17.399999999999999">
      <c r="A19" s="404">
        <v>46037</v>
      </c>
      <c r="B19" s="403" t="s">
        <v>8010</v>
      </c>
      <c r="C19" s="403"/>
      <c r="D19" s="403"/>
      <c r="E19" s="403"/>
      <c r="F19" s="403"/>
      <c r="G19" s="403"/>
      <c r="H19" s="403"/>
      <c r="I19" s="403"/>
    </row>
    <row r="20" spans="1:9">
      <c r="A20" s="864">
        <v>46037</v>
      </c>
      <c r="B20" s="863" t="s">
        <v>8010</v>
      </c>
      <c r="C20" s="402" t="s">
        <v>7986</v>
      </c>
      <c r="D20" s="402" t="s">
        <v>2722</v>
      </c>
      <c r="E20" s="402" t="s">
        <v>8017</v>
      </c>
      <c r="F20" s="402" t="s">
        <v>2195</v>
      </c>
      <c r="G20" s="402" t="s">
        <v>7988</v>
      </c>
      <c r="H20" s="402" t="s">
        <v>8018</v>
      </c>
      <c r="I20" s="863" t="s">
        <v>8019</v>
      </c>
    </row>
    <row r="22" spans="1:9" ht="17.399999999999999">
      <c r="A22" s="403"/>
      <c r="B22" s="403" t="s">
        <v>8002</v>
      </c>
      <c r="C22" s="403"/>
      <c r="D22" s="403"/>
      <c r="E22" s="403"/>
      <c r="F22" s="403"/>
      <c r="G22" s="403"/>
      <c r="H22" s="403"/>
      <c r="I22" s="403"/>
    </row>
    <row r="23" spans="1:9">
      <c r="A23" s="864">
        <v>46037</v>
      </c>
      <c r="B23" s="863" t="s">
        <v>8002</v>
      </c>
      <c r="C23" s="402" t="s">
        <v>7986</v>
      </c>
      <c r="D23" s="402" t="s">
        <v>2722</v>
      </c>
      <c r="E23" s="402" t="s">
        <v>8020</v>
      </c>
      <c r="F23" s="402" t="s">
        <v>2195</v>
      </c>
      <c r="G23" s="402" t="s">
        <v>7988</v>
      </c>
      <c r="H23" s="402" t="s">
        <v>8021</v>
      </c>
      <c r="I23" s="863" t="s">
        <v>8022</v>
      </c>
    </row>
    <row r="24" spans="1:9">
      <c r="A24" s="864">
        <v>46037</v>
      </c>
      <c r="B24" s="863" t="s">
        <v>8002</v>
      </c>
      <c r="C24" s="402" t="s">
        <v>7986</v>
      </c>
      <c r="D24" s="402" t="s">
        <v>2722</v>
      </c>
      <c r="E24" s="402" t="s">
        <v>8023</v>
      </c>
      <c r="F24" s="402" t="s">
        <v>2195</v>
      </c>
      <c r="G24" s="402" t="s">
        <v>7988</v>
      </c>
      <c r="H24" s="402" t="s">
        <v>8024</v>
      </c>
      <c r="I24" s="863" t="s">
        <v>8025</v>
      </c>
    </row>
    <row r="26" spans="1:9" ht="17.399999999999999">
      <c r="A26" s="404">
        <v>46062</v>
      </c>
      <c r="B26" s="403" t="s">
        <v>8010</v>
      </c>
      <c r="C26" s="403"/>
      <c r="D26" s="403"/>
      <c r="E26" s="403"/>
      <c r="F26" s="403"/>
      <c r="G26" s="403"/>
      <c r="H26" s="403"/>
      <c r="I26" s="403"/>
    </row>
    <row r="27" spans="1:9">
      <c r="A27" s="864">
        <v>46062</v>
      </c>
      <c r="B27" s="863" t="s">
        <v>8010</v>
      </c>
      <c r="C27" s="402" t="s">
        <v>7986</v>
      </c>
      <c r="D27" s="402" t="s">
        <v>2722</v>
      </c>
      <c r="E27" s="402" t="s">
        <v>6114</v>
      </c>
      <c r="F27" s="402" t="s">
        <v>2195</v>
      </c>
      <c r="G27" s="402" t="s">
        <v>7988</v>
      </c>
      <c r="H27" s="402" t="s">
        <v>8026</v>
      </c>
      <c r="I27" s="863" t="s">
        <v>8027</v>
      </c>
    </row>
    <row r="28" spans="1:9">
      <c r="A28" s="864">
        <v>46062</v>
      </c>
      <c r="B28" s="863" t="s">
        <v>8010</v>
      </c>
      <c r="C28" s="402" t="s">
        <v>7986</v>
      </c>
      <c r="D28" s="402" t="s">
        <v>2722</v>
      </c>
      <c r="E28" s="402" t="s">
        <v>6367</v>
      </c>
      <c r="F28" s="402" t="s">
        <v>2195</v>
      </c>
      <c r="G28" s="402" t="s">
        <v>7988</v>
      </c>
      <c r="H28" s="402" t="s">
        <v>8028</v>
      </c>
      <c r="I28" s="863" t="s">
        <v>8029</v>
      </c>
    </row>
    <row r="29" spans="1:9">
      <c r="A29" s="864">
        <v>46062</v>
      </c>
      <c r="B29" s="863" t="s">
        <v>8010</v>
      </c>
      <c r="C29" s="402" t="s">
        <v>7986</v>
      </c>
      <c r="D29" s="402" t="s">
        <v>2722</v>
      </c>
      <c r="E29" s="402" t="s">
        <v>7987</v>
      </c>
      <c r="F29" s="402" t="s">
        <v>2195</v>
      </c>
      <c r="G29" s="402" t="s">
        <v>7988</v>
      </c>
      <c r="H29" s="402" t="s">
        <v>8030</v>
      </c>
      <c r="I29" s="863" t="s">
        <v>8031</v>
      </c>
    </row>
    <row r="30" spans="1:9">
      <c r="A30" s="864">
        <v>46062</v>
      </c>
      <c r="B30" s="863" t="s">
        <v>8010</v>
      </c>
      <c r="C30" s="402" t="s">
        <v>7986</v>
      </c>
      <c r="D30" s="402" t="s">
        <v>2722</v>
      </c>
      <c r="E30" s="402" t="s">
        <v>8032</v>
      </c>
      <c r="F30" s="402" t="s">
        <v>2195</v>
      </c>
      <c r="G30" s="402" t="s">
        <v>7988</v>
      </c>
      <c r="H30" s="402" t="s">
        <v>8033</v>
      </c>
      <c r="I30" s="863" t="s">
        <v>8034</v>
      </c>
    </row>
    <row r="32" spans="1:9" ht="17.399999999999999">
      <c r="A32" s="404">
        <v>46072</v>
      </c>
      <c r="B32" s="403" t="s">
        <v>8002</v>
      </c>
      <c r="C32" s="403"/>
      <c r="D32" s="403"/>
      <c r="E32" s="403"/>
      <c r="F32" s="403"/>
      <c r="G32" s="403"/>
      <c r="H32" s="403"/>
      <c r="I32" s="403"/>
    </row>
    <row r="33" spans="1:9">
      <c r="A33" s="864">
        <v>46072</v>
      </c>
      <c r="B33" s="863" t="s">
        <v>8002</v>
      </c>
      <c r="C33" s="402" t="s">
        <v>7986</v>
      </c>
      <c r="D33" s="402" t="s">
        <v>2722</v>
      </c>
      <c r="E33" s="402" t="s">
        <v>8035</v>
      </c>
      <c r="F33" s="402" t="s">
        <v>2195</v>
      </c>
      <c r="G33" s="402" t="s">
        <v>7988</v>
      </c>
      <c r="H33" s="402" t="s">
        <v>8036</v>
      </c>
      <c r="I33" s="863" t="s">
        <v>8037</v>
      </c>
    </row>
    <row r="34" spans="1:9">
      <c r="A34" s="864">
        <v>46072</v>
      </c>
      <c r="B34" s="863" t="s">
        <v>8002</v>
      </c>
      <c r="C34" s="402" t="s">
        <v>7986</v>
      </c>
      <c r="D34" s="402" t="s">
        <v>2722</v>
      </c>
      <c r="E34" s="402" t="s">
        <v>8038</v>
      </c>
      <c r="F34" s="402" t="s">
        <v>2195</v>
      </c>
      <c r="G34" s="402" t="s">
        <v>7988</v>
      </c>
      <c r="H34" s="402" t="s">
        <v>8039</v>
      </c>
      <c r="I34" s="863" t="s">
        <v>8040</v>
      </c>
    </row>
    <row r="35" spans="1:9">
      <c r="A35" s="864">
        <v>46072</v>
      </c>
      <c r="B35" s="863" t="s">
        <v>8002</v>
      </c>
      <c r="C35" s="402" t="s">
        <v>7986</v>
      </c>
      <c r="D35" s="402" t="s">
        <v>2722</v>
      </c>
      <c r="E35" s="402" t="s">
        <v>8041</v>
      </c>
      <c r="F35" s="402" t="s">
        <v>2195</v>
      </c>
      <c r="G35" s="402" t="s">
        <v>7988</v>
      </c>
      <c r="H35" s="402" t="s">
        <v>8042</v>
      </c>
      <c r="I35" s="863" t="s">
        <v>8043</v>
      </c>
    </row>
    <row r="36" spans="1:9">
      <c r="A36" s="864">
        <v>46072</v>
      </c>
      <c r="B36" s="863" t="s">
        <v>8002</v>
      </c>
      <c r="C36" s="402" t="s">
        <v>7986</v>
      </c>
      <c r="D36" s="402" t="s">
        <v>2722</v>
      </c>
      <c r="E36" s="402" t="s">
        <v>6099</v>
      </c>
      <c r="F36" s="402" t="s">
        <v>2195</v>
      </c>
      <c r="G36" s="402" t="s">
        <v>7988</v>
      </c>
      <c r="H36" s="402" t="s">
        <v>8044</v>
      </c>
      <c r="I36" s="863" t="s">
        <v>8045</v>
      </c>
    </row>
    <row r="37" spans="1:9">
      <c r="A37" s="864">
        <v>46072</v>
      </c>
      <c r="B37" s="863" t="s">
        <v>8002</v>
      </c>
      <c r="C37" s="402" t="s">
        <v>7986</v>
      </c>
      <c r="D37" s="402" t="s">
        <v>2722</v>
      </c>
      <c r="E37" s="402" t="s">
        <v>8046</v>
      </c>
      <c r="F37" s="402" t="s">
        <v>2195</v>
      </c>
      <c r="G37" s="402" t="s">
        <v>7988</v>
      </c>
      <c r="H37" s="402" t="s">
        <v>8047</v>
      </c>
      <c r="I37" s="863" t="s">
        <v>8048</v>
      </c>
    </row>
    <row r="39" spans="1:9" ht="17.399999999999999">
      <c r="A39" s="404">
        <v>45876</v>
      </c>
      <c r="B39" s="403" t="s">
        <v>8010</v>
      </c>
      <c r="C39" s="403"/>
      <c r="D39" s="403"/>
      <c r="E39" s="403"/>
      <c r="F39" s="403"/>
      <c r="G39" s="403"/>
      <c r="H39" s="403"/>
      <c r="I39" s="403"/>
    </row>
    <row r="40" spans="1:9">
      <c r="A40" s="864">
        <v>45876</v>
      </c>
      <c r="B40" s="863" t="s">
        <v>8010</v>
      </c>
      <c r="C40" s="402" t="s">
        <v>7986</v>
      </c>
      <c r="D40" s="402" t="s">
        <v>8049</v>
      </c>
      <c r="E40" s="402" t="s">
        <v>7561</v>
      </c>
      <c r="F40" s="402" t="s">
        <v>2195</v>
      </c>
      <c r="G40" s="402" t="s">
        <v>7988</v>
      </c>
      <c r="H40" s="402" t="s">
        <v>8050</v>
      </c>
      <c r="I40" s="863" t="s">
        <v>8051</v>
      </c>
    </row>
    <row r="42" spans="1:9" ht="17.399999999999999">
      <c r="A42" s="403"/>
      <c r="B42" s="403" t="s">
        <v>8002</v>
      </c>
      <c r="C42" s="403"/>
      <c r="D42" s="403"/>
      <c r="E42" s="403"/>
      <c r="F42" s="403"/>
      <c r="G42" s="403"/>
      <c r="H42" s="403"/>
      <c r="I42" s="403"/>
    </row>
    <row r="43" spans="1:9">
      <c r="A43" s="864">
        <v>45876</v>
      </c>
      <c r="B43" s="863" t="s">
        <v>8002</v>
      </c>
      <c r="C43" s="402" t="s">
        <v>7986</v>
      </c>
      <c r="D43" s="402" t="s">
        <v>8049</v>
      </c>
      <c r="E43" s="402" t="s">
        <v>7605</v>
      </c>
      <c r="F43" s="402" t="s">
        <v>2195</v>
      </c>
      <c r="G43" s="402" t="s">
        <v>7988</v>
      </c>
      <c r="H43" s="402" t="s">
        <v>8052</v>
      </c>
      <c r="I43" s="863" t="s">
        <v>8053</v>
      </c>
    </row>
    <row r="44" spans="1:9">
      <c r="A44" s="864">
        <v>45876</v>
      </c>
      <c r="B44" s="863" t="s">
        <v>8002</v>
      </c>
      <c r="C44" s="402" t="s">
        <v>7986</v>
      </c>
      <c r="D44" s="402" t="s">
        <v>8049</v>
      </c>
      <c r="E44" s="402" t="s">
        <v>7537</v>
      </c>
      <c r="F44" s="402" t="s">
        <v>2195</v>
      </c>
      <c r="G44" s="402" t="s">
        <v>7988</v>
      </c>
      <c r="H44" s="402" t="s">
        <v>8054</v>
      </c>
      <c r="I44" s="863" t="s">
        <v>8055</v>
      </c>
    </row>
    <row r="45" spans="1:9">
      <c r="A45" s="864">
        <v>45876</v>
      </c>
      <c r="B45" s="863" t="s">
        <v>8002</v>
      </c>
      <c r="C45" s="402" t="s">
        <v>7986</v>
      </c>
      <c r="D45" s="402" t="s">
        <v>8049</v>
      </c>
      <c r="E45" s="402" t="s">
        <v>7622</v>
      </c>
      <c r="F45" s="402" t="s">
        <v>2195</v>
      </c>
      <c r="G45" s="402" t="s">
        <v>7988</v>
      </c>
      <c r="H45" s="402" t="s">
        <v>8056</v>
      </c>
      <c r="I45" s="863" t="s">
        <v>8057</v>
      </c>
    </row>
    <row r="47" spans="1:9" ht="17.399999999999999">
      <c r="A47" s="404">
        <v>45881</v>
      </c>
      <c r="B47" s="403" t="s">
        <v>8002</v>
      </c>
      <c r="C47" s="403"/>
      <c r="D47" s="403"/>
      <c r="E47" s="403"/>
      <c r="F47" s="403"/>
      <c r="G47" s="403"/>
      <c r="H47" s="403"/>
      <c r="I47" s="403"/>
    </row>
    <row r="48" spans="1:9">
      <c r="A48" s="864">
        <v>45881</v>
      </c>
      <c r="B48" s="863" t="s">
        <v>8002</v>
      </c>
      <c r="C48" s="402" t="s">
        <v>7986</v>
      </c>
      <c r="D48" s="402" t="s">
        <v>8049</v>
      </c>
      <c r="E48" s="402" t="s">
        <v>7618</v>
      </c>
      <c r="F48" s="402" t="s">
        <v>2195</v>
      </c>
      <c r="G48" s="402" t="s">
        <v>7988</v>
      </c>
      <c r="H48" s="402" t="s">
        <v>8058</v>
      </c>
      <c r="I48" s="863" t="s">
        <v>8059</v>
      </c>
    </row>
    <row r="49" spans="1:9">
      <c r="A49" s="864">
        <v>45881</v>
      </c>
      <c r="B49" s="863" t="s">
        <v>8002</v>
      </c>
      <c r="C49" s="402" t="s">
        <v>7986</v>
      </c>
      <c r="D49" s="402" t="s">
        <v>8049</v>
      </c>
      <c r="E49" s="402" t="s">
        <v>7582</v>
      </c>
      <c r="F49" s="402" t="s">
        <v>2195</v>
      </c>
      <c r="G49" s="402" t="s">
        <v>7988</v>
      </c>
      <c r="H49" s="402" t="s">
        <v>8060</v>
      </c>
      <c r="I49" s="863" t="s">
        <v>8061</v>
      </c>
    </row>
    <row r="50" spans="1:9">
      <c r="A50" s="864">
        <v>45881</v>
      </c>
      <c r="B50" s="863" t="s">
        <v>8002</v>
      </c>
      <c r="C50" s="402" t="s">
        <v>7986</v>
      </c>
      <c r="D50" s="402" t="s">
        <v>8049</v>
      </c>
      <c r="E50" s="402" t="s">
        <v>7606</v>
      </c>
      <c r="F50" s="402" t="s">
        <v>2195</v>
      </c>
      <c r="G50" s="402" t="s">
        <v>7988</v>
      </c>
      <c r="H50" s="402" t="s">
        <v>8062</v>
      </c>
      <c r="I50" s="863" t="s">
        <v>8063</v>
      </c>
    </row>
    <row r="51" spans="1:9">
      <c r="A51" s="864">
        <v>45881</v>
      </c>
      <c r="B51" s="863" t="s">
        <v>8002</v>
      </c>
      <c r="C51" s="402" t="s">
        <v>7986</v>
      </c>
      <c r="D51" s="402" t="s">
        <v>8049</v>
      </c>
      <c r="E51" s="402" t="s">
        <v>7620</v>
      </c>
      <c r="F51" s="402" t="s">
        <v>2195</v>
      </c>
      <c r="G51" s="402" t="s">
        <v>7988</v>
      </c>
      <c r="H51" s="402" t="s">
        <v>8064</v>
      </c>
      <c r="I51" s="863" t="s">
        <v>8065</v>
      </c>
    </row>
    <row r="52" spans="1:9">
      <c r="A52" s="864">
        <v>45881</v>
      </c>
      <c r="B52" s="863" t="s">
        <v>8002</v>
      </c>
      <c r="C52" s="402" t="s">
        <v>7986</v>
      </c>
      <c r="D52" s="402" t="s">
        <v>8049</v>
      </c>
      <c r="E52" s="402" t="s">
        <v>7531</v>
      </c>
      <c r="F52" s="402" t="s">
        <v>2195</v>
      </c>
      <c r="G52" s="402" t="s">
        <v>7988</v>
      </c>
      <c r="H52" s="402" t="s">
        <v>8066</v>
      </c>
      <c r="I52" s="863" t="s">
        <v>8067</v>
      </c>
    </row>
    <row r="54" spans="1:9" ht="17.399999999999999">
      <c r="A54" s="404">
        <v>45882</v>
      </c>
      <c r="B54" s="403" t="s">
        <v>8068</v>
      </c>
      <c r="C54" s="403"/>
      <c r="D54" s="403"/>
      <c r="E54" s="403"/>
      <c r="F54" s="403"/>
      <c r="G54" s="403"/>
      <c r="H54" s="403"/>
      <c r="I54" s="403"/>
    </row>
    <row r="55" spans="1:9">
      <c r="A55" s="864">
        <v>45882</v>
      </c>
      <c r="B55" s="863" t="s">
        <v>8068</v>
      </c>
      <c r="C55" s="402" t="s">
        <v>7986</v>
      </c>
      <c r="D55" s="402" t="s">
        <v>8049</v>
      </c>
      <c r="E55" s="402" t="s">
        <v>7552</v>
      </c>
      <c r="F55" s="402" t="s">
        <v>2195</v>
      </c>
      <c r="G55" s="402" t="s">
        <v>7988</v>
      </c>
      <c r="H55" s="402" t="s">
        <v>8069</v>
      </c>
      <c r="I55" s="863" t="s">
        <v>8070</v>
      </c>
    </row>
    <row r="57" spans="1:9" ht="17.399999999999999">
      <c r="A57" s="404">
        <v>45904</v>
      </c>
      <c r="B57" s="403" t="s">
        <v>8010</v>
      </c>
      <c r="C57" s="403"/>
      <c r="D57" s="403"/>
      <c r="E57" s="403"/>
      <c r="F57" s="403"/>
      <c r="G57" s="403"/>
      <c r="H57" s="403"/>
      <c r="I57" s="403"/>
    </row>
    <row r="58" spans="1:9">
      <c r="A58" s="864">
        <v>45904</v>
      </c>
      <c r="B58" s="863" t="s">
        <v>8010</v>
      </c>
      <c r="C58" s="402" t="s">
        <v>7986</v>
      </c>
      <c r="D58" s="402" t="s">
        <v>8049</v>
      </c>
      <c r="E58" s="402" t="s">
        <v>7892</v>
      </c>
      <c r="F58" s="402" t="s">
        <v>2195</v>
      </c>
      <c r="G58" s="402" t="s">
        <v>7988</v>
      </c>
      <c r="H58" s="402" t="s">
        <v>8071</v>
      </c>
      <c r="I58" s="863" t="s">
        <v>8072</v>
      </c>
    </row>
    <row r="59" spans="1:9">
      <c r="A59" s="864">
        <v>45904</v>
      </c>
      <c r="B59" s="863" t="s">
        <v>8010</v>
      </c>
      <c r="C59" s="402" t="s">
        <v>7986</v>
      </c>
      <c r="D59" s="402" t="s">
        <v>8049</v>
      </c>
      <c r="E59" s="402" t="s">
        <v>7713</v>
      </c>
      <c r="F59" s="402" t="s">
        <v>2195</v>
      </c>
      <c r="G59" s="402" t="s">
        <v>7988</v>
      </c>
      <c r="H59" s="402" t="s">
        <v>8073</v>
      </c>
      <c r="I59" s="863" t="s">
        <v>8074</v>
      </c>
    </row>
    <row r="61" spans="1:9" ht="17.399999999999999">
      <c r="A61" s="404">
        <v>45952</v>
      </c>
      <c r="B61" s="403" t="s">
        <v>8010</v>
      </c>
      <c r="C61" s="403"/>
      <c r="D61" s="403"/>
      <c r="E61" s="403"/>
      <c r="F61" s="403"/>
      <c r="G61" s="403"/>
      <c r="H61" s="403"/>
      <c r="I61" s="403"/>
    </row>
    <row r="62" spans="1:9">
      <c r="A62" s="864">
        <v>45952</v>
      </c>
      <c r="B62" s="863" t="s">
        <v>8010</v>
      </c>
      <c r="C62" s="402" t="s">
        <v>7986</v>
      </c>
      <c r="D62" s="402" t="s">
        <v>2722</v>
      </c>
      <c r="E62" s="402" t="s">
        <v>6177</v>
      </c>
      <c r="F62" s="402" t="s">
        <v>2195</v>
      </c>
      <c r="G62" s="402" t="s">
        <v>7988</v>
      </c>
      <c r="H62" s="402" t="s">
        <v>8075</v>
      </c>
      <c r="I62" s="863" t="s">
        <v>8076</v>
      </c>
    </row>
    <row r="63" spans="1:9">
      <c r="A63" s="864">
        <v>45952</v>
      </c>
      <c r="B63" s="863" t="s">
        <v>8010</v>
      </c>
      <c r="C63" s="402" t="s">
        <v>7986</v>
      </c>
      <c r="D63" s="402" t="s">
        <v>2722</v>
      </c>
      <c r="E63" s="402" t="s">
        <v>7874</v>
      </c>
      <c r="F63" s="402" t="s">
        <v>2195</v>
      </c>
      <c r="G63" s="402" t="s">
        <v>7988</v>
      </c>
      <c r="H63" s="402" t="s">
        <v>8077</v>
      </c>
      <c r="I63" s="863" t="s">
        <v>8078</v>
      </c>
    </row>
    <row r="64" spans="1:9">
      <c r="A64" s="864">
        <v>45952</v>
      </c>
      <c r="B64" s="863" t="s">
        <v>8010</v>
      </c>
      <c r="C64" s="402" t="s">
        <v>7986</v>
      </c>
      <c r="D64" s="402" t="s">
        <v>2722</v>
      </c>
      <c r="E64" s="402" t="s">
        <v>7567</v>
      </c>
      <c r="F64" s="402" t="s">
        <v>2195</v>
      </c>
      <c r="G64" s="402" t="s">
        <v>7988</v>
      </c>
      <c r="H64" s="402" t="s">
        <v>8079</v>
      </c>
      <c r="I64" s="863" t="s">
        <v>8080</v>
      </c>
    </row>
    <row r="65" spans="1:9">
      <c r="A65" s="864">
        <v>45952</v>
      </c>
      <c r="B65" s="863" t="s">
        <v>8010</v>
      </c>
      <c r="C65" s="402" t="s">
        <v>7986</v>
      </c>
      <c r="D65" s="402" t="s">
        <v>2722</v>
      </c>
      <c r="E65" s="402" t="s">
        <v>6337</v>
      </c>
      <c r="F65" s="402" t="s">
        <v>2195</v>
      </c>
      <c r="G65" s="402" t="s">
        <v>7988</v>
      </c>
      <c r="H65" s="402" t="s">
        <v>8081</v>
      </c>
      <c r="I65" s="863" t="s">
        <v>8082</v>
      </c>
    </row>
    <row r="66" spans="1:9">
      <c r="A66" s="864">
        <v>45952</v>
      </c>
      <c r="B66" s="863" t="s">
        <v>8010</v>
      </c>
      <c r="C66" s="402" t="s">
        <v>7986</v>
      </c>
      <c r="D66" s="402" t="s">
        <v>2722</v>
      </c>
      <c r="E66" s="402" t="s">
        <v>8083</v>
      </c>
      <c r="F66" s="402" t="s">
        <v>2195</v>
      </c>
      <c r="G66" s="402" t="s">
        <v>7988</v>
      </c>
      <c r="H66" s="402" t="s">
        <v>8084</v>
      </c>
      <c r="I66" s="863" t="s">
        <v>8085</v>
      </c>
    </row>
    <row r="67" spans="1:9">
      <c r="A67" s="864">
        <v>45952</v>
      </c>
      <c r="B67" s="863" t="s">
        <v>8010</v>
      </c>
      <c r="C67" s="402" t="s">
        <v>7986</v>
      </c>
      <c r="D67" s="402" t="s">
        <v>2722</v>
      </c>
      <c r="E67" s="402" t="s">
        <v>6180</v>
      </c>
      <c r="F67" s="402" t="s">
        <v>2195</v>
      </c>
      <c r="G67" s="402" t="s">
        <v>7988</v>
      </c>
      <c r="H67" s="402" t="s">
        <v>8006</v>
      </c>
      <c r="I67" s="863" t="s">
        <v>8086</v>
      </c>
    </row>
    <row r="69" spans="1:9" ht="17.399999999999999">
      <c r="A69" s="403"/>
      <c r="B69" s="403" t="s">
        <v>8002</v>
      </c>
      <c r="C69" s="403"/>
      <c r="D69" s="403"/>
      <c r="E69" s="403"/>
      <c r="F69" s="403"/>
      <c r="G69" s="403"/>
      <c r="H69" s="403"/>
      <c r="I69" s="403"/>
    </row>
    <row r="70" spans="1:9">
      <c r="A70" s="864">
        <v>45952</v>
      </c>
      <c r="B70" s="863" t="s">
        <v>8002</v>
      </c>
      <c r="C70" s="402" t="s">
        <v>7986</v>
      </c>
      <c r="D70" s="402" t="s">
        <v>2722</v>
      </c>
      <c r="E70" s="402" t="s">
        <v>5784</v>
      </c>
      <c r="F70" s="402" t="s">
        <v>2195</v>
      </c>
      <c r="G70" s="402" t="s">
        <v>7988</v>
      </c>
      <c r="H70" s="402" t="s">
        <v>8087</v>
      </c>
      <c r="I70" s="863" t="s">
        <v>8088</v>
      </c>
    </row>
    <row r="72" spans="1:9" ht="17.399999999999999">
      <c r="A72" s="404">
        <v>45953</v>
      </c>
      <c r="B72" s="403" t="s">
        <v>8002</v>
      </c>
      <c r="C72" s="403"/>
      <c r="D72" s="403"/>
      <c r="E72" s="403"/>
      <c r="F72" s="403"/>
      <c r="G72" s="403"/>
      <c r="H72" s="403"/>
      <c r="I72" s="403"/>
    </row>
    <row r="73" spans="1:9">
      <c r="A73" s="864">
        <v>45953</v>
      </c>
      <c r="B73" s="863" t="s">
        <v>8002</v>
      </c>
      <c r="C73" s="402" t="s">
        <v>7986</v>
      </c>
      <c r="D73" s="402" t="s">
        <v>2722</v>
      </c>
      <c r="E73" s="402" t="s">
        <v>5865</v>
      </c>
      <c r="F73" s="402" t="s">
        <v>2195</v>
      </c>
      <c r="G73" s="402" t="s">
        <v>7988</v>
      </c>
      <c r="H73" s="402" t="s">
        <v>8089</v>
      </c>
      <c r="I73" s="863" t="s">
        <v>8090</v>
      </c>
    </row>
    <row r="75" spans="1:9" ht="17.399999999999999">
      <c r="A75" s="404">
        <v>45957</v>
      </c>
      <c r="B75" s="403" t="s">
        <v>8002</v>
      </c>
      <c r="C75" s="403"/>
      <c r="D75" s="403"/>
      <c r="E75" s="403"/>
      <c r="F75" s="403"/>
      <c r="G75" s="403"/>
      <c r="H75" s="403"/>
      <c r="I75" s="403"/>
    </row>
    <row r="76" spans="1:9">
      <c r="A76" s="864">
        <v>45957</v>
      </c>
      <c r="B76" s="863" t="s">
        <v>8002</v>
      </c>
      <c r="C76" s="402" t="s">
        <v>7986</v>
      </c>
      <c r="D76" s="402" t="s">
        <v>2722</v>
      </c>
      <c r="E76" s="402" t="s">
        <v>6151</v>
      </c>
      <c r="F76" s="402" t="s">
        <v>2195</v>
      </c>
      <c r="G76" s="402" t="s">
        <v>7988</v>
      </c>
      <c r="H76" s="402" t="s">
        <v>8091</v>
      </c>
      <c r="I76" s="863" t="s">
        <v>8092</v>
      </c>
    </row>
    <row r="77" spans="1:9">
      <c r="A77" s="864">
        <v>45957</v>
      </c>
      <c r="B77" s="863" t="s">
        <v>8002</v>
      </c>
      <c r="C77" s="402" t="s">
        <v>7986</v>
      </c>
      <c r="D77" s="402" t="s">
        <v>2722</v>
      </c>
      <c r="E77" s="402" t="s">
        <v>5741</v>
      </c>
      <c r="F77" s="402" t="s">
        <v>2195</v>
      </c>
      <c r="G77" s="402" t="s">
        <v>7988</v>
      </c>
      <c r="H77" s="402" t="s">
        <v>8093</v>
      </c>
      <c r="I77" s="863" t="s">
        <v>8094</v>
      </c>
    </row>
    <row r="78" spans="1:9">
      <c r="A78" s="864">
        <v>45957</v>
      </c>
      <c r="B78" s="863" t="s">
        <v>8002</v>
      </c>
      <c r="C78" s="402" t="s">
        <v>7986</v>
      </c>
      <c r="D78" s="402" t="s">
        <v>2722</v>
      </c>
      <c r="E78" s="402" t="s">
        <v>5756</v>
      </c>
      <c r="F78" s="402" t="s">
        <v>2195</v>
      </c>
      <c r="G78" s="402" t="s">
        <v>7988</v>
      </c>
      <c r="H78" s="402" t="s">
        <v>8095</v>
      </c>
      <c r="I78" s="863" t="s">
        <v>8096</v>
      </c>
    </row>
    <row r="79" spans="1:9">
      <c r="A79" s="864">
        <v>45957</v>
      </c>
      <c r="B79" s="863" t="s">
        <v>8002</v>
      </c>
      <c r="C79" s="402" t="s">
        <v>7986</v>
      </c>
      <c r="D79" s="402" t="s">
        <v>2722</v>
      </c>
      <c r="E79" s="402" t="s">
        <v>8097</v>
      </c>
      <c r="F79" s="402" t="s">
        <v>2195</v>
      </c>
      <c r="G79" s="402" t="s">
        <v>7988</v>
      </c>
      <c r="H79" s="402" t="s">
        <v>8098</v>
      </c>
      <c r="I79" s="863" t="s">
        <v>8099</v>
      </c>
    </row>
    <row r="80" spans="1:9">
      <c r="A80" s="864">
        <v>45957</v>
      </c>
      <c r="B80" s="863" t="s">
        <v>8002</v>
      </c>
      <c r="C80" s="402" t="s">
        <v>7986</v>
      </c>
      <c r="D80" s="402" t="s">
        <v>2722</v>
      </c>
      <c r="E80" s="402" t="s">
        <v>6030</v>
      </c>
      <c r="F80" s="402" t="s">
        <v>2195</v>
      </c>
      <c r="G80" s="402" t="s">
        <v>7988</v>
      </c>
      <c r="H80" s="402" t="s">
        <v>8100</v>
      </c>
      <c r="I80" s="863" t="s">
        <v>8101</v>
      </c>
    </row>
    <row r="81" spans="1:9">
      <c r="A81" s="864">
        <v>45957</v>
      </c>
      <c r="B81" s="863" t="s">
        <v>8002</v>
      </c>
      <c r="C81" s="402" t="s">
        <v>7986</v>
      </c>
      <c r="D81" s="402" t="s">
        <v>2722</v>
      </c>
      <c r="E81" s="402" t="s">
        <v>6261</v>
      </c>
      <c r="F81" s="402" t="s">
        <v>2195</v>
      </c>
      <c r="G81" s="402" t="s">
        <v>7988</v>
      </c>
      <c r="H81" s="402" t="s">
        <v>8102</v>
      </c>
      <c r="I81" s="863" t="s">
        <v>8103</v>
      </c>
    </row>
    <row r="82" spans="1:9">
      <c r="A82" s="864">
        <v>45957</v>
      </c>
      <c r="B82" s="863" t="s">
        <v>8002</v>
      </c>
      <c r="C82" s="402" t="s">
        <v>7986</v>
      </c>
      <c r="D82" s="402" t="s">
        <v>2722</v>
      </c>
      <c r="E82" s="402" t="s">
        <v>6071</v>
      </c>
      <c r="F82" s="402" t="s">
        <v>2195</v>
      </c>
      <c r="G82" s="402" t="s">
        <v>7988</v>
      </c>
      <c r="H82" s="402" t="s">
        <v>8104</v>
      </c>
      <c r="I82" s="863" t="s">
        <v>8105</v>
      </c>
    </row>
    <row r="84" spans="1:9" ht="17.399999999999999">
      <c r="A84" s="404">
        <v>45967</v>
      </c>
      <c r="B84" s="403" t="s">
        <v>8002</v>
      </c>
      <c r="C84" s="403"/>
      <c r="D84" s="403"/>
      <c r="E84" s="403"/>
      <c r="F84" s="403"/>
      <c r="G84" s="403"/>
      <c r="H84" s="403"/>
      <c r="I84" s="403"/>
    </row>
    <row r="85" spans="1:9">
      <c r="A85" s="864">
        <v>45967</v>
      </c>
      <c r="B85" s="863" t="s">
        <v>8002</v>
      </c>
      <c r="C85" s="402" t="s">
        <v>7986</v>
      </c>
      <c r="D85" s="402" t="s">
        <v>2722</v>
      </c>
      <c r="E85" s="402" t="s">
        <v>8106</v>
      </c>
      <c r="F85" s="402" t="s">
        <v>2195</v>
      </c>
      <c r="G85" s="402" t="s">
        <v>7988</v>
      </c>
      <c r="H85" s="402" t="s">
        <v>8107</v>
      </c>
      <c r="I85" s="863" t="s">
        <v>8108</v>
      </c>
    </row>
    <row r="86" spans="1:9">
      <c r="A86" s="864">
        <v>45967</v>
      </c>
      <c r="B86" s="863" t="s">
        <v>8002</v>
      </c>
      <c r="C86" s="402" t="s">
        <v>7986</v>
      </c>
      <c r="D86" s="402" t="s">
        <v>2722</v>
      </c>
      <c r="E86" s="402" t="s">
        <v>8109</v>
      </c>
      <c r="F86" s="402" t="s">
        <v>2195</v>
      </c>
      <c r="G86" s="402" t="s">
        <v>7988</v>
      </c>
      <c r="H86" s="402" t="s">
        <v>8110</v>
      </c>
      <c r="I86" s="863" t="s">
        <v>8111</v>
      </c>
    </row>
    <row r="88" spans="1:9" ht="17.399999999999999">
      <c r="A88" s="404">
        <v>45972</v>
      </c>
      <c r="B88" s="403" t="s">
        <v>8010</v>
      </c>
      <c r="C88" s="403"/>
      <c r="D88" s="403"/>
      <c r="E88" s="403"/>
      <c r="F88" s="403"/>
      <c r="G88" s="403"/>
      <c r="H88" s="403"/>
      <c r="I88" s="403"/>
    </row>
    <row r="89" spans="1:9">
      <c r="A89" s="864">
        <v>45972</v>
      </c>
      <c r="B89" s="863" t="s">
        <v>8010</v>
      </c>
      <c r="C89" s="402" t="s">
        <v>7986</v>
      </c>
      <c r="D89" s="402" t="s">
        <v>2722</v>
      </c>
      <c r="E89" s="402" t="s">
        <v>6367</v>
      </c>
      <c r="F89" s="402" t="s">
        <v>2195</v>
      </c>
      <c r="G89" s="402" t="s">
        <v>7988</v>
      </c>
      <c r="H89" s="402" t="s">
        <v>8028</v>
      </c>
      <c r="I89" s="863" t="s">
        <v>8112</v>
      </c>
    </row>
    <row r="90" spans="1:9">
      <c r="A90" s="864">
        <v>45972</v>
      </c>
      <c r="B90" s="863" t="s">
        <v>8010</v>
      </c>
      <c r="C90" s="402" t="s">
        <v>7986</v>
      </c>
      <c r="D90" s="402" t="s">
        <v>2722</v>
      </c>
      <c r="E90" s="402" t="s">
        <v>8032</v>
      </c>
      <c r="F90" s="402" t="s">
        <v>2195</v>
      </c>
      <c r="G90" s="402" t="s">
        <v>7988</v>
      </c>
      <c r="H90" s="402" t="s">
        <v>8033</v>
      </c>
      <c r="I90" s="863" t="s">
        <v>8113</v>
      </c>
    </row>
    <row r="91" spans="1:9">
      <c r="A91" s="864">
        <v>45972</v>
      </c>
      <c r="B91" s="863" t="s">
        <v>8010</v>
      </c>
      <c r="C91" s="402" t="s">
        <v>7986</v>
      </c>
      <c r="D91" s="402" t="s">
        <v>2722</v>
      </c>
      <c r="E91" s="402" t="s">
        <v>7713</v>
      </c>
      <c r="F91" s="402" t="s">
        <v>2195</v>
      </c>
      <c r="G91" s="402" t="s">
        <v>7988</v>
      </c>
      <c r="H91" s="402" t="s">
        <v>8073</v>
      </c>
      <c r="I91" s="863" t="s">
        <v>8114</v>
      </c>
    </row>
    <row r="92" spans="1:9">
      <c r="A92" s="864">
        <v>45972</v>
      </c>
      <c r="B92" s="863" t="s">
        <v>8010</v>
      </c>
      <c r="C92" s="402" t="s">
        <v>7986</v>
      </c>
      <c r="D92" s="402" t="s">
        <v>2722</v>
      </c>
      <c r="E92" s="402" t="s">
        <v>6257</v>
      </c>
      <c r="F92" s="402" t="s">
        <v>2195</v>
      </c>
      <c r="G92" s="402" t="s">
        <v>7988</v>
      </c>
      <c r="H92" s="402" t="s">
        <v>8115</v>
      </c>
      <c r="I92" s="863" t="s">
        <v>8116</v>
      </c>
    </row>
    <row r="93" spans="1:9">
      <c r="A93" s="864">
        <v>45972</v>
      </c>
      <c r="B93" s="863" t="s">
        <v>8010</v>
      </c>
      <c r="C93" s="402" t="s">
        <v>7986</v>
      </c>
      <c r="D93" s="402" t="s">
        <v>2722</v>
      </c>
      <c r="E93" s="402" t="s">
        <v>6120</v>
      </c>
      <c r="F93" s="402" t="s">
        <v>2195</v>
      </c>
      <c r="G93" s="402" t="s">
        <v>7988</v>
      </c>
      <c r="H93" s="402" t="s">
        <v>8117</v>
      </c>
      <c r="I93" s="863" t="s">
        <v>8118</v>
      </c>
    </row>
    <row r="95" spans="1:9" ht="17.399999999999999">
      <c r="A95" s="403"/>
      <c r="B95" s="403" t="s">
        <v>8002</v>
      </c>
      <c r="C95" s="403"/>
      <c r="D95" s="403"/>
      <c r="E95" s="403"/>
      <c r="F95" s="403"/>
      <c r="G95" s="403"/>
      <c r="H95" s="403"/>
      <c r="I95" s="403"/>
    </row>
    <row r="96" spans="1:9">
      <c r="A96" s="864">
        <v>45972</v>
      </c>
      <c r="B96" s="863" t="s">
        <v>8002</v>
      </c>
      <c r="C96" s="402" t="s">
        <v>7986</v>
      </c>
      <c r="D96" s="402" t="s">
        <v>2722</v>
      </c>
      <c r="E96" s="402" t="s">
        <v>6268</v>
      </c>
      <c r="F96" s="402" t="s">
        <v>2195</v>
      </c>
      <c r="G96" s="402" t="s">
        <v>7988</v>
      </c>
      <c r="H96" s="402" t="s">
        <v>8013</v>
      </c>
      <c r="I96" s="863" t="s">
        <v>8119</v>
      </c>
    </row>
    <row r="97" spans="1:9">
      <c r="A97" s="864">
        <v>45972</v>
      </c>
      <c r="B97" s="863" t="s">
        <v>8002</v>
      </c>
      <c r="C97" s="402" t="s">
        <v>7986</v>
      </c>
      <c r="D97" s="402" t="s">
        <v>2722</v>
      </c>
      <c r="E97" s="402" t="s">
        <v>5882</v>
      </c>
      <c r="F97" s="402" t="s">
        <v>2195</v>
      </c>
      <c r="G97" s="402" t="s">
        <v>7988</v>
      </c>
      <c r="H97" s="402" t="s">
        <v>8120</v>
      </c>
      <c r="I97" s="863" t="s">
        <v>8121</v>
      </c>
    </row>
    <row r="98" spans="1:9">
      <c r="A98" s="864">
        <v>45972</v>
      </c>
      <c r="B98" s="863" t="s">
        <v>8002</v>
      </c>
      <c r="C98" s="402" t="s">
        <v>7986</v>
      </c>
      <c r="D98" s="402" t="s">
        <v>2722</v>
      </c>
      <c r="E98" s="402" t="s">
        <v>8122</v>
      </c>
      <c r="F98" s="402" t="s">
        <v>2195</v>
      </c>
      <c r="G98" s="402" t="s">
        <v>7988</v>
      </c>
      <c r="H98" s="402" t="s">
        <v>8123</v>
      </c>
      <c r="I98" s="863" t="s">
        <v>8124</v>
      </c>
    </row>
    <row r="99" spans="1:9">
      <c r="A99" s="864">
        <v>45972</v>
      </c>
      <c r="B99" s="863" t="s">
        <v>8002</v>
      </c>
      <c r="C99" s="402" t="s">
        <v>7986</v>
      </c>
      <c r="D99" s="402" t="s">
        <v>2722</v>
      </c>
      <c r="E99" s="402" t="s">
        <v>8125</v>
      </c>
      <c r="F99" s="402" t="s">
        <v>2195</v>
      </c>
      <c r="G99" s="402" t="s">
        <v>7988</v>
      </c>
      <c r="H99" s="402" t="s">
        <v>8126</v>
      </c>
      <c r="I99" s="863" t="s">
        <v>8127</v>
      </c>
    </row>
    <row r="100" spans="1:9">
      <c r="A100" s="864">
        <v>45972</v>
      </c>
      <c r="B100" s="863" t="s">
        <v>8002</v>
      </c>
      <c r="C100" s="402" t="s">
        <v>7986</v>
      </c>
      <c r="D100" s="402" t="s">
        <v>2722</v>
      </c>
      <c r="E100" s="402" t="s">
        <v>8128</v>
      </c>
      <c r="F100" s="402" t="s">
        <v>2195</v>
      </c>
      <c r="G100" s="402" t="s">
        <v>7988</v>
      </c>
      <c r="H100" s="402" t="s">
        <v>8129</v>
      </c>
      <c r="I100" s="863" t="s">
        <v>8130</v>
      </c>
    </row>
    <row r="101" spans="1:9">
      <c r="A101" s="864">
        <v>45972</v>
      </c>
      <c r="B101" s="863" t="s">
        <v>8002</v>
      </c>
      <c r="C101" s="402" t="s">
        <v>7986</v>
      </c>
      <c r="D101" s="402" t="s">
        <v>2722</v>
      </c>
      <c r="E101" s="402" t="s">
        <v>8131</v>
      </c>
      <c r="F101" s="402" t="s">
        <v>2195</v>
      </c>
      <c r="G101" s="402" t="s">
        <v>7988</v>
      </c>
      <c r="H101" s="402" t="s">
        <v>8132</v>
      </c>
      <c r="I101" s="863" t="s">
        <v>8133</v>
      </c>
    </row>
    <row r="102" spans="1:9">
      <c r="A102" s="864">
        <v>45972</v>
      </c>
      <c r="B102" s="863" t="s">
        <v>8002</v>
      </c>
      <c r="C102" s="402" t="s">
        <v>7986</v>
      </c>
      <c r="D102" s="402" t="s">
        <v>2722</v>
      </c>
      <c r="E102" s="402" t="s">
        <v>6068</v>
      </c>
      <c r="F102" s="402" t="s">
        <v>2195</v>
      </c>
      <c r="G102" s="402" t="s">
        <v>7988</v>
      </c>
      <c r="H102" s="402" t="s">
        <v>8134</v>
      </c>
      <c r="I102" s="863" t="s">
        <v>8135</v>
      </c>
    </row>
    <row r="103" spans="1:9">
      <c r="A103" s="864">
        <v>45972</v>
      </c>
      <c r="B103" s="863" t="s">
        <v>8002</v>
      </c>
      <c r="C103" s="402" t="s">
        <v>7986</v>
      </c>
      <c r="D103" s="402" t="s">
        <v>2722</v>
      </c>
      <c r="E103" s="402" t="s">
        <v>6136</v>
      </c>
      <c r="F103" s="402" t="s">
        <v>2195</v>
      </c>
      <c r="G103" s="402" t="s">
        <v>7988</v>
      </c>
      <c r="H103" s="402" t="s">
        <v>8136</v>
      </c>
      <c r="I103" s="863" t="s">
        <v>8137</v>
      </c>
    </row>
    <row r="104" spans="1:9">
      <c r="A104" s="864">
        <v>45972</v>
      </c>
      <c r="B104" s="863" t="s">
        <v>8002</v>
      </c>
      <c r="C104" s="402" t="s">
        <v>7986</v>
      </c>
      <c r="D104" s="402" t="s">
        <v>2722</v>
      </c>
      <c r="E104" s="402" t="s">
        <v>6117</v>
      </c>
      <c r="F104" s="402" t="s">
        <v>2195</v>
      </c>
      <c r="G104" s="402" t="s">
        <v>7988</v>
      </c>
      <c r="H104" s="402" t="s">
        <v>8138</v>
      </c>
      <c r="I104" s="863" t="s">
        <v>8139</v>
      </c>
    </row>
    <row r="105" spans="1:9">
      <c r="A105" s="864">
        <v>45972</v>
      </c>
      <c r="B105" s="863" t="s">
        <v>8002</v>
      </c>
      <c r="C105" s="402" t="s">
        <v>7986</v>
      </c>
      <c r="D105" s="402" t="s">
        <v>2722</v>
      </c>
      <c r="E105" s="402" t="s">
        <v>6171</v>
      </c>
      <c r="F105" s="402" t="s">
        <v>2195</v>
      </c>
      <c r="G105" s="402" t="s">
        <v>7988</v>
      </c>
      <c r="H105" s="402" t="s">
        <v>8140</v>
      </c>
      <c r="I105" s="863" t="s">
        <v>8141</v>
      </c>
    </row>
    <row r="107" spans="1:9" ht="17.399999999999999">
      <c r="A107" s="404">
        <v>45973</v>
      </c>
      <c r="B107" s="403" t="s">
        <v>8010</v>
      </c>
      <c r="C107" s="403"/>
      <c r="D107" s="403"/>
      <c r="E107" s="403"/>
      <c r="F107" s="403"/>
      <c r="G107" s="403"/>
      <c r="H107" s="403"/>
      <c r="I107" s="403"/>
    </row>
    <row r="108" spans="1:9">
      <c r="A108" s="864">
        <v>45973</v>
      </c>
      <c r="B108" s="863" t="s">
        <v>8010</v>
      </c>
      <c r="C108" s="402" t="s">
        <v>7986</v>
      </c>
      <c r="D108" s="402" t="s">
        <v>2722</v>
      </c>
      <c r="E108" s="402" t="s">
        <v>6038</v>
      </c>
      <c r="F108" s="402" t="s">
        <v>2195</v>
      </c>
      <c r="G108" s="402" t="s">
        <v>7988</v>
      </c>
      <c r="H108" s="402" t="s">
        <v>8142</v>
      </c>
      <c r="I108" s="863" t="s">
        <v>8143</v>
      </c>
    </row>
    <row r="110" spans="1:9" ht="17.399999999999999">
      <c r="A110" s="404">
        <v>45981</v>
      </c>
      <c r="B110" s="403" t="s">
        <v>8010</v>
      </c>
      <c r="C110" s="403"/>
      <c r="D110" s="403"/>
      <c r="E110" s="403"/>
      <c r="F110" s="403"/>
      <c r="G110" s="403"/>
      <c r="H110" s="403"/>
      <c r="I110" s="403"/>
    </row>
    <row r="111" spans="1:9">
      <c r="A111" s="864">
        <v>45981</v>
      </c>
      <c r="B111" s="863" t="s">
        <v>8010</v>
      </c>
      <c r="C111" s="402" t="s">
        <v>7986</v>
      </c>
      <c r="D111" s="402" t="s">
        <v>2722</v>
      </c>
      <c r="E111" s="402" t="s">
        <v>6323</v>
      </c>
      <c r="F111" s="402" t="s">
        <v>2195</v>
      </c>
      <c r="G111" s="402" t="s">
        <v>7988</v>
      </c>
      <c r="H111" s="402" t="s">
        <v>8144</v>
      </c>
      <c r="I111" s="863" t="s">
        <v>8145</v>
      </c>
    </row>
    <row r="112" spans="1:9">
      <c r="A112" s="864">
        <v>45981</v>
      </c>
      <c r="B112" s="863" t="s">
        <v>8010</v>
      </c>
      <c r="C112" s="402" t="s">
        <v>7986</v>
      </c>
      <c r="D112" s="402" t="s">
        <v>2722</v>
      </c>
      <c r="E112" s="402" t="s">
        <v>6223</v>
      </c>
      <c r="F112" s="402" t="s">
        <v>2195</v>
      </c>
      <c r="G112" s="402" t="s">
        <v>7988</v>
      </c>
      <c r="H112" s="402" t="s">
        <v>8146</v>
      </c>
      <c r="I112" s="863" t="s">
        <v>8147</v>
      </c>
    </row>
    <row r="113" spans="1:9">
      <c r="A113" s="864">
        <v>45981</v>
      </c>
      <c r="B113" s="863" t="s">
        <v>8010</v>
      </c>
      <c r="C113" s="402" t="s">
        <v>7986</v>
      </c>
      <c r="D113" s="402" t="s">
        <v>2722</v>
      </c>
      <c r="E113" s="402" t="s">
        <v>6022</v>
      </c>
      <c r="F113" s="402" t="s">
        <v>2195</v>
      </c>
      <c r="G113" s="402" t="s">
        <v>7988</v>
      </c>
      <c r="H113" s="402" t="s">
        <v>8148</v>
      </c>
      <c r="I113" s="863" t="s">
        <v>8149</v>
      </c>
    </row>
    <row r="114" spans="1:9">
      <c r="A114" s="864">
        <v>45981</v>
      </c>
      <c r="B114" s="863" t="s">
        <v>8010</v>
      </c>
      <c r="C114" s="402" t="s">
        <v>7986</v>
      </c>
      <c r="D114" s="402" t="s">
        <v>2722</v>
      </c>
      <c r="E114" s="402" t="s">
        <v>8150</v>
      </c>
      <c r="F114" s="402" t="s">
        <v>2195</v>
      </c>
      <c r="G114" s="402" t="s">
        <v>7988</v>
      </c>
      <c r="H114" s="402" t="s">
        <v>8151</v>
      </c>
      <c r="I114" s="863" t="s">
        <v>8152</v>
      </c>
    </row>
    <row r="115" spans="1:9">
      <c r="A115" s="864">
        <v>45981</v>
      </c>
      <c r="B115" s="863" t="s">
        <v>8010</v>
      </c>
      <c r="C115" s="402" t="s">
        <v>7986</v>
      </c>
      <c r="D115" s="402" t="s">
        <v>2722</v>
      </c>
      <c r="E115" s="402" t="s">
        <v>8153</v>
      </c>
      <c r="F115" s="402" t="s">
        <v>2195</v>
      </c>
      <c r="G115" s="402" t="s">
        <v>7988</v>
      </c>
      <c r="H115" s="402" t="s">
        <v>8154</v>
      </c>
      <c r="I115" s="863" t="s">
        <v>8155</v>
      </c>
    </row>
    <row r="117" spans="1:9" ht="17.399999999999999">
      <c r="A117" s="404">
        <v>45985</v>
      </c>
      <c r="B117" s="403" t="s">
        <v>8002</v>
      </c>
      <c r="C117" s="403"/>
      <c r="D117" s="403"/>
      <c r="E117" s="403"/>
      <c r="F117" s="403"/>
      <c r="G117" s="403"/>
      <c r="H117" s="403"/>
      <c r="I117" s="403"/>
    </row>
    <row r="118" spans="1:9">
      <c r="A118" s="864">
        <v>45985</v>
      </c>
      <c r="B118" s="863" t="s">
        <v>8002</v>
      </c>
      <c r="C118" s="402" t="s">
        <v>7986</v>
      </c>
      <c r="D118" s="402" t="s">
        <v>2722</v>
      </c>
      <c r="E118" s="402" t="s">
        <v>6343</v>
      </c>
      <c r="F118" s="402" t="s">
        <v>2195</v>
      </c>
      <c r="G118" s="402" t="s">
        <v>7988</v>
      </c>
      <c r="H118" s="402" t="s">
        <v>8156</v>
      </c>
      <c r="I118" s="863" t="s">
        <v>8157</v>
      </c>
    </row>
    <row r="119" spans="1:9">
      <c r="A119" s="864">
        <v>45985</v>
      </c>
      <c r="B119" s="863" t="s">
        <v>8002</v>
      </c>
      <c r="C119" s="402" t="s">
        <v>7986</v>
      </c>
      <c r="D119" s="402" t="s">
        <v>2722</v>
      </c>
      <c r="E119" s="402" t="s">
        <v>5900</v>
      </c>
      <c r="F119" s="402" t="s">
        <v>2195</v>
      </c>
      <c r="G119" s="402" t="s">
        <v>7988</v>
      </c>
      <c r="H119" s="402" t="s">
        <v>8158</v>
      </c>
      <c r="I119" s="863" t="s">
        <v>8159</v>
      </c>
    </row>
    <row r="120" spans="1:9">
      <c r="A120" s="864">
        <v>45985</v>
      </c>
      <c r="B120" s="863" t="s">
        <v>8002</v>
      </c>
      <c r="C120" s="402" t="s">
        <v>7986</v>
      </c>
      <c r="D120" s="402" t="s">
        <v>2722</v>
      </c>
      <c r="E120" s="402" t="s">
        <v>8160</v>
      </c>
      <c r="F120" s="402" t="s">
        <v>2195</v>
      </c>
      <c r="G120" s="402" t="s">
        <v>7988</v>
      </c>
      <c r="H120" s="402" t="s">
        <v>8161</v>
      </c>
      <c r="I120" s="863" t="s">
        <v>8162</v>
      </c>
    </row>
    <row r="121" spans="1:9">
      <c r="A121" s="864">
        <v>45985</v>
      </c>
      <c r="B121" s="863" t="s">
        <v>8002</v>
      </c>
      <c r="C121" s="402" t="s">
        <v>7986</v>
      </c>
      <c r="D121" s="402" t="s">
        <v>2722</v>
      </c>
      <c r="E121" s="402" t="s">
        <v>8163</v>
      </c>
      <c r="F121" s="402" t="s">
        <v>2195</v>
      </c>
      <c r="G121" s="402" t="s">
        <v>7988</v>
      </c>
      <c r="H121" s="402" t="s">
        <v>8164</v>
      </c>
      <c r="I121" s="863" t="s">
        <v>8165</v>
      </c>
    </row>
    <row r="122" spans="1:9">
      <c r="A122" s="864">
        <v>45985</v>
      </c>
      <c r="B122" s="863" t="s">
        <v>8002</v>
      </c>
      <c r="C122" s="402" t="s">
        <v>7986</v>
      </c>
      <c r="D122" s="402" t="s">
        <v>2722</v>
      </c>
      <c r="E122" s="402" t="s">
        <v>6110</v>
      </c>
      <c r="F122" s="402" t="s">
        <v>2195</v>
      </c>
      <c r="G122" s="402" t="s">
        <v>7988</v>
      </c>
      <c r="H122" s="402" t="s">
        <v>8166</v>
      </c>
      <c r="I122" s="863" t="s">
        <v>8167</v>
      </c>
    </row>
    <row r="123" spans="1:9">
      <c r="A123" s="864">
        <v>45985</v>
      </c>
      <c r="B123" s="863" t="s">
        <v>8002</v>
      </c>
      <c r="C123" s="402" t="s">
        <v>7986</v>
      </c>
      <c r="D123" s="402" t="s">
        <v>2722</v>
      </c>
      <c r="E123" s="402" t="s">
        <v>8168</v>
      </c>
      <c r="F123" s="402" t="s">
        <v>2195</v>
      </c>
      <c r="G123" s="402" t="s">
        <v>7988</v>
      </c>
      <c r="H123" s="402" t="s">
        <v>8169</v>
      </c>
      <c r="I123" s="863" t="s">
        <v>8170</v>
      </c>
    </row>
    <row r="125" spans="1:9" ht="17.399999999999999">
      <c r="A125" s="404">
        <v>45995</v>
      </c>
      <c r="B125" s="403" t="s">
        <v>8002</v>
      </c>
      <c r="C125" s="403"/>
      <c r="D125" s="403"/>
      <c r="E125" s="403"/>
      <c r="F125" s="403"/>
      <c r="G125" s="403"/>
      <c r="H125" s="403"/>
      <c r="I125" s="403"/>
    </row>
    <row r="126" spans="1:9">
      <c r="A126" s="864">
        <v>45995</v>
      </c>
      <c r="B126" s="863" t="s">
        <v>8002</v>
      </c>
      <c r="C126" s="402" t="s">
        <v>7986</v>
      </c>
      <c r="D126" s="402" t="s">
        <v>2722</v>
      </c>
      <c r="E126" s="402" t="s">
        <v>6104</v>
      </c>
      <c r="F126" s="402" t="s">
        <v>2195</v>
      </c>
      <c r="G126" s="402" t="s">
        <v>7988</v>
      </c>
      <c r="H126" s="402" t="s">
        <v>8171</v>
      </c>
      <c r="I126" s="863" t="s">
        <v>8172</v>
      </c>
    </row>
    <row r="127" spans="1:9">
      <c r="A127" s="864">
        <v>45995</v>
      </c>
      <c r="B127" s="863" t="s">
        <v>8002</v>
      </c>
      <c r="C127" s="402" t="s">
        <v>7986</v>
      </c>
      <c r="D127" s="402" t="s">
        <v>2722</v>
      </c>
      <c r="E127" s="402" t="s">
        <v>8173</v>
      </c>
      <c r="F127" s="402" t="s">
        <v>2195</v>
      </c>
      <c r="G127" s="402" t="s">
        <v>7988</v>
      </c>
      <c r="H127" s="402" t="s">
        <v>8174</v>
      </c>
      <c r="I127" s="863" t="s">
        <v>8175</v>
      </c>
    </row>
    <row r="128" spans="1:9">
      <c r="A128" s="864">
        <v>45995</v>
      </c>
      <c r="B128" s="863" t="s">
        <v>8002</v>
      </c>
      <c r="C128" s="402" t="s">
        <v>7986</v>
      </c>
      <c r="D128" s="402" t="s">
        <v>2722</v>
      </c>
      <c r="E128" s="402" t="s">
        <v>5969</v>
      </c>
      <c r="F128" s="402" t="s">
        <v>2195</v>
      </c>
      <c r="G128" s="402" t="s">
        <v>7988</v>
      </c>
      <c r="H128" s="402" t="s">
        <v>8176</v>
      </c>
      <c r="I128" s="863" t="s">
        <v>8177</v>
      </c>
    </row>
    <row r="129" spans="1:9">
      <c r="A129" s="864">
        <v>45995</v>
      </c>
      <c r="B129" s="863" t="s">
        <v>8002</v>
      </c>
      <c r="C129" s="402" t="s">
        <v>7986</v>
      </c>
      <c r="D129" s="402" t="s">
        <v>2722</v>
      </c>
      <c r="E129" s="402" t="s">
        <v>8178</v>
      </c>
      <c r="F129" s="402" t="s">
        <v>2195</v>
      </c>
      <c r="G129" s="402" t="s">
        <v>7988</v>
      </c>
      <c r="H129" s="402" t="s">
        <v>8179</v>
      </c>
      <c r="I129" s="863" t="s">
        <v>8180</v>
      </c>
    </row>
    <row r="130" spans="1:9">
      <c r="A130" s="864">
        <v>45995</v>
      </c>
      <c r="B130" s="863" t="s">
        <v>8002</v>
      </c>
      <c r="C130" s="402" t="s">
        <v>7986</v>
      </c>
      <c r="D130" s="402" t="s">
        <v>2722</v>
      </c>
      <c r="E130" s="402" t="s">
        <v>8181</v>
      </c>
      <c r="F130" s="402" t="s">
        <v>2195</v>
      </c>
      <c r="G130" s="402" t="s">
        <v>7988</v>
      </c>
      <c r="H130" s="402" t="s">
        <v>8182</v>
      </c>
      <c r="I130" s="863" t="s">
        <v>8183</v>
      </c>
    </row>
    <row r="131" spans="1:9">
      <c r="A131" s="864">
        <v>45995</v>
      </c>
      <c r="B131" s="863" t="s">
        <v>8002</v>
      </c>
      <c r="C131" s="402" t="s">
        <v>7986</v>
      </c>
      <c r="D131" s="402" t="s">
        <v>2722</v>
      </c>
      <c r="E131" s="402" t="s">
        <v>8184</v>
      </c>
      <c r="F131" s="402" t="s">
        <v>2195</v>
      </c>
      <c r="G131" s="402" t="s">
        <v>7988</v>
      </c>
      <c r="H131" s="402" t="s">
        <v>8185</v>
      </c>
      <c r="I131" s="863" t="s">
        <v>8186</v>
      </c>
    </row>
    <row r="132" spans="1:9">
      <c r="A132" s="864">
        <v>45995</v>
      </c>
      <c r="B132" s="863" t="s">
        <v>8002</v>
      </c>
      <c r="C132" s="402" t="s">
        <v>7986</v>
      </c>
      <c r="D132" s="402" t="s">
        <v>2722</v>
      </c>
      <c r="E132" s="402" t="s">
        <v>6041</v>
      </c>
      <c r="F132" s="402" t="s">
        <v>2195</v>
      </c>
      <c r="G132" s="402" t="s">
        <v>7988</v>
      </c>
      <c r="H132" s="402" t="s">
        <v>8187</v>
      </c>
      <c r="I132" s="863" t="s">
        <v>8188</v>
      </c>
    </row>
    <row r="133" spans="1:9">
      <c r="A133" s="864">
        <v>45995</v>
      </c>
      <c r="B133" s="863" t="s">
        <v>8002</v>
      </c>
      <c r="C133" s="402" t="s">
        <v>7986</v>
      </c>
      <c r="D133" s="402" t="s">
        <v>2722</v>
      </c>
      <c r="E133" s="402" t="s">
        <v>7867</v>
      </c>
      <c r="F133" s="402" t="s">
        <v>2195</v>
      </c>
      <c r="G133" s="402" t="s">
        <v>7988</v>
      </c>
      <c r="H133" s="402" t="s">
        <v>8189</v>
      </c>
      <c r="I133" s="863" t="s">
        <v>8190</v>
      </c>
    </row>
    <row r="134" spans="1:9">
      <c r="A134" s="864">
        <v>45995</v>
      </c>
      <c r="B134" s="863" t="s">
        <v>8002</v>
      </c>
      <c r="C134" s="402" t="s">
        <v>7986</v>
      </c>
      <c r="D134" s="402" t="s">
        <v>2722</v>
      </c>
      <c r="E134" s="402" t="s">
        <v>8191</v>
      </c>
      <c r="F134" s="402" t="s">
        <v>2195</v>
      </c>
      <c r="G134" s="402" t="s">
        <v>7988</v>
      </c>
      <c r="H134" s="402" t="s">
        <v>8192</v>
      </c>
      <c r="I134" s="863" t="s">
        <v>8193</v>
      </c>
    </row>
    <row r="136" spans="1:9" ht="17.399999999999999">
      <c r="A136" s="404">
        <v>45999</v>
      </c>
      <c r="B136" s="403" t="s">
        <v>8010</v>
      </c>
      <c r="C136" s="403"/>
      <c r="D136" s="403"/>
      <c r="E136" s="403"/>
      <c r="F136" s="403"/>
      <c r="G136" s="403"/>
      <c r="H136" s="403"/>
      <c r="I136" s="403"/>
    </row>
    <row r="137" spans="1:9">
      <c r="A137" s="864">
        <v>45999</v>
      </c>
      <c r="B137" s="863" t="s">
        <v>8010</v>
      </c>
      <c r="C137" s="402" t="s">
        <v>7986</v>
      </c>
      <c r="D137" s="402" t="s">
        <v>2722</v>
      </c>
      <c r="E137" s="402" t="s">
        <v>8041</v>
      </c>
      <c r="F137" s="402" t="s">
        <v>2195</v>
      </c>
      <c r="G137" s="402" t="s">
        <v>7988</v>
      </c>
      <c r="H137" s="402" t="s">
        <v>8042</v>
      </c>
      <c r="I137" s="863" t="s">
        <v>8194</v>
      </c>
    </row>
    <row r="138" spans="1:9">
      <c r="A138" s="864">
        <v>45999</v>
      </c>
      <c r="B138" s="863" t="s">
        <v>8010</v>
      </c>
      <c r="C138" s="402" t="s">
        <v>7986</v>
      </c>
      <c r="D138" s="402" t="s">
        <v>2722</v>
      </c>
      <c r="E138" s="402" t="s">
        <v>8195</v>
      </c>
      <c r="F138" s="402" t="s">
        <v>2195</v>
      </c>
      <c r="G138" s="402" t="s">
        <v>7988</v>
      </c>
      <c r="H138" s="402" t="s">
        <v>8196</v>
      </c>
      <c r="I138" s="863" t="s">
        <v>8197</v>
      </c>
    </row>
    <row r="139" spans="1:9">
      <c r="A139" s="864">
        <v>45999</v>
      </c>
      <c r="B139" s="863" t="s">
        <v>8010</v>
      </c>
      <c r="C139" s="402" t="s">
        <v>7986</v>
      </c>
      <c r="D139" s="402" t="s">
        <v>2722</v>
      </c>
      <c r="E139" s="402" t="s">
        <v>8020</v>
      </c>
      <c r="F139" s="402" t="s">
        <v>2195</v>
      </c>
      <c r="G139" s="402" t="s">
        <v>7988</v>
      </c>
      <c r="H139" s="402" t="s">
        <v>8198</v>
      </c>
      <c r="I139" s="863" t="s">
        <v>8199</v>
      </c>
    </row>
    <row r="140" spans="1:9">
      <c r="A140" s="864">
        <v>45999</v>
      </c>
      <c r="B140" s="863" t="s">
        <v>8010</v>
      </c>
      <c r="C140" s="402" t="s">
        <v>7986</v>
      </c>
      <c r="D140" s="402" t="s">
        <v>2722</v>
      </c>
      <c r="E140" s="402" t="s">
        <v>6349</v>
      </c>
      <c r="F140" s="402" t="s">
        <v>2195</v>
      </c>
      <c r="G140" s="402" t="s">
        <v>7988</v>
      </c>
      <c r="H140" s="402" t="s">
        <v>8200</v>
      </c>
      <c r="I140" s="863" t="s">
        <v>8201</v>
      </c>
    </row>
    <row r="142" spans="1:9" ht="17.399999999999999">
      <c r="A142" s="404">
        <v>46000</v>
      </c>
      <c r="B142" s="403" t="s">
        <v>8002</v>
      </c>
      <c r="C142" s="403"/>
      <c r="D142" s="403"/>
      <c r="E142" s="403"/>
      <c r="F142" s="403"/>
      <c r="G142" s="403"/>
      <c r="H142" s="403"/>
      <c r="I142" s="403"/>
    </row>
    <row r="143" spans="1:9">
      <c r="A143" s="864">
        <v>46000</v>
      </c>
      <c r="B143" s="863" t="s">
        <v>8002</v>
      </c>
      <c r="C143" s="402" t="s">
        <v>7986</v>
      </c>
      <c r="D143" s="402" t="s">
        <v>2722</v>
      </c>
      <c r="E143" s="402" t="s">
        <v>6220</v>
      </c>
      <c r="F143" s="402" t="s">
        <v>2195</v>
      </c>
      <c r="G143" s="402" t="s">
        <v>7988</v>
      </c>
      <c r="H143" s="402" t="s">
        <v>8008</v>
      </c>
      <c r="I143" s="863" t="s">
        <v>8202</v>
      </c>
    </row>
    <row r="144" spans="1:9">
      <c r="A144" s="864">
        <v>46000</v>
      </c>
      <c r="B144" s="863" t="s">
        <v>8002</v>
      </c>
      <c r="C144" s="402" t="s">
        <v>7986</v>
      </c>
      <c r="D144" s="402" t="s">
        <v>2722</v>
      </c>
      <c r="E144" s="402" t="s">
        <v>6174</v>
      </c>
      <c r="F144" s="402" t="s">
        <v>2195</v>
      </c>
      <c r="G144" s="402" t="s">
        <v>7988</v>
      </c>
      <c r="H144" s="402" t="s">
        <v>8203</v>
      </c>
      <c r="I144" s="863" t="s">
        <v>8204</v>
      </c>
    </row>
    <row r="145" spans="1:9">
      <c r="A145" s="864">
        <v>46000</v>
      </c>
      <c r="B145" s="863" t="s">
        <v>8002</v>
      </c>
      <c r="C145" s="402" t="s">
        <v>7986</v>
      </c>
      <c r="D145" s="402" t="s">
        <v>2722</v>
      </c>
      <c r="E145" s="402" t="s">
        <v>8205</v>
      </c>
      <c r="F145" s="402" t="s">
        <v>2195</v>
      </c>
      <c r="G145" s="402" t="s">
        <v>7988</v>
      </c>
      <c r="H145" s="402" t="s">
        <v>8206</v>
      </c>
      <c r="I145" s="863" t="s">
        <v>8207</v>
      </c>
    </row>
    <row r="146" spans="1:9">
      <c r="A146" s="864">
        <v>46000</v>
      </c>
      <c r="B146" s="863" t="s">
        <v>8002</v>
      </c>
      <c r="C146" s="402" t="s">
        <v>7986</v>
      </c>
      <c r="D146" s="402" t="s">
        <v>2722</v>
      </c>
      <c r="E146" s="402" t="s">
        <v>5906</v>
      </c>
      <c r="F146" s="402" t="s">
        <v>2195</v>
      </c>
      <c r="G146" s="402" t="s">
        <v>7988</v>
      </c>
      <c r="H146" s="402" t="s">
        <v>8208</v>
      </c>
      <c r="I146" s="863" t="s">
        <v>8209</v>
      </c>
    </row>
    <row r="147" spans="1:9">
      <c r="A147" s="864">
        <v>46000</v>
      </c>
      <c r="B147" s="863" t="s">
        <v>8002</v>
      </c>
      <c r="C147" s="402" t="s">
        <v>7986</v>
      </c>
      <c r="D147" s="402" t="s">
        <v>2722</v>
      </c>
      <c r="E147" s="402" t="s">
        <v>8210</v>
      </c>
      <c r="F147" s="402" t="s">
        <v>2195</v>
      </c>
      <c r="G147" s="402" t="s">
        <v>7988</v>
      </c>
      <c r="H147" s="402" t="s">
        <v>8084</v>
      </c>
      <c r="I147" s="863" t="s">
        <v>8211</v>
      </c>
    </row>
    <row r="148" spans="1:9">
      <c r="A148" s="864">
        <v>46000</v>
      </c>
      <c r="B148" s="863" t="s">
        <v>8002</v>
      </c>
      <c r="C148" s="402" t="s">
        <v>7986</v>
      </c>
      <c r="D148" s="402" t="s">
        <v>2722</v>
      </c>
      <c r="E148" s="402" t="s">
        <v>6375</v>
      </c>
      <c r="F148" s="402" t="s">
        <v>2195</v>
      </c>
      <c r="G148" s="402" t="s">
        <v>7988</v>
      </c>
      <c r="H148" s="402" t="s">
        <v>8212</v>
      </c>
      <c r="I148" s="863" t="s">
        <v>8213</v>
      </c>
    </row>
    <row r="149" spans="1:9">
      <c r="A149" s="864">
        <v>46000</v>
      </c>
      <c r="B149" s="863" t="s">
        <v>8002</v>
      </c>
      <c r="C149" s="402" t="s">
        <v>7986</v>
      </c>
      <c r="D149" s="402" t="s">
        <v>2722</v>
      </c>
      <c r="E149" s="402" t="s">
        <v>6081</v>
      </c>
      <c r="F149" s="402" t="s">
        <v>2195</v>
      </c>
      <c r="G149" s="402" t="s">
        <v>7988</v>
      </c>
      <c r="H149" s="402" t="s">
        <v>8214</v>
      </c>
      <c r="I149" s="863" t="s">
        <v>8215</v>
      </c>
    </row>
  </sheetData>
  <pageMargins left="0.75" right="0.75" top="0.75" bottom="0.5" header="0.5" footer="0.7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E2E4DC-9928-4D84-BDD3-E3135A652A22}">
  <sheetPr>
    <tabColor rgb="FFC00000"/>
  </sheetPr>
  <dimension ref="A1:R93"/>
  <sheetViews>
    <sheetView workbookViewId="0">
      <selection activeCell="A2" sqref="A2"/>
    </sheetView>
  </sheetViews>
  <sheetFormatPr defaultColWidth="8.6640625" defaultRowHeight="31.65" customHeight="1"/>
  <cols>
    <col min="1" max="7" width="8.6640625" style="406"/>
    <col min="8" max="8" width="17.5546875" style="406" customWidth="1"/>
    <col min="9" max="15" width="8.6640625" style="406"/>
    <col min="16" max="16" width="15.44140625" style="406" customWidth="1"/>
    <col min="17" max="16384" width="8.6640625" style="406"/>
  </cols>
  <sheetData>
    <row r="1" spans="1:18" ht="31.65" customHeight="1">
      <c r="A1" s="406" t="s">
        <v>8216</v>
      </c>
      <c r="B1" s="406" t="s">
        <v>5135</v>
      </c>
      <c r="C1" s="406" t="s">
        <v>2301</v>
      </c>
      <c r="D1" s="406" t="s">
        <v>8217</v>
      </c>
      <c r="E1" s="406" t="s">
        <v>5693</v>
      </c>
      <c r="F1" s="406" t="s">
        <v>1137</v>
      </c>
      <c r="G1" s="406" t="s">
        <v>8218</v>
      </c>
      <c r="H1" s="406" t="s">
        <v>8219</v>
      </c>
      <c r="I1" s="406" t="s">
        <v>929</v>
      </c>
      <c r="J1" s="406" t="s">
        <v>8220</v>
      </c>
      <c r="K1" s="406" t="s">
        <v>5138</v>
      </c>
      <c r="L1" s="406" t="s">
        <v>8221</v>
      </c>
      <c r="M1" s="406" t="s">
        <v>8222</v>
      </c>
      <c r="N1" s="406" t="s">
        <v>8223</v>
      </c>
      <c r="O1" s="406" t="s">
        <v>8224</v>
      </c>
      <c r="P1" s="406" t="s">
        <v>8225</v>
      </c>
      <c r="Q1" s="406" t="s">
        <v>8226</v>
      </c>
      <c r="R1" s="406" t="s">
        <v>8227</v>
      </c>
    </row>
    <row r="2" spans="1:18" ht="31.65" customHeight="1">
      <c r="A2" s="406" t="s">
        <v>6062</v>
      </c>
      <c r="B2" s="406" t="s">
        <v>8228</v>
      </c>
      <c r="C2" s="406" t="s">
        <v>2195</v>
      </c>
      <c r="D2" s="406" t="s">
        <v>8229</v>
      </c>
      <c r="E2" s="406" t="s">
        <v>8230</v>
      </c>
      <c r="F2" s="406" t="s">
        <v>8231</v>
      </c>
      <c r="G2" s="406" t="s">
        <v>8232</v>
      </c>
      <c r="H2" s="408" t="s">
        <v>8233</v>
      </c>
      <c r="I2" s="406" t="s">
        <v>8234</v>
      </c>
      <c r="J2" s="406" t="s">
        <v>8235</v>
      </c>
      <c r="K2" s="408" t="s">
        <v>8236</v>
      </c>
      <c r="L2" s="406" t="s">
        <v>8237</v>
      </c>
      <c r="M2" s="406" t="s">
        <v>8238</v>
      </c>
      <c r="N2" s="406" t="s">
        <v>8239</v>
      </c>
      <c r="O2" s="406" t="s">
        <v>8240</v>
      </c>
      <c r="P2" s="406" t="s">
        <v>8236</v>
      </c>
      <c r="Q2" s="406" t="s">
        <v>1313</v>
      </c>
      <c r="R2" s="407" t="s">
        <v>8241</v>
      </c>
    </row>
    <row r="3" spans="1:18" ht="31.65" customHeight="1">
      <c r="A3" s="406" t="s">
        <v>6062</v>
      </c>
      <c r="B3" s="406" t="s">
        <v>8228</v>
      </c>
      <c r="C3" s="406" t="s">
        <v>2195</v>
      </c>
      <c r="D3" s="406" t="s">
        <v>8229</v>
      </c>
      <c r="E3" s="406" t="s">
        <v>6123</v>
      </c>
      <c r="F3" s="406" t="s">
        <v>8242</v>
      </c>
      <c r="G3" s="406" t="s">
        <v>8243</v>
      </c>
      <c r="H3" s="408" t="s">
        <v>8244</v>
      </c>
      <c r="I3" s="406" t="s">
        <v>8234</v>
      </c>
      <c r="J3" s="406" t="s">
        <v>7999</v>
      </c>
      <c r="K3" s="408" t="s">
        <v>8236</v>
      </c>
      <c r="L3" s="406" t="s">
        <v>8237</v>
      </c>
      <c r="M3" s="406" t="s">
        <v>8238</v>
      </c>
      <c r="N3" s="406" t="s">
        <v>8239</v>
      </c>
      <c r="O3" s="406" t="s">
        <v>8245</v>
      </c>
      <c r="P3" s="406" t="s">
        <v>8236</v>
      </c>
      <c r="Q3" s="406" t="s">
        <v>1313</v>
      </c>
      <c r="R3" s="407" t="s">
        <v>8246</v>
      </c>
    </row>
    <row r="4" spans="1:18" ht="31.65" customHeight="1">
      <c r="A4" s="406" t="s">
        <v>6062</v>
      </c>
      <c r="B4" s="406" t="s">
        <v>8228</v>
      </c>
      <c r="C4" s="406" t="s">
        <v>2195</v>
      </c>
      <c r="D4" s="406" t="s">
        <v>8229</v>
      </c>
      <c r="E4" s="406" t="s">
        <v>8230</v>
      </c>
      <c r="F4" s="406" t="s">
        <v>8247</v>
      </c>
      <c r="G4" s="406" t="s">
        <v>8248</v>
      </c>
      <c r="H4" s="408" t="s">
        <v>8249</v>
      </c>
      <c r="I4" s="406" t="s">
        <v>8234</v>
      </c>
      <c r="J4" s="406" t="s">
        <v>7999</v>
      </c>
      <c r="K4" s="408" t="s">
        <v>8236</v>
      </c>
      <c r="L4" s="406" t="s">
        <v>8237</v>
      </c>
      <c r="M4" s="406" t="s">
        <v>8238</v>
      </c>
      <c r="N4" s="406" t="s">
        <v>8239</v>
      </c>
      <c r="O4" s="406" t="s">
        <v>8250</v>
      </c>
      <c r="P4" s="406" t="s">
        <v>8236</v>
      </c>
      <c r="Q4" s="406" t="s">
        <v>1313</v>
      </c>
      <c r="R4" s="407" t="s">
        <v>8251</v>
      </c>
    </row>
    <row r="5" spans="1:18" ht="31.65" customHeight="1">
      <c r="A5" s="406" t="s">
        <v>6062</v>
      </c>
      <c r="B5" s="406" t="s">
        <v>8228</v>
      </c>
      <c r="C5" s="406" t="s">
        <v>2195</v>
      </c>
      <c r="D5" s="406" t="s">
        <v>8229</v>
      </c>
      <c r="E5" s="406" t="s">
        <v>8230</v>
      </c>
      <c r="F5" s="406" t="s">
        <v>8231</v>
      </c>
      <c r="G5" s="406" t="s">
        <v>8243</v>
      </c>
      <c r="H5" s="408" t="s">
        <v>8252</v>
      </c>
      <c r="I5" s="406" t="s">
        <v>8234</v>
      </c>
      <c r="J5" s="406" t="s">
        <v>7999</v>
      </c>
      <c r="K5" s="408" t="s">
        <v>8236</v>
      </c>
      <c r="L5" s="406" t="s">
        <v>8237</v>
      </c>
      <c r="M5" s="406" t="s">
        <v>8238</v>
      </c>
      <c r="N5" s="406" t="s">
        <v>8239</v>
      </c>
      <c r="O5" s="406" t="s">
        <v>8253</v>
      </c>
      <c r="P5" s="406" t="s">
        <v>8236</v>
      </c>
      <c r="Q5" s="406" t="s">
        <v>1313</v>
      </c>
      <c r="R5" s="407" t="s">
        <v>8254</v>
      </c>
    </row>
    <row r="6" spans="1:18" ht="31.65" customHeight="1">
      <c r="A6" s="406" t="s">
        <v>6062</v>
      </c>
      <c r="B6" s="406" t="s">
        <v>8228</v>
      </c>
      <c r="C6" s="406" t="s">
        <v>2195</v>
      </c>
      <c r="D6" s="406" t="s">
        <v>8229</v>
      </c>
      <c r="E6" s="406" t="s">
        <v>8109</v>
      </c>
      <c r="F6" s="406" t="s">
        <v>8255</v>
      </c>
      <c r="G6" s="406" t="s">
        <v>8256</v>
      </c>
      <c r="H6" s="408" t="s">
        <v>8257</v>
      </c>
      <c r="I6" s="406" t="s">
        <v>8258</v>
      </c>
      <c r="J6" s="406" t="s">
        <v>8111</v>
      </c>
      <c r="K6" s="408" t="s">
        <v>8259</v>
      </c>
      <c r="L6" s="406" t="s">
        <v>8260</v>
      </c>
      <c r="M6" s="406" t="s">
        <v>8238</v>
      </c>
      <c r="N6" s="406" t="s">
        <v>8239</v>
      </c>
      <c r="O6" s="406" t="s">
        <v>8253</v>
      </c>
      <c r="P6" s="406" t="s">
        <v>8236</v>
      </c>
      <c r="Q6" s="406" t="s">
        <v>1313</v>
      </c>
      <c r="R6" s="407" t="s">
        <v>8261</v>
      </c>
    </row>
    <row r="7" spans="1:18" ht="31.65" customHeight="1">
      <c r="A7" s="406" t="s">
        <v>6062</v>
      </c>
      <c r="B7" s="406" t="s">
        <v>8228</v>
      </c>
      <c r="C7" s="406" t="s">
        <v>2195</v>
      </c>
      <c r="D7" s="406" t="s">
        <v>8229</v>
      </c>
      <c r="E7" s="406" t="s">
        <v>6223</v>
      </c>
      <c r="F7" s="406" t="s">
        <v>8262</v>
      </c>
      <c r="G7" s="406" t="s">
        <v>8263</v>
      </c>
      <c r="H7" s="408" t="s">
        <v>8264</v>
      </c>
      <c r="I7" s="406" t="s">
        <v>8258</v>
      </c>
      <c r="J7" s="406" t="s">
        <v>8147</v>
      </c>
      <c r="K7" s="408" t="s">
        <v>8265</v>
      </c>
      <c r="L7" s="406" t="s">
        <v>8260</v>
      </c>
      <c r="M7" s="406" t="s">
        <v>8238</v>
      </c>
      <c r="N7" s="406" t="s">
        <v>8239</v>
      </c>
      <c r="O7" s="406" t="s">
        <v>8266</v>
      </c>
      <c r="P7" s="406" t="s">
        <v>8236</v>
      </c>
      <c r="Q7" s="406" t="s">
        <v>1313</v>
      </c>
      <c r="R7" s="407" t="s">
        <v>8267</v>
      </c>
    </row>
    <row r="8" spans="1:18" ht="31.65" customHeight="1">
      <c r="A8" s="406" t="s">
        <v>6062</v>
      </c>
      <c r="B8" s="406" t="s">
        <v>8228</v>
      </c>
      <c r="C8" s="406" t="s">
        <v>2195</v>
      </c>
      <c r="D8" s="406" t="s">
        <v>8229</v>
      </c>
      <c r="E8" s="406" t="s">
        <v>6349</v>
      </c>
      <c r="F8" s="406" t="s">
        <v>8268</v>
      </c>
      <c r="G8" s="406" t="s">
        <v>8269</v>
      </c>
      <c r="H8" s="408" t="s">
        <v>8270</v>
      </c>
      <c r="I8" s="406" t="s">
        <v>8258</v>
      </c>
      <c r="J8" s="406" t="s">
        <v>8201</v>
      </c>
      <c r="K8" s="408" t="s">
        <v>8271</v>
      </c>
      <c r="L8" s="406" t="s">
        <v>8260</v>
      </c>
      <c r="M8" s="406" t="s">
        <v>8238</v>
      </c>
      <c r="N8" s="406" t="s">
        <v>8239</v>
      </c>
      <c r="O8" s="406" t="s">
        <v>8272</v>
      </c>
      <c r="P8" s="406" t="s">
        <v>8236</v>
      </c>
      <c r="Q8" s="406" t="s">
        <v>1313</v>
      </c>
      <c r="R8" s="407" t="s">
        <v>8273</v>
      </c>
    </row>
    <row r="9" spans="1:18" ht="31.65" customHeight="1">
      <c r="A9" s="406" t="s">
        <v>6062</v>
      </c>
      <c r="B9" s="406" t="s">
        <v>8228</v>
      </c>
      <c r="C9" s="406" t="s">
        <v>2195</v>
      </c>
      <c r="D9" s="406" t="s">
        <v>8229</v>
      </c>
      <c r="E9" s="406" t="s">
        <v>6323</v>
      </c>
      <c r="F9" s="406" t="s">
        <v>8274</v>
      </c>
      <c r="G9" s="406" t="s">
        <v>8275</v>
      </c>
      <c r="H9" s="408" t="s">
        <v>8276</v>
      </c>
      <c r="I9" s="406" t="s">
        <v>8258</v>
      </c>
      <c r="J9" s="406" t="s">
        <v>8145</v>
      </c>
      <c r="K9" s="408" t="s">
        <v>8265</v>
      </c>
      <c r="L9" s="406" t="s">
        <v>8260</v>
      </c>
      <c r="M9" s="406" t="s">
        <v>8238</v>
      </c>
      <c r="N9" s="406" t="s">
        <v>8239</v>
      </c>
      <c r="O9" s="406" t="s">
        <v>8277</v>
      </c>
      <c r="P9" s="406" t="s">
        <v>8236</v>
      </c>
      <c r="Q9" s="406" t="s">
        <v>1313</v>
      </c>
      <c r="R9" s="407" t="s">
        <v>8278</v>
      </c>
    </row>
    <row r="10" spans="1:18" ht="31.65" customHeight="1">
      <c r="A10" s="406" t="s">
        <v>6062</v>
      </c>
      <c r="B10" s="406" t="s">
        <v>8228</v>
      </c>
      <c r="C10" s="406" t="s">
        <v>2195</v>
      </c>
      <c r="D10" s="406" t="s">
        <v>8229</v>
      </c>
      <c r="E10" s="406" t="s">
        <v>6220</v>
      </c>
      <c r="F10" s="406" t="s">
        <v>8279</v>
      </c>
      <c r="G10" s="406" t="s">
        <v>8280</v>
      </c>
      <c r="H10" s="408" t="s">
        <v>8281</v>
      </c>
      <c r="I10" s="406" t="s">
        <v>8258</v>
      </c>
      <c r="J10" s="406" t="s">
        <v>8009</v>
      </c>
      <c r="K10" s="408" t="s">
        <v>8282</v>
      </c>
      <c r="L10" s="406" t="s">
        <v>8260</v>
      </c>
      <c r="M10" s="406" t="s">
        <v>8238</v>
      </c>
      <c r="N10" s="406" t="s">
        <v>8239</v>
      </c>
      <c r="O10" s="406" t="s">
        <v>8283</v>
      </c>
      <c r="P10" s="406" t="s">
        <v>8236</v>
      </c>
      <c r="Q10" s="406" t="s">
        <v>1313</v>
      </c>
      <c r="R10" s="407" t="s">
        <v>8284</v>
      </c>
    </row>
    <row r="11" spans="1:18" ht="31.65" customHeight="1">
      <c r="A11" s="406" t="s">
        <v>6062</v>
      </c>
      <c r="B11" s="406" t="s">
        <v>8228</v>
      </c>
      <c r="C11" s="406" t="s">
        <v>2195</v>
      </c>
      <c r="D11" s="406" t="s">
        <v>8229</v>
      </c>
      <c r="E11" s="406" t="s">
        <v>8020</v>
      </c>
      <c r="F11" s="406" t="s">
        <v>8285</v>
      </c>
      <c r="G11" s="406" t="s">
        <v>8286</v>
      </c>
      <c r="H11" s="408" t="s">
        <v>8252</v>
      </c>
      <c r="I11" s="406" t="s">
        <v>8258</v>
      </c>
      <c r="J11" s="406" t="s">
        <v>8022</v>
      </c>
      <c r="K11" s="408" t="s">
        <v>8287</v>
      </c>
      <c r="L11" s="406" t="s">
        <v>8260</v>
      </c>
      <c r="M11" s="406" t="s">
        <v>8238</v>
      </c>
      <c r="N11" s="406" t="s">
        <v>8239</v>
      </c>
      <c r="O11" s="406" t="s">
        <v>8288</v>
      </c>
      <c r="P11" s="406" t="s">
        <v>8236</v>
      </c>
      <c r="Q11" s="406" t="s">
        <v>1313</v>
      </c>
      <c r="R11" s="407" t="s">
        <v>8289</v>
      </c>
    </row>
    <row r="12" spans="1:18" ht="31.65" customHeight="1">
      <c r="A12" s="406" t="s">
        <v>6062</v>
      </c>
      <c r="B12" s="406" t="s">
        <v>8228</v>
      </c>
      <c r="C12" s="406" t="s">
        <v>2195</v>
      </c>
      <c r="D12" s="406" t="s">
        <v>8229</v>
      </c>
      <c r="E12" s="406" t="s">
        <v>8023</v>
      </c>
      <c r="F12" s="406" t="s">
        <v>8290</v>
      </c>
      <c r="G12" s="406" t="s">
        <v>8291</v>
      </c>
      <c r="H12" s="408" t="s">
        <v>8292</v>
      </c>
      <c r="I12" s="406" t="s">
        <v>8258</v>
      </c>
      <c r="J12" s="406" t="s">
        <v>8025</v>
      </c>
      <c r="K12" s="408" t="s">
        <v>8287</v>
      </c>
      <c r="L12" s="406" t="s">
        <v>8260</v>
      </c>
      <c r="M12" s="406" t="s">
        <v>8238</v>
      </c>
      <c r="N12" s="406" t="s">
        <v>8239</v>
      </c>
      <c r="O12" s="406" t="s">
        <v>8293</v>
      </c>
      <c r="P12" s="406" t="s">
        <v>8236</v>
      </c>
      <c r="Q12" s="406" t="s">
        <v>1313</v>
      </c>
      <c r="R12" s="407" t="s">
        <v>8294</v>
      </c>
    </row>
    <row r="13" spans="1:18" ht="31.65" customHeight="1">
      <c r="A13" s="406" t="s">
        <v>6062</v>
      </c>
      <c r="B13" s="406" t="s">
        <v>8228</v>
      </c>
      <c r="C13" s="406" t="s">
        <v>2195</v>
      </c>
      <c r="D13" s="406" t="s">
        <v>8239</v>
      </c>
      <c r="E13" s="406" t="s">
        <v>5784</v>
      </c>
      <c r="F13" s="406" t="s">
        <v>8295</v>
      </c>
      <c r="G13" s="406" t="s">
        <v>8296</v>
      </c>
      <c r="H13" s="408" t="s">
        <v>8297</v>
      </c>
      <c r="I13" s="406" t="s">
        <v>8258</v>
      </c>
      <c r="J13" s="406" t="s">
        <v>8088</v>
      </c>
      <c r="K13" s="408" t="s">
        <v>8298</v>
      </c>
      <c r="L13" s="406" t="s">
        <v>8299</v>
      </c>
      <c r="M13" s="406" t="s">
        <v>8238</v>
      </c>
      <c r="N13" s="406" t="s">
        <v>8252</v>
      </c>
      <c r="O13" s="406" t="s">
        <v>8300</v>
      </c>
      <c r="P13" s="406" t="s">
        <v>8236</v>
      </c>
      <c r="Q13" s="406" t="s">
        <v>1313</v>
      </c>
      <c r="R13" s="407" t="s">
        <v>8301</v>
      </c>
    </row>
    <row r="14" spans="1:18" ht="31.65" customHeight="1">
      <c r="A14" s="406" t="s">
        <v>6062</v>
      </c>
      <c r="B14" s="406" t="s">
        <v>8228</v>
      </c>
      <c r="C14" s="406" t="s">
        <v>2195</v>
      </c>
      <c r="D14" s="406" t="s">
        <v>8229</v>
      </c>
      <c r="E14" s="406" t="s">
        <v>5865</v>
      </c>
      <c r="F14" s="406" t="s">
        <v>8302</v>
      </c>
      <c r="G14" s="406" t="s">
        <v>8303</v>
      </c>
      <c r="H14" s="408" t="s">
        <v>8304</v>
      </c>
      <c r="I14" s="406" t="s">
        <v>8258</v>
      </c>
      <c r="J14" s="406" t="s">
        <v>8090</v>
      </c>
      <c r="K14" s="408" t="s">
        <v>8250</v>
      </c>
      <c r="L14" s="406" t="s">
        <v>8299</v>
      </c>
      <c r="M14" s="406" t="s">
        <v>8238</v>
      </c>
      <c r="N14" s="406" t="s">
        <v>8239</v>
      </c>
      <c r="O14" s="406" t="s">
        <v>8252</v>
      </c>
      <c r="P14" s="406" t="s">
        <v>8305</v>
      </c>
      <c r="Q14" s="406" t="s">
        <v>1313</v>
      </c>
      <c r="R14" s="407" t="s">
        <v>8306</v>
      </c>
    </row>
    <row r="15" spans="1:18" ht="31.65" customHeight="1">
      <c r="A15" s="406" t="s">
        <v>6062</v>
      </c>
      <c r="B15" s="406" t="s">
        <v>8228</v>
      </c>
      <c r="C15" s="406" t="s">
        <v>2195</v>
      </c>
      <c r="D15" s="406" t="s">
        <v>8229</v>
      </c>
      <c r="E15" s="406" t="s">
        <v>5741</v>
      </c>
      <c r="F15" s="406" t="s">
        <v>8307</v>
      </c>
      <c r="G15" s="406" t="s">
        <v>8308</v>
      </c>
      <c r="H15" s="408" t="s">
        <v>8304</v>
      </c>
      <c r="I15" s="406" t="s">
        <v>8258</v>
      </c>
      <c r="J15" s="406" t="s">
        <v>8094</v>
      </c>
      <c r="K15" s="408" t="s">
        <v>8309</v>
      </c>
      <c r="L15" s="406" t="s">
        <v>8299</v>
      </c>
      <c r="M15" s="406" t="s">
        <v>8238</v>
      </c>
      <c r="N15" s="406" t="s">
        <v>8310</v>
      </c>
      <c r="O15" s="406" t="s">
        <v>8311</v>
      </c>
      <c r="P15" s="406" t="s">
        <v>8305</v>
      </c>
      <c r="Q15" s="406" t="s">
        <v>1313</v>
      </c>
      <c r="R15" s="407" t="s">
        <v>8312</v>
      </c>
    </row>
    <row r="16" spans="1:18" ht="31.65" customHeight="1">
      <c r="A16" s="406" t="s">
        <v>6062</v>
      </c>
      <c r="B16" s="406" t="s">
        <v>8228</v>
      </c>
      <c r="C16" s="406" t="s">
        <v>2195</v>
      </c>
      <c r="D16" s="406" t="s">
        <v>8229</v>
      </c>
      <c r="E16" s="406" t="s">
        <v>8097</v>
      </c>
      <c r="F16" s="406" t="s">
        <v>8313</v>
      </c>
      <c r="G16" s="406" t="s">
        <v>8314</v>
      </c>
      <c r="H16" s="408" t="s">
        <v>8315</v>
      </c>
      <c r="I16" s="406" t="s">
        <v>8258</v>
      </c>
      <c r="J16" s="406" t="s">
        <v>8099</v>
      </c>
      <c r="K16" s="408" t="s">
        <v>8309</v>
      </c>
      <c r="L16" s="406" t="s">
        <v>8299</v>
      </c>
      <c r="M16" s="406" t="s">
        <v>8238</v>
      </c>
      <c r="N16" s="406" t="s">
        <v>8310</v>
      </c>
      <c r="O16" s="406" t="s">
        <v>8311</v>
      </c>
      <c r="P16" s="406" t="s">
        <v>8305</v>
      </c>
      <c r="Q16" s="406" t="s">
        <v>1313</v>
      </c>
      <c r="R16" s="407" t="s">
        <v>8312</v>
      </c>
    </row>
    <row r="17" spans="1:18" ht="31.65" customHeight="1">
      <c r="A17" s="406" t="s">
        <v>6062</v>
      </c>
      <c r="B17" s="406" t="s">
        <v>8228</v>
      </c>
      <c r="C17" s="406" t="s">
        <v>2195</v>
      </c>
      <c r="D17" s="406" t="s">
        <v>8229</v>
      </c>
      <c r="E17" s="406" t="s">
        <v>5756</v>
      </c>
      <c r="F17" s="406" t="s">
        <v>8316</v>
      </c>
      <c r="G17" s="406" t="s">
        <v>8317</v>
      </c>
      <c r="H17" s="408" t="s">
        <v>8315</v>
      </c>
      <c r="I17" s="406" t="s">
        <v>8258</v>
      </c>
      <c r="J17" s="406" t="s">
        <v>8096</v>
      </c>
      <c r="K17" s="408" t="s">
        <v>8309</v>
      </c>
      <c r="L17" s="406" t="s">
        <v>8299</v>
      </c>
      <c r="M17" s="406" t="s">
        <v>8238</v>
      </c>
      <c r="N17" s="406" t="s">
        <v>8310</v>
      </c>
      <c r="O17" s="406" t="s">
        <v>8311</v>
      </c>
      <c r="P17" s="406" t="s">
        <v>8305</v>
      </c>
      <c r="Q17" s="406" t="s">
        <v>1313</v>
      </c>
      <c r="R17" s="407" t="s">
        <v>8312</v>
      </c>
    </row>
    <row r="18" spans="1:18" ht="31.65" customHeight="1">
      <c r="A18" s="406" t="s">
        <v>6062</v>
      </c>
      <c r="B18" s="406" t="s">
        <v>8228</v>
      </c>
      <c r="C18" s="406" t="s">
        <v>2195</v>
      </c>
      <c r="D18" s="406" t="s">
        <v>8229</v>
      </c>
      <c r="E18" s="406" t="s">
        <v>6030</v>
      </c>
      <c r="F18" s="406" t="s">
        <v>8318</v>
      </c>
      <c r="G18" s="406" t="s">
        <v>8319</v>
      </c>
      <c r="H18" s="408" t="s">
        <v>8315</v>
      </c>
      <c r="I18" s="406" t="s">
        <v>8258</v>
      </c>
      <c r="J18" s="406" t="s">
        <v>8101</v>
      </c>
      <c r="K18" s="408" t="s">
        <v>8309</v>
      </c>
      <c r="L18" s="406" t="s">
        <v>8299</v>
      </c>
      <c r="M18" s="406" t="s">
        <v>8238</v>
      </c>
      <c r="N18" s="406" t="s">
        <v>8310</v>
      </c>
      <c r="O18" s="406" t="s">
        <v>8311</v>
      </c>
      <c r="P18" s="406" t="s">
        <v>8305</v>
      </c>
      <c r="Q18" s="406" t="s">
        <v>1313</v>
      </c>
      <c r="R18" s="407" t="s">
        <v>8312</v>
      </c>
    </row>
    <row r="19" spans="1:18" ht="31.65" customHeight="1">
      <c r="A19" s="406" t="s">
        <v>6062</v>
      </c>
      <c r="B19" s="406" t="s">
        <v>8228</v>
      </c>
      <c r="C19" s="406" t="s">
        <v>2195</v>
      </c>
      <c r="D19" s="406" t="s">
        <v>8239</v>
      </c>
      <c r="E19" s="406" t="s">
        <v>6068</v>
      </c>
      <c r="F19" s="406" t="s">
        <v>8320</v>
      </c>
      <c r="G19" s="406" t="s">
        <v>8321</v>
      </c>
      <c r="H19" s="408" t="s">
        <v>8257</v>
      </c>
      <c r="I19" s="406" t="s">
        <v>8258</v>
      </c>
      <c r="J19" s="406" t="s">
        <v>8135</v>
      </c>
      <c r="K19" s="408" t="s">
        <v>8322</v>
      </c>
      <c r="L19" s="406" t="s">
        <v>8299</v>
      </c>
      <c r="M19" s="406" t="s">
        <v>8238</v>
      </c>
      <c r="N19" s="406" t="s">
        <v>8323</v>
      </c>
      <c r="O19" s="406" t="s">
        <v>8300</v>
      </c>
      <c r="P19" s="406" t="s">
        <v>8236</v>
      </c>
      <c r="Q19" s="406" t="s">
        <v>1313</v>
      </c>
      <c r="R19" s="407" t="s">
        <v>8236</v>
      </c>
    </row>
    <row r="20" spans="1:18" ht="31.65" customHeight="1">
      <c r="A20" s="406" t="s">
        <v>6062</v>
      </c>
      <c r="B20" s="406" t="s">
        <v>8228</v>
      </c>
      <c r="C20" s="406" t="s">
        <v>2195</v>
      </c>
      <c r="D20" s="406" t="s">
        <v>8239</v>
      </c>
      <c r="E20" s="406" t="s">
        <v>6071</v>
      </c>
      <c r="F20" s="406" t="s">
        <v>8324</v>
      </c>
      <c r="G20" s="406" t="s">
        <v>8325</v>
      </c>
      <c r="H20" s="408" t="s">
        <v>8257</v>
      </c>
      <c r="I20" s="406" t="s">
        <v>8258</v>
      </c>
      <c r="J20" s="406" t="s">
        <v>8105</v>
      </c>
      <c r="K20" s="408" t="s">
        <v>8309</v>
      </c>
      <c r="L20" s="406" t="s">
        <v>8299</v>
      </c>
      <c r="M20" s="406" t="s">
        <v>8238</v>
      </c>
      <c r="N20" s="406" t="s">
        <v>8310</v>
      </c>
      <c r="O20" s="406" t="s">
        <v>8300</v>
      </c>
      <c r="P20" s="406" t="s">
        <v>8236</v>
      </c>
      <c r="Q20" s="406" t="s">
        <v>1313</v>
      </c>
      <c r="R20" s="407" t="s">
        <v>8312</v>
      </c>
    </row>
    <row r="21" spans="1:18" ht="31.65" customHeight="1">
      <c r="A21" s="406" t="s">
        <v>6062</v>
      </c>
      <c r="B21" s="406" t="s">
        <v>8228</v>
      </c>
      <c r="C21" s="406" t="s">
        <v>2195</v>
      </c>
      <c r="D21" s="406" t="s">
        <v>8239</v>
      </c>
      <c r="E21" s="406" t="s">
        <v>6117</v>
      </c>
      <c r="F21" s="406" t="s">
        <v>8326</v>
      </c>
      <c r="G21" s="406" t="s">
        <v>8327</v>
      </c>
      <c r="H21" s="408" t="s">
        <v>8264</v>
      </c>
      <c r="I21" s="406" t="s">
        <v>8258</v>
      </c>
      <c r="J21" s="406" t="s">
        <v>8139</v>
      </c>
      <c r="K21" s="408" t="s">
        <v>8322</v>
      </c>
      <c r="L21" s="406" t="s">
        <v>8299</v>
      </c>
      <c r="M21" s="406" t="s">
        <v>8238</v>
      </c>
      <c r="N21" s="406" t="s">
        <v>8323</v>
      </c>
      <c r="O21" s="406" t="s">
        <v>8300</v>
      </c>
      <c r="P21" s="406" t="s">
        <v>8236</v>
      </c>
      <c r="Q21" s="406" t="s">
        <v>1313</v>
      </c>
      <c r="R21" s="407" t="s">
        <v>8236</v>
      </c>
    </row>
    <row r="22" spans="1:18" ht="31.65" customHeight="1">
      <c r="A22" s="406" t="s">
        <v>6062</v>
      </c>
      <c r="B22" s="406" t="s">
        <v>8228</v>
      </c>
      <c r="C22" s="406" t="s">
        <v>2195</v>
      </c>
      <c r="D22" s="406" t="s">
        <v>8239</v>
      </c>
      <c r="E22" s="406" t="s">
        <v>6171</v>
      </c>
      <c r="F22" s="406" t="s">
        <v>8328</v>
      </c>
      <c r="G22" s="406" t="s">
        <v>8329</v>
      </c>
      <c r="H22" s="408" t="s">
        <v>8330</v>
      </c>
      <c r="I22" s="406" t="s">
        <v>8258</v>
      </c>
      <c r="J22" s="406" t="s">
        <v>8141</v>
      </c>
      <c r="K22" s="408" t="s">
        <v>8322</v>
      </c>
      <c r="L22" s="406" t="s">
        <v>8299</v>
      </c>
      <c r="M22" s="406" t="s">
        <v>8238</v>
      </c>
      <c r="N22" s="406" t="s">
        <v>8323</v>
      </c>
      <c r="O22" s="406" t="s">
        <v>8300</v>
      </c>
      <c r="P22" s="406" t="s">
        <v>8236</v>
      </c>
      <c r="Q22" s="406" t="s">
        <v>1313</v>
      </c>
      <c r="R22" s="407" t="s">
        <v>8236</v>
      </c>
    </row>
    <row r="23" spans="1:18" ht="31.65" customHeight="1">
      <c r="A23" s="406" t="s">
        <v>6062</v>
      </c>
      <c r="B23" s="406" t="s">
        <v>8228</v>
      </c>
      <c r="C23" s="406" t="s">
        <v>2195</v>
      </c>
      <c r="D23" s="406" t="s">
        <v>8239</v>
      </c>
      <c r="E23" s="406" t="s">
        <v>6136</v>
      </c>
      <c r="F23" s="406" t="s">
        <v>8331</v>
      </c>
      <c r="G23" s="406" t="s">
        <v>8332</v>
      </c>
      <c r="H23" s="408" t="s">
        <v>8330</v>
      </c>
      <c r="I23" s="406" t="s">
        <v>8258</v>
      </c>
      <c r="J23" s="406" t="s">
        <v>8137</v>
      </c>
      <c r="K23" s="408" t="s">
        <v>8322</v>
      </c>
      <c r="L23" s="406" t="s">
        <v>8299</v>
      </c>
      <c r="M23" s="406" t="s">
        <v>8238</v>
      </c>
      <c r="N23" s="406" t="s">
        <v>8323</v>
      </c>
      <c r="O23" s="406" t="s">
        <v>8300</v>
      </c>
      <c r="P23" s="406" t="s">
        <v>8236</v>
      </c>
      <c r="Q23" s="406" t="s">
        <v>1313</v>
      </c>
      <c r="R23" s="407" t="s">
        <v>8236</v>
      </c>
    </row>
    <row r="24" spans="1:18" ht="31.65" customHeight="1">
      <c r="A24" s="406" t="s">
        <v>6062</v>
      </c>
      <c r="B24" s="406" t="s">
        <v>8228</v>
      </c>
      <c r="C24" s="406" t="s">
        <v>2195</v>
      </c>
      <c r="D24" s="406" t="s">
        <v>8239</v>
      </c>
      <c r="E24" s="406" t="s">
        <v>8131</v>
      </c>
      <c r="F24" s="406" t="s">
        <v>8333</v>
      </c>
      <c r="G24" s="406" t="s">
        <v>8334</v>
      </c>
      <c r="H24" s="408" t="s">
        <v>8335</v>
      </c>
      <c r="I24" s="406" t="s">
        <v>8258</v>
      </c>
      <c r="J24" s="406" t="s">
        <v>8133</v>
      </c>
      <c r="K24" s="408" t="s">
        <v>8322</v>
      </c>
      <c r="L24" s="406" t="s">
        <v>8299</v>
      </c>
      <c r="M24" s="406" t="s">
        <v>8238</v>
      </c>
      <c r="N24" s="406" t="s">
        <v>8323</v>
      </c>
      <c r="O24" s="406" t="s">
        <v>8300</v>
      </c>
      <c r="P24" s="406" t="s">
        <v>8236</v>
      </c>
      <c r="Q24" s="406" t="s">
        <v>1313</v>
      </c>
      <c r="R24" s="407" t="s">
        <v>8236</v>
      </c>
    </row>
    <row r="25" spans="1:18" ht="31.65" customHeight="1">
      <c r="A25" s="406" t="s">
        <v>6062</v>
      </c>
      <c r="B25" s="406" t="s">
        <v>8228</v>
      </c>
      <c r="C25" s="406" t="s">
        <v>2195</v>
      </c>
      <c r="D25" s="406" t="s">
        <v>8239</v>
      </c>
      <c r="E25" s="406" t="s">
        <v>6257</v>
      </c>
      <c r="F25" s="406" t="s">
        <v>8336</v>
      </c>
      <c r="G25" s="406" t="s">
        <v>8337</v>
      </c>
      <c r="H25" s="408" t="s">
        <v>8270</v>
      </c>
      <c r="I25" s="406" t="s">
        <v>8258</v>
      </c>
      <c r="J25" s="406" t="s">
        <v>8116</v>
      </c>
      <c r="K25" s="408" t="s">
        <v>8322</v>
      </c>
      <c r="L25" s="406" t="s">
        <v>8299</v>
      </c>
      <c r="M25" s="406" t="s">
        <v>8238</v>
      </c>
      <c r="N25" s="406" t="s">
        <v>8323</v>
      </c>
      <c r="O25" s="406" t="s">
        <v>8300</v>
      </c>
      <c r="P25" s="406" t="s">
        <v>8236</v>
      </c>
      <c r="Q25" s="406" t="s">
        <v>1313</v>
      </c>
      <c r="R25" s="407" t="s">
        <v>8236</v>
      </c>
    </row>
    <row r="26" spans="1:18" ht="31.65" customHeight="1">
      <c r="A26" s="406" t="s">
        <v>6062</v>
      </c>
      <c r="B26" s="406" t="s">
        <v>8228</v>
      </c>
      <c r="C26" s="406" t="s">
        <v>2195</v>
      </c>
      <c r="D26" s="406" t="s">
        <v>8239</v>
      </c>
      <c r="E26" s="406" t="s">
        <v>6120</v>
      </c>
      <c r="F26" s="406" t="s">
        <v>8338</v>
      </c>
      <c r="G26" s="406" t="s">
        <v>8339</v>
      </c>
      <c r="H26" s="408" t="s">
        <v>8270</v>
      </c>
      <c r="I26" s="406" t="s">
        <v>8258</v>
      </c>
      <c r="J26" s="406" t="s">
        <v>8118</v>
      </c>
      <c r="K26" s="408" t="s">
        <v>8322</v>
      </c>
      <c r="L26" s="406" t="s">
        <v>8299</v>
      </c>
      <c r="M26" s="406" t="s">
        <v>8238</v>
      </c>
      <c r="N26" s="406" t="s">
        <v>8323</v>
      </c>
      <c r="O26" s="406" t="s">
        <v>8300</v>
      </c>
      <c r="P26" s="406" t="s">
        <v>8236</v>
      </c>
      <c r="Q26" s="406" t="s">
        <v>1313</v>
      </c>
      <c r="R26" s="407" t="s">
        <v>8236</v>
      </c>
    </row>
    <row r="27" spans="1:18" ht="31.65" customHeight="1">
      <c r="A27" s="406" t="s">
        <v>6062</v>
      </c>
      <c r="B27" s="406" t="s">
        <v>8228</v>
      </c>
      <c r="C27" s="406" t="s">
        <v>2195</v>
      </c>
      <c r="D27" s="406" t="s">
        <v>8229</v>
      </c>
      <c r="E27" s="406" t="s">
        <v>6099</v>
      </c>
      <c r="F27" s="406" t="s">
        <v>8340</v>
      </c>
      <c r="G27" s="406" t="s">
        <v>8341</v>
      </c>
      <c r="H27" s="408" t="s">
        <v>8270</v>
      </c>
      <c r="I27" s="406" t="s">
        <v>8258</v>
      </c>
      <c r="J27" s="406" t="s">
        <v>8045</v>
      </c>
      <c r="K27" s="408" t="s">
        <v>8342</v>
      </c>
      <c r="L27" s="406" t="s">
        <v>8299</v>
      </c>
      <c r="M27" s="406" t="s">
        <v>8238</v>
      </c>
      <c r="N27" s="406" t="s">
        <v>8239</v>
      </c>
      <c r="O27" s="406" t="s">
        <v>8343</v>
      </c>
      <c r="P27" s="406" t="s">
        <v>8305</v>
      </c>
      <c r="Q27" s="406" t="s">
        <v>1313</v>
      </c>
      <c r="R27" s="407" t="s">
        <v>8344</v>
      </c>
    </row>
    <row r="28" spans="1:18" ht="31.65" customHeight="1">
      <c r="A28" s="406" t="s">
        <v>6062</v>
      </c>
      <c r="B28" s="406" t="s">
        <v>8228</v>
      </c>
      <c r="C28" s="406" t="s">
        <v>2195</v>
      </c>
      <c r="D28" s="406" t="s">
        <v>8239</v>
      </c>
      <c r="E28" s="406" t="s">
        <v>8168</v>
      </c>
      <c r="F28" s="406" t="s">
        <v>8345</v>
      </c>
      <c r="G28" s="406" t="s">
        <v>8346</v>
      </c>
      <c r="H28" s="408" t="s">
        <v>8249</v>
      </c>
      <c r="I28" s="406" t="s">
        <v>8258</v>
      </c>
      <c r="J28" s="406" t="s">
        <v>8170</v>
      </c>
      <c r="K28" s="408" t="s">
        <v>8266</v>
      </c>
      <c r="L28" s="406" t="s">
        <v>8299</v>
      </c>
      <c r="M28" s="406" t="s">
        <v>8238</v>
      </c>
      <c r="N28" s="406" t="s">
        <v>8347</v>
      </c>
      <c r="O28" s="406" t="s">
        <v>8300</v>
      </c>
      <c r="P28" s="406" t="s">
        <v>8236</v>
      </c>
      <c r="Q28" s="406" t="s">
        <v>1313</v>
      </c>
      <c r="R28" s="407" t="s">
        <v>8348</v>
      </c>
    </row>
    <row r="29" spans="1:18" ht="31.65" customHeight="1">
      <c r="A29" s="406" t="s">
        <v>6062</v>
      </c>
      <c r="B29" s="406" t="s">
        <v>8228</v>
      </c>
      <c r="C29" s="406" t="s">
        <v>2195</v>
      </c>
      <c r="D29" s="406" t="s">
        <v>8229</v>
      </c>
      <c r="E29" s="406" t="s">
        <v>5900</v>
      </c>
      <c r="F29" s="406" t="s">
        <v>8349</v>
      </c>
      <c r="G29" s="406" t="s">
        <v>8350</v>
      </c>
      <c r="H29" s="408" t="s">
        <v>8249</v>
      </c>
      <c r="I29" s="406" t="s">
        <v>8258</v>
      </c>
      <c r="J29" s="406" t="s">
        <v>8159</v>
      </c>
      <c r="K29" s="408" t="s">
        <v>8266</v>
      </c>
      <c r="L29" s="406" t="s">
        <v>8299</v>
      </c>
      <c r="M29" s="406" t="s">
        <v>8238</v>
      </c>
      <c r="N29" s="406" t="s">
        <v>8239</v>
      </c>
      <c r="O29" s="406" t="s">
        <v>8351</v>
      </c>
      <c r="P29" s="406" t="s">
        <v>8305</v>
      </c>
      <c r="Q29" s="406" t="s">
        <v>1313</v>
      </c>
      <c r="R29" s="407" t="s">
        <v>8348</v>
      </c>
    </row>
    <row r="30" spans="1:18" ht="31.65" customHeight="1">
      <c r="A30" s="406" t="s">
        <v>6062</v>
      </c>
      <c r="B30" s="406" t="s">
        <v>8228</v>
      </c>
      <c r="C30" s="406" t="s">
        <v>2195</v>
      </c>
      <c r="D30" s="406" t="s">
        <v>8239</v>
      </c>
      <c r="E30" s="406" t="s">
        <v>6110</v>
      </c>
      <c r="F30" s="406" t="s">
        <v>8352</v>
      </c>
      <c r="G30" s="406" t="s">
        <v>8353</v>
      </c>
      <c r="H30" s="408" t="s">
        <v>8249</v>
      </c>
      <c r="I30" s="406" t="s">
        <v>8258</v>
      </c>
      <c r="J30" s="406" t="s">
        <v>8167</v>
      </c>
      <c r="K30" s="408" t="s">
        <v>8266</v>
      </c>
      <c r="L30" s="406" t="s">
        <v>8299</v>
      </c>
      <c r="M30" s="406" t="s">
        <v>8238</v>
      </c>
      <c r="N30" s="406" t="s">
        <v>8347</v>
      </c>
      <c r="O30" s="406" t="s">
        <v>8300</v>
      </c>
      <c r="P30" s="406" t="s">
        <v>8236</v>
      </c>
      <c r="Q30" s="406" t="s">
        <v>1313</v>
      </c>
      <c r="R30" s="407" t="s">
        <v>8348</v>
      </c>
    </row>
    <row r="31" spans="1:18" ht="31.65" customHeight="1">
      <c r="A31" s="406" t="s">
        <v>6062</v>
      </c>
      <c r="B31" s="406" t="s">
        <v>8228</v>
      </c>
      <c r="C31" s="406" t="s">
        <v>2195</v>
      </c>
      <c r="D31" s="406" t="s">
        <v>8229</v>
      </c>
      <c r="E31" s="406" t="s">
        <v>6114</v>
      </c>
      <c r="F31" s="406" t="s">
        <v>8354</v>
      </c>
      <c r="G31" s="406" t="s">
        <v>8355</v>
      </c>
      <c r="H31" s="408" t="s">
        <v>8281</v>
      </c>
      <c r="I31" s="406" t="s">
        <v>8258</v>
      </c>
      <c r="J31" s="406" t="s">
        <v>8027</v>
      </c>
      <c r="K31" s="408" t="s">
        <v>8356</v>
      </c>
      <c r="L31" s="409" t="s">
        <v>8299</v>
      </c>
      <c r="M31" s="406" t="s">
        <v>8238</v>
      </c>
      <c r="N31" s="406" t="s">
        <v>8239</v>
      </c>
      <c r="O31" s="406" t="s">
        <v>8343</v>
      </c>
      <c r="P31" s="406" t="s">
        <v>8305</v>
      </c>
      <c r="Q31" s="406" t="s">
        <v>1313</v>
      </c>
      <c r="R31" s="407" t="s">
        <v>8357</v>
      </c>
    </row>
    <row r="32" spans="1:18" ht="31.65" customHeight="1">
      <c r="A32" s="406" t="s">
        <v>6062</v>
      </c>
      <c r="B32" s="406" t="s">
        <v>8228</v>
      </c>
      <c r="C32" s="406" t="s">
        <v>2195</v>
      </c>
      <c r="D32" s="406" t="s">
        <v>8239</v>
      </c>
      <c r="E32" s="406" t="s">
        <v>6081</v>
      </c>
      <c r="F32" s="406" t="s">
        <v>8358</v>
      </c>
      <c r="G32" s="406" t="s">
        <v>8359</v>
      </c>
      <c r="H32" s="408" t="s">
        <v>8281</v>
      </c>
      <c r="I32" s="406" t="s">
        <v>8258</v>
      </c>
      <c r="J32" s="406" t="s">
        <v>8215</v>
      </c>
      <c r="K32" s="408" t="s">
        <v>8360</v>
      </c>
      <c r="L32" s="406" t="s">
        <v>8299</v>
      </c>
      <c r="M32" s="406" t="s">
        <v>8238</v>
      </c>
      <c r="N32" s="406" t="s">
        <v>8361</v>
      </c>
      <c r="O32" s="406" t="s">
        <v>8300</v>
      </c>
      <c r="P32" s="406" t="s">
        <v>8236</v>
      </c>
      <c r="Q32" s="406" t="s">
        <v>1313</v>
      </c>
      <c r="R32" s="407" t="s">
        <v>8362</v>
      </c>
    </row>
    <row r="33" spans="1:18" ht="31.65" customHeight="1">
      <c r="A33" s="406" t="s">
        <v>6062</v>
      </c>
      <c r="B33" s="406" t="s">
        <v>8228</v>
      </c>
      <c r="C33" s="406" t="s">
        <v>2195</v>
      </c>
      <c r="D33" s="406" t="s">
        <v>8363</v>
      </c>
      <c r="E33" s="406" t="s">
        <v>8210</v>
      </c>
      <c r="F33" s="406" t="s">
        <v>8364</v>
      </c>
      <c r="G33" s="406" t="s">
        <v>8365</v>
      </c>
      <c r="H33" s="408" t="s">
        <v>8281</v>
      </c>
      <c r="I33" s="406" t="s">
        <v>8258</v>
      </c>
      <c r="J33" s="406" t="s">
        <v>8211</v>
      </c>
      <c r="K33" s="408" t="s">
        <v>8360</v>
      </c>
      <c r="L33" s="406" t="s">
        <v>8299</v>
      </c>
      <c r="M33" s="406" t="s">
        <v>8366</v>
      </c>
      <c r="N33" s="406" t="s">
        <v>8367</v>
      </c>
      <c r="O33" s="406" t="s">
        <v>8366</v>
      </c>
      <c r="P33" s="406" t="s">
        <v>8305</v>
      </c>
      <c r="Q33" s="406" t="s">
        <v>1313</v>
      </c>
      <c r="R33" s="407" t="s">
        <v>8362</v>
      </c>
    </row>
    <row r="34" spans="1:18" ht="31.65" customHeight="1">
      <c r="A34" s="406" t="s">
        <v>6062</v>
      </c>
      <c r="B34" s="406" t="s">
        <v>8228</v>
      </c>
      <c r="C34" s="406" t="s">
        <v>2195</v>
      </c>
      <c r="D34" s="406" t="s">
        <v>8239</v>
      </c>
      <c r="E34" s="406" t="s">
        <v>8032</v>
      </c>
      <c r="F34" s="406" t="s">
        <v>8368</v>
      </c>
      <c r="G34" s="406" t="s">
        <v>8369</v>
      </c>
      <c r="H34" s="408" t="s">
        <v>8281</v>
      </c>
      <c r="I34" s="406" t="s">
        <v>8258</v>
      </c>
      <c r="J34" s="406" t="s">
        <v>8034</v>
      </c>
      <c r="K34" s="408" t="s">
        <v>8356</v>
      </c>
      <c r="L34" s="406" t="s">
        <v>8299</v>
      </c>
      <c r="M34" s="406" t="s">
        <v>8238</v>
      </c>
      <c r="N34" s="406" t="s">
        <v>8343</v>
      </c>
      <c r="O34" s="406" t="s">
        <v>8300</v>
      </c>
      <c r="P34" s="406" t="s">
        <v>8236</v>
      </c>
      <c r="Q34" s="406" t="s">
        <v>1313</v>
      </c>
      <c r="R34" s="407" t="s">
        <v>8370</v>
      </c>
    </row>
    <row r="35" spans="1:18" ht="31.65" customHeight="1">
      <c r="A35" s="406" t="s">
        <v>6062</v>
      </c>
      <c r="B35" s="406" t="s">
        <v>8228</v>
      </c>
      <c r="C35" s="406" t="s">
        <v>2195</v>
      </c>
      <c r="D35" s="406" t="s">
        <v>8229</v>
      </c>
      <c r="E35" s="406" t="s">
        <v>8041</v>
      </c>
      <c r="F35" s="406" t="s">
        <v>8371</v>
      </c>
      <c r="G35" s="406" t="s">
        <v>8372</v>
      </c>
      <c r="H35" s="408" t="s">
        <v>8323</v>
      </c>
      <c r="I35" s="406" t="s">
        <v>8258</v>
      </c>
      <c r="J35" s="406" t="s">
        <v>8043</v>
      </c>
      <c r="K35" s="408" t="s">
        <v>8342</v>
      </c>
      <c r="L35" s="406" t="s">
        <v>8299</v>
      </c>
      <c r="M35" s="406" t="s">
        <v>8238</v>
      </c>
      <c r="N35" s="406" t="s">
        <v>8373</v>
      </c>
      <c r="O35" s="406" t="s">
        <v>8374</v>
      </c>
      <c r="P35" s="406" t="s">
        <v>8375</v>
      </c>
      <c r="Q35" s="406" t="s">
        <v>1313</v>
      </c>
      <c r="R35" s="407" t="s">
        <v>8376</v>
      </c>
    </row>
    <row r="36" spans="1:18" ht="31.65" customHeight="1">
      <c r="A36" s="406" t="s">
        <v>6062</v>
      </c>
      <c r="B36" s="406" t="s">
        <v>8228</v>
      </c>
      <c r="C36" s="406" t="s">
        <v>2195</v>
      </c>
      <c r="D36" s="406" t="s">
        <v>8239</v>
      </c>
      <c r="E36" s="406" t="s">
        <v>6196</v>
      </c>
      <c r="F36" s="406" t="s">
        <v>8377</v>
      </c>
      <c r="G36" s="406" t="s">
        <v>8378</v>
      </c>
      <c r="H36" s="408" t="s">
        <v>8379</v>
      </c>
      <c r="I36" s="406" t="s">
        <v>8258</v>
      </c>
      <c r="J36" s="406" t="s">
        <v>8016</v>
      </c>
      <c r="K36" s="408" t="s">
        <v>8380</v>
      </c>
      <c r="L36" s="409" t="s">
        <v>8299</v>
      </c>
      <c r="M36" s="406" t="s">
        <v>8238</v>
      </c>
      <c r="N36" s="406" t="s">
        <v>8367</v>
      </c>
      <c r="O36" s="406" t="s">
        <v>8300</v>
      </c>
      <c r="P36" s="406" t="s">
        <v>8236</v>
      </c>
      <c r="Q36" s="406" t="s">
        <v>1313</v>
      </c>
      <c r="R36" s="407" t="s">
        <v>8381</v>
      </c>
    </row>
    <row r="37" spans="1:18" ht="31.65" customHeight="1">
      <c r="A37" s="406" t="s">
        <v>6062</v>
      </c>
      <c r="B37" s="406" t="s">
        <v>8228</v>
      </c>
      <c r="C37" s="406" t="s">
        <v>2195</v>
      </c>
      <c r="D37" s="406" t="s">
        <v>8229</v>
      </c>
      <c r="E37" s="406" t="s">
        <v>6104</v>
      </c>
      <c r="F37" s="406" t="s">
        <v>8382</v>
      </c>
      <c r="G37" s="406" t="s">
        <v>8383</v>
      </c>
      <c r="H37" s="408" t="s">
        <v>8276</v>
      </c>
      <c r="I37" s="406" t="s">
        <v>8258</v>
      </c>
      <c r="J37" s="406" t="s">
        <v>8172</v>
      </c>
      <c r="K37" s="408" t="s">
        <v>8384</v>
      </c>
      <c r="L37" s="406" t="s">
        <v>8236</v>
      </c>
      <c r="M37" s="406" t="s">
        <v>8238</v>
      </c>
      <c r="N37" s="406" t="s">
        <v>8239</v>
      </c>
      <c r="O37" s="406" t="s">
        <v>8292</v>
      </c>
      <c r="P37" s="406" t="s">
        <v>8375</v>
      </c>
      <c r="Q37" s="406" t="s">
        <v>1313</v>
      </c>
      <c r="R37" s="407" t="s">
        <v>8236</v>
      </c>
    </row>
    <row r="38" spans="1:18" ht="31.65" customHeight="1">
      <c r="A38" s="406" t="s">
        <v>6062</v>
      </c>
      <c r="B38" s="406" t="s">
        <v>8228</v>
      </c>
      <c r="C38" s="406" t="s">
        <v>2195</v>
      </c>
      <c r="D38" s="406" t="s">
        <v>8229</v>
      </c>
      <c r="E38" s="406" t="s">
        <v>8000</v>
      </c>
      <c r="F38" s="406" t="s">
        <v>8385</v>
      </c>
      <c r="G38" s="406" t="s">
        <v>8386</v>
      </c>
      <c r="H38" s="408" t="s">
        <v>8276</v>
      </c>
      <c r="I38" s="406" t="s">
        <v>8258</v>
      </c>
      <c r="J38" s="406" t="s">
        <v>7999</v>
      </c>
      <c r="K38" s="408" t="s">
        <v>8236</v>
      </c>
      <c r="L38" s="406" t="s">
        <v>8236</v>
      </c>
      <c r="M38" s="406" t="s">
        <v>8238</v>
      </c>
      <c r="N38" s="406" t="s">
        <v>8239</v>
      </c>
      <c r="O38" s="406" t="s">
        <v>8249</v>
      </c>
      <c r="P38" s="406" t="s">
        <v>8305</v>
      </c>
      <c r="Q38" s="406" t="s">
        <v>1313</v>
      </c>
      <c r="R38" s="407" t="s">
        <v>8236</v>
      </c>
    </row>
    <row r="39" spans="1:18" ht="31.65" customHeight="1">
      <c r="A39" s="406" t="s">
        <v>6062</v>
      </c>
      <c r="B39" s="406" t="s">
        <v>8228</v>
      </c>
      <c r="C39" s="406" t="s">
        <v>2195</v>
      </c>
      <c r="D39" s="406" t="s">
        <v>8229</v>
      </c>
      <c r="E39" s="406" t="s">
        <v>8150</v>
      </c>
      <c r="F39" s="406" t="s">
        <v>8387</v>
      </c>
      <c r="G39" s="406" t="s">
        <v>8388</v>
      </c>
      <c r="H39" s="408" t="s">
        <v>8276</v>
      </c>
      <c r="I39" s="406" t="s">
        <v>8258</v>
      </c>
      <c r="J39" s="406" t="s">
        <v>8152</v>
      </c>
      <c r="K39" s="408" t="s">
        <v>8265</v>
      </c>
      <c r="L39" s="406" t="s">
        <v>8236</v>
      </c>
      <c r="M39" s="406" t="s">
        <v>8238</v>
      </c>
      <c r="N39" s="406" t="s">
        <v>8239</v>
      </c>
      <c r="O39" s="406" t="s">
        <v>8389</v>
      </c>
      <c r="P39" s="406" t="s">
        <v>8375</v>
      </c>
      <c r="Q39" s="406" t="s">
        <v>1313</v>
      </c>
      <c r="R39" s="407" t="s">
        <v>8236</v>
      </c>
    </row>
    <row r="40" spans="1:18" ht="31.65" customHeight="1">
      <c r="A40" s="406" t="s">
        <v>6062</v>
      </c>
      <c r="B40" s="406" t="s">
        <v>8228</v>
      </c>
      <c r="C40" s="406" t="s">
        <v>2195</v>
      </c>
      <c r="D40" s="406" t="s">
        <v>8229</v>
      </c>
      <c r="E40" s="406" t="s">
        <v>7997</v>
      </c>
      <c r="F40" s="406" t="s">
        <v>8390</v>
      </c>
      <c r="G40" s="406" t="s">
        <v>8391</v>
      </c>
      <c r="H40" s="408" t="s">
        <v>8276</v>
      </c>
      <c r="I40" s="406" t="s">
        <v>8258</v>
      </c>
      <c r="J40" s="406" t="s">
        <v>7999</v>
      </c>
      <c r="K40" s="408" t="s">
        <v>8236</v>
      </c>
      <c r="L40" s="406" t="s">
        <v>8236</v>
      </c>
      <c r="M40" s="406" t="s">
        <v>8238</v>
      </c>
      <c r="N40" s="406" t="s">
        <v>8239</v>
      </c>
      <c r="O40" s="406" t="s">
        <v>8249</v>
      </c>
      <c r="P40" s="406" t="s">
        <v>8375</v>
      </c>
      <c r="Q40" s="406" t="s">
        <v>1313</v>
      </c>
      <c r="R40" s="407" t="s">
        <v>8236</v>
      </c>
    </row>
    <row r="41" spans="1:18" ht="31.65" customHeight="1">
      <c r="A41" s="406" t="s">
        <v>6062</v>
      </c>
      <c r="B41" s="406" t="s">
        <v>8228</v>
      </c>
      <c r="C41" s="406" t="s">
        <v>2195</v>
      </c>
      <c r="D41" s="406" t="s">
        <v>8229</v>
      </c>
      <c r="E41" s="406" t="s">
        <v>8160</v>
      </c>
      <c r="F41" s="406" t="s">
        <v>8392</v>
      </c>
      <c r="G41" s="406" t="s">
        <v>8393</v>
      </c>
      <c r="H41" s="408" t="s">
        <v>8276</v>
      </c>
      <c r="I41" s="406" t="s">
        <v>8258</v>
      </c>
      <c r="J41" s="406" t="s">
        <v>8162</v>
      </c>
      <c r="K41" s="408" t="s">
        <v>8266</v>
      </c>
      <c r="L41" s="406" t="s">
        <v>8236</v>
      </c>
      <c r="M41" s="406" t="s">
        <v>8238</v>
      </c>
      <c r="N41" s="406" t="s">
        <v>8239</v>
      </c>
      <c r="O41" s="406" t="s">
        <v>8309</v>
      </c>
      <c r="P41" s="406" t="s">
        <v>8375</v>
      </c>
      <c r="Q41" s="406" t="s">
        <v>1313</v>
      </c>
      <c r="R41" s="407" t="s">
        <v>8236</v>
      </c>
    </row>
    <row r="42" spans="1:18" ht="31.65" customHeight="1">
      <c r="A42" s="406" t="s">
        <v>6062</v>
      </c>
      <c r="B42" s="406" t="s">
        <v>8228</v>
      </c>
      <c r="C42" s="406" t="s">
        <v>2195</v>
      </c>
      <c r="D42" s="406" t="s">
        <v>8229</v>
      </c>
      <c r="E42" s="406" t="s">
        <v>8181</v>
      </c>
      <c r="F42" s="406" t="s">
        <v>8394</v>
      </c>
      <c r="G42" s="406" t="s">
        <v>8395</v>
      </c>
      <c r="H42" s="408" t="s">
        <v>8249</v>
      </c>
      <c r="I42" s="406" t="s">
        <v>8258</v>
      </c>
      <c r="J42" s="406" t="s">
        <v>8183</v>
      </c>
      <c r="K42" s="408" t="s">
        <v>8384</v>
      </c>
      <c r="L42" s="406" t="s">
        <v>8236</v>
      </c>
      <c r="M42" s="406" t="s">
        <v>8238</v>
      </c>
      <c r="N42" s="406" t="s">
        <v>8239</v>
      </c>
      <c r="O42" s="406" t="s">
        <v>8389</v>
      </c>
      <c r="P42" s="406" t="s">
        <v>8375</v>
      </c>
      <c r="Q42" s="406" t="s">
        <v>1313</v>
      </c>
      <c r="R42" s="407" t="s">
        <v>8236</v>
      </c>
    </row>
    <row r="43" spans="1:18" ht="31.65" customHeight="1">
      <c r="A43" s="406" t="s">
        <v>6062</v>
      </c>
      <c r="B43" s="406" t="s">
        <v>8228</v>
      </c>
      <c r="C43" s="406" t="s">
        <v>2195</v>
      </c>
      <c r="D43" s="406" t="s">
        <v>8229</v>
      </c>
      <c r="E43" s="406" t="s">
        <v>8191</v>
      </c>
      <c r="F43" s="406" t="s">
        <v>8396</v>
      </c>
      <c r="G43" s="406" t="s">
        <v>8397</v>
      </c>
      <c r="H43" s="408" t="s">
        <v>8249</v>
      </c>
      <c r="I43" s="406" t="s">
        <v>8258</v>
      </c>
      <c r="J43" s="406" t="s">
        <v>8193</v>
      </c>
      <c r="K43" s="408" t="s">
        <v>8384</v>
      </c>
      <c r="L43" s="406" t="s">
        <v>8236</v>
      </c>
      <c r="M43" s="406" t="s">
        <v>8238</v>
      </c>
      <c r="N43" s="406" t="s">
        <v>8239</v>
      </c>
      <c r="O43" s="406" t="s">
        <v>8389</v>
      </c>
      <c r="P43" s="406" t="s">
        <v>8375</v>
      </c>
      <c r="Q43" s="406" t="s">
        <v>1313</v>
      </c>
      <c r="R43" s="407" t="s">
        <v>8236</v>
      </c>
    </row>
    <row r="44" spans="1:18" ht="31.65" customHeight="1">
      <c r="A44" s="406" t="s">
        <v>6062</v>
      </c>
      <c r="B44" s="406" t="s">
        <v>8228</v>
      </c>
      <c r="C44" s="406" t="s">
        <v>2195</v>
      </c>
      <c r="D44" s="406" t="s">
        <v>8229</v>
      </c>
      <c r="E44" s="406" t="s">
        <v>8173</v>
      </c>
      <c r="F44" s="406" t="s">
        <v>8398</v>
      </c>
      <c r="G44" s="406" t="s">
        <v>8399</v>
      </c>
      <c r="H44" s="408" t="s">
        <v>8249</v>
      </c>
      <c r="I44" s="406" t="s">
        <v>8258</v>
      </c>
      <c r="J44" s="406" t="s">
        <v>8175</v>
      </c>
      <c r="K44" s="408" t="s">
        <v>8384</v>
      </c>
      <c r="L44" s="406" t="s">
        <v>8236</v>
      </c>
      <c r="M44" s="406" t="s">
        <v>8238</v>
      </c>
      <c r="N44" s="406" t="s">
        <v>8239</v>
      </c>
      <c r="O44" s="406" t="s">
        <v>8400</v>
      </c>
      <c r="P44" s="406" t="s">
        <v>8375</v>
      </c>
      <c r="Q44" s="406" t="s">
        <v>1313</v>
      </c>
      <c r="R44" s="407" t="s">
        <v>8236</v>
      </c>
    </row>
    <row r="45" spans="1:18" ht="31.65" customHeight="1">
      <c r="A45" s="406" t="s">
        <v>6062</v>
      </c>
      <c r="B45" s="406" t="s">
        <v>8228</v>
      </c>
      <c r="C45" s="406" t="s">
        <v>2195</v>
      </c>
      <c r="D45" s="406" t="s">
        <v>8229</v>
      </c>
      <c r="E45" s="406" t="s">
        <v>8163</v>
      </c>
      <c r="F45" s="406" t="s">
        <v>8401</v>
      </c>
      <c r="G45" s="406" t="s">
        <v>8402</v>
      </c>
      <c r="H45" s="408" t="s">
        <v>8249</v>
      </c>
      <c r="I45" s="406" t="s">
        <v>8258</v>
      </c>
      <c r="J45" s="406" t="s">
        <v>8165</v>
      </c>
      <c r="K45" s="408" t="s">
        <v>8266</v>
      </c>
      <c r="L45" s="406" t="s">
        <v>8236</v>
      </c>
      <c r="M45" s="406" t="s">
        <v>8238</v>
      </c>
      <c r="N45" s="406" t="s">
        <v>8239</v>
      </c>
      <c r="O45" s="406" t="s">
        <v>8403</v>
      </c>
      <c r="P45" s="406" t="s">
        <v>8375</v>
      </c>
      <c r="Q45" s="406" t="s">
        <v>1313</v>
      </c>
      <c r="R45" s="407" t="s">
        <v>8236</v>
      </c>
    </row>
    <row r="46" spans="1:18" ht="31.65" customHeight="1">
      <c r="A46" s="406" t="s">
        <v>6062</v>
      </c>
      <c r="B46" s="406" t="s">
        <v>8228</v>
      </c>
      <c r="C46" s="406" t="s">
        <v>2195</v>
      </c>
      <c r="D46" s="406" t="s">
        <v>8229</v>
      </c>
      <c r="E46" s="406" t="s">
        <v>6343</v>
      </c>
      <c r="F46" s="406" t="s">
        <v>8404</v>
      </c>
      <c r="G46" s="406" t="s">
        <v>8405</v>
      </c>
      <c r="H46" s="408" t="s">
        <v>8249</v>
      </c>
      <c r="I46" s="406" t="s">
        <v>8258</v>
      </c>
      <c r="J46" s="406" t="s">
        <v>8157</v>
      </c>
      <c r="K46" s="408" t="s">
        <v>8266</v>
      </c>
      <c r="L46" s="406" t="s">
        <v>8236</v>
      </c>
      <c r="M46" s="406" t="s">
        <v>8238</v>
      </c>
      <c r="N46" s="406" t="s">
        <v>8239</v>
      </c>
      <c r="O46" s="406" t="s">
        <v>8406</v>
      </c>
      <c r="P46" s="406" t="s">
        <v>8375</v>
      </c>
      <c r="Q46" s="406" t="s">
        <v>1313</v>
      </c>
      <c r="R46" s="407" t="s">
        <v>8236</v>
      </c>
    </row>
    <row r="47" spans="1:18" ht="31.65" customHeight="1">
      <c r="A47" s="406" t="s">
        <v>6062</v>
      </c>
      <c r="B47" s="406" t="s">
        <v>8228</v>
      </c>
      <c r="C47" s="406" t="s">
        <v>2195</v>
      </c>
      <c r="D47" s="406" t="s">
        <v>8229</v>
      </c>
      <c r="E47" s="406" t="s">
        <v>8178</v>
      </c>
      <c r="F47" s="406" t="s">
        <v>8407</v>
      </c>
      <c r="G47" s="406" t="s">
        <v>8408</v>
      </c>
      <c r="H47" s="408" t="s">
        <v>8409</v>
      </c>
      <c r="I47" s="406" t="s">
        <v>8258</v>
      </c>
      <c r="J47" s="406" t="s">
        <v>8180</v>
      </c>
      <c r="K47" s="408" t="s">
        <v>8384</v>
      </c>
      <c r="L47" s="406" t="s">
        <v>8236</v>
      </c>
      <c r="M47" s="406" t="s">
        <v>8238</v>
      </c>
      <c r="N47" s="406" t="s">
        <v>8239</v>
      </c>
      <c r="O47" s="406" t="s">
        <v>8410</v>
      </c>
      <c r="P47" s="406" t="s">
        <v>8375</v>
      </c>
      <c r="Q47" s="406" t="s">
        <v>1313</v>
      </c>
      <c r="R47" s="407" t="s">
        <v>8236</v>
      </c>
    </row>
    <row r="48" spans="1:18" ht="31.65" customHeight="1">
      <c r="A48" s="406" t="s">
        <v>6062</v>
      </c>
      <c r="B48" s="406" t="s">
        <v>8228</v>
      </c>
      <c r="C48" s="406" t="s">
        <v>2195</v>
      </c>
      <c r="D48" s="406" t="s">
        <v>8229</v>
      </c>
      <c r="E48" s="406" t="s">
        <v>8184</v>
      </c>
      <c r="F48" s="406" t="s">
        <v>8411</v>
      </c>
      <c r="G48" s="406" t="s">
        <v>8412</v>
      </c>
      <c r="H48" s="408" t="s">
        <v>8409</v>
      </c>
      <c r="I48" s="406" t="s">
        <v>8258</v>
      </c>
      <c r="J48" s="406" t="s">
        <v>8186</v>
      </c>
      <c r="K48" s="408" t="s">
        <v>8384</v>
      </c>
      <c r="L48" s="406" t="s">
        <v>8236</v>
      </c>
      <c r="M48" s="406" t="s">
        <v>8238</v>
      </c>
      <c r="N48" s="406" t="s">
        <v>8239</v>
      </c>
      <c r="O48" s="406" t="s">
        <v>8389</v>
      </c>
      <c r="P48" s="406" t="s">
        <v>8375</v>
      </c>
      <c r="Q48" s="406" t="s">
        <v>1313</v>
      </c>
      <c r="R48" s="407" t="s">
        <v>8236</v>
      </c>
    </row>
    <row r="49" spans="1:18" ht="31.65" customHeight="1">
      <c r="A49" s="406" t="s">
        <v>6062</v>
      </c>
      <c r="B49" s="406" t="s">
        <v>8228</v>
      </c>
      <c r="C49" s="406" t="s">
        <v>2195</v>
      </c>
      <c r="D49" s="406" t="s">
        <v>8229</v>
      </c>
      <c r="E49" s="406" t="s">
        <v>8020</v>
      </c>
      <c r="F49" s="406" t="s">
        <v>8413</v>
      </c>
      <c r="G49" s="406" t="s">
        <v>8286</v>
      </c>
      <c r="H49" s="408" t="s">
        <v>8400</v>
      </c>
      <c r="I49" s="406" t="s">
        <v>8258</v>
      </c>
      <c r="J49" s="406" t="s">
        <v>8199</v>
      </c>
      <c r="K49" s="408" t="s">
        <v>8271</v>
      </c>
      <c r="L49" s="406" t="s">
        <v>8236</v>
      </c>
      <c r="M49" s="406" t="s">
        <v>8238</v>
      </c>
      <c r="N49" s="406" t="s">
        <v>8239</v>
      </c>
      <c r="O49" s="406" t="s">
        <v>8252</v>
      </c>
      <c r="P49" s="406" t="s">
        <v>8414</v>
      </c>
      <c r="Q49" s="406" t="s">
        <v>1313</v>
      </c>
      <c r="R49" s="407" t="s">
        <v>8236</v>
      </c>
    </row>
    <row r="50" spans="1:18" ht="31.65" customHeight="1">
      <c r="A50" s="406" t="s">
        <v>6062</v>
      </c>
      <c r="B50" s="406" t="s">
        <v>8228</v>
      </c>
      <c r="C50" s="406" t="s">
        <v>2195</v>
      </c>
      <c r="D50" s="406" t="s">
        <v>8229</v>
      </c>
      <c r="E50" s="406" t="s">
        <v>8041</v>
      </c>
      <c r="F50" s="406" t="s">
        <v>8415</v>
      </c>
      <c r="G50" s="406" t="s">
        <v>8416</v>
      </c>
      <c r="H50" s="408" t="s">
        <v>8400</v>
      </c>
      <c r="I50" s="406" t="s">
        <v>8258</v>
      </c>
      <c r="J50" s="406" t="s">
        <v>8194</v>
      </c>
      <c r="K50" s="408" t="s">
        <v>8271</v>
      </c>
      <c r="L50" s="406" t="s">
        <v>8236</v>
      </c>
      <c r="M50" s="406" t="s">
        <v>8238</v>
      </c>
      <c r="N50" s="406" t="s">
        <v>8239</v>
      </c>
      <c r="O50" s="406" t="s">
        <v>8417</v>
      </c>
      <c r="P50" s="406" t="s">
        <v>8375</v>
      </c>
      <c r="Q50" s="406" t="s">
        <v>1313</v>
      </c>
      <c r="R50" s="407" t="s">
        <v>8236</v>
      </c>
    </row>
    <row r="51" spans="1:18" ht="31.65" customHeight="1">
      <c r="A51" s="406" t="s">
        <v>6062</v>
      </c>
      <c r="B51" s="406" t="s">
        <v>8228</v>
      </c>
      <c r="C51" s="406" t="s">
        <v>2195</v>
      </c>
      <c r="D51" s="406" t="s">
        <v>8229</v>
      </c>
      <c r="E51" s="406" t="s">
        <v>8195</v>
      </c>
      <c r="F51" s="406" t="s">
        <v>8418</v>
      </c>
      <c r="G51" s="406" t="s">
        <v>8419</v>
      </c>
      <c r="H51" s="408" t="s">
        <v>8400</v>
      </c>
      <c r="I51" s="406" t="s">
        <v>8258</v>
      </c>
      <c r="J51" s="406" t="s">
        <v>8197</v>
      </c>
      <c r="K51" s="408" t="s">
        <v>8271</v>
      </c>
      <c r="L51" s="406" t="s">
        <v>8236</v>
      </c>
      <c r="M51" s="406" t="s">
        <v>8238</v>
      </c>
      <c r="N51" s="406" t="s">
        <v>8239</v>
      </c>
      <c r="O51" s="406" t="s">
        <v>8420</v>
      </c>
      <c r="P51" s="406" t="s">
        <v>8375</v>
      </c>
      <c r="Q51" s="406" t="s">
        <v>1313</v>
      </c>
      <c r="R51" s="407" t="s">
        <v>8236</v>
      </c>
    </row>
    <row r="52" spans="1:18" ht="31.65" customHeight="1">
      <c r="A52" s="406" t="s">
        <v>6062</v>
      </c>
      <c r="B52" s="406" t="s">
        <v>8228</v>
      </c>
      <c r="C52" s="406" t="s">
        <v>2195</v>
      </c>
      <c r="D52" s="406" t="s">
        <v>8229</v>
      </c>
      <c r="E52" s="406" t="s">
        <v>7990</v>
      </c>
      <c r="F52" s="406" t="s">
        <v>8421</v>
      </c>
      <c r="G52" s="406" t="s">
        <v>8422</v>
      </c>
      <c r="H52" s="408" t="s">
        <v>8281</v>
      </c>
      <c r="I52" s="406" t="s">
        <v>8258</v>
      </c>
      <c r="J52" s="406" t="s">
        <v>7992</v>
      </c>
      <c r="K52" s="408" t="s">
        <v>8236</v>
      </c>
      <c r="L52" s="406" t="s">
        <v>8236</v>
      </c>
      <c r="M52" s="406" t="s">
        <v>8238</v>
      </c>
      <c r="N52" s="406" t="s">
        <v>8239</v>
      </c>
      <c r="O52" s="406" t="s">
        <v>8389</v>
      </c>
      <c r="P52" s="406" t="s">
        <v>8375</v>
      </c>
      <c r="Q52" s="406" t="s">
        <v>1313</v>
      </c>
      <c r="R52" s="407" t="s">
        <v>8236</v>
      </c>
    </row>
    <row r="53" spans="1:18" ht="31.65" customHeight="1">
      <c r="A53" s="406" t="s">
        <v>6062</v>
      </c>
      <c r="B53" s="406" t="s">
        <v>8228</v>
      </c>
      <c r="C53" s="406" t="s">
        <v>2195</v>
      </c>
      <c r="D53" s="406" t="s">
        <v>8229</v>
      </c>
      <c r="E53" s="406" t="s">
        <v>8035</v>
      </c>
      <c r="F53" s="406" t="s">
        <v>8423</v>
      </c>
      <c r="G53" s="406" t="s">
        <v>8424</v>
      </c>
      <c r="H53" s="408" t="s">
        <v>8323</v>
      </c>
      <c r="I53" s="406" t="s">
        <v>8258</v>
      </c>
      <c r="J53" s="406" t="s">
        <v>8037</v>
      </c>
      <c r="K53" s="408" t="s">
        <v>8342</v>
      </c>
      <c r="L53" s="406" t="s">
        <v>8236</v>
      </c>
      <c r="M53" s="406" t="s">
        <v>8238</v>
      </c>
      <c r="N53" s="406" t="s">
        <v>8239</v>
      </c>
      <c r="O53" s="406" t="s">
        <v>8425</v>
      </c>
      <c r="P53" s="406" t="s">
        <v>8305</v>
      </c>
      <c r="Q53" s="406" t="s">
        <v>1313</v>
      </c>
      <c r="R53" s="407" t="s">
        <v>8426</v>
      </c>
    </row>
    <row r="54" spans="1:18" ht="31.65" customHeight="1">
      <c r="A54" s="406" t="s">
        <v>6062</v>
      </c>
      <c r="B54" s="406" t="s">
        <v>8228</v>
      </c>
      <c r="C54" s="406" t="s">
        <v>2195</v>
      </c>
      <c r="D54" s="406" t="s">
        <v>8229</v>
      </c>
      <c r="E54" s="406" t="s">
        <v>8017</v>
      </c>
      <c r="F54" s="406" t="s">
        <v>8427</v>
      </c>
      <c r="G54" s="406" t="s">
        <v>8428</v>
      </c>
      <c r="H54" s="408" t="s">
        <v>8323</v>
      </c>
      <c r="I54" s="406" t="s">
        <v>8258</v>
      </c>
      <c r="J54" s="406" t="s">
        <v>8019</v>
      </c>
      <c r="K54" s="408" t="s">
        <v>8287</v>
      </c>
      <c r="L54" s="406" t="s">
        <v>8236</v>
      </c>
      <c r="M54" s="406" t="s">
        <v>8238</v>
      </c>
      <c r="N54" s="406" t="s">
        <v>8239</v>
      </c>
      <c r="O54" s="406" t="s">
        <v>8287</v>
      </c>
      <c r="P54" s="406" t="s">
        <v>8305</v>
      </c>
      <c r="Q54" s="406" t="s">
        <v>1313</v>
      </c>
      <c r="R54" s="407" t="s">
        <v>8429</v>
      </c>
    </row>
    <row r="55" spans="1:18" ht="31.65" customHeight="1">
      <c r="A55" s="406" t="s">
        <v>6062</v>
      </c>
      <c r="B55" s="406" t="s">
        <v>8228</v>
      </c>
      <c r="C55" s="406" t="s">
        <v>2195</v>
      </c>
      <c r="D55" s="406" t="s">
        <v>8229</v>
      </c>
      <c r="E55" s="406" t="s">
        <v>8046</v>
      </c>
      <c r="F55" s="406" t="s">
        <v>8430</v>
      </c>
      <c r="G55" s="406" t="s">
        <v>8431</v>
      </c>
      <c r="H55" s="408" t="s">
        <v>8292</v>
      </c>
      <c r="I55" s="406" t="s">
        <v>8258</v>
      </c>
      <c r="J55" s="406" t="s">
        <v>8048</v>
      </c>
      <c r="K55" s="408" t="s">
        <v>8342</v>
      </c>
      <c r="L55" s="406" t="s">
        <v>8236</v>
      </c>
      <c r="M55" s="406" t="s">
        <v>8238</v>
      </c>
      <c r="N55" s="406" t="s">
        <v>8239</v>
      </c>
      <c r="O55" s="406" t="s">
        <v>8425</v>
      </c>
      <c r="P55" s="406" t="s">
        <v>8305</v>
      </c>
      <c r="Q55" s="406" t="s">
        <v>1313</v>
      </c>
      <c r="R55" s="407" t="s">
        <v>8426</v>
      </c>
    </row>
    <row r="56" spans="1:18" ht="31.65" customHeight="1">
      <c r="A56" s="406" t="s">
        <v>6062</v>
      </c>
      <c r="B56" s="406" t="s">
        <v>8228</v>
      </c>
      <c r="C56" s="406" t="s">
        <v>2195</v>
      </c>
      <c r="D56" s="406" t="s">
        <v>8229</v>
      </c>
      <c r="E56" s="406" t="s">
        <v>5768</v>
      </c>
      <c r="F56" s="406" t="s">
        <v>8432</v>
      </c>
      <c r="G56" s="406" t="s">
        <v>8433</v>
      </c>
      <c r="H56" s="408" t="s">
        <v>8379</v>
      </c>
      <c r="I56" s="406" t="s">
        <v>8258</v>
      </c>
      <c r="J56" s="406" t="s">
        <v>8012</v>
      </c>
      <c r="K56" s="408" t="s">
        <v>8380</v>
      </c>
      <c r="L56" s="406" t="s">
        <v>8236</v>
      </c>
      <c r="M56" s="406" t="s">
        <v>8238</v>
      </c>
      <c r="N56" s="406" t="s">
        <v>8239</v>
      </c>
      <c r="O56" s="406" t="s">
        <v>8351</v>
      </c>
      <c r="P56" s="406" t="s">
        <v>8305</v>
      </c>
      <c r="Q56" s="406" t="s">
        <v>1313</v>
      </c>
      <c r="R56" s="407" t="s">
        <v>8236</v>
      </c>
    </row>
    <row r="57" spans="1:18" ht="31.65" customHeight="1">
      <c r="A57" s="406" t="s">
        <v>6062</v>
      </c>
      <c r="B57" s="406" t="s">
        <v>8228</v>
      </c>
      <c r="C57" s="406" t="s">
        <v>2195</v>
      </c>
      <c r="D57" s="406" t="s">
        <v>8229</v>
      </c>
      <c r="E57" s="406" t="s">
        <v>5906</v>
      </c>
      <c r="F57" s="406" t="s">
        <v>8434</v>
      </c>
      <c r="G57" s="406" t="s">
        <v>8435</v>
      </c>
      <c r="H57" s="408" t="s">
        <v>8297</v>
      </c>
      <c r="I57" s="406" t="s">
        <v>8258</v>
      </c>
      <c r="J57" s="406" t="s">
        <v>8209</v>
      </c>
      <c r="K57" s="408" t="s">
        <v>8360</v>
      </c>
      <c r="L57" s="406" t="s">
        <v>8235</v>
      </c>
      <c r="M57" s="406" t="s">
        <v>8238</v>
      </c>
      <c r="N57" s="406" t="s">
        <v>8239</v>
      </c>
      <c r="O57" s="406" t="s">
        <v>8436</v>
      </c>
      <c r="P57" s="406" t="s">
        <v>8414</v>
      </c>
      <c r="Q57" s="406" t="s">
        <v>1313</v>
      </c>
      <c r="R57" s="407" t="s">
        <v>8437</v>
      </c>
    </row>
    <row r="58" spans="1:18" ht="31.65" customHeight="1">
      <c r="A58" s="406" t="s">
        <v>6062</v>
      </c>
      <c r="B58" s="406" t="s">
        <v>8228</v>
      </c>
      <c r="C58" s="406" t="s">
        <v>2195</v>
      </c>
      <c r="D58" s="406" t="s">
        <v>8229</v>
      </c>
      <c r="E58" s="406" t="s">
        <v>6174</v>
      </c>
      <c r="F58" s="406" t="s">
        <v>8438</v>
      </c>
      <c r="G58" s="406" t="s">
        <v>8439</v>
      </c>
      <c r="H58" s="408" t="s">
        <v>8297</v>
      </c>
      <c r="I58" s="406" t="s">
        <v>8258</v>
      </c>
      <c r="J58" s="406" t="s">
        <v>8204</v>
      </c>
      <c r="K58" s="408" t="s">
        <v>8360</v>
      </c>
      <c r="L58" s="406" t="s">
        <v>8235</v>
      </c>
      <c r="M58" s="406" t="s">
        <v>8238</v>
      </c>
      <c r="N58" s="406" t="s">
        <v>8239</v>
      </c>
      <c r="O58" s="406" t="s">
        <v>8436</v>
      </c>
      <c r="P58" s="406" t="s">
        <v>8414</v>
      </c>
      <c r="Q58" s="406" t="s">
        <v>1313</v>
      </c>
      <c r="R58" s="407" t="s">
        <v>8440</v>
      </c>
    </row>
    <row r="59" spans="1:18" ht="31.65" customHeight="1">
      <c r="A59" s="406" t="s">
        <v>6062</v>
      </c>
      <c r="B59" s="406" t="s">
        <v>8228</v>
      </c>
      <c r="C59" s="406" t="s">
        <v>2195</v>
      </c>
      <c r="D59" s="406" t="s">
        <v>8229</v>
      </c>
      <c r="E59" s="406" t="s">
        <v>6337</v>
      </c>
      <c r="F59" s="406" t="s">
        <v>8441</v>
      </c>
      <c r="G59" s="406" t="s">
        <v>8442</v>
      </c>
      <c r="H59" s="408" t="s">
        <v>8233</v>
      </c>
      <c r="I59" s="406" t="s">
        <v>8258</v>
      </c>
      <c r="J59" s="406" t="s">
        <v>8082</v>
      </c>
      <c r="K59" s="408" t="s">
        <v>8298</v>
      </c>
      <c r="L59" s="406" t="s">
        <v>8235</v>
      </c>
      <c r="M59" s="406" t="s">
        <v>8238</v>
      </c>
      <c r="N59" s="406" t="s">
        <v>8239</v>
      </c>
      <c r="O59" s="406" t="s">
        <v>8249</v>
      </c>
      <c r="P59" s="406" t="s">
        <v>8414</v>
      </c>
      <c r="Q59" s="406" t="s">
        <v>1313</v>
      </c>
      <c r="R59" s="407" t="s">
        <v>8236</v>
      </c>
    </row>
    <row r="60" spans="1:18" ht="31.65" customHeight="1">
      <c r="A60" s="406" t="s">
        <v>6062</v>
      </c>
      <c r="B60" s="406" t="s">
        <v>8228</v>
      </c>
      <c r="C60" s="406" t="s">
        <v>2195</v>
      </c>
      <c r="D60" s="406" t="s">
        <v>8229</v>
      </c>
      <c r="E60" s="406" t="s">
        <v>8083</v>
      </c>
      <c r="F60" s="406" t="s">
        <v>8443</v>
      </c>
      <c r="G60" s="406" t="s">
        <v>8444</v>
      </c>
      <c r="H60" s="408" t="s">
        <v>8233</v>
      </c>
      <c r="I60" s="406" t="s">
        <v>8258</v>
      </c>
      <c r="J60" s="406" t="s">
        <v>8085</v>
      </c>
      <c r="K60" s="408" t="s">
        <v>8298</v>
      </c>
      <c r="L60" s="406" t="s">
        <v>8235</v>
      </c>
      <c r="M60" s="406" t="s">
        <v>8238</v>
      </c>
      <c r="N60" s="406" t="s">
        <v>8239</v>
      </c>
      <c r="O60" s="406" t="s">
        <v>8249</v>
      </c>
      <c r="P60" s="406" t="s">
        <v>8414</v>
      </c>
      <c r="Q60" s="406" t="s">
        <v>1313</v>
      </c>
      <c r="R60" s="407" t="s">
        <v>8236</v>
      </c>
    </row>
    <row r="61" spans="1:18" ht="31.65" customHeight="1">
      <c r="A61" s="406" t="s">
        <v>6062</v>
      </c>
      <c r="B61" s="406" t="s">
        <v>8228</v>
      </c>
      <c r="C61" s="406" t="s">
        <v>2195</v>
      </c>
      <c r="D61" s="406" t="s">
        <v>8229</v>
      </c>
      <c r="E61" s="406" t="s">
        <v>7874</v>
      </c>
      <c r="F61" s="406" t="s">
        <v>8445</v>
      </c>
      <c r="G61" s="406" t="s">
        <v>8446</v>
      </c>
      <c r="H61" s="408" t="s">
        <v>8233</v>
      </c>
      <c r="I61" s="406" t="s">
        <v>8258</v>
      </c>
      <c r="J61" s="406" t="s">
        <v>8078</v>
      </c>
      <c r="K61" s="408" t="s">
        <v>8298</v>
      </c>
      <c r="L61" s="406" t="s">
        <v>8235</v>
      </c>
      <c r="M61" s="406" t="s">
        <v>8238</v>
      </c>
      <c r="N61" s="406" t="s">
        <v>8239</v>
      </c>
      <c r="O61" s="406" t="s">
        <v>8270</v>
      </c>
      <c r="P61" s="406" t="s">
        <v>8414</v>
      </c>
      <c r="Q61" s="406" t="s">
        <v>1313</v>
      </c>
      <c r="R61" s="407" t="s">
        <v>8236</v>
      </c>
    </row>
    <row r="62" spans="1:18" ht="31.65" customHeight="1">
      <c r="A62" s="406" t="s">
        <v>6062</v>
      </c>
      <c r="B62" s="406" t="s">
        <v>8228</v>
      </c>
      <c r="C62" s="406" t="s">
        <v>2195</v>
      </c>
      <c r="D62" s="406" t="s">
        <v>8229</v>
      </c>
      <c r="E62" s="406" t="s">
        <v>7567</v>
      </c>
      <c r="F62" s="406" t="s">
        <v>8447</v>
      </c>
      <c r="G62" s="406" t="s">
        <v>8448</v>
      </c>
      <c r="H62" s="408" t="s">
        <v>8233</v>
      </c>
      <c r="I62" s="406" t="s">
        <v>8258</v>
      </c>
      <c r="J62" s="406" t="s">
        <v>8080</v>
      </c>
      <c r="K62" s="408" t="s">
        <v>8298</v>
      </c>
      <c r="L62" s="406" t="s">
        <v>8235</v>
      </c>
      <c r="M62" s="406" t="s">
        <v>8238</v>
      </c>
      <c r="N62" s="406" t="s">
        <v>8239</v>
      </c>
      <c r="O62" s="406" t="s">
        <v>8330</v>
      </c>
      <c r="P62" s="406" t="s">
        <v>8305</v>
      </c>
      <c r="Q62" s="406" t="s">
        <v>1313</v>
      </c>
      <c r="R62" s="407" t="s">
        <v>8236</v>
      </c>
    </row>
    <row r="63" spans="1:18" ht="31.65" customHeight="1">
      <c r="A63" s="406" t="s">
        <v>6062</v>
      </c>
      <c r="B63" s="406" t="s">
        <v>8228</v>
      </c>
      <c r="C63" s="406" t="s">
        <v>2195</v>
      </c>
      <c r="D63" s="406" t="s">
        <v>8229</v>
      </c>
      <c r="E63" s="406" t="s">
        <v>6177</v>
      </c>
      <c r="F63" s="406" t="s">
        <v>8449</v>
      </c>
      <c r="G63" s="406" t="s">
        <v>8450</v>
      </c>
      <c r="H63" s="408" t="s">
        <v>8233</v>
      </c>
      <c r="I63" s="406" t="s">
        <v>8258</v>
      </c>
      <c r="J63" s="406" t="s">
        <v>8076</v>
      </c>
      <c r="K63" s="408" t="s">
        <v>8298</v>
      </c>
      <c r="L63" s="406" t="s">
        <v>8235</v>
      </c>
      <c r="M63" s="406" t="s">
        <v>8238</v>
      </c>
      <c r="N63" s="406" t="s">
        <v>8239</v>
      </c>
      <c r="O63" s="406" t="s">
        <v>8270</v>
      </c>
      <c r="P63" s="406" t="s">
        <v>8414</v>
      </c>
      <c r="Q63" s="406" t="s">
        <v>1313</v>
      </c>
      <c r="R63" s="407" t="s">
        <v>8236</v>
      </c>
    </row>
    <row r="64" spans="1:18" ht="31.65" customHeight="1">
      <c r="A64" s="406" t="s">
        <v>6062</v>
      </c>
      <c r="B64" s="406" t="s">
        <v>8228</v>
      </c>
      <c r="C64" s="406" t="s">
        <v>2195</v>
      </c>
      <c r="D64" s="406" t="s">
        <v>8229</v>
      </c>
      <c r="E64" s="406" t="s">
        <v>7713</v>
      </c>
      <c r="F64" s="406" t="s">
        <v>8451</v>
      </c>
      <c r="G64" s="406" t="s">
        <v>8452</v>
      </c>
      <c r="H64" s="408" t="s">
        <v>8304</v>
      </c>
      <c r="I64" s="406" t="s">
        <v>8258</v>
      </c>
      <c r="J64" s="406" t="s">
        <v>8114</v>
      </c>
      <c r="K64" s="408" t="s">
        <v>8322</v>
      </c>
      <c r="L64" s="406" t="s">
        <v>8235</v>
      </c>
      <c r="M64" s="406" t="s">
        <v>8238</v>
      </c>
      <c r="N64" s="406" t="s">
        <v>8239</v>
      </c>
      <c r="O64" s="406" t="s">
        <v>8309</v>
      </c>
      <c r="P64" s="406" t="s">
        <v>8305</v>
      </c>
      <c r="Q64" s="406" t="s">
        <v>1313</v>
      </c>
      <c r="R64" s="407" t="s">
        <v>8236</v>
      </c>
    </row>
    <row r="65" spans="1:18" ht="31.65" customHeight="1">
      <c r="A65" s="406" t="s">
        <v>6062</v>
      </c>
      <c r="B65" s="406" t="s">
        <v>8228</v>
      </c>
      <c r="C65" s="406" t="s">
        <v>2195</v>
      </c>
      <c r="D65" s="406" t="s">
        <v>8229</v>
      </c>
      <c r="E65" s="406" t="s">
        <v>6375</v>
      </c>
      <c r="F65" s="406" t="s">
        <v>8453</v>
      </c>
      <c r="G65" s="406" t="s">
        <v>8454</v>
      </c>
      <c r="H65" s="408" t="s">
        <v>8304</v>
      </c>
      <c r="I65" s="406" t="s">
        <v>8258</v>
      </c>
      <c r="J65" s="406" t="s">
        <v>8213</v>
      </c>
      <c r="K65" s="408" t="s">
        <v>8360</v>
      </c>
      <c r="L65" s="406" t="s">
        <v>8235</v>
      </c>
      <c r="M65" s="406" t="s">
        <v>8238</v>
      </c>
      <c r="N65" s="406" t="s">
        <v>8239</v>
      </c>
      <c r="O65" s="406" t="s">
        <v>8436</v>
      </c>
      <c r="P65" s="406" t="s">
        <v>8414</v>
      </c>
      <c r="Q65" s="406" t="s">
        <v>1313</v>
      </c>
      <c r="R65" s="407" t="s">
        <v>8455</v>
      </c>
    </row>
    <row r="66" spans="1:18" ht="31.65" customHeight="1">
      <c r="A66" s="406" t="s">
        <v>6062</v>
      </c>
      <c r="B66" s="406" t="s">
        <v>8228</v>
      </c>
      <c r="C66" s="406" t="s">
        <v>2195</v>
      </c>
      <c r="D66" s="406" t="s">
        <v>8229</v>
      </c>
      <c r="E66" s="406" t="s">
        <v>6038</v>
      </c>
      <c r="F66" s="406" t="s">
        <v>8456</v>
      </c>
      <c r="G66" s="406" t="s">
        <v>8457</v>
      </c>
      <c r="H66" s="408" t="s">
        <v>8304</v>
      </c>
      <c r="I66" s="406" t="s">
        <v>8258</v>
      </c>
      <c r="J66" s="406" t="s">
        <v>8143</v>
      </c>
      <c r="K66" s="408" t="s">
        <v>8311</v>
      </c>
      <c r="L66" s="406" t="s">
        <v>8235</v>
      </c>
      <c r="M66" s="406" t="s">
        <v>8238</v>
      </c>
      <c r="N66" s="406" t="s">
        <v>8239</v>
      </c>
      <c r="O66" s="406" t="s">
        <v>8311</v>
      </c>
      <c r="P66" s="406" t="s">
        <v>8305</v>
      </c>
      <c r="Q66" s="406" t="s">
        <v>1313</v>
      </c>
      <c r="R66" s="407" t="s">
        <v>8458</v>
      </c>
    </row>
    <row r="67" spans="1:18" ht="31.65" customHeight="1">
      <c r="A67" s="406" t="s">
        <v>6062</v>
      </c>
      <c r="B67" s="406" t="s">
        <v>8228</v>
      </c>
      <c r="C67" s="406" t="s">
        <v>2195</v>
      </c>
      <c r="D67" s="406" t="s">
        <v>8229</v>
      </c>
      <c r="E67" s="406" t="s">
        <v>8205</v>
      </c>
      <c r="F67" s="406" t="s">
        <v>8459</v>
      </c>
      <c r="G67" s="406" t="s">
        <v>8460</v>
      </c>
      <c r="H67" s="408" t="s">
        <v>8304</v>
      </c>
      <c r="I67" s="406" t="s">
        <v>8258</v>
      </c>
      <c r="J67" s="406" t="s">
        <v>8207</v>
      </c>
      <c r="K67" s="408" t="s">
        <v>8360</v>
      </c>
      <c r="L67" s="406" t="s">
        <v>8235</v>
      </c>
      <c r="M67" s="406" t="s">
        <v>8238</v>
      </c>
      <c r="N67" s="406" t="s">
        <v>8239</v>
      </c>
      <c r="O67" s="406" t="s">
        <v>8436</v>
      </c>
      <c r="P67" s="406" t="s">
        <v>8414</v>
      </c>
      <c r="Q67" s="406" t="s">
        <v>1313</v>
      </c>
      <c r="R67" s="407" t="s">
        <v>8461</v>
      </c>
    </row>
    <row r="68" spans="1:18" ht="31.65" customHeight="1">
      <c r="A68" s="406" t="s">
        <v>6062</v>
      </c>
      <c r="B68" s="406" t="s">
        <v>8228</v>
      </c>
      <c r="C68" s="406" t="s">
        <v>2195</v>
      </c>
      <c r="D68" s="406" t="s">
        <v>8229</v>
      </c>
      <c r="E68" s="406" t="s">
        <v>6180</v>
      </c>
      <c r="F68" s="406" t="s">
        <v>8462</v>
      </c>
      <c r="G68" s="406" t="s">
        <v>8463</v>
      </c>
      <c r="H68" s="408" t="s">
        <v>8304</v>
      </c>
      <c r="I68" s="406" t="s">
        <v>8258</v>
      </c>
      <c r="J68" s="406" t="s">
        <v>8086</v>
      </c>
      <c r="K68" s="408" t="s">
        <v>8298</v>
      </c>
      <c r="L68" s="406" t="s">
        <v>8235</v>
      </c>
      <c r="M68" s="406" t="s">
        <v>8238</v>
      </c>
      <c r="N68" s="406" t="s">
        <v>8239</v>
      </c>
      <c r="O68" s="406" t="s">
        <v>8249</v>
      </c>
      <c r="P68" s="406" t="s">
        <v>8414</v>
      </c>
      <c r="Q68" s="406" t="s">
        <v>1313</v>
      </c>
      <c r="R68" s="407" t="s">
        <v>8236</v>
      </c>
    </row>
    <row r="69" spans="1:18" ht="31.65" customHeight="1">
      <c r="A69" s="406" t="s">
        <v>6062</v>
      </c>
      <c r="B69" s="406" t="s">
        <v>8228</v>
      </c>
      <c r="C69" s="406" t="s">
        <v>2195</v>
      </c>
      <c r="D69" s="406" t="s">
        <v>8229</v>
      </c>
      <c r="E69" s="406" t="s">
        <v>7993</v>
      </c>
      <c r="F69" s="406" t="s">
        <v>8464</v>
      </c>
      <c r="G69" s="406" t="s">
        <v>8465</v>
      </c>
      <c r="H69" s="408" t="s">
        <v>8315</v>
      </c>
      <c r="I69" s="406" t="s">
        <v>8258</v>
      </c>
      <c r="J69" s="406" t="s">
        <v>8236</v>
      </c>
      <c r="K69" s="408" t="s">
        <v>8236</v>
      </c>
      <c r="L69" s="406" t="s">
        <v>8235</v>
      </c>
      <c r="M69" s="406" t="s">
        <v>8238</v>
      </c>
      <c r="N69" s="406" t="s">
        <v>8239</v>
      </c>
      <c r="O69" s="406" t="s">
        <v>8249</v>
      </c>
      <c r="P69" s="406" t="s">
        <v>8414</v>
      </c>
      <c r="Q69" s="406" t="s">
        <v>1313</v>
      </c>
      <c r="R69" s="407" t="s">
        <v>8466</v>
      </c>
    </row>
    <row r="70" spans="1:18" ht="31.65" customHeight="1">
      <c r="A70" s="406" t="s">
        <v>6062</v>
      </c>
      <c r="B70" s="406" t="s">
        <v>8228</v>
      </c>
      <c r="C70" s="406" t="s">
        <v>2195</v>
      </c>
      <c r="D70" s="406" t="s">
        <v>8229</v>
      </c>
      <c r="E70" s="406" t="s">
        <v>6114</v>
      </c>
      <c r="F70" s="406" t="s">
        <v>8467</v>
      </c>
      <c r="G70" s="406" t="s">
        <v>8468</v>
      </c>
      <c r="H70" s="408" t="s">
        <v>8315</v>
      </c>
      <c r="I70" s="406" t="s">
        <v>8258</v>
      </c>
      <c r="J70" s="406" t="s">
        <v>8236</v>
      </c>
      <c r="K70" s="408" t="s">
        <v>8236</v>
      </c>
      <c r="L70" s="406" t="s">
        <v>8235</v>
      </c>
      <c r="M70" s="406" t="s">
        <v>8238</v>
      </c>
      <c r="N70" s="406" t="s">
        <v>8239</v>
      </c>
      <c r="O70" s="406" t="s">
        <v>8249</v>
      </c>
      <c r="P70" s="406" t="s">
        <v>8414</v>
      </c>
      <c r="Q70" s="406" t="s">
        <v>1313</v>
      </c>
      <c r="R70" s="407" t="s">
        <v>8469</v>
      </c>
    </row>
    <row r="71" spans="1:18" ht="31.65" customHeight="1">
      <c r="A71" s="406" t="s">
        <v>6062</v>
      </c>
      <c r="B71" s="406" t="s">
        <v>8228</v>
      </c>
      <c r="C71" s="406" t="s">
        <v>2195</v>
      </c>
      <c r="D71" s="406" t="s">
        <v>8229</v>
      </c>
      <c r="E71" s="406" t="s">
        <v>8106</v>
      </c>
      <c r="F71" s="406" t="s">
        <v>8470</v>
      </c>
      <c r="G71" s="406" t="s">
        <v>8471</v>
      </c>
      <c r="H71" s="408" t="s">
        <v>8257</v>
      </c>
      <c r="I71" s="406" t="s">
        <v>8258</v>
      </c>
      <c r="J71" s="406" t="s">
        <v>8108</v>
      </c>
      <c r="K71" s="408" t="s">
        <v>8259</v>
      </c>
      <c r="L71" s="406" t="s">
        <v>8235</v>
      </c>
      <c r="M71" s="406" t="s">
        <v>8238</v>
      </c>
      <c r="N71" s="406" t="s">
        <v>8239</v>
      </c>
      <c r="O71" s="406" t="s">
        <v>8259</v>
      </c>
      <c r="P71" s="406" t="s">
        <v>8305</v>
      </c>
      <c r="Q71" s="406" t="s">
        <v>1313</v>
      </c>
      <c r="R71" s="407" t="s">
        <v>8472</v>
      </c>
    </row>
    <row r="72" spans="1:18" ht="31.65" customHeight="1">
      <c r="A72" s="406" t="s">
        <v>6062</v>
      </c>
      <c r="B72" s="406" t="s">
        <v>8228</v>
      </c>
      <c r="C72" s="406" t="s">
        <v>2195</v>
      </c>
      <c r="D72" s="406" t="s">
        <v>8229</v>
      </c>
      <c r="E72" s="406" t="s">
        <v>7987</v>
      </c>
      <c r="F72" s="406" t="s">
        <v>8473</v>
      </c>
      <c r="G72" s="406" t="s">
        <v>8474</v>
      </c>
      <c r="H72" s="408" t="s">
        <v>8257</v>
      </c>
      <c r="I72" s="406" t="s">
        <v>8258</v>
      </c>
      <c r="J72" s="406" t="s">
        <v>8236</v>
      </c>
      <c r="K72" s="408" t="s">
        <v>8236</v>
      </c>
      <c r="L72" s="406" t="s">
        <v>8235</v>
      </c>
      <c r="M72" s="406" t="s">
        <v>8238</v>
      </c>
      <c r="N72" s="406" t="s">
        <v>8239</v>
      </c>
      <c r="O72" s="406" t="s">
        <v>8249</v>
      </c>
      <c r="P72" s="406" t="s">
        <v>8414</v>
      </c>
      <c r="Q72" s="406" t="s">
        <v>1313</v>
      </c>
      <c r="R72" s="407" t="s">
        <v>8236</v>
      </c>
    </row>
    <row r="73" spans="1:18" ht="31.65" customHeight="1">
      <c r="A73" s="406" t="s">
        <v>6062</v>
      </c>
      <c r="B73" s="406" t="s">
        <v>8228</v>
      </c>
      <c r="C73" s="406" t="s">
        <v>2195</v>
      </c>
      <c r="D73" s="406" t="s">
        <v>8229</v>
      </c>
      <c r="E73" s="406" t="s">
        <v>8128</v>
      </c>
      <c r="F73" s="406" t="s">
        <v>8475</v>
      </c>
      <c r="G73" s="406" t="s">
        <v>8476</v>
      </c>
      <c r="H73" s="408" t="s">
        <v>8264</v>
      </c>
      <c r="I73" s="406" t="s">
        <v>8258</v>
      </c>
      <c r="J73" s="406" t="s">
        <v>8130</v>
      </c>
      <c r="K73" s="408" t="s">
        <v>8322</v>
      </c>
      <c r="L73" s="406" t="s">
        <v>8235</v>
      </c>
      <c r="M73" s="406" t="s">
        <v>8238</v>
      </c>
      <c r="N73" s="406" t="s">
        <v>8239</v>
      </c>
      <c r="O73" s="406" t="s">
        <v>8249</v>
      </c>
      <c r="P73" s="406" t="s">
        <v>8414</v>
      </c>
      <c r="Q73" s="406" t="s">
        <v>1313</v>
      </c>
      <c r="R73" s="407" t="s">
        <v>8236</v>
      </c>
    </row>
    <row r="74" spans="1:18" ht="31.65" customHeight="1">
      <c r="A74" s="406" t="s">
        <v>6062</v>
      </c>
      <c r="B74" s="406" t="s">
        <v>8228</v>
      </c>
      <c r="C74" s="406" t="s">
        <v>2195</v>
      </c>
      <c r="D74" s="406" t="s">
        <v>8229</v>
      </c>
      <c r="E74" s="406" t="s">
        <v>5882</v>
      </c>
      <c r="F74" s="406" t="s">
        <v>8477</v>
      </c>
      <c r="G74" s="406" t="s">
        <v>8478</v>
      </c>
      <c r="H74" s="408" t="s">
        <v>8264</v>
      </c>
      <c r="I74" s="406" t="s">
        <v>8258</v>
      </c>
      <c r="J74" s="406" t="s">
        <v>8121</v>
      </c>
      <c r="K74" s="408" t="s">
        <v>8322</v>
      </c>
      <c r="L74" s="406" t="s">
        <v>8235</v>
      </c>
      <c r="M74" s="406" t="s">
        <v>8238</v>
      </c>
      <c r="N74" s="406" t="s">
        <v>8239</v>
      </c>
      <c r="O74" s="406" t="s">
        <v>8310</v>
      </c>
      <c r="P74" s="406" t="s">
        <v>8305</v>
      </c>
      <c r="Q74" s="406" t="s">
        <v>1313</v>
      </c>
      <c r="R74" s="407" t="s">
        <v>8236</v>
      </c>
    </row>
    <row r="75" spans="1:18" ht="31.65" customHeight="1">
      <c r="A75" s="406" t="s">
        <v>6062</v>
      </c>
      <c r="B75" s="406" t="s">
        <v>8228</v>
      </c>
      <c r="C75" s="406" t="s">
        <v>2195</v>
      </c>
      <c r="D75" s="406" t="s">
        <v>8229</v>
      </c>
      <c r="E75" s="406" t="s">
        <v>8125</v>
      </c>
      <c r="F75" s="406" t="s">
        <v>8479</v>
      </c>
      <c r="G75" s="406" t="s">
        <v>8480</v>
      </c>
      <c r="H75" s="408" t="s">
        <v>8264</v>
      </c>
      <c r="I75" s="406" t="s">
        <v>8258</v>
      </c>
      <c r="J75" s="406" t="s">
        <v>8127</v>
      </c>
      <c r="K75" s="408" t="s">
        <v>8322</v>
      </c>
      <c r="L75" s="406" t="s">
        <v>8235</v>
      </c>
      <c r="M75" s="406" t="s">
        <v>8238</v>
      </c>
      <c r="N75" s="406" t="s">
        <v>8239</v>
      </c>
      <c r="O75" s="406" t="s">
        <v>8249</v>
      </c>
      <c r="P75" s="406" t="s">
        <v>8414</v>
      </c>
      <c r="Q75" s="406" t="s">
        <v>1313</v>
      </c>
      <c r="R75" s="407" t="s">
        <v>8236</v>
      </c>
    </row>
    <row r="76" spans="1:18" ht="31.65" customHeight="1">
      <c r="A76" s="406" t="s">
        <v>6062</v>
      </c>
      <c r="B76" s="406" t="s">
        <v>8228</v>
      </c>
      <c r="C76" s="406" t="s">
        <v>2195</v>
      </c>
      <c r="D76" s="406" t="s">
        <v>8229</v>
      </c>
      <c r="E76" s="406" t="s">
        <v>8122</v>
      </c>
      <c r="F76" s="406" t="s">
        <v>8481</v>
      </c>
      <c r="G76" s="406" t="s">
        <v>8482</v>
      </c>
      <c r="H76" s="408" t="s">
        <v>8335</v>
      </c>
      <c r="I76" s="406" t="s">
        <v>8258</v>
      </c>
      <c r="J76" s="406" t="s">
        <v>8124</v>
      </c>
      <c r="K76" s="408" t="s">
        <v>8322</v>
      </c>
      <c r="L76" s="406" t="s">
        <v>8235</v>
      </c>
      <c r="M76" s="406" t="s">
        <v>8238</v>
      </c>
      <c r="N76" s="406" t="s">
        <v>8239</v>
      </c>
      <c r="O76" s="406" t="s">
        <v>8311</v>
      </c>
      <c r="P76" s="406" t="s">
        <v>8305</v>
      </c>
      <c r="Q76" s="406" t="s">
        <v>1313</v>
      </c>
      <c r="R76" s="407" t="s">
        <v>8236</v>
      </c>
    </row>
    <row r="77" spans="1:18" ht="31.65" customHeight="1">
      <c r="A77" s="406" t="s">
        <v>6062</v>
      </c>
      <c r="B77" s="406" t="s">
        <v>8228</v>
      </c>
      <c r="C77" s="406" t="s">
        <v>2195</v>
      </c>
      <c r="D77" s="406" t="s">
        <v>8229</v>
      </c>
      <c r="E77" s="406" t="s">
        <v>6367</v>
      </c>
      <c r="F77" s="406" t="s">
        <v>8483</v>
      </c>
      <c r="G77" s="406" t="s">
        <v>8484</v>
      </c>
      <c r="H77" s="408" t="s">
        <v>8270</v>
      </c>
      <c r="I77" s="406" t="s">
        <v>8258</v>
      </c>
      <c r="J77" s="406" t="s">
        <v>8112</v>
      </c>
      <c r="K77" s="408" t="s">
        <v>8322</v>
      </c>
      <c r="L77" s="406" t="s">
        <v>8235</v>
      </c>
      <c r="M77" s="406" t="s">
        <v>8238</v>
      </c>
      <c r="N77" s="406" t="s">
        <v>8239</v>
      </c>
      <c r="O77" s="406" t="s">
        <v>8249</v>
      </c>
      <c r="P77" s="406" t="s">
        <v>8414</v>
      </c>
      <c r="Q77" s="406" t="s">
        <v>1313</v>
      </c>
      <c r="R77" s="407" t="s">
        <v>8236</v>
      </c>
    </row>
    <row r="78" spans="1:18" ht="31.65" customHeight="1">
      <c r="A78" s="406" t="s">
        <v>6062</v>
      </c>
      <c r="B78" s="406" t="s">
        <v>8228</v>
      </c>
      <c r="C78" s="406" t="s">
        <v>2195</v>
      </c>
      <c r="D78" s="406" t="s">
        <v>8229</v>
      </c>
      <c r="E78" s="406" t="s">
        <v>6268</v>
      </c>
      <c r="F78" s="406" t="s">
        <v>8485</v>
      </c>
      <c r="G78" s="406" t="s">
        <v>8486</v>
      </c>
      <c r="H78" s="408" t="s">
        <v>8270</v>
      </c>
      <c r="I78" s="406" t="s">
        <v>8258</v>
      </c>
      <c r="J78" s="406" t="s">
        <v>8119</v>
      </c>
      <c r="K78" s="408" t="s">
        <v>8322</v>
      </c>
      <c r="L78" s="406" t="s">
        <v>8235</v>
      </c>
      <c r="M78" s="406" t="s">
        <v>8238</v>
      </c>
      <c r="N78" s="406" t="s">
        <v>8239</v>
      </c>
      <c r="O78" s="406" t="s">
        <v>8420</v>
      </c>
      <c r="P78" s="406" t="s">
        <v>8375</v>
      </c>
      <c r="Q78" s="406" t="s">
        <v>1313</v>
      </c>
      <c r="R78" s="407" t="s">
        <v>8236</v>
      </c>
    </row>
    <row r="79" spans="1:18" ht="31.65" customHeight="1">
      <c r="A79" s="406" t="s">
        <v>6062</v>
      </c>
      <c r="B79" s="406" t="s">
        <v>8228</v>
      </c>
      <c r="C79" s="406" t="s">
        <v>2195</v>
      </c>
      <c r="D79" s="406" t="s">
        <v>8229</v>
      </c>
      <c r="E79" s="406" t="s">
        <v>6022</v>
      </c>
      <c r="F79" s="406" t="s">
        <v>8487</v>
      </c>
      <c r="G79" s="406" t="s">
        <v>8488</v>
      </c>
      <c r="H79" s="408" t="s">
        <v>8270</v>
      </c>
      <c r="I79" s="406" t="s">
        <v>8258</v>
      </c>
      <c r="J79" s="406" t="s">
        <v>8149</v>
      </c>
      <c r="K79" s="408" t="s">
        <v>8265</v>
      </c>
      <c r="L79" s="406" t="s">
        <v>8235</v>
      </c>
      <c r="M79" s="406" t="s">
        <v>8238</v>
      </c>
      <c r="N79" s="406" t="s">
        <v>8239</v>
      </c>
      <c r="O79" s="406" t="s">
        <v>8249</v>
      </c>
      <c r="P79" s="406" t="s">
        <v>8414</v>
      </c>
      <c r="Q79" s="406" t="s">
        <v>1313</v>
      </c>
      <c r="R79" s="407" t="s">
        <v>8236</v>
      </c>
    </row>
    <row r="80" spans="1:18" ht="31.65" customHeight="1">
      <c r="A80" s="406" t="s">
        <v>6062</v>
      </c>
      <c r="B80" s="406" t="s">
        <v>8228</v>
      </c>
      <c r="C80" s="406" t="s">
        <v>2195</v>
      </c>
      <c r="D80" s="406" t="s">
        <v>8229</v>
      </c>
      <c r="E80" s="406" t="s">
        <v>6220</v>
      </c>
      <c r="F80" s="406" t="s">
        <v>8489</v>
      </c>
      <c r="G80" s="406" t="s">
        <v>8490</v>
      </c>
      <c r="H80" s="408" t="s">
        <v>8270</v>
      </c>
      <c r="I80" s="406" t="s">
        <v>8258</v>
      </c>
      <c r="J80" s="406" t="s">
        <v>8202</v>
      </c>
      <c r="K80" s="408" t="s">
        <v>8360</v>
      </c>
      <c r="L80" s="406" t="s">
        <v>8235</v>
      </c>
      <c r="M80" s="406" t="s">
        <v>8238</v>
      </c>
      <c r="N80" s="406" t="s">
        <v>8239</v>
      </c>
      <c r="O80" s="406" t="s">
        <v>8249</v>
      </c>
      <c r="P80" s="406" t="s">
        <v>8414</v>
      </c>
      <c r="Q80" s="406" t="s">
        <v>1313</v>
      </c>
      <c r="R80" s="407" t="s">
        <v>8236</v>
      </c>
    </row>
    <row r="81" spans="1:18" ht="31.65" customHeight="1">
      <c r="A81" s="406" t="s">
        <v>6062</v>
      </c>
      <c r="B81" s="406" t="s">
        <v>8228</v>
      </c>
      <c r="C81" s="406" t="s">
        <v>2195</v>
      </c>
      <c r="D81" s="406" t="s">
        <v>8229</v>
      </c>
      <c r="E81" s="406" t="s">
        <v>8032</v>
      </c>
      <c r="F81" s="406" t="s">
        <v>8491</v>
      </c>
      <c r="G81" s="406" t="s">
        <v>8492</v>
      </c>
      <c r="H81" s="408" t="s">
        <v>8270</v>
      </c>
      <c r="I81" s="406" t="s">
        <v>8258</v>
      </c>
      <c r="J81" s="406" t="s">
        <v>8113</v>
      </c>
      <c r="K81" s="408" t="s">
        <v>8322</v>
      </c>
      <c r="L81" s="406" t="s">
        <v>8235</v>
      </c>
      <c r="M81" s="406" t="s">
        <v>8238</v>
      </c>
      <c r="N81" s="406" t="s">
        <v>8239</v>
      </c>
      <c r="O81" s="406" t="s">
        <v>8249</v>
      </c>
      <c r="P81" s="406" t="s">
        <v>8414</v>
      </c>
      <c r="Q81" s="406" t="s">
        <v>1313</v>
      </c>
      <c r="R81" s="407" t="s">
        <v>8236</v>
      </c>
    </row>
    <row r="82" spans="1:18" ht="31.65" customHeight="1">
      <c r="A82" s="406" t="s">
        <v>6062</v>
      </c>
      <c r="B82" s="406" t="s">
        <v>8228</v>
      </c>
      <c r="C82" s="406" t="s">
        <v>2195</v>
      </c>
      <c r="D82" s="406" t="s">
        <v>8229</v>
      </c>
      <c r="E82" s="406" t="s">
        <v>8038</v>
      </c>
      <c r="F82" s="406" t="s">
        <v>8493</v>
      </c>
      <c r="G82" s="406" t="s">
        <v>8494</v>
      </c>
      <c r="H82" s="408" t="s">
        <v>8400</v>
      </c>
      <c r="I82" s="406" t="s">
        <v>8258</v>
      </c>
      <c r="J82" s="406" t="s">
        <v>8040</v>
      </c>
      <c r="K82" s="408" t="s">
        <v>8342</v>
      </c>
      <c r="L82" s="406" t="s">
        <v>8235</v>
      </c>
      <c r="M82" s="406" t="s">
        <v>8238</v>
      </c>
      <c r="N82" s="406" t="s">
        <v>8239</v>
      </c>
      <c r="O82" s="406" t="s">
        <v>8425</v>
      </c>
      <c r="P82" s="406" t="s">
        <v>8305</v>
      </c>
      <c r="Q82" s="406" t="s">
        <v>1313</v>
      </c>
      <c r="R82" s="407" t="s">
        <v>8495</v>
      </c>
    </row>
    <row r="83" spans="1:18" ht="31.65" customHeight="1">
      <c r="A83" s="406" t="s">
        <v>6062</v>
      </c>
      <c r="B83" s="406" t="s">
        <v>8228</v>
      </c>
      <c r="C83" s="406" t="s">
        <v>2195</v>
      </c>
      <c r="D83" s="406" t="s">
        <v>8229</v>
      </c>
      <c r="E83" s="406" t="s">
        <v>6151</v>
      </c>
      <c r="F83" s="406" t="s">
        <v>8496</v>
      </c>
      <c r="G83" s="406" t="s">
        <v>8497</v>
      </c>
      <c r="H83" s="408" t="s">
        <v>8315</v>
      </c>
      <c r="I83" s="406" t="s">
        <v>8258</v>
      </c>
      <c r="J83" s="406" t="s">
        <v>8092</v>
      </c>
      <c r="K83" s="408" t="s">
        <v>8309</v>
      </c>
      <c r="L83" s="406" t="s">
        <v>8498</v>
      </c>
      <c r="M83" s="406" t="s">
        <v>8238</v>
      </c>
      <c r="N83" s="406" t="s">
        <v>8239</v>
      </c>
      <c r="O83" s="406" t="s">
        <v>8343</v>
      </c>
      <c r="P83" s="406" t="s">
        <v>8305</v>
      </c>
      <c r="Q83" s="406" t="s">
        <v>1313</v>
      </c>
      <c r="R83" s="407" t="s">
        <v>8499</v>
      </c>
    </row>
    <row r="84" spans="1:18" ht="31.65" customHeight="1">
      <c r="A84" s="406" t="s">
        <v>6062</v>
      </c>
      <c r="B84" s="406" t="s">
        <v>8228</v>
      </c>
      <c r="C84" s="406" t="s">
        <v>2195</v>
      </c>
      <c r="D84" s="406" t="s">
        <v>1167</v>
      </c>
      <c r="E84" s="406" t="s">
        <v>6261</v>
      </c>
      <c r="F84" s="406" t="s">
        <v>8500</v>
      </c>
      <c r="G84" s="406" t="s">
        <v>8501</v>
      </c>
      <c r="H84" s="408" t="s">
        <v>8257</v>
      </c>
      <c r="I84" s="406" t="s">
        <v>8258</v>
      </c>
      <c r="J84" s="406" t="s">
        <v>8103</v>
      </c>
      <c r="K84" s="408" t="s">
        <v>8309</v>
      </c>
      <c r="L84" s="406" t="s">
        <v>8498</v>
      </c>
      <c r="M84" s="406" t="s">
        <v>8238</v>
      </c>
      <c r="N84" s="406" t="s">
        <v>8239</v>
      </c>
      <c r="O84" s="406" t="s">
        <v>8300</v>
      </c>
      <c r="P84" s="406" t="s">
        <v>8236</v>
      </c>
      <c r="Q84" s="406" t="s">
        <v>1313</v>
      </c>
      <c r="R84" s="407" t="s">
        <v>8502</v>
      </c>
    </row>
    <row r="85" spans="1:18" ht="31.65" customHeight="1">
      <c r="A85" s="406" t="s">
        <v>6062</v>
      </c>
      <c r="B85" s="406" t="s">
        <v>8228</v>
      </c>
      <c r="C85" s="406" t="s">
        <v>2195</v>
      </c>
      <c r="D85" s="406" t="s">
        <v>1167</v>
      </c>
      <c r="E85" s="406" t="s">
        <v>7987</v>
      </c>
      <c r="F85" s="406" t="s">
        <v>8503</v>
      </c>
      <c r="G85" s="406" t="s">
        <v>8504</v>
      </c>
      <c r="H85" s="408" t="s">
        <v>8281</v>
      </c>
      <c r="I85" s="406" t="s">
        <v>8258</v>
      </c>
      <c r="J85" s="406" t="s">
        <v>8031</v>
      </c>
      <c r="K85" s="408" t="s">
        <v>8356</v>
      </c>
      <c r="L85" s="406" t="s">
        <v>8498</v>
      </c>
      <c r="M85" s="406" t="s">
        <v>8238</v>
      </c>
      <c r="N85" s="406" t="s">
        <v>8239</v>
      </c>
      <c r="O85" s="406" t="s">
        <v>8300</v>
      </c>
      <c r="P85" s="406" t="s">
        <v>8236</v>
      </c>
      <c r="Q85" s="406" t="s">
        <v>1313</v>
      </c>
      <c r="R85" s="407" t="s">
        <v>8505</v>
      </c>
    </row>
    <row r="86" spans="1:18" ht="31.65" customHeight="1">
      <c r="A86" s="406" t="s">
        <v>6062</v>
      </c>
      <c r="B86" s="406" t="s">
        <v>8228</v>
      </c>
      <c r="C86" s="406" t="s">
        <v>2195</v>
      </c>
      <c r="D86" s="406" t="s">
        <v>1167</v>
      </c>
      <c r="E86" s="406" t="s">
        <v>6367</v>
      </c>
      <c r="F86" s="406" t="s">
        <v>8506</v>
      </c>
      <c r="G86" s="406" t="s">
        <v>8507</v>
      </c>
      <c r="H86" s="408" t="s">
        <v>8281</v>
      </c>
      <c r="I86" s="406" t="s">
        <v>8258</v>
      </c>
      <c r="J86" s="406" t="s">
        <v>8029</v>
      </c>
      <c r="K86" s="408" t="s">
        <v>8356</v>
      </c>
      <c r="L86" s="406" t="s">
        <v>8498</v>
      </c>
      <c r="M86" s="406" t="s">
        <v>8238</v>
      </c>
      <c r="N86" s="406" t="s">
        <v>8239</v>
      </c>
      <c r="O86" s="406" t="s">
        <v>8300</v>
      </c>
      <c r="P86" s="406" t="s">
        <v>8236</v>
      </c>
      <c r="Q86" s="406" t="s">
        <v>1313</v>
      </c>
      <c r="R86" s="407" t="s">
        <v>8508</v>
      </c>
    </row>
    <row r="87" spans="1:18" ht="31.65" customHeight="1">
      <c r="A87" s="406" t="s">
        <v>6062</v>
      </c>
      <c r="B87" s="406" t="s">
        <v>8228</v>
      </c>
      <c r="C87" s="406" t="s">
        <v>2195</v>
      </c>
      <c r="D87" s="406" t="s">
        <v>8229</v>
      </c>
      <c r="E87" s="406" t="s">
        <v>8153</v>
      </c>
      <c r="F87" s="406" t="s">
        <v>8509</v>
      </c>
      <c r="G87" s="406" t="s">
        <v>8510</v>
      </c>
      <c r="H87" s="408" t="s">
        <v>8276</v>
      </c>
      <c r="I87" s="406" t="s">
        <v>8258</v>
      </c>
      <c r="J87" s="406" t="s">
        <v>8155</v>
      </c>
      <c r="K87" s="408" t="s">
        <v>8265</v>
      </c>
      <c r="L87" s="406" t="s">
        <v>8511</v>
      </c>
      <c r="M87" s="406" t="s">
        <v>8238</v>
      </c>
      <c r="N87" s="406" t="s">
        <v>8239</v>
      </c>
      <c r="O87" s="406" t="s">
        <v>8311</v>
      </c>
      <c r="P87" s="406" t="s">
        <v>8305</v>
      </c>
      <c r="Q87" s="406" t="s">
        <v>1313</v>
      </c>
      <c r="R87" s="407" t="s">
        <v>8236</v>
      </c>
    </row>
    <row r="88" spans="1:18" ht="31.65" customHeight="1">
      <c r="A88" s="406" t="s">
        <v>6062</v>
      </c>
      <c r="B88" s="406" t="s">
        <v>8228</v>
      </c>
      <c r="C88" s="406" t="s">
        <v>2195</v>
      </c>
      <c r="D88" s="406" t="s">
        <v>8229</v>
      </c>
      <c r="E88" s="406" t="s">
        <v>8003</v>
      </c>
      <c r="F88" s="406" t="s">
        <v>8512</v>
      </c>
      <c r="G88" s="406" t="s">
        <v>8513</v>
      </c>
      <c r="H88" s="408" t="s">
        <v>8281</v>
      </c>
      <c r="I88" s="406" t="s">
        <v>8258</v>
      </c>
      <c r="J88" s="406" t="s">
        <v>8005</v>
      </c>
      <c r="K88" s="408" t="s">
        <v>8282</v>
      </c>
      <c r="L88" s="406" t="s">
        <v>8511</v>
      </c>
      <c r="M88" s="406" t="s">
        <v>8238</v>
      </c>
      <c r="N88" s="406" t="s">
        <v>8239</v>
      </c>
      <c r="O88" s="406" t="s">
        <v>8514</v>
      </c>
      <c r="P88" s="406" t="s">
        <v>8305</v>
      </c>
      <c r="Q88" s="406" t="s">
        <v>1313</v>
      </c>
      <c r="R88" s="407" t="s">
        <v>8515</v>
      </c>
    </row>
    <row r="89" spans="1:18" ht="31.65" customHeight="1">
      <c r="A89" s="406" t="s">
        <v>6062</v>
      </c>
      <c r="B89" s="406" t="s">
        <v>8228</v>
      </c>
      <c r="C89" s="406" t="s">
        <v>2195</v>
      </c>
      <c r="D89" s="406" t="s">
        <v>8229</v>
      </c>
      <c r="E89" s="406" t="s">
        <v>6180</v>
      </c>
      <c r="F89" s="406" t="s">
        <v>8516</v>
      </c>
      <c r="G89" s="406" t="s">
        <v>8517</v>
      </c>
      <c r="H89" s="408" t="s">
        <v>8281</v>
      </c>
      <c r="I89" s="406" t="s">
        <v>8258</v>
      </c>
      <c r="J89" s="406" t="s">
        <v>8007</v>
      </c>
      <c r="K89" s="408" t="s">
        <v>8282</v>
      </c>
      <c r="L89" s="406" t="s">
        <v>8511</v>
      </c>
      <c r="M89" s="406" t="s">
        <v>8238</v>
      </c>
      <c r="N89" s="406" t="s">
        <v>8239</v>
      </c>
      <c r="O89" s="406" t="s">
        <v>8514</v>
      </c>
      <c r="P89" s="406" t="s">
        <v>8305</v>
      </c>
      <c r="Q89" s="406" t="s">
        <v>1313</v>
      </c>
      <c r="R89" s="407" t="s">
        <v>8515</v>
      </c>
    </row>
    <row r="90" spans="1:18" ht="31.65" customHeight="1">
      <c r="A90" s="406" t="s">
        <v>6062</v>
      </c>
      <c r="B90" s="406" t="s">
        <v>8228</v>
      </c>
      <c r="C90" s="406" t="s">
        <v>2195</v>
      </c>
      <c r="D90" s="406" t="s">
        <v>8229</v>
      </c>
      <c r="E90" s="406" t="s">
        <v>5969</v>
      </c>
      <c r="F90" s="406" t="s">
        <v>8518</v>
      </c>
      <c r="G90" s="406" t="s">
        <v>8519</v>
      </c>
      <c r="H90" s="408" t="s">
        <v>8409</v>
      </c>
      <c r="I90" s="406" t="s">
        <v>8258</v>
      </c>
      <c r="J90" s="406" t="s">
        <v>8177</v>
      </c>
      <c r="K90" s="408" t="s">
        <v>8384</v>
      </c>
      <c r="L90" s="406" t="s">
        <v>8520</v>
      </c>
      <c r="M90" s="406" t="s">
        <v>8238</v>
      </c>
      <c r="N90" s="406" t="s">
        <v>8239</v>
      </c>
      <c r="O90" s="406" t="s">
        <v>8292</v>
      </c>
      <c r="P90" s="406" t="s">
        <v>8305</v>
      </c>
      <c r="Q90" s="406" t="s">
        <v>1313</v>
      </c>
      <c r="R90" s="407" t="s">
        <v>8236</v>
      </c>
    </row>
    <row r="91" spans="1:18" ht="31.65" customHeight="1">
      <c r="A91" s="406" t="s">
        <v>6062</v>
      </c>
      <c r="B91" s="406" t="s">
        <v>8228</v>
      </c>
      <c r="C91" s="406" t="s">
        <v>2195</v>
      </c>
      <c r="D91" s="406" t="s">
        <v>8229</v>
      </c>
      <c r="E91" s="406" t="s">
        <v>7867</v>
      </c>
      <c r="F91" s="406" t="s">
        <v>8521</v>
      </c>
      <c r="G91" s="406" t="s">
        <v>8522</v>
      </c>
      <c r="H91" s="408" t="s">
        <v>8409</v>
      </c>
      <c r="I91" s="406" t="s">
        <v>8258</v>
      </c>
      <c r="J91" s="406" t="s">
        <v>8190</v>
      </c>
      <c r="K91" s="408" t="s">
        <v>8384</v>
      </c>
      <c r="L91" s="406" t="s">
        <v>8520</v>
      </c>
      <c r="M91" s="406" t="s">
        <v>8238</v>
      </c>
      <c r="N91" s="406" t="s">
        <v>8239</v>
      </c>
      <c r="O91" s="406" t="s">
        <v>8351</v>
      </c>
      <c r="P91" s="406" t="s">
        <v>8305</v>
      </c>
      <c r="Q91" s="406" t="s">
        <v>1313</v>
      </c>
      <c r="R91" s="407" t="s">
        <v>8236</v>
      </c>
    </row>
    <row r="92" spans="1:18" ht="31.65" customHeight="1">
      <c r="A92" s="406" t="s">
        <v>6062</v>
      </c>
      <c r="B92" s="406" t="s">
        <v>8228</v>
      </c>
      <c r="C92" s="406" t="s">
        <v>2195</v>
      </c>
      <c r="D92" s="406" t="s">
        <v>8229</v>
      </c>
      <c r="E92" s="406" t="s">
        <v>6041</v>
      </c>
      <c r="F92" s="406" t="s">
        <v>8523</v>
      </c>
      <c r="G92" s="406" t="s">
        <v>8524</v>
      </c>
      <c r="H92" s="408" t="s">
        <v>8409</v>
      </c>
      <c r="I92" s="406" t="s">
        <v>8258</v>
      </c>
      <c r="J92" s="406" t="s">
        <v>8188</v>
      </c>
      <c r="K92" s="408" t="s">
        <v>8384</v>
      </c>
      <c r="L92" s="406" t="s">
        <v>8520</v>
      </c>
      <c r="M92" s="406" t="s">
        <v>8238</v>
      </c>
      <c r="N92" s="406" t="s">
        <v>8239</v>
      </c>
      <c r="O92" s="406" t="s">
        <v>8292</v>
      </c>
      <c r="P92" s="406" t="s">
        <v>8305</v>
      </c>
      <c r="Q92" s="406" t="s">
        <v>1313</v>
      </c>
      <c r="R92" s="407" t="s">
        <v>8236</v>
      </c>
    </row>
    <row r="93" spans="1:18" ht="31.65" customHeight="1">
      <c r="A93" s="406" t="s">
        <v>6062</v>
      </c>
      <c r="B93" s="406" t="s">
        <v>8228</v>
      </c>
      <c r="C93" s="406" t="s">
        <v>2195</v>
      </c>
      <c r="D93" s="406" t="s">
        <v>8229</v>
      </c>
      <c r="E93" s="406" t="s">
        <v>6268</v>
      </c>
      <c r="F93" s="406" t="s">
        <v>8525</v>
      </c>
      <c r="G93" s="406" t="s">
        <v>8526</v>
      </c>
      <c r="H93" s="408" t="s">
        <v>8292</v>
      </c>
      <c r="I93" s="406" t="s">
        <v>8258</v>
      </c>
      <c r="J93" s="406" t="s">
        <v>8014</v>
      </c>
      <c r="K93" s="408" t="s">
        <v>8380</v>
      </c>
      <c r="L93" s="406" t="s">
        <v>8520</v>
      </c>
      <c r="M93" s="406" t="s">
        <v>8238</v>
      </c>
      <c r="N93" s="406" t="s">
        <v>8239</v>
      </c>
      <c r="O93" s="406" t="s">
        <v>8271</v>
      </c>
      <c r="P93" s="406" t="s">
        <v>8375</v>
      </c>
      <c r="Q93" s="406" t="s">
        <v>1313</v>
      </c>
      <c r="R93" s="407" t="s">
        <v>8236</v>
      </c>
    </row>
  </sheetData>
  <autoFilter ref="A1:R1" xr:uid="{00000000-0001-0000-0000-000000000000}">
    <sortState xmlns:xlrd2="http://schemas.microsoft.com/office/spreadsheetml/2017/richdata2" ref="A2:R93">
      <sortCondition sortBy="cellColor" ref="L1" dxfId="115"/>
    </sortState>
  </autoFilter>
  <conditionalFormatting sqref="L1:L1048576">
    <cfRule type="cellIs" dxfId="2" priority="1" operator="equal">
      <formula>"Possession"</formula>
    </cfRule>
    <cfRule type="cellIs" dxfId="1" priority="2" operator="equal">
      <formula>"Attorney Dismissal"</formula>
    </cfRule>
    <cfRule type="cellIs" dxfId="0" priority="3" operator="equal">
      <formula>"Judicial Dismissal"</formula>
    </cfRule>
  </conditionalFormatting>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712E7B-B03B-4C4D-8040-514DD7AB7153}">
  <sheetPr>
    <tabColor rgb="FFC00000"/>
  </sheetPr>
  <dimension ref="A1:J224"/>
  <sheetViews>
    <sheetView workbookViewId="0">
      <selection activeCell="A2" sqref="A2"/>
    </sheetView>
  </sheetViews>
  <sheetFormatPr defaultRowHeight="14.4"/>
  <cols>
    <col min="1" max="1" width="10.6640625" bestFit="1" customWidth="1"/>
    <col min="2" max="2" width="22.6640625" bestFit="1" customWidth="1"/>
    <col min="3" max="3" width="29.109375" bestFit="1" customWidth="1"/>
    <col min="4" max="4" width="17.88671875" customWidth="1"/>
    <col min="5" max="5" width="11.5546875" bestFit="1" customWidth="1"/>
    <col min="6" max="6" width="13.33203125" bestFit="1" customWidth="1"/>
    <col min="7" max="7" width="12.44140625" customWidth="1"/>
    <col min="8" max="8" width="10.5546875" bestFit="1" customWidth="1"/>
    <col min="9" max="9" width="10.88671875" bestFit="1" customWidth="1"/>
    <col min="10" max="10" width="255.5546875" bestFit="1" customWidth="1"/>
  </cols>
  <sheetData>
    <row r="1" spans="1:10" ht="9.9" customHeight="1">
      <c r="A1" s="968" t="s">
        <v>1760</v>
      </c>
      <c r="B1" s="968" t="s">
        <v>1138</v>
      </c>
      <c r="C1" s="968" t="s">
        <v>2109</v>
      </c>
      <c r="D1" s="968" t="s">
        <v>8527</v>
      </c>
      <c r="E1" s="968" t="s">
        <v>8528</v>
      </c>
      <c r="F1" s="968" t="s">
        <v>8529</v>
      </c>
      <c r="G1" s="968" t="s">
        <v>8530</v>
      </c>
      <c r="H1" s="968" t="s">
        <v>8531</v>
      </c>
      <c r="I1" s="968" t="s">
        <v>1327</v>
      </c>
      <c r="J1" s="968" t="s">
        <v>8532</v>
      </c>
    </row>
    <row r="2" spans="1:10" ht="9.9" customHeight="1">
      <c r="A2" s="1090" t="s">
        <v>3752</v>
      </c>
      <c r="B2" s="1090" t="s">
        <v>7185</v>
      </c>
      <c r="C2" s="1090" t="s">
        <v>2135</v>
      </c>
      <c r="D2" s="1090">
        <v>233</v>
      </c>
      <c r="E2" s="1091">
        <v>3464.4</v>
      </c>
      <c r="F2" s="1090">
        <v>0</v>
      </c>
      <c r="G2" s="1090">
        <v>0</v>
      </c>
      <c r="H2" s="1091">
        <v>3697.4</v>
      </c>
      <c r="I2" s="1091">
        <v>3697.4</v>
      </c>
      <c r="J2" s="1107" t="s">
        <v>8533</v>
      </c>
    </row>
    <row r="3" spans="1:10" ht="9.9" customHeight="1">
      <c r="A3" s="1090" t="s">
        <v>3457</v>
      </c>
      <c r="B3" s="1090" t="s">
        <v>7190</v>
      </c>
      <c r="C3" s="1090" t="s">
        <v>8534</v>
      </c>
      <c r="D3" s="1091">
        <v>3793</v>
      </c>
      <c r="E3" s="1091">
        <v>4808.57</v>
      </c>
      <c r="F3" s="1090">
        <v>0</v>
      </c>
      <c r="G3" s="1091">
        <v>4946.97</v>
      </c>
      <c r="H3" s="1091">
        <v>3654.6</v>
      </c>
      <c r="I3" s="1091">
        <v>8601.57</v>
      </c>
      <c r="J3" s="1107" t="s">
        <v>8535</v>
      </c>
    </row>
    <row r="4" spans="1:10" ht="9.9" customHeight="1">
      <c r="A4" s="1090" t="s">
        <v>2986</v>
      </c>
      <c r="B4" s="1090" t="s">
        <v>2987</v>
      </c>
      <c r="C4" s="1090" t="s">
        <v>8536</v>
      </c>
      <c r="D4" s="1091">
        <v>3540</v>
      </c>
      <c r="E4" s="1090">
        <v>602.92999999999995</v>
      </c>
      <c r="F4" s="1090">
        <v>0</v>
      </c>
      <c r="G4" s="1091">
        <v>3100.94</v>
      </c>
      <c r="H4" s="1091">
        <v>1041.99</v>
      </c>
      <c r="I4" s="1091">
        <v>4142.93</v>
      </c>
      <c r="J4" s="1090" t="s">
        <v>8537</v>
      </c>
    </row>
    <row r="5" spans="1:10" ht="9.9" customHeight="1">
      <c r="A5" s="1090" t="s">
        <v>2405</v>
      </c>
      <c r="B5" s="1090" t="s">
        <v>2992</v>
      </c>
      <c r="C5" s="1090" t="s">
        <v>8538</v>
      </c>
      <c r="D5" s="1090">
        <v>709</v>
      </c>
      <c r="E5" s="1091">
        <v>6019.09</v>
      </c>
      <c r="F5" s="1090">
        <v>0</v>
      </c>
      <c r="G5" s="1091">
        <v>6728.09</v>
      </c>
      <c r="H5" s="1090">
        <v>0</v>
      </c>
      <c r="I5" s="1091">
        <v>6728.09</v>
      </c>
      <c r="J5" s="1107" t="s">
        <v>8539</v>
      </c>
    </row>
    <row r="6" spans="1:10" ht="9.9" customHeight="1">
      <c r="A6" s="1090" t="s">
        <v>1565</v>
      </c>
      <c r="B6" s="1090" t="s">
        <v>2144</v>
      </c>
      <c r="C6" s="1090" t="s">
        <v>8534</v>
      </c>
      <c r="D6" s="1091">
        <v>2791</v>
      </c>
      <c r="E6" s="1091">
        <v>10977.56</v>
      </c>
      <c r="F6" s="1090">
        <v>0</v>
      </c>
      <c r="G6" s="1091">
        <v>13768.56</v>
      </c>
      <c r="H6" s="1090">
        <v>0</v>
      </c>
      <c r="I6" s="1091">
        <v>13768.56</v>
      </c>
      <c r="J6" s="1107" t="s">
        <v>8540</v>
      </c>
    </row>
    <row r="7" spans="1:10" ht="9.9" customHeight="1">
      <c r="A7" s="1090" t="s">
        <v>2409</v>
      </c>
      <c r="B7" s="1090" t="s">
        <v>2410</v>
      </c>
      <c r="C7" s="1090" t="s">
        <v>8541</v>
      </c>
      <c r="D7" s="1091">
        <v>2517</v>
      </c>
      <c r="E7" s="1090">
        <v>573.05999999999995</v>
      </c>
      <c r="F7" s="1090">
        <v>0</v>
      </c>
      <c r="G7" s="1091">
        <v>2054.0700000000002</v>
      </c>
      <c r="H7" s="1091">
        <v>1035.99</v>
      </c>
      <c r="I7" s="1091">
        <v>3090.06</v>
      </c>
      <c r="J7" s="1107" t="s">
        <v>8542</v>
      </c>
    </row>
    <row r="8" spans="1:10" ht="9.9" customHeight="1">
      <c r="A8" s="1090" t="s">
        <v>1522</v>
      </c>
      <c r="B8" s="1090" t="s">
        <v>2151</v>
      </c>
      <c r="C8" s="1090" t="s">
        <v>8534</v>
      </c>
      <c r="D8" s="1091">
        <v>2767</v>
      </c>
      <c r="E8" s="1091">
        <v>6350.59</v>
      </c>
      <c r="F8" s="1090">
        <v>0</v>
      </c>
      <c r="G8" s="1091">
        <v>9117.59</v>
      </c>
      <c r="H8" s="1090">
        <v>0</v>
      </c>
      <c r="I8" s="1091">
        <v>9117.59</v>
      </c>
      <c r="J8" s="1107" t="s">
        <v>8543</v>
      </c>
    </row>
    <row r="9" spans="1:10" ht="9.9" customHeight="1">
      <c r="A9" s="1090" t="s">
        <v>2415</v>
      </c>
      <c r="B9" s="1090" t="s">
        <v>2416</v>
      </c>
      <c r="C9" s="1090" t="s">
        <v>8541</v>
      </c>
      <c r="D9" s="1091">
        <v>4483</v>
      </c>
      <c r="E9" s="1091">
        <v>9311.94</v>
      </c>
      <c r="F9" s="1090">
        <v>0</v>
      </c>
      <c r="G9" s="1091">
        <v>12771.92</v>
      </c>
      <c r="H9" s="1091">
        <v>1023.02</v>
      </c>
      <c r="I9" s="1091">
        <v>13794.94</v>
      </c>
      <c r="J9" s="1107" t="s">
        <v>8544</v>
      </c>
    </row>
    <row r="10" spans="1:10" ht="9.9" customHeight="1">
      <c r="A10" s="1090" t="s">
        <v>2419</v>
      </c>
      <c r="B10" s="1090" t="s">
        <v>2420</v>
      </c>
      <c r="C10" s="1090" t="s">
        <v>8545</v>
      </c>
      <c r="D10" s="1091">
        <v>4750</v>
      </c>
      <c r="E10" s="1091">
        <v>6161.54</v>
      </c>
      <c r="F10" s="1090">
        <v>0</v>
      </c>
      <c r="G10" s="1091">
        <v>9592.52</v>
      </c>
      <c r="H10" s="1091">
        <v>1319.02</v>
      </c>
      <c r="I10" s="1091">
        <v>10911.54</v>
      </c>
      <c r="J10" s="1107" t="s">
        <v>8546</v>
      </c>
    </row>
    <row r="11" spans="1:10" ht="9.9" customHeight="1">
      <c r="A11" s="1090" t="s">
        <v>1571</v>
      </c>
      <c r="B11" s="1090" t="s">
        <v>7202</v>
      </c>
      <c r="C11" s="1090" t="s">
        <v>8534</v>
      </c>
      <c r="D11" s="1090">
        <v>536</v>
      </c>
      <c r="E11" s="1091">
        <v>7608.06</v>
      </c>
      <c r="F11" s="1090">
        <v>0</v>
      </c>
      <c r="G11" s="1091">
        <v>8144.06</v>
      </c>
      <c r="H11" s="1090">
        <v>0</v>
      </c>
      <c r="I11" s="1091">
        <v>8144.06</v>
      </c>
      <c r="J11" s="1107" t="s">
        <v>8547</v>
      </c>
    </row>
    <row r="12" spans="1:10" ht="9.9" customHeight="1">
      <c r="A12" s="1090" t="s">
        <v>2425</v>
      </c>
      <c r="B12" s="1090" t="s">
        <v>2426</v>
      </c>
      <c r="C12" s="1090" t="s">
        <v>8548</v>
      </c>
      <c r="D12" s="1091">
        <v>1280</v>
      </c>
      <c r="E12" s="1090">
        <v>276.89999999999998</v>
      </c>
      <c r="F12" s="1090">
        <v>0</v>
      </c>
      <c r="G12" s="1090">
        <v>0</v>
      </c>
      <c r="H12" s="1091">
        <v>1556.9</v>
      </c>
      <c r="I12" s="1091">
        <v>1556.9</v>
      </c>
      <c r="J12" s="1107" t="s">
        <v>8549</v>
      </c>
    </row>
    <row r="13" spans="1:10" ht="9.9" customHeight="1">
      <c r="A13" s="1090" t="s">
        <v>2431</v>
      </c>
      <c r="B13" s="1090" t="s">
        <v>2432</v>
      </c>
      <c r="C13" s="1090" t="s">
        <v>8536</v>
      </c>
      <c r="D13" s="1091">
        <v>4160</v>
      </c>
      <c r="E13" s="1091">
        <v>1125.42</v>
      </c>
      <c r="F13" s="1090">
        <v>0</v>
      </c>
      <c r="G13" s="1091">
        <v>4260.3999999999996</v>
      </c>
      <c r="H13" s="1091">
        <v>1025.02</v>
      </c>
      <c r="I13" s="1091">
        <v>5285.42</v>
      </c>
      <c r="J13" s="1107" t="s">
        <v>8550</v>
      </c>
    </row>
    <row r="14" spans="1:10" ht="9.9" customHeight="1">
      <c r="A14" s="1090" t="s">
        <v>1534</v>
      </c>
      <c r="B14" s="1090" t="s">
        <v>7209</v>
      </c>
      <c r="C14" s="1090" t="s">
        <v>8534</v>
      </c>
      <c r="D14" s="1090">
        <v>301.64999999999998</v>
      </c>
      <c r="E14" s="1091">
        <v>2652.85</v>
      </c>
      <c r="F14" s="1090">
        <v>0</v>
      </c>
      <c r="G14" s="1091">
        <v>2954.5</v>
      </c>
      <c r="H14" s="1090">
        <v>0</v>
      </c>
      <c r="I14" s="1091">
        <v>2954.5</v>
      </c>
      <c r="J14" s="1107" t="s">
        <v>8551</v>
      </c>
    </row>
    <row r="15" spans="1:10" ht="9.9" customHeight="1">
      <c r="A15" s="1090" t="s">
        <v>1528</v>
      </c>
      <c r="B15" s="1090" t="s">
        <v>2164</v>
      </c>
      <c r="C15" s="1090" t="s">
        <v>8534</v>
      </c>
      <c r="D15" s="1091">
        <v>1903</v>
      </c>
      <c r="E15" s="1091">
        <v>4266.0600000000004</v>
      </c>
      <c r="F15" s="1090">
        <v>0</v>
      </c>
      <c r="G15" s="1091">
        <v>6169.06</v>
      </c>
      <c r="H15" s="1090">
        <v>0</v>
      </c>
      <c r="I15" s="1091">
        <v>6169.06</v>
      </c>
      <c r="J15" s="1107" t="s">
        <v>8552</v>
      </c>
    </row>
    <row r="16" spans="1:10" ht="9.9" customHeight="1">
      <c r="A16" s="1090" t="s">
        <v>1594</v>
      </c>
      <c r="B16" s="1090" t="s">
        <v>7211</v>
      </c>
      <c r="C16" s="1090" t="s">
        <v>2135</v>
      </c>
      <c r="D16" s="1090">
        <v>0</v>
      </c>
      <c r="E16" s="1091">
        <v>3017.32</v>
      </c>
      <c r="F16" s="1090">
        <v>0</v>
      </c>
      <c r="G16" s="1091">
        <v>3017.32</v>
      </c>
      <c r="H16" s="1090">
        <v>0</v>
      </c>
      <c r="I16" s="1091">
        <v>3017.32</v>
      </c>
      <c r="J16" s="1107" t="s">
        <v>8553</v>
      </c>
    </row>
    <row r="17" spans="1:10" ht="9.9" customHeight="1">
      <c r="A17" s="1090" t="s">
        <v>1521</v>
      </c>
      <c r="B17" s="1090" t="s">
        <v>2150</v>
      </c>
      <c r="C17" s="1090" t="s">
        <v>8534</v>
      </c>
      <c r="D17" s="1091">
        <v>2313</v>
      </c>
      <c r="E17" s="1091">
        <v>7169.35</v>
      </c>
      <c r="F17" s="1090">
        <v>0</v>
      </c>
      <c r="G17" s="1091">
        <v>9482.35</v>
      </c>
      <c r="H17" s="1090">
        <v>0</v>
      </c>
      <c r="I17" s="1091">
        <v>9482.35</v>
      </c>
      <c r="J17" s="1107" t="s">
        <v>8554</v>
      </c>
    </row>
    <row r="18" spans="1:10" ht="9.9" customHeight="1">
      <c r="A18" s="1090" t="s">
        <v>2437</v>
      </c>
      <c r="B18" s="1090" t="s">
        <v>2438</v>
      </c>
      <c r="C18" s="1090" t="s">
        <v>8536</v>
      </c>
      <c r="D18" s="1091">
        <v>1139.79</v>
      </c>
      <c r="E18" s="1090">
        <v>413.19</v>
      </c>
      <c r="F18" s="1090">
        <v>0</v>
      </c>
      <c r="G18" s="1090">
        <v>412.99</v>
      </c>
      <c r="H18" s="1091">
        <v>1139.99</v>
      </c>
      <c r="I18" s="1091">
        <v>1552.98</v>
      </c>
      <c r="J18" s="1107" t="s">
        <v>8555</v>
      </c>
    </row>
    <row r="19" spans="1:10" ht="9.9" customHeight="1">
      <c r="A19" s="1090" t="s">
        <v>2941</v>
      </c>
      <c r="B19" s="1090" t="s">
        <v>7212</v>
      </c>
      <c r="C19" s="1090" t="s">
        <v>2135</v>
      </c>
      <c r="D19" s="1090">
        <v>395</v>
      </c>
      <c r="E19" s="1091">
        <v>6390.91</v>
      </c>
      <c r="F19" s="1090">
        <v>0</v>
      </c>
      <c r="G19" s="1090">
        <v>0</v>
      </c>
      <c r="H19" s="1091">
        <v>6785.91</v>
      </c>
      <c r="I19" s="1091">
        <v>6785.91</v>
      </c>
      <c r="J19" s="1107" t="s">
        <v>8556</v>
      </c>
    </row>
    <row r="20" spans="1:10" ht="9.9" customHeight="1">
      <c r="A20" s="1090" t="s">
        <v>1579</v>
      </c>
      <c r="B20" s="1090" t="s">
        <v>7215</v>
      </c>
      <c r="C20" s="1090" t="s">
        <v>8534</v>
      </c>
      <c r="D20" s="1090">
        <v>0</v>
      </c>
      <c r="E20" s="1091">
        <v>1546.51</v>
      </c>
      <c r="F20" s="1090">
        <v>0</v>
      </c>
      <c r="G20" s="1091">
        <v>1546.51</v>
      </c>
      <c r="H20" s="1090">
        <v>0</v>
      </c>
      <c r="I20" s="1091">
        <v>1546.51</v>
      </c>
      <c r="J20" s="1107" t="s">
        <v>8557</v>
      </c>
    </row>
    <row r="21" spans="1:10" ht="9.9" customHeight="1">
      <c r="A21" s="1090" t="s">
        <v>2448</v>
      </c>
      <c r="B21" s="1090" t="s">
        <v>1126</v>
      </c>
      <c r="C21" s="1090" t="s">
        <v>2392</v>
      </c>
      <c r="D21" s="1091">
        <v>1653</v>
      </c>
      <c r="E21" s="1090">
        <v>324.88</v>
      </c>
      <c r="F21" s="1090">
        <v>0</v>
      </c>
      <c r="G21" s="1090">
        <v>0</v>
      </c>
      <c r="H21" s="1091">
        <v>1977.88</v>
      </c>
      <c r="I21" s="1091">
        <v>1977.88</v>
      </c>
      <c r="J21" s="1107" t="s">
        <v>8558</v>
      </c>
    </row>
    <row r="22" spans="1:10" ht="9.9" customHeight="1">
      <c r="A22" s="1090" t="s">
        <v>1573</v>
      </c>
      <c r="B22" s="1090" t="s">
        <v>2157</v>
      </c>
      <c r="C22" s="1090" t="s">
        <v>8538</v>
      </c>
      <c r="D22" s="1091">
        <v>5862</v>
      </c>
      <c r="E22" s="1091">
        <v>7589.87</v>
      </c>
      <c r="F22" s="1090">
        <v>0</v>
      </c>
      <c r="G22" s="1091">
        <v>13451.87</v>
      </c>
      <c r="H22" s="1090">
        <v>0</v>
      </c>
      <c r="I22" s="1091">
        <v>13451.87</v>
      </c>
      <c r="J22" s="1107" t="s">
        <v>8559</v>
      </c>
    </row>
    <row r="23" spans="1:10" ht="9.9" customHeight="1">
      <c r="A23" s="1090" t="s">
        <v>2455</v>
      </c>
      <c r="B23" s="1090" t="s">
        <v>2456</v>
      </c>
      <c r="C23" s="1090" t="s">
        <v>8536</v>
      </c>
      <c r="D23" s="1091">
        <v>3591</v>
      </c>
      <c r="E23" s="1090">
        <v>765.05</v>
      </c>
      <c r="F23" s="1090">
        <v>0</v>
      </c>
      <c r="G23" s="1091">
        <v>2897.1</v>
      </c>
      <c r="H23" s="1091">
        <v>1458.95</v>
      </c>
      <c r="I23" s="1091">
        <v>4356.05</v>
      </c>
      <c r="J23" s="1107" t="s">
        <v>8560</v>
      </c>
    </row>
    <row r="24" spans="1:10" ht="9.9" customHeight="1">
      <c r="A24" s="1090" t="s">
        <v>2462</v>
      </c>
      <c r="B24" s="1090" t="s">
        <v>2463</v>
      </c>
      <c r="C24" s="1090" t="s">
        <v>8561</v>
      </c>
      <c r="D24" s="1091">
        <v>2350</v>
      </c>
      <c r="E24" s="1090">
        <v>470.45</v>
      </c>
      <c r="F24" s="1090">
        <v>0</v>
      </c>
      <c r="G24" s="1091">
        <v>1404.5</v>
      </c>
      <c r="H24" s="1091">
        <v>1415.95</v>
      </c>
      <c r="I24" s="1091">
        <v>2820.45</v>
      </c>
      <c r="J24" s="1107" t="s">
        <v>8562</v>
      </c>
    </row>
    <row r="25" spans="1:10" ht="9.9" customHeight="1">
      <c r="A25" s="1090" t="s">
        <v>2466</v>
      </c>
      <c r="B25" s="1090" t="s">
        <v>2467</v>
      </c>
      <c r="C25" s="1090" t="s">
        <v>8541</v>
      </c>
      <c r="D25" s="1091">
        <v>1862</v>
      </c>
      <c r="E25" s="1090">
        <v>461.2</v>
      </c>
      <c r="F25" s="1090">
        <v>0</v>
      </c>
      <c r="G25" s="1091">
        <v>1153.27</v>
      </c>
      <c r="H25" s="1091">
        <v>1169.93</v>
      </c>
      <c r="I25" s="1091">
        <v>2323.1999999999998</v>
      </c>
      <c r="J25" s="1107" t="s">
        <v>8563</v>
      </c>
    </row>
    <row r="26" spans="1:10" ht="9.9" customHeight="1">
      <c r="A26" s="1090" t="s">
        <v>1593</v>
      </c>
      <c r="B26" s="1090" t="s">
        <v>7220</v>
      </c>
      <c r="C26" s="1090" t="s">
        <v>8534</v>
      </c>
      <c r="D26" s="1090">
        <v>478</v>
      </c>
      <c r="E26" s="1091">
        <v>3334.63</v>
      </c>
      <c r="F26" s="1090">
        <v>0</v>
      </c>
      <c r="G26" s="1091">
        <v>3812.63</v>
      </c>
      <c r="H26" s="1090">
        <v>0</v>
      </c>
      <c r="I26" s="1091">
        <v>3812.63</v>
      </c>
      <c r="J26" s="1107" t="s">
        <v>8564</v>
      </c>
    </row>
    <row r="27" spans="1:10" ht="9.9" customHeight="1">
      <c r="A27" s="1090" t="s">
        <v>2472</v>
      </c>
      <c r="B27" s="1090" t="s">
        <v>2473</v>
      </c>
      <c r="C27" s="1090" t="s">
        <v>8536</v>
      </c>
      <c r="D27" s="1091">
        <v>3920</v>
      </c>
      <c r="E27" s="1090">
        <v>786.16</v>
      </c>
      <c r="F27" s="1090">
        <v>0</v>
      </c>
      <c r="G27" s="1091">
        <v>3728.17</v>
      </c>
      <c r="H27" s="1090">
        <v>977.99</v>
      </c>
      <c r="I27" s="1091">
        <v>4706.16</v>
      </c>
      <c r="J27" s="1107" t="s">
        <v>8565</v>
      </c>
    </row>
    <row r="28" spans="1:10" ht="9.9" customHeight="1">
      <c r="A28" s="1090" t="s">
        <v>2476</v>
      </c>
      <c r="B28" s="1090" t="s">
        <v>2477</v>
      </c>
      <c r="C28" s="1090" t="s">
        <v>2392</v>
      </c>
      <c r="D28" s="1091">
        <v>1363</v>
      </c>
      <c r="E28" s="1090">
        <v>234.95</v>
      </c>
      <c r="F28" s="1090">
        <v>0</v>
      </c>
      <c r="G28" s="1090">
        <v>0</v>
      </c>
      <c r="H28" s="1091">
        <v>1597.95</v>
      </c>
      <c r="I28" s="1091">
        <v>1597.95</v>
      </c>
      <c r="J28" s="1107" t="s">
        <v>8566</v>
      </c>
    </row>
    <row r="29" spans="1:10" ht="9.9" customHeight="1">
      <c r="A29" s="1090" t="s">
        <v>6281</v>
      </c>
      <c r="B29" s="1090" t="s">
        <v>7222</v>
      </c>
      <c r="C29" s="1090" t="s">
        <v>8534</v>
      </c>
      <c r="D29" s="1090">
        <v>0</v>
      </c>
      <c r="E29" s="1091">
        <v>3911.69</v>
      </c>
      <c r="F29" s="1090">
        <v>0</v>
      </c>
      <c r="G29" s="1090">
        <v>0</v>
      </c>
      <c r="H29" s="1091">
        <v>3911.69</v>
      </c>
      <c r="I29" s="1091">
        <v>3911.69</v>
      </c>
      <c r="J29" s="1107" t="s">
        <v>8567</v>
      </c>
    </row>
    <row r="30" spans="1:10" ht="9.9" customHeight="1">
      <c r="A30" s="1090" t="s">
        <v>2487</v>
      </c>
      <c r="B30" s="1090" t="s">
        <v>1130</v>
      </c>
      <c r="C30" s="1090" t="s">
        <v>2392</v>
      </c>
      <c r="D30" s="1091">
        <v>1351</v>
      </c>
      <c r="E30" s="1090">
        <v>269.95999999999998</v>
      </c>
      <c r="F30" s="1090">
        <v>0</v>
      </c>
      <c r="G30" s="1090">
        <v>0</v>
      </c>
      <c r="H30" s="1091">
        <v>1620.96</v>
      </c>
      <c r="I30" s="1091">
        <v>1620.96</v>
      </c>
      <c r="J30" s="1107" t="s">
        <v>8568</v>
      </c>
    </row>
    <row r="31" spans="1:10" ht="9.9" customHeight="1">
      <c r="A31" s="1090" t="s">
        <v>2488</v>
      </c>
      <c r="B31" s="1090" t="s">
        <v>2489</v>
      </c>
      <c r="C31" s="1090" t="s">
        <v>8536</v>
      </c>
      <c r="D31" s="1091">
        <v>3885</v>
      </c>
      <c r="E31" s="1090">
        <v>832.6</v>
      </c>
      <c r="F31" s="1090">
        <v>0</v>
      </c>
      <c r="G31" s="1091">
        <v>3175.34</v>
      </c>
      <c r="H31" s="1091">
        <v>1542.26</v>
      </c>
      <c r="I31" s="1091">
        <v>4717.6000000000004</v>
      </c>
      <c r="J31" s="1107" t="s">
        <v>8569</v>
      </c>
    </row>
    <row r="32" spans="1:10" ht="9.9" customHeight="1">
      <c r="A32" s="1090" t="s">
        <v>1945</v>
      </c>
      <c r="B32" s="1090" t="s">
        <v>2143</v>
      </c>
      <c r="C32" s="1090" t="s">
        <v>8538</v>
      </c>
      <c r="D32" s="1091">
        <v>1873</v>
      </c>
      <c r="E32" s="1091">
        <v>7511.23</v>
      </c>
      <c r="F32" s="1090">
        <v>0</v>
      </c>
      <c r="G32" s="1091">
        <v>9384.23</v>
      </c>
      <c r="H32" s="1090">
        <v>0</v>
      </c>
      <c r="I32" s="1091">
        <v>9384.23</v>
      </c>
      <c r="J32" s="1090" t="s">
        <v>8570</v>
      </c>
    </row>
    <row r="33" spans="1:10" ht="9.9" customHeight="1">
      <c r="A33" s="1090" t="s">
        <v>2493</v>
      </c>
      <c r="B33" s="1090" t="s">
        <v>1136</v>
      </c>
      <c r="C33" s="1090" t="s">
        <v>8536</v>
      </c>
      <c r="D33" s="1091">
        <v>6475</v>
      </c>
      <c r="E33" s="1091">
        <v>6076.61</v>
      </c>
      <c r="F33" s="1090">
        <v>0</v>
      </c>
      <c r="G33" s="1091">
        <v>11003.35</v>
      </c>
      <c r="H33" s="1091">
        <v>1548.26</v>
      </c>
      <c r="I33" s="1091">
        <v>12551.61</v>
      </c>
      <c r="J33" s="1107" t="s">
        <v>8571</v>
      </c>
    </row>
    <row r="34" spans="1:10" ht="9.9" customHeight="1">
      <c r="A34" s="1090" t="s">
        <v>1525</v>
      </c>
      <c r="B34" s="1090" t="s">
        <v>2152</v>
      </c>
      <c r="C34" s="1090" t="s">
        <v>8534</v>
      </c>
      <c r="D34" s="1091">
        <v>3188</v>
      </c>
      <c r="E34" s="1091">
        <v>4564.3</v>
      </c>
      <c r="F34" s="1090">
        <v>0</v>
      </c>
      <c r="G34" s="1091">
        <v>7752.3</v>
      </c>
      <c r="H34" s="1090">
        <v>0</v>
      </c>
      <c r="I34" s="1091">
        <v>7752.3</v>
      </c>
      <c r="J34" s="1107" t="s">
        <v>8572</v>
      </c>
    </row>
    <row r="35" spans="1:10" ht="9.9" customHeight="1">
      <c r="A35" s="1090" t="s">
        <v>2500</v>
      </c>
      <c r="B35" s="1090" t="s">
        <v>2501</v>
      </c>
      <c r="C35" s="1090" t="s">
        <v>8536</v>
      </c>
      <c r="D35" s="1091">
        <v>1140</v>
      </c>
      <c r="E35" s="1090">
        <v>684.7</v>
      </c>
      <c r="F35" s="1090">
        <v>0</v>
      </c>
      <c r="G35" s="1090">
        <v>206.88</v>
      </c>
      <c r="H35" s="1091">
        <v>1617.82</v>
      </c>
      <c r="I35" s="1091">
        <v>1824.7</v>
      </c>
      <c r="J35" s="1107" t="s">
        <v>8573</v>
      </c>
    </row>
    <row r="36" spans="1:10" ht="9.9" customHeight="1">
      <c r="A36" s="1090" t="s">
        <v>1529</v>
      </c>
      <c r="B36" s="1090" t="s">
        <v>2155</v>
      </c>
      <c r="C36" s="1090" t="s">
        <v>8534</v>
      </c>
      <c r="D36" s="1091">
        <v>2083</v>
      </c>
      <c r="E36" s="1091">
        <v>3893.83</v>
      </c>
      <c r="F36" s="1090">
        <v>0</v>
      </c>
      <c r="G36" s="1091">
        <v>5976.83</v>
      </c>
      <c r="H36" s="1090">
        <v>0</v>
      </c>
      <c r="I36" s="1091">
        <v>5976.83</v>
      </c>
      <c r="J36" s="1107" t="s">
        <v>8552</v>
      </c>
    </row>
    <row r="37" spans="1:10" ht="9.9" customHeight="1">
      <c r="A37" s="1090" t="s">
        <v>2146</v>
      </c>
      <c r="B37" s="1090" t="s">
        <v>2145</v>
      </c>
      <c r="C37" s="1090" t="s">
        <v>8538</v>
      </c>
      <c r="D37" s="1090">
        <v>48</v>
      </c>
      <c r="E37" s="1091">
        <v>5705.39</v>
      </c>
      <c r="F37" s="1090">
        <v>0</v>
      </c>
      <c r="G37" s="1091">
        <v>5753.39</v>
      </c>
      <c r="H37" s="1090">
        <v>0</v>
      </c>
      <c r="I37" s="1091">
        <v>5753.39</v>
      </c>
      <c r="J37" s="1107" t="s">
        <v>8574</v>
      </c>
    </row>
    <row r="38" spans="1:10" ht="9.9" customHeight="1">
      <c r="A38" s="1090" t="s">
        <v>2509</v>
      </c>
      <c r="B38" s="1090" t="s">
        <v>1122</v>
      </c>
      <c r="C38" s="1090" t="s">
        <v>2392</v>
      </c>
      <c r="D38" s="1091">
        <v>3334.4</v>
      </c>
      <c r="E38" s="1090">
        <v>564.67999999999995</v>
      </c>
      <c r="F38" s="1090">
        <v>0</v>
      </c>
      <c r="G38" s="1091">
        <v>3849.08</v>
      </c>
      <c r="H38" s="1090">
        <v>50</v>
      </c>
      <c r="I38" s="1091">
        <v>3899.08</v>
      </c>
      <c r="J38" s="1107" t="s">
        <v>8575</v>
      </c>
    </row>
    <row r="39" spans="1:10" ht="9.9" customHeight="1">
      <c r="A39" s="1090" t="s">
        <v>1574</v>
      </c>
      <c r="B39" s="1090" t="s">
        <v>7226</v>
      </c>
      <c r="C39" s="1090" t="s">
        <v>8534</v>
      </c>
      <c r="D39" s="1090">
        <v>766</v>
      </c>
      <c r="E39" s="1091">
        <v>5689.43</v>
      </c>
      <c r="F39" s="1090">
        <v>0</v>
      </c>
      <c r="G39" s="1091">
        <v>6455.43</v>
      </c>
      <c r="H39" s="1090">
        <v>0</v>
      </c>
      <c r="I39" s="1091">
        <v>6455.43</v>
      </c>
      <c r="J39" s="1107" t="s">
        <v>8576</v>
      </c>
    </row>
    <row r="40" spans="1:10" ht="9.9" customHeight="1">
      <c r="A40" s="1090" t="s">
        <v>1568</v>
      </c>
      <c r="B40" s="1090" t="s">
        <v>7227</v>
      </c>
      <c r="C40" s="1090" t="s">
        <v>8534</v>
      </c>
      <c r="D40" s="1091">
        <v>2359.5</v>
      </c>
      <c r="E40" s="1091">
        <v>6042.74</v>
      </c>
      <c r="F40" s="1090">
        <v>0</v>
      </c>
      <c r="G40" s="1091">
        <v>8402.24</v>
      </c>
      <c r="H40" s="1090">
        <v>0</v>
      </c>
      <c r="I40" s="1091">
        <v>8402.24</v>
      </c>
      <c r="J40" s="1107" t="s">
        <v>8577</v>
      </c>
    </row>
    <row r="41" spans="1:10" ht="9.9" customHeight="1">
      <c r="A41" s="1090" t="s">
        <v>1569</v>
      </c>
      <c r="B41" s="1090" t="s">
        <v>2154</v>
      </c>
      <c r="C41" s="1090" t="s">
        <v>8534</v>
      </c>
      <c r="D41" s="1091">
        <v>3176</v>
      </c>
      <c r="E41" s="1091">
        <v>5200.2</v>
      </c>
      <c r="F41" s="1090">
        <v>0</v>
      </c>
      <c r="G41" s="1091">
        <v>8376.2000000000007</v>
      </c>
      <c r="H41" s="1090">
        <v>0</v>
      </c>
      <c r="I41" s="1091">
        <v>8376.2000000000007</v>
      </c>
      <c r="J41" s="1107" t="s">
        <v>8578</v>
      </c>
    </row>
    <row r="42" spans="1:10" ht="9.9" customHeight="1">
      <c r="A42" s="1090" t="s">
        <v>1524</v>
      </c>
      <c r="B42" s="1090" t="s">
        <v>1094</v>
      </c>
      <c r="C42" s="1090" t="s">
        <v>8534</v>
      </c>
      <c r="D42" s="1090">
        <v>703</v>
      </c>
      <c r="E42" s="1091">
        <v>1221.33</v>
      </c>
      <c r="F42" s="1090">
        <v>0</v>
      </c>
      <c r="G42" s="1091">
        <v>1924.33</v>
      </c>
      <c r="H42" s="1090">
        <v>0</v>
      </c>
      <c r="I42" s="1091">
        <v>1924.33</v>
      </c>
      <c r="J42" s="1107" t="s">
        <v>8579</v>
      </c>
    </row>
    <row r="43" spans="1:10" ht="9.9" customHeight="1">
      <c r="A43" s="1090" t="s">
        <v>1581</v>
      </c>
      <c r="B43" s="1090" t="s">
        <v>7237</v>
      </c>
      <c r="C43" s="1090" t="s">
        <v>2135</v>
      </c>
      <c r="D43" s="1090">
        <v>0</v>
      </c>
      <c r="E43" s="1091">
        <v>2084.2600000000002</v>
      </c>
      <c r="F43" s="1090">
        <v>0</v>
      </c>
      <c r="G43" s="1091">
        <v>2084.2600000000002</v>
      </c>
      <c r="H43" s="1090">
        <v>0</v>
      </c>
      <c r="I43" s="1091">
        <v>2084.2600000000002</v>
      </c>
      <c r="J43" s="1107" t="s">
        <v>8580</v>
      </c>
    </row>
    <row r="44" spans="1:10" ht="9.9" customHeight="1">
      <c r="A44" s="1090" t="s">
        <v>1572</v>
      </c>
      <c r="B44" s="1090" t="s">
        <v>2153</v>
      </c>
      <c r="C44" s="1090" t="s">
        <v>8534</v>
      </c>
      <c r="D44" s="1091">
        <v>2919</v>
      </c>
      <c r="E44" s="1091">
        <v>4248.71</v>
      </c>
      <c r="F44" s="1090">
        <v>0</v>
      </c>
      <c r="G44" s="1091">
        <v>7167.71</v>
      </c>
      <c r="H44" s="1090">
        <v>0</v>
      </c>
      <c r="I44" s="1091">
        <v>7167.71</v>
      </c>
      <c r="J44" s="1107" t="s">
        <v>8581</v>
      </c>
    </row>
    <row r="45" spans="1:10" ht="9.9" customHeight="1">
      <c r="A45" s="1090" t="s">
        <v>1570</v>
      </c>
      <c r="B45" s="1090" t="s">
        <v>1091</v>
      </c>
      <c r="C45" s="1090" t="s">
        <v>8534</v>
      </c>
      <c r="D45" s="1091">
        <v>4286.04</v>
      </c>
      <c r="E45" s="1091">
        <v>4068.03</v>
      </c>
      <c r="F45" s="1090">
        <v>0</v>
      </c>
      <c r="G45" s="1091">
        <v>8354.07</v>
      </c>
      <c r="H45" s="1090">
        <v>0</v>
      </c>
      <c r="I45" s="1091">
        <v>8354.07</v>
      </c>
      <c r="J45" s="1107" t="s">
        <v>8582</v>
      </c>
    </row>
    <row r="46" spans="1:10" ht="9.9" customHeight="1">
      <c r="A46" s="1090" t="s">
        <v>2539</v>
      </c>
      <c r="B46" s="1090" t="s">
        <v>2540</v>
      </c>
      <c r="C46" s="1090" t="s">
        <v>2392</v>
      </c>
      <c r="D46" s="1091">
        <v>1738</v>
      </c>
      <c r="E46" s="1090">
        <v>402.88</v>
      </c>
      <c r="F46" s="1090">
        <v>0</v>
      </c>
      <c r="G46" s="1090">
        <v>0</v>
      </c>
      <c r="H46" s="1091">
        <v>2140.88</v>
      </c>
      <c r="I46" s="1091">
        <v>2140.88</v>
      </c>
      <c r="J46" s="1107" t="s">
        <v>8583</v>
      </c>
    </row>
    <row r="47" spans="1:10" ht="9.9" customHeight="1">
      <c r="A47" s="1090" t="s">
        <v>2543</v>
      </c>
      <c r="B47" s="1090" t="s">
        <v>2544</v>
      </c>
      <c r="C47" s="1090" t="s">
        <v>8534</v>
      </c>
      <c r="D47" s="1090">
        <v>0</v>
      </c>
      <c r="E47" s="1091">
        <v>5217.46</v>
      </c>
      <c r="F47" s="1090">
        <v>0</v>
      </c>
      <c r="G47" s="1090">
        <v>549.91</v>
      </c>
      <c r="H47" s="1091">
        <v>4667.55</v>
      </c>
      <c r="I47" s="1091">
        <v>5217.46</v>
      </c>
      <c r="J47" s="1107" t="s">
        <v>8584</v>
      </c>
    </row>
    <row r="48" spans="1:10" ht="9.9" customHeight="1">
      <c r="A48" s="1090" t="s">
        <v>2550</v>
      </c>
      <c r="B48" s="1090" t="s">
        <v>2551</v>
      </c>
      <c r="C48" s="1090" t="s">
        <v>8534</v>
      </c>
      <c r="D48" s="1091">
        <v>4646</v>
      </c>
      <c r="E48" s="1091">
        <v>7445.67</v>
      </c>
      <c r="F48" s="1090">
        <v>0</v>
      </c>
      <c r="G48" s="1091">
        <v>5828.94</v>
      </c>
      <c r="H48" s="1091">
        <v>6262.73</v>
      </c>
      <c r="I48" s="1091">
        <v>12091.67</v>
      </c>
      <c r="J48" s="1107" t="s">
        <v>8585</v>
      </c>
    </row>
    <row r="49" spans="1:10" ht="9.9" customHeight="1">
      <c r="A49" s="1090" t="s">
        <v>2141</v>
      </c>
      <c r="B49" s="1090" t="s">
        <v>2140</v>
      </c>
      <c r="C49" s="1090" t="s">
        <v>8534</v>
      </c>
      <c r="D49" s="1091">
        <v>2478</v>
      </c>
      <c r="E49" s="1091">
        <v>8351.9</v>
      </c>
      <c r="F49" s="1090">
        <v>0</v>
      </c>
      <c r="G49" s="1091">
        <v>10829.9</v>
      </c>
      <c r="H49" s="1090">
        <v>0</v>
      </c>
      <c r="I49" s="1091">
        <v>10829.9</v>
      </c>
      <c r="J49" s="1107" t="s">
        <v>8586</v>
      </c>
    </row>
    <row r="50" spans="1:10" ht="9.9" customHeight="1">
      <c r="A50" s="1090" t="s">
        <v>2124</v>
      </c>
      <c r="B50" s="1090" t="s">
        <v>2123</v>
      </c>
      <c r="C50" s="1090" t="s">
        <v>8538</v>
      </c>
      <c r="D50" s="1091">
        <v>2115</v>
      </c>
      <c r="E50" s="1091">
        <v>10598.45</v>
      </c>
      <c r="F50" s="1090">
        <v>0</v>
      </c>
      <c r="G50" s="1091">
        <v>12713.45</v>
      </c>
      <c r="H50" s="1090">
        <v>0</v>
      </c>
      <c r="I50" s="1091">
        <v>12713.45</v>
      </c>
      <c r="J50" s="1107" t="s">
        <v>8587</v>
      </c>
    </row>
    <row r="51" spans="1:10" ht="9.9" customHeight="1">
      <c r="A51" s="1090" t="s">
        <v>2129</v>
      </c>
      <c r="B51" s="1090" t="s">
        <v>2128</v>
      </c>
      <c r="C51" s="1090" t="s">
        <v>8534</v>
      </c>
      <c r="D51" s="1091">
        <v>3600</v>
      </c>
      <c r="E51" s="1091">
        <v>7692.26</v>
      </c>
      <c r="F51" s="1090">
        <v>0</v>
      </c>
      <c r="G51" s="1091">
        <v>11292.26</v>
      </c>
      <c r="H51" s="1090">
        <v>0</v>
      </c>
      <c r="I51" s="1091">
        <v>11292.26</v>
      </c>
      <c r="J51" s="1107" t="s">
        <v>8588</v>
      </c>
    </row>
    <row r="52" spans="1:10" ht="9.9" customHeight="1">
      <c r="A52" s="1090" t="s">
        <v>2558</v>
      </c>
      <c r="B52" s="1090" t="s">
        <v>2559</v>
      </c>
      <c r="C52" s="1090" t="s">
        <v>2392</v>
      </c>
      <c r="D52" s="1091">
        <v>2566</v>
      </c>
      <c r="E52" s="1090">
        <v>433.63</v>
      </c>
      <c r="F52" s="1090">
        <v>0</v>
      </c>
      <c r="G52" s="1091">
        <v>1269</v>
      </c>
      <c r="H52" s="1091">
        <v>1730.63</v>
      </c>
      <c r="I52" s="1091">
        <v>2999.63</v>
      </c>
      <c r="J52" s="1107" t="s">
        <v>8589</v>
      </c>
    </row>
    <row r="53" spans="1:10" ht="9.9" customHeight="1">
      <c r="A53" s="1090" t="s">
        <v>1517</v>
      </c>
      <c r="B53" s="1090" t="s">
        <v>2117</v>
      </c>
      <c r="C53" s="1090" t="s">
        <v>8534</v>
      </c>
      <c r="D53" s="1090">
        <v>564</v>
      </c>
      <c r="E53" s="1091">
        <v>1801.87</v>
      </c>
      <c r="F53" s="1090">
        <v>0</v>
      </c>
      <c r="G53" s="1091">
        <v>2365.87</v>
      </c>
      <c r="H53" s="1090">
        <v>0</v>
      </c>
      <c r="I53" s="1091">
        <v>2365.87</v>
      </c>
      <c r="J53" s="1107" t="s">
        <v>8590</v>
      </c>
    </row>
    <row r="54" spans="1:10" ht="9.9" customHeight="1">
      <c r="A54" s="1090" t="s">
        <v>2176</v>
      </c>
      <c r="B54" s="1090" t="s">
        <v>2175</v>
      </c>
      <c r="C54" s="1090" t="s">
        <v>2135</v>
      </c>
      <c r="D54" s="1090">
        <v>0</v>
      </c>
      <c r="E54" s="1091">
        <v>3846.54</v>
      </c>
      <c r="F54" s="1090">
        <v>0</v>
      </c>
      <c r="G54" s="1091">
        <v>3846.54</v>
      </c>
      <c r="H54" s="1090">
        <v>0</v>
      </c>
      <c r="I54" s="1091">
        <v>3846.54</v>
      </c>
      <c r="J54" s="1107" t="s">
        <v>8591</v>
      </c>
    </row>
    <row r="55" spans="1:10" ht="9.9" customHeight="1">
      <c r="A55" s="1090" t="s">
        <v>2572</v>
      </c>
      <c r="B55" s="1090" t="s">
        <v>2573</v>
      </c>
      <c r="C55" s="1090" t="s">
        <v>8536</v>
      </c>
      <c r="D55" s="1091">
        <v>2576</v>
      </c>
      <c r="E55" s="1090">
        <v>408.9</v>
      </c>
      <c r="F55" s="1090">
        <v>0</v>
      </c>
      <c r="G55" s="1091">
        <v>1493.9</v>
      </c>
      <c r="H55" s="1091">
        <v>1491</v>
      </c>
      <c r="I55" s="1091">
        <v>2984.9</v>
      </c>
      <c r="J55" s="1107" t="s">
        <v>8592</v>
      </c>
    </row>
    <row r="56" spans="1:10" ht="9.9" customHeight="1">
      <c r="A56" s="1090" t="s">
        <v>1578</v>
      </c>
      <c r="B56" s="1090" t="s">
        <v>7245</v>
      </c>
      <c r="C56" s="1090" t="s">
        <v>2135</v>
      </c>
      <c r="D56" s="1090">
        <v>628</v>
      </c>
      <c r="E56" s="1090">
        <v>931.56</v>
      </c>
      <c r="F56" s="1090">
        <v>0</v>
      </c>
      <c r="G56" s="1091">
        <v>1559.56</v>
      </c>
      <c r="H56" s="1090">
        <v>0</v>
      </c>
      <c r="I56" s="1091">
        <v>1559.56</v>
      </c>
      <c r="J56" s="1107" t="s">
        <v>8593</v>
      </c>
    </row>
    <row r="57" spans="1:10" ht="9.9" customHeight="1">
      <c r="A57" s="1090" t="s">
        <v>2576</v>
      </c>
      <c r="B57" s="1090" t="s">
        <v>2577</v>
      </c>
      <c r="C57" s="1090" t="s">
        <v>8541</v>
      </c>
      <c r="D57" s="1091">
        <v>3499</v>
      </c>
      <c r="E57" s="1090">
        <v>933.89</v>
      </c>
      <c r="F57" s="1090">
        <v>0</v>
      </c>
      <c r="G57" s="1091">
        <v>3148.38</v>
      </c>
      <c r="H57" s="1091">
        <v>1284.51</v>
      </c>
      <c r="I57" s="1091">
        <v>4432.8900000000003</v>
      </c>
      <c r="J57" s="1107" t="s">
        <v>8594</v>
      </c>
    </row>
    <row r="58" spans="1:10" ht="9.9" customHeight="1">
      <c r="A58" s="1090" t="s">
        <v>2581</v>
      </c>
      <c r="B58" s="1090" t="s">
        <v>2582</v>
      </c>
      <c r="C58" s="1090" t="s">
        <v>8561</v>
      </c>
      <c r="D58" s="1091">
        <v>5200</v>
      </c>
      <c r="E58" s="1091">
        <v>5240.1499999999996</v>
      </c>
      <c r="F58" s="1090">
        <v>0</v>
      </c>
      <c r="G58" s="1091">
        <v>9185.4699999999993</v>
      </c>
      <c r="H58" s="1091">
        <v>1254.68</v>
      </c>
      <c r="I58" s="1091">
        <v>10440.15</v>
      </c>
      <c r="J58" s="1107" t="s">
        <v>8595</v>
      </c>
    </row>
    <row r="59" spans="1:10" ht="9.9" customHeight="1">
      <c r="A59" s="1090" t="s">
        <v>1575</v>
      </c>
      <c r="B59" s="1090" t="s">
        <v>2166</v>
      </c>
      <c r="C59" s="1090" t="s">
        <v>8534</v>
      </c>
      <c r="D59" s="1091">
        <v>2254</v>
      </c>
      <c r="E59" s="1091">
        <v>4089.01</v>
      </c>
      <c r="F59" s="1090">
        <v>0</v>
      </c>
      <c r="G59" s="1091">
        <v>6343.01</v>
      </c>
      <c r="H59" s="1090">
        <v>0</v>
      </c>
      <c r="I59" s="1091">
        <v>6343.01</v>
      </c>
      <c r="J59" s="1107" t="s">
        <v>8596</v>
      </c>
    </row>
    <row r="60" spans="1:10" ht="9.9" customHeight="1">
      <c r="A60" s="1090" t="s">
        <v>6651</v>
      </c>
      <c r="B60" s="1090" t="s">
        <v>1110</v>
      </c>
      <c r="C60" s="1090" t="s">
        <v>8538</v>
      </c>
      <c r="D60" s="1091">
        <v>5193</v>
      </c>
      <c r="E60" s="1091">
        <v>33611.339999999997</v>
      </c>
      <c r="F60" s="1090">
        <v>0</v>
      </c>
      <c r="G60" s="1091">
        <v>33542.089999999997</v>
      </c>
      <c r="H60" s="1091">
        <v>5262.25</v>
      </c>
      <c r="I60" s="1091">
        <v>38804.339999999997</v>
      </c>
      <c r="J60" s="1090" t="s">
        <v>8597</v>
      </c>
    </row>
    <row r="61" spans="1:10" ht="9.9" customHeight="1">
      <c r="A61" s="1090" t="s">
        <v>2589</v>
      </c>
      <c r="B61" s="1090" t="s">
        <v>1114</v>
      </c>
      <c r="C61" s="1090" t="s">
        <v>8534</v>
      </c>
      <c r="D61" s="1091">
        <v>2897</v>
      </c>
      <c r="E61" s="1091">
        <v>6107.69</v>
      </c>
      <c r="F61" s="1090">
        <v>0</v>
      </c>
      <c r="G61" s="1091">
        <v>3597.08</v>
      </c>
      <c r="H61" s="1091">
        <v>5407.61</v>
      </c>
      <c r="I61" s="1091">
        <v>9004.69</v>
      </c>
      <c r="J61" s="1107" t="s">
        <v>8598</v>
      </c>
    </row>
    <row r="62" spans="1:10" ht="9.9" customHeight="1">
      <c r="A62" s="1090" t="s">
        <v>1566</v>
      </c>
      <c r="B62" s="1090" t="s">
        <v>2167</v>
      </c>
      <c r="C62" s="1090" t="s">
        <v>8534</v>
      </c>
      <c r="D62" s="1091">
        <v>3232</v>
      </c>
      <c r="E62" s="1091">
        <v>10198.36</v>
      </c>
      <c r="F62" s="1090">
        <v>0</v>
      </c>
      <c r="G62" s="1091">
        <v>13430.36</v>
      </c>
      <c r="H62" s="1090">
        <v>0</v>
      </c>
      <c r="I62" s="1091">
        <v>13430.36</v>
      </c>
      <c r="J62" s="1107" t="s">
        <v>8599</v>
      </c>
    </row>
    <row r="63" spans="1:10" ht="9.9" customHeight="1">
      <c r="A63" s="1090" t="s">
        <v>1537</v>
      </c>
      <c r="B63" s="1090" t="s">
        <v>7251</v>
      </c>
      <c r="C63" s="1090" t="s">
        <v>8534</v>
      </c>
      <c r="D63" s="1090">
        <v>0</v>
      </c>
      <c r="E63" s="1091">
        <v>1682.16</v>
      </c>
      <c r="F63" s="1090">
        <v>0</v>
      </c>
      <c r="G63" s="1091">
        <v>1682.16</v>
      </c>
      <c r="H63" s="1090">
        <v>0</v>
      </c>
      <c r="I63" s="1091">
        <v>1682.16</v>
      </c>
      <c r="J63" s="1107" t="s">
        <v>8600</v>
      </c>
    </row>
    <row r="64" spans="1:10" ht="9.9" customHeight="1">
      <c r="A64" s="1090" t="s">
        <v>1533</v>
      </c>
      <c r="B64" s="1090" t="s">
        <v>7252</v>
      </c>
      <c r="C64" s="1090" t="s">
        <v>8534</v>
      </c>
      <c r="D64" s="1091">
        <v>1249</v>
      </c>
      <c r="E64" s="1091">
        <v>2715.02</v>
      </c>
      <c r="F64" s="1090">
        <v>0</v>
      </c>
      <c r="G64" s="1091">
        <v>3964.02</v>
      </c>
      <c r="H64" s="1090">
        <v>0</v>
      </c>
      <c r="I64" s="1091">
        <v>3964.02</v>
      </c>
      <c r="J64" s="1107" t="s">
        <v>8601</v>
      </c>
    </row>
    <row r="65" spans="1:10" ht="9.9" customHeight="1">
      <c r="A65" s="1090" t="s">
        <v>1582</v>
      </c>
      <c r="B65" s="1090" t="s">
        <v>3102</v>
      </c>
      <c r="C65" s="1090" t="s">
        <v>2135</v>
      </c>
      <c r="D65" s="1090">
        <v>0</v>
      </c>
      <c r="E65" s="1091">
        <v>1697.22</v>
      </c>
      <c r="F65" s="1090">
        <v>0</v>
      </c>
      <c r="G65" s="1091">
        <v>1697.22</v>
      </c>
      <c r="H65" s="1090">
        <v>0</v>
      </c>
      <c r="I65" s="1091">
        <v>1697.22</v>
      </c>
      <c r="J65" s="1107" t="s">
        <v>8602</v>
      </c>
    </row>
    <row r="66" spans="1:10" ht="9.9" customHeight="1">
      <c r="A66" s="1090" t="s">
        <v>2599</v>
      </c>
      <c r="B66" s="1090" t="s">
        <v>2600</v>
      </c>
      <c r="C66" s="1090" t="s">
        <v>8534</v>
      </c>
      <c r="D66" s="1091">
        <v>4097</v>
      </c>
      <c r="E66" s="1091">
        <v>9201.52</v>
      </c>
      <c r="F66" s="1090">
        <v>0</v>
      </c>
      <c r="G66" s="1091">
        <v>8468.5499999999993</v>
      </c>
      <c r="H66" s="1091">
        <v>4829.97</v>
      </c>
      <c r="I66" s="1091">
        <v>13298.52</v>
      </c>
      <c r="J66" s="1107" t="s">
        <v>8603</v>
      </c>
    </row>
    <row r="67" spans="1:10" ht="9.9" customHeight="1">
      <c r="A67" s="1090" t="s">
        <v>6298</v>
      </c>
      <c r="B67" s="1090" t="s">
        <v>7254</v>
      </c>
      <c r="C67" s="1090" t="s">
        <v>8534</v>
      </c>
      <c r="D67" s="1091">
        <v>3842</v>
      </c>
      <c r="E67" s="1091">
        <v>7017.21</v>
      </c>
      <c r="F67" s="1090">
        <v>0</v>
      </c>
      <c r="G67" s="1091">
        <v>7142.71</v>
      </c>
      <c r="H67" s="1091">
        <v>3716.5</v>
      </c>
      <c r="I67" s="1091">
        <v>10859.21</v>
      </c>
      <c r="J67" s="1107" t="s">
        <v>8604</v>
      </c>
    </row>
    <row r="68" spans="1:10" ht="9.9" customHeight="1">
      <c r="A68" s="1090" t="s">
        <v>1536</v>
      </c>
      <c r="B68" s="1090" t="s">
        <v>7256</v>
      </c>
      <c r="C68" s="1090" t="s">
        <v>2135</v>
      </c>
      <c r="D68" s="1090">
        <v>514.71</v>
      </c>
      <c r="E68" s="1091">
        <v>1484.56</v>
      </c>
      <c r="F68" s="1090">
        <v>0</v>
      </c>
      <c r="G68" s="1091">
        <v>1999.27</v>
      </c>
      <c r="H68" s="1090">
        <v>0</v>
      </c>
      <c r="I68" s="1091">
        <v>1999.27</v>
      </c>
      <c r="J68" s="1107" t="s">
        <v>8605</v>
      </c>
    </row>
    <row r="69" spans="1:10" ht="9.9" customHeight="1">
      <c r="A69" s="1090" t="s">
        <v>2611</v>
      </c>
      <c r="B69" s="1090" t="s">
        <v>2612</v>
      </c>
      <c r="C69" s="1090" t="s">
        <v>2392</v>
      </c>
      <c r="D69" s="1091">
        <v>3120</v>
      </c>
      <c r="E69" s="1090">
        <v>683.66</v>
      </c>
      <c r="F69" s="1090">
        <v>0</v>
      </c>
      <c r="G69" s="1091">
        <v>2482.9699999999998</v>
      </c>
      <c r="H69" s="1091">
        <v>1320.69</v>
      </c>
      <c r="I69" s="1091">
        <v>3803.66</v>
      </c>
      <c r="J69" s="1107" t="s">
        <v>8606</v>
      </c>
    </row>
    <row r="70" spans="1:10" ht="9.9" customHeight="1">
      <c r="A70" s="1090" t="s">
        <v>5954</v>
      </c>
      <c r="B70" s="1090" t="s">
        <v>1107</v>
      </c>
      <c r="C70" s="1090" t="s">
        <v>2135</v>
      </c>
      <c r="D70" s="1090">
        <v>0</v>
      </c>
      <c r="E70" s="1091">
        <v>2661.28</v>
      </c>
      <c r="F70" s="1090">
        <v>0</v>
      </c>
      <c r="G70" s="1090">
        <v>0</v>
      </c>
      <c r="H70" s="1091">
        <v>2661.28</v>
      </c>
      <c r="I70" s="1091">
        <v>2661.28</v>
      </c>
      <c r="J70" s="1090"/>
    </row>
    <row r="71" spans="1:10" ht="9.9" customHeight="1">
      <c r="A71" s="1090" t="s">
        <v>1535</v>
      </c>
      <c r="B71" s="1090" t="s">
        <v>1102</v>
      </c>
      <c r="C71" s="1090" t="s">
        <v>8534</v>
      </c>
      <c r="D71" s="1090">
        <v>0</v>
      </c>
      <c r="E71" s="1091">
        <v>3182.58</v>
      </c>
      <c r="F71" s="1090">
        <v>0</v>
      </c>
      <c r="G71" s="1091">
        <v>3182.58</v>
      </c>
      <c r="H71" s="1090">
        <v>0</v>
      </c>
      <c r="I71" s="1091">
        <v>3182.58</v>
      </c>
      <c r="J71" s="1107" t="s">
        <v>8607</v>
      </c>
    </row>
    <row r="72" spans="1:10" ht="9.9" customHeight="1">
      <c r="A72" s="1090" t="s">
        <v>2617</v>
      </c>
      <c r="B72" s="1090" t="s">
        <v>2618</v>
      </c>
      <c r="C72" s="1090" t="s">
        <v>8541</v>
      </c>
      <c r="D72" s="1091">
        <v>5095</v>
      </c>
      <c r="E72" s="1091">
        <v>6358.76</v>
      </c>
      <c r="F72" s="1090">
        <v>0</v>
      </c>
      <c r="G72" s="1091">
        <v>10105.07</v>
      </c>
      <c r="H72" s="1091">
        <v>1348.69</v>
      </c>
      <c r="I72" s="1091">
        <v>11453.76</v>
      </c>
      <c r="J72" s="1107" t="s">
        <v>8608</v>
      </c>
    </row>
    <row r="73" spans="1:10" ht="9.9" customHeight="1">
      <c r="A73" s="1090" t="s">
        <v>1576</v>
      </c>
      <c r="B73" s="1090" t="s">
        <v>2159</v>
      </c>
      <c r="C73" s="1090" t="s">
        <v>2135</v>
      </c>
      <c r="D73" s="1091">
        <v>2875</v>
      </c>
      <c r="E73" s="1091">
        <v>4749.75</v>
      </c>
      <c r="F73" s="1090">
        <v>0</v>
      </c>
      <c r="G73" s="1091">
        <v>7624.75</v>
      </c>
      <c r="H73" s="1090">
        <v>0</v>
      </c>
      <c r="I73" s="1091">
        <v>7624.75</v>
      </c>
      <c r="J73" s="1107" t="s">
        <v>8609</v>
      </c>
    </row>
    <row r="74" spans="1:10" ht="9.9" customHeight="1">
      <c r="A74" s="1090" t="s">
        <v>1530</v>
      </c>
      <c r="B74" s="1090" t="s">
        <v>7261</v>
      </c>
      <c r="C74" s="1090" t="s">
        <v>8534</v>
      </c>
      <c r="D74" s="1091">
        <v>1029</v>
      </c>
      <c r="E74" s="1091">
        <v>4700.92</v>
      </c>
      <c r="F74" s="1090">
        <v>0</v>
      </c>
      <c r="G74" s="1091">
        <v>5729.92</v>
      </c>
      <c r="H74" s="1090">
        <v>0</v>
      </c>
      <c r="I74" s="1091">
        <v>5729.92</v>
      </c>
      <c r="J74" s="1107" t="s">
        <v>8610</v>
      </c>
    </row>
    <row r="75" spans="1:10" ht="9.9" customHeight="1">
      <c r="A75" s="1090" t="s">
        <v>1526</v>
      </c>
      <c r="B75" s="1090" t="s">
        <v>2160</v>
      </c>
      <c r="C75" s="1090" t="s">
        <v>8534</v>
      </c>
      <c r="D75" s="1091">
        <v>2622</v>
      </c>
      <c r="E75" s="1091">
        <v>3941.87</v>
      </c>
      <c r="F75" s="1090">
        <v>0</v>
      </c>
      <c r="G75" s="1091">
        <v>6563.87</v>
      </c>
      <c r="H75" s="1090">
        <v>0</v>
      </c>
      <c r="I75" s="1091">
        <v>6563.87</v>
      </c>
      <c r="J75" s="1107" t="s">
        <v>8611</v>
      </c>
    </row>
    <row r="76" spans="1:10" ht="9.9" customHeight="1">
      <c r="A76" s="1090" t="s">
        <v>2627</v>
      </c>
      <c r="B76" s="1090" t="s">
        <v>2628</v>
      </c>
      <c r="C76" s="1090" t="s">
        <v>8612</v>
      </c>
      <c r="D76" s="1091">
        <v>7450</v>
      </c>
      <c r="E76" s="1091">
        <v>25673.919999999998</v>
      </c>
      <c r="F76" s="1090">
        <v>0</v>
      </c>
      <c r="G76" s="1091">
        <v>31361.23</v>
      </c>
      <c r="H76" s="1091">
        <v>1762.69</v>
      </c>
      <c r="I76" s="1091">
        <v>33123.919999999998</v>
      </c>
      <c r="J76" s="1107" t="s">
        <v>8613</v>
      </c>
    </row>
    <row r="77" spans="1:10" ht="9.9" customHeight="1">
      <c r="A77" s="1090" t="s">
        <v>2629</v>
      </c>
      <c r="B77" s="1090" t="s">
        <v>1134</v>
      </c>
      <c r="C77" s="1090" t="s">
        <v>8536</v>
      </c>
      <c r="D77" s="1091">
        <v>1475</v>
      </c>
      <c r="E77" s="1090">
        <v>242.69</v>
      </c>
      <c r="F77" s="1090">
        <v>0</v>
      </c>
      <c r="G77" s="1090">
        <v>0</v>
      </c>
      <c r="H77" s="1091">
        <v>1717.69</v>
      </c>
      <c r="I77" s="1091">
        <v>1717.69</v>
      </c>
      <c r="J77" s="1107" t="s">
        <v>8614</v>
      </c>
    </row>
    <row r="78" spans="1:10" ht="9.9" customHeight="1">
      <c r="A78" s="1090" t="s">
        <v>1527</v>
      </c>
      <c r="B78" s="1090" t="s">
        <v>2165</v>
      </c>
      <c r="C78" s="1090" t="s">
        <v>8534</v>
      </c>
      <c r="D78" s="1091">
        <v>2613</v>
      </c>
      <c r="E78" s="1091">
        <v>3496.29</v>
      </c>
      <c r="F78" s="1090">
        <v>0</v>
      </c>
      <c r="G78" s="1091">
        <v>6109.29</v>
      </c>
      <c r="H78" s="1090">
        <v>0</v>
      </c>
      <c r="I78" s="1091">
        <v>6109.29</v>
      </c>
      <c r="J78" s="1107" t="s">
        <v>8615</v>
      </c>
    </row>
    <row r="79" spans="1:10" ht="9.9" customHeight="1">
      <c r="A79" s="1090" t="s">
        <v>1580</v>
      </c>
      <c r="B79" s="1090" t="s">
        <v>2979</v>
      </c>
      <c r="C79" s="1090" t="s">
        <v>8534</v>
      </c>
      <c r="D79" s="1091">
        <v>1064</v>
      </c>
      <c r="E79" s="1091">
        <v>1455.38</v>
      </c>
      <c r="F79" s="1090">
        <v>0</v>
      </c>
      <c r="G79" s="1091">
        <v>2519.38</v>
      </c>
      <c r="H79" s="1090">
        <v>0</v>
      </c>
      <c r="I79" s="1091">
        <v>2519.38</v>
      </c>
      <c r="J79" s="1107" t="s">
        <v>8616</v>
      </c>
    </row>
    <row r="80" spans="1:10" ht="9.9" customHeight="1">
      <c r="A80" s="1090" t="s">
        <v>1540</v>
      </c>
      <c r="B80" s="1090" t="s">
        <v>2180</v>
      </c>
      <c r="C80" s="1090" t="s">
        <v>8534</v>
      </c>
      <c r="D80" s="1091">
        <v>1738</v>
      </c>
      <c r="E80" s="1090">
        <v>380.68</v>
      </c>
      <c r="F80" s="1090">
        <v>0</v>
      </c>
      <c r="G80" s="1091">
        <v>2118.6799999999998</v>
      </c>
      <c r="H80" s="1090">
        <v>0</v>
      </c>
      <c r="I80" s="1091">
        <v>2118.6799999999998</v>
      </c>
      <c r="J80" s="1107" t="s">
        <v>8617</v>
      </c>
    </row>
    <row r="81" spans="1:10" ht="9.9" customHeight="1">
      <c r="A81" s="1090" t="s">
        <v>1532</v>
      </c>
      <c r="B81" s="1090" t="s">
        <v>7263</v>
      </c>
      <c r="C81" s="1090" t="s">
        <v>8534</v>
      </c>
      <c r="D81" s="1090">
        <v>478</v>
      </c>
      <c r="E81" s="1091">
        <v>4181.16</v>
      </c>
      <c r="F81" s="1090">
        <v>0</v>
      </c>
      <c r="G81" s="1091">
        <v>4659.16</v>
      </c>
      <c r="H81" s="1090">
        <v>0</v>
      </c>
      <c r="I81" s="1091">
        <v>4659.16</v>
      </c>
      <c r="J81" s="1107" t="s">
        <v>8618</v>
      </c>
    </row>
    <row r="82" spans="1:10" ht="9.9" customHeight="1">
      <c r="A82" s="1090" t="s">
        <v>1567</v>
      </c>
      <c r="B82" s="1090" t="s">
        <v>2169</v>
      </c>
      <c r="C82" s="1090" t="s">
        <v>8534</v>
      </c>
      <c r="D82" s="1091">
        <v>2852</v>
      </c>
      <c r="E82" s="1091">
        <v>8600.32</v>
      </c>
      <c r="F82" s="1090">
        <v>0</v>
      </c>
      <c r="G82" s="1091">
        <v>11452.32</v>
      </c>
      <c r="H82" s="1090">
        <v>0</v>
      </c>
      <c r="I82" s="1091">
        <v>11452.32</v>
      </c>
      <c r="J82" s="1107" t="s">
        <v>8619</v>
      </c>
    </row>
    <row r="83" spans="1:10" ht="9.9" customHeight="1">
      <c r="A83" s="1090" t="s">
        <v>1577</v>
      </c>
      <c r="B83" s="1090" t="s">
        <v>2161</v>
      </c>
      <c r="C83" s="1090" t="s">
        <v>8534</v>
      </c>
      <c r="D83" s="1091">
        <v>3208</v>
      </c>
      <c r="E83" s="1091">
        <v>2848.26</v>
      </c>
      <c r="F83" s="1090">
        <v>0</v>
      </c>
      <c r="G83" s="1091">
        <v>6056.26</v>
      </c>
      <c r="H83" s="1090">
        <v>0</v>
      </c>
      <c r="I83" s="1091">
        <v>6056.26</v>
      </c>
      <c r="J83" s="1090"/>
    </row>
    <row r="84" spans="1:10" ht="9.9" customHeight="1">
      <c r="A84" s="1090" t="s">
        <v>2645</v>
      </c>
      <c r="B84" s="1090" t="s">
        <v>1117</v>
      </c>
      <c r="C84" s="1090" t="s">
        <v>8538</v>
      </c>
      <c r="D84" s="1091">
        <v>4089</v>
      </c>
      <c r="E84" s="1091">
        <v>10508.27</v>
      </c>
      <c r="F84" s="1090">
        <v>0</v>
      </c>
      <c r="G84" s="1091">
        <v>12383.93</v>
      </c>
      <c r="H84" s="1091">
        <v>2213.34</v>
      </c>
      <c r="I84" s="1091">
        <v>14597.27</v>
      </c>
      <c r="J84" s="1090" t="s">
        <v>8620</v>
      </c>
    </row>
    <row r="85" spans="1:10" ht="9.9" customHeight="1">
      <c r="A85" s="1090" t="s">
        <v>2646</v>
      </c>
      <c r="B85" s="1090" t="s">
        <v>2647</v>
      </c>
      <c r="C85" s="1090" t="s">
        <v>8536</v>
      </c>
      <c r="D85" s="1091">
        <v>4240</v>
      </c>
      <c r="E85" s="1091">
        <v>2256.12</v>
      </c>
      <c r="F85" s="1090">
        <v>0</v>
      </c>
      <c r="G85" s="1091">
        <v>5446.44</v>
      </c>
      <c r="H85" s="1091">
        <v>1049.68</v>
      </c>
      <c r="I85" s="1091">
        <v>6496.12</v>
      </c>
      <c r="J85" s="1107" t="s">
        <v>8621</v>
      </c>
    </row>
    <row r="86" spans="1:10" ht="9.9" customHeight="1">
      <c r="A86" s="1090" t="s">
        <v>2173</v>
      </c>
      <c r="B86" s="1090" t="s">
        <v>2172</v>
      </c>
      <c r="C86" s="1090" t="s">
        <v>8534</v>
      </c>
      <c r="D86" s="1090">
        <v>267</v>
      </c>
      <c r="E86" s="1091">
        <v>4319.82</v>
      </c>
      <c r="F86" s="1090">
        <v>0</v>
      </c>
      <c r="G86" s="1091">
        <v>4586.82</v>
      </c>
      <c r="H86" s="1090">
        <v>0</v>
      </c>
      <c r="I86" s="1091">
        <v>4586.82</v>
      </c>
      <c r="J86" s="1107" t="s">
        <v>8622</v>
      </c>
    </row>
    <row r="87" spans="1:10" ht="9.9" customHeight="1">
      <c r="A87" s="1090" t="s">
        <v>2654</v>
      </c>
      <c r="B87" s="1090" t="s">
        <v>2655</v>
      </c>
      <c r="C87" s="1090" t="s">
        <v>8541</v>
      </c>
      <c r="D87" s="1091">
        <v>2898.06</v>
      </c>
      <c r="E87" s="1090">
        <v>728.68</v>
      </c>
      <c r="F87" s="1090">
        <v>0</v>
      </c>
      <c r="G87" s="1091">
        <v>2084.56</v>
      </c>
      <c r="H87" s="1091">
        <v>1542.18</v>
      </c>
      <c r="I87" s="1091">
        <v>3626.74</v>
      </c>
      <c r="J87" s="1107" t="s">
        <v>8623</v>
      </c>
    </row>
    <row r="88" spans="1:10" ht="9.9" customHeight="1">
      <c r="A88" s="1090" t="s">
        <v>2179</v>
      </c>
      <c r="B88" s="1090" t="s">
        <v>2178</v>
      </c>
      <c r="C88" s="1090" t="s">
        <v>8534</v>
      </c>
      <c r="D88" s="1090">
        <v>0</v>
      </c>
      <c r="E88" s="1091">
        <v>2789.06</v>
      </c>
      <c r="F88" s="1090">
        <v>0</v>
      </c>
      <c r="G88" s="1091">
        <v>2789.06</v>
      </c>
      <c r="H88" s="1090">
        <v>0</v>
      </c>
      <c r="I88" s="1091">
        <v>2789.06</v>
      </c>
      <c r="J88" s="1107" t="s">
        <v>8624</v>
      </c>
    </row>
    <row r="89" spans="1:10" ht="9.9" customHeight="1">
      <c r="A89" s="1090" t="s">
        <v>1592</v>
      </c>
      <c r="B89" s="1090" t="s">
        <v>7266</v>
      </c>
      <c r="C89" s="1090" t="s">
        <v>8534</v>
      </c>
      <c r="D89" s="1090">
        <v>0</v>
      </c>
      <c r="E89" s="1091">
        <v>3057.7</v>
      </c>
      <c r="F89" s="1090">
        <v>0</v>
      </c>
      <c r="G89" s="1091">
        <v>3057.7</v>
      </c>
      <c r="H89" s="1090">
        <v>0</v>
      </c>
      <c r="I89" s="1091">
        <v>3057.7</v>
      </c>
      <c r="J89" s="1107" t="s">
        <v>8625</v>
      </c>
    </row>
    <row r="90" spans="1:10" ht="9.9" customHeight="1">
      <c r="A90" s="1090" t="s">
        <v>2658</v>
      </c>
      <c r="B90" s="1090" t="s">
        <v>2659</v>
      </c>
      <c r="C90" s="1090" t="s">
        <v>8548</v>
      </c>
      <c r="D90" s="1091">
        <v>5601</v>
      </c>
      <c r="E90" s="1091">
        <v>1141.94</v>
      </c>
      <c r="F90" s="1090">
        <v>0</v>
      </c>
      <c r="G90" s="1091">
        <v>5391.76</v>
      </c>
      <c r="H90" s="1091">
        <v>1351.18</v>
      </c>
      <c r="I90" s="1091">
        <v>6742.94</v>
      </c>
      <c r="J90" s="1107" t="s">
        <v>8626</v>
      </c>
    </row>
    <row r="91" spans="1:10" ht="9.9" customHeight="1">
      <c r="A91" s="1090" t="s">
        <v>1531</v>
      </c>
      <c r="B91" s="1090" t="s">
        <v>2177</v>
      </c>
      <c r="C91" s="1090" t="s">
        <v>8534</v>
      </c>
      <c r="D91" s="1091">
        <v>2064</v>
      </c>
      <c r="E91" s="1091">
        <v>2646.26</v>
      </c>
      <c r="F91" s="1090">
        <v>0</v>
      </c>
      <c r="G91" s="1091">
        <v>4710.26</v>
      </c>
      <c r="H91" s="1090">
        <v>0</v>
      </c>
      <c r="I91" s="1091">
        <v>4710.26</v>
      </c>
      <c r="J91" s="1107" t="s">
        <v>8627</v>
      </c>
    </row>
    <row r="92" spans="1:10" ht="9.9" customHeight="1">
      <c r="A92" s="1090" t="s">
        <v>1520</v>
      </c>
      <c r="B92" s="1090" t="s">
        <v>2168</v>
      </c>
      <c r="C92" s="1090" t="s">
        <v>8534</v>
      </c>
      <c r="D92" s="1091">
        <v>2621</v>
      </c>
      <c r="E92" s="1091">
        <v>8644.8799999999992</v>
      </c>
      <c r="F92" s="1090">
        <v>0</v>
      </c>
      <c r="G92" s="1091">
        <v>11265.88</v>
      </c>
      <c r="H92" s="1090">
        <v>0</v>
      </c>
      <c r="I92" s="1091">
        <v>11265.88</v>
      </c>
      <c r="J92" s="1107" t="s">
        <v>8628</v>
      </c>
    </row>
    <row r="93" spans="1:10" ht="9.9" customHeight="1">
      <c r="A93" s="1090" t="s">
        <v>1961</v>
      </c>
      <c r="B93" s="1090" t="s">
        <v>2119</v>
      </c>
      <c r="C93" s="1090" t="s">
        <v>8538</v>
      </c>
      <c r="D93" s="1091">
        <v>1053</v>
      </c>
      <c r="E93" s="1091">
        <v>15132.1</v>
      </c>
      <c r="F93" s="1090">
        <v>0</v>
      </c>
      <c r="G93" s="1091">
        <v>16185.1</v>
      </c>
      <c r="H93" s="1090">
        <v>0</v>
      </c>
      <c r="I93" s="1091">
        <v>16185.1</v>
      </c>
      <c r="J93" s="1107" t="s">
        <v>8629</v>
      </c>
    </row>
    <row r="94" spans="1:10" ht="9.9" customHeight="1">
      <c r="A94" s="1090" t="s">
        <v>3426</v>
      </c>
      <c r="B94" s="1090" t="s">
        <v>7918</v>
      </c>
      <c r="C94" s="1090" t="s">
        <v>8538</v>
      </c>
      <c r="D94" s="1091">
        <v>5484</v>
      </c>
      <c r="E94" s="1091">
        <v>15552.43</v>
      </c>
      <c r="F94" s="1090">
        <v>0</v>
      </c>
      <c r="G94" s="1091">
        <v>21036.43</v>
      </c>
      <c r="H94" s="1090">
        <v>0</v>
      </c>
      <c r="I94" s="1091">
        <v>21036.43</v>
      </c>
      <c r="J94" s="1107" t="s">
        <v>8630</v>
      </c>
    </row>
    <row r="95" spans="1:10" ht="9.9" customHeight="1">
      <c r="A95" s="1090" t="s">
        <v>1965</v>
      </c>
      <c r="B95" s="1090" t="s">
        <v>2142</v>
      </c>
      <c r="C95" s="1090" t="s">
        <v>8534</v>
      </c>
      <c r="D95" s="1091">
        <v>1298</v>
      </c>
      <c r="E95" s="1091">
        <v>6132.27</v>
      </c>
      <c r="F95" s="1090">
        <v>0</v>
      </c>
      <c r="G95" s="1091">
        <v>7430.27</v>
      </c>
      <c r="H95" s="1090">
        <v>0</v>
      </c>
      <c r="I95" s="1091">
        <v>7430.27</v>
      </c>
      <c r="J95" s="1107" t="s">
        <v>8631</v>
      </c>
    </row>
    <row r="96" spans="1:10" ht="9.9" customHeight="1">
      <c r="A96" s="1090" t="s">
        <v>1519</v>
      </c>
      <c r="B96" s="1090" t="s">
        <v>2125</v>
      </c>
      <c r="C96" s="1090" t="s">
        <v>8538</v>
      </c>
      <c r="D96" s="1091">
        <v>1327</v>
      </c>
      <c r="E96" s="1091">
        <v>11436.04</v>
      </c>
      <c r="F96" s="1090">
        <v>0</v>
      </c>
      <c r="G96" s="1091">
        <v>12763.04</v>
      </c>
      <c r="H96" s="1090">
        <v>0</v>
      </c>
      <c r="I96" s="1091">
        <v>12763.04</v>
      </c>
      <c r="J96" s="1107" t="s">
        <v>8632</v>
      </c>
    </row>
    <row r="97" spans="1:10" ht="9.9" customHeight="1">
      <c r="A97" s="1090" t="s">
        <v>2676</v>
      </c>
      <c r="B97" s="1090" t="s">
        <v>2677</v>
      </c>
      <c r="C97" s="1090" t="s">
        <v>8561</v>
      </c>
      <c r="D97" s="1091">
        <v>7350</v>
      </c>
      <c r="E97" s="1091">
        <v>8018.99</v>
      </c>
      <c r="F97" s="1090">
        <v>0</v>
      </c>
      <c r="G97" s="1091">
        <v>13628.68</v>
      </c>
      <c r="H97" s="1091">
        <v>1740.31</v>
      </c>
      <c r="I97" s="1091">
        <v>15368.99</v>
      </c>
      <c r="J97" s="1107" t="s">
        <v>8633</v>
      </c>
    </row>
    <row r="98" spans="1:10" ht="9.9" customHeight="1">
      <c r="A98" s="1090" t="s">
        <v>2678</v>
      </c>
      <c r="B98" s="1090" t="s">
        <v>2679</v>
      </c>
      <c r="C98" s="1090" t="s">
        <v>2392</v>
      </c>
      <c r="D98" s="1091">
        <v>1380</v>
      </c>
      <c r="E98" s="1090">
        <v>261.31</v>
      </c>
      <c r="F98" s="1090">
        <v>0</v>
      </c>
      <c r="G98" s="1090">
        <v>0</v>
      </c>
      <c r="H98" s="1091">
        <v>1641.31</v>
      </c>
      <c r="I98" s="1091">
        <v>1641.31</v>
      </c>
      <c r="J98" s="1107" t="s">
        <v>8634</v>
      </c>
    </row>
    <row r="99" spans="1:10" ht="9.9" customHeight="1">
      <c r="A99" s="1090" t="s">
        <v>2127</v>
      </c>
      <c r="B99" s="1090" t="s">
        <v>2126</v>
      </c>
      <c r="C99" s="1090" t="s">
        <v>8534</v>
      </c>
      <c r="D99" s="1091">
        <v>1549</v>
      </c>
      <c r="E99" s="1091">
        <v>10492.62</v>
      </c>
      <c r="F99" s="1090">
        <v>0</v>
      </c>
      <c r="G99" s="1091">
        <v>12041.62</v>
      </c>
      <c r="H99" s="1090">
        <v>0</v>
      </c>
      <c r="I99" s="1091">
        <v>12041.62</v>
      </c>
      <c r="J99" s="1107" t="s">
        <v>8635</v>
      </c>
    </row>
    <row r="100" spans="1:10" ht="9.9" customHeight="1">
      <c r="A100" s="1090" t="s">
        <v>2680</v>
      </c>
      <c r="B100" s="1090" t="s">
        <v>1092</v>
      </c>
      <c r="C100" s="1090" t="s">
        <v>8561</v>
      </c>
      <c r="D100" s="1091">
        <v>6830</v>
      </c>
      <c r="E100" s="1091">
        <v>9903.0300000000007</v>
      </c>
      <c r="F100" s="1090">
        <v>0</v>
      </c>
      <c r="G100" s="1091">
        <v>15031.72</v>
      </c>
      <c r="H100" s="1091">
        <v>1701.31</v>
      </c>
      <c r="I100" s="1091">
        <v>16733.03</v>
      </c>
      <c r="J100" s="1107" t="s">
        <v>8636</v>
      </c>
    </row>
    <row r="101" spans="1:10" ht="9.9" customHeight="1">
      <c r="A101" s="1090" t="s">
        <v>1587</v>
      </c>
      <c r="B101" s="1090" t="s">
        <v>2968</v>
      </c>
      <c r="C101" s="1090" t="s">
        <v>8534</v>
      </c>
      <c r="D101" s="1090">
        <v>633</v>
      </c>
      <c r="E101" s="1091">
        <v>1111.1300000000001</v>
      </c>
      <c r="F101" s="1090">
        <v>0</v>
      </c>
      <c r="G101" s="1090">
        <v>994.13</v>
      </c>
      <c r="H101" s="1090">
        <v>750</v>
      </c>
      <c r="I101" s="1091">
        <v>1744.13</v>
      </c>
      <c r="J101" s="1107" t="s">
        <v>8637</v>
      </c>
    </row>
    <row r="102" spans="1:10" ht="9.9" customHeight="1">
      <c r="A102" s="1090" t="s">
        <v>1538</v>
      </c>
      <c r="B102" s="1090" t="s">
        <v>1106</v>
      </c>
      <c r="C102" s="1090" t="s">
        <v>2135</v>
      </c>
      <c r="D102" s="1090">
        <v>134</v>
      </c>
      <c r="E102" s="1091">
        <v>1423.35</v>
      </c>
      <c r="F102" s="1090">
        <v>0</v>
      </c>
      <c r="G102" s="1091">
        <v>1557.35</v>
      </c>
      <c r="H102" s="1090">
        <v>0</v>
      </c>
      <c r="I102" s="1091">
        <v>1557.35</v>
      </c>
      <c r="J102" s="1107" t="s">
        <v>8638</v>
      </c>
    </row>
    <row r="103" spans="1:10" ht="9.9" customHeight="1">
      <c r="A103" s="1090" t="s">
        <v>2692</v>
      </c>
      <c r="B103" s="1090" t="s">
        <v>2693</v>
      </c>
      <c r="C103" s="1090" t="s">
        <v>8536</v>
      </c>
      <c r="D103" s="1091">
        <v>4502.66</v>
      </c>
      <c r="E103" s="1091">
        <v>1010.46</v>
      </c>
      <c r="F103" s="1090">
        <v>0</v>
      </c>
      <c r="G103" s="1091">
        <v>4077.81</v>
      </c>
      <c r="H103" s="1091">
        <v>1435.31</v>
      </c>
      <c r="I103" s="1091">
        <v>5513.12</v>
      </c>
      <c r="J103" s="1107" t="s">
        <v>8639</v>
      </c>
    </row>
    <row r="104" spans="1:10" ht="9.9" customHeight="1">
      <c r="A104" s="1090" t="s">
        <v>2698</v>
      </c>
      <c r="B104" s="1090" t="s">
        <v>2699</v>
      </c>
      <c r="C104" s="1090" t="s">
        <v>8536</v>
      </c>
      <c r="D104" s="1091">
        <v>3405</v>
      </c>
      <c r="E104" s="1090">
        <v>683.56</v>
      </c>
      <c r="F104" s="1090">
        <v>0</v>
      </c>
      <c r="G104" s="1091">
        <v>2722.51</v>
      </c>
      <c r="H104" s="1091">
        <v>1366.05</v>
      </c>
      <c r="I104" s="1091">
        <v>4088.56</v>
      </c>
      <c r="J104" s="1107" t="s">
        <v>8640</v>
      </c>
    </row>
    <row r="105" spans="1:10" ht="9.9" customHeight="1">
      <c r="A105" s="1090" t="s">
        <v>2700</v>
      </c>
      <c r="B105" s="1090" t="s">
        <v>2701</v>
      </c>
      <c r="C105" s="1090" t="s">
        <v>8548</v>
      </c>
      <c r="D105" s="1091">
        <v>6000</v>
      </c>
      <c r="E105" s="1091">
        <v>2846.74</v>
      </c>
      <c r="F105" s="1090">
        <v>0</v>
      </c>
      <c r="G105" s="1091">
        <v>7379.74</v>
      </c>
      <c r="H105" s="1091">
        <v>1467</v>
      </c>
      <c r="I105" s="1091">
        <v>8846.74</v>
      </c>
      <c r="J105" s="1107" t="s">
        <v>8641</v>
      </c>
    </row>
    <row r="106" spans="1:10" ht="9.9" customHeight="1">
      <c r="A106" s="1090" t="s">
        <v>2182</v>
      </c>
      <c r="B106" s="1090" t="s">
        <v>2181</v>
      </c>
      <c r="C106" s="1090" t="s">
        <v>8534</v>
      </c>
      <c r="D106" s="1091">
        <v>2190</v>
      </c>
      <c r="E106" s="1090">
        <v>737.83</v>
      </c>
      <c r="F106" s="1090">
        <v>0</v>
      </c>
      <c r="G106" s="1091">
        <v>2927.83</v>
      </c>
      <c r="H106" s="1090">
        <v>0</v>
      </c>
      <c r="I106" s="1091">
        <v>2927.83</v>
      </c>
      <c r="J106" s="1090" t="s">
        <v>8642</v>
      </c>
    </row>
    <row r="107" spans="1:10" ht="9.9" customHeight="1">
      <c r="A107" s="1090" t="s">
        <v>2706</v>
      </c>
      <c r="B107" s="1090" t="s">
        <v>2707</v>
      </c>
      <c r="C107" s="1090" t="s">
        <v>8612</v>
      </c>
      <c r="D107" s="1091">
        <v>5618</v>
      </c>
      <c r="E107" s="1091">
        <v>12480.95</v>
      </c>
      <c r="F107" s="1090">
        <v>0</v>
      </c>
      <c r="G107" s="1091">
        <v>16796.77</v>
      </c>
      <c r="H107" s="1091">
        <v>1302.18</v>
      </c>
      <c r="I107" s="1091">
        <v>18098.95</v>
      </c>
      <c r="J107" s="1107" t="s">
        <v>8643</v>
      </c>
    </row>
    <row r="108" spans="1:10" ht="9.9" customHeight="1">
      <c r="A108" s="1090" t="s">
        <v>1969</v>
      </c>
      <c r="B108" s="1090" t="s">
        <v>1098</v>
      </c>
      <c r="C108" s="1090" t="s">
        <v>8538</v>
      </c>
      <c r="D108" s="1091">
        <v>2397.02</v>
      </c>
      <c r="E108" s="1091">
        <v>8345.44</v>
      </c>
      <c r="F108" s="1090">
        <v>0</v>
      </c>
      <c r="G108" s="1091">
        <v>10742.46</v>
      </c>
      <c r="H108" s="1090">
        <v>0</v>
      </c>
      <c r="I108" s="1091">
        <v>10742.46</v>
      </c>
      <c r="J108" s="1107" t="s">
        <v>8644</v>
      </c>
    </row>
    <row r="109" spans="1:10" ht="9.9" customHeight="1">
      <c r="A109" s="1090" t="s">
        <v>2131</v>
      </c>
      <c r="B109" s="1090" t="s">
        <v>2130</v>
      </c>
      <c r="C109" s="1090" t="s">
        <v>8538</v>
      </c>
      <c r="D109" s="1091">
        <v>5203</v>
      </c>
      <c r="E109" s="1091">
        <v>15913.05</v>
      </c>
      <c r="F109" s="1090">
        <v>0</v>
      </c>
      <c r="G109" s="1091">
        <v>21116.05</v>
      </c>
      <c r="H109" s="1090">
        <v>0</v>
      </c>
      <c r="I109" s="1091">
        <v>21116.05</v>
      </c>
      <c r="J109" s="1107" t="s">
        <v>8645</v>
      </c>
    </row>
    <row r="110" spans="1:10" ht="9.9" customHeight="1">
      <c r="A110" s="968"/>
      <c r="B110" s="968"/>
      <c r="C110" s="968"/>
      <c r="D110" s="970"/>
      <c r="E110" s="970"/>
      <c r="F110" s="968"/>
      <c r="G110" s="970"/>
      <c r="H110" s="970"/>
      <c r="I110" s="970"/>
      <c r="J110" s="969"/>
    </row>
    <row r="111" spans="1:10" ht="9.9" customHeight="1">
      <c r="A111" s="968"/>
      <c r="B111" s="968"/>
      <c r="C111" s="968"/>
      <c r="D111" s="970"/>
      <c r="E111" s="970"/>
      <c r="F111" s="968"/>
      <c r="G111" s="970"/>
      <c r="H111" s="970"/>
      <c r="I111" s="970"/>
      <c r="J111" s="969"/>
    </row>
    <row r="112" spans="1:10" ht="9.9" customHeight="1">
      <c r="A112" s="968"/>
      <c r="B112" s="968"/>
      <c r="C112" s="968"/>
      <c r="D112" s="970"/>
      <c r="E112" s="970"/>
      <c r="F112" s="968"/>
      <c r="G112" s="970"/>
      <c r="H112" s="970"/>
      <c r="I112" s="970"/>
      <c r="J112" s="969"/>
    </row>
    <row r="113" spans="1:10" ht="9.9" customHeight="1">
      <c r="A113" s="968"/>
      <c r="B113" s="968"/>
      <c r="C113" s="968"/>
      <c r="D113" s="970"/>
      <c r="E113" s="970"/>
      <c r="F113" s="968"/>
      <c r="G113" s="970"/>
      <c r="H113" s="970"/>
      <c r="I113" s="970"/>
      <c r="J113" s="969"/>
    </row>
    <row r="114" spans="1:10" ht="9.9" customHeight="1">
      <c r="A114" s="968"/>
      <c r="B114" s="968"/>
      <c r="C114" s="968"/>
      <c r="D114" s="968"/>
      <c r="E114" s="970"/>
      <c r="F114" s="968"/>
      <c r="G114" s="970"/>
      <c r="H114" s="968"/>
      <c r="I114" s="970"/>
      <c r="J114" s="969"/>
    </row>
    <row r="115" spans="1:10" ht="9.9" customHeight="1">
      <c r="A115" s="968"/>
      <c r="B115" s="968"/>
      <c r="C115" s="968"/>
      <c r="D115" s="970"/>
      <c r="E115" s="970"/>
      <c r="F115" s="968"/>
      <c r="G115" s="970"/>
      <c r="H115" s="970"/>
      <c r="I115" s="970"/>
      <c r="J115" s="969"/>
    </row>
    <row r="116" spans="1:10" ht="9.9" customHeight="1">
      <c r="A116" s="968"/>
      <c r="B116" s="968"/>
      <c r="C116" s="968"/>
      <c r="D116" s="968"/>
      <c r="E116" s="970"/>
      <c r="F116" s="968"/>
      <c r="G116" s="970"/>
      <c r="H116" s="968"/>
      <c r="I116" s="970"/>
      <c r="J116" s="969"/>
    </row>
    <row r="117" spans="1:10" ht="9.9" customHeight="1">
      <c r="A117" s="968"/>
      <c r="B117" s="968"/>
      <c r="C117" s="968"/>
      <c r="D117" s="968"/>
      <c r="E117" s="970"/>
      <c r="F117" s="968"/>
      <c r="G117" s="970"/>
      <c r="H117" s="968"/>
      <c r="I117" s="970"/>
      <c r="J117" s="969"/>
    </row>
    <row r="118" spans="1:10" ht="9.9" customHeight="1">
      <c r="A118" s="968"/>
      <c r="B118" s="968"/>
      <c r="C118" s="968"/>
      <c r="D118" s="968"/>
      <c r="E118" s="968"/>
      <c r="F118" s="968"/>
      <c r="G118" s="968"/>
      <c r="H118" s="968"/>
      <c r="I118" s="968"/>
      <c r="J118" s="969"/>
    </row>
    <row r="119" spans="1:10" ht="9.9" customHeight="1">
      <c r="A119" s="968"/>
      <c r="B119" s="968"/>
      <c r="C119" s="968"/>
      <c r="D119" s="968"/>
      <c r="E119" s="968"/>
      <c r="F119" s="968"/>
      <c r="G119" s="968"/>
      <c r="H119" s="968"/>
      <c r="I119" s="968"/>
      <c r="J119" s="969"/>
    </row>
    <row r="120" spans="1:10" ht="9.9" customHeight="1">
      <c r="A120" s="968"/>
      <c r="B120" s="968"/>
      <c r="C120" s="968"/>
      <c r="D120" s="968"/>
      <c r="E120" s="968"/>
      <c r="F120" s="968"/>
      <c r="G120" s="968"/>
      <c r="H120" s="968"/>
      <c r="I120" s="968"/>
      <c r="J120" s="968"/>
    </row>
    <row r="121" spans="1:10" ht="9.9" customHeight="1">
      <c r="A121" s="968"/>
      <c r="B121" s="968"/>
      <c r="C121" s="968"/>
      <c r="D121" s="968"/>
      <c r="E121" s="968"/>
      <c r="F121" s="968"/>
      <c r="G121" s="968"/>
      <c r="H121" s="968"/>
      <c r="I121" s="968"/>
      <c r="J121" s="969"/>
    </row>
    <row r="122" spans="1:10" ht="9.9" customHeight="1">
      <c r="A122" s="968"/>
      <c r="B122" s="968"/>
      <c r="C122" s="968"/>
      <c r="D122" s="968"/>
      <c r="E122" s="968"/>
      <c r="F122" s="968"/>
      <c r="G122" s="968"/>
      <c r="H122" s="970"/>
      <c r="I122" s="970"/>
      <c r="J122" s="969"/>
    </row>
    <row r="123" spans="1:10" ht="9.9" customHeight="1">
      <c r="A123" s="968"/>
      <c r="B123" s="968"/>
      <c r="C123" s="968"/>
      <c r="D123" s="970"/>
      <c r="E123" s="968"/>
      <c r="F123" s="968"/>
      <c r="G123" s="968"/>
      <c r="H123" s="970"/>
      <c r="I123" s="970"/>
      <c r="J123" s="969"/>
    </row>
    <row r="124" spans="1:10" ht="9.9" customHeight="1">
      <c r="A124" s="968"/>
      <c r="B124" s="968"/>
      <c r="C124" s="968"/>
      <c r="D124" s="968"/>
      <c r="E124" s="968"/>
      <c r="F124" s="968"/>
      <c r="G124" s="968"/>
      <c r="H124" s="968"/>
      <c r="I124" s="968"/>
      <c r="J124" s="969"/>
    </row>
    <row r="125" spans="1:10" ht="9.9" customHeight="1">
      <c r="A125" s="968"/>
      <c r="B125" s="968"/>
      <c r="C125" s="968"/>
      <c r="D125" s="968"/>
      <c r="E125" s="968"/>
      <c r="F125" s="968"/>
      <c r="G125" s="968"/>
      <c r="H125" s="968"/>
      <c r="I125" s="968"/>
      <c r="J125" s="969"/>
    </row>
    <row r="126" spans="1:10" ht="9.9" customHeight="1">
      <c r="A126" s="968"/>
      <c r="B126" s="968"/>
      <c r="C126" s="968"/>
      <c r="D126" s="970"/>
      <c r="E126" s="970"/>
      <c r="F126" s="968"/>
      <c r="G126" s="970"/>
      <c r="H126" s="970"/>
      <c r="I126" s="970"/>
      <c r="J126" s="969"/>
    </row>
    <row r="127" spans="1:10" ht="9.9" customHeight="1">
      <c r="A127" s="968"/>
      <c r="B127" s="968"/>
      <c r="C127" s="968"/>
      <c r="D127" s="968"/>
      <c r="E127" s="970"/>
      <c r="F127" s="968"/>
      <c r="G127" s="968"/>
      <c r="H127" s="970"/>
      <c r="I127" s="970"/>
      <c r="J127" s="968"/>
    </row>
    <row r="128" spans="1:10" ht="9.9" customHeight="1">
      <c r="A128" s="968"/>
      <c r="B128" s="968"/>
      <c r="C128" s="968"/>
      <c r="D128" s="970"/>
      <c r="E128" s="970"/>
      <c r="F128" s="968"/>
      <c r="G128" s="970"/>
      <c r="H128" s="968"/>
      <c r="I128" s="970"/>
      <c r="J128" s="969"/>
    </row>
    <row r="129" spans="1:10" ht="9.9" customHeight="1">
      <c r="A129" s="968"/>
      <c r="B129" s="968"/>
      <c r="C129" s="968"/>
      <c r="D129" s="970"/>
      <c r="E129" s="970"/>
      <c r="F129" s="968"/>
      <c r="G129" s="970"/>
      <c r="H129" s="970"/>
      <c r="I129" s="970"/>
      <c r="J129" s="968"/>
    </row>
    <row r="130" spans="1:10" ht="9.9" customHeight="1">
      <c r="A130" s="968"/>
      <c r="B130" s="968"/>
      <c r="C130" s="968"/>
      <c r="D130" s="968"/>
      <c r="E130" s="968"/>
      <c r="F130" s="968"/>
      <c r="G130" s="968"/>
      <c r="H130" s="968"/>
      <c r="I130" s="968"/>
      <c r="J130" s="969"/>
    </row>
    <row r="131" spans="1:10" ht="9.9" customHeight="1">
      <c r="A131" s="968"/>
      <c r="B131" s="968"/>
      <c r="C131" s="968"/>
      <c r="D131" s="968"/>
      <c r="E131" s="968"/>
      <c r="F131" s="968"/>
      <c r="G131" s="968"/>
      <c r="H131" s="968"/>
      <c r="I131" s="968"/>
      <c r="J131" s="969"/>
    </row>
    <row r="132" spans="1:10" ht="9.9" customHeight="1">
      <c r="A132" s="968"/>
      <c r="B132" s="968"/>
      <c r="C132" s="968"/>
      <c r="D132" s="970"/>
      <c r="E132" s="968"/>
      <c r="F132" s="968"/>
      <c r="G132" s="970"/>
      <c r="H132" s="970"/>
      <c r="I132" s="970"/>
      <c r="J132" s="969"/>
    </row>
    <row r="133" spans="1:10" ht="9.9" customHeight="1">
      <c r="A133" s="968"/>
      <c r="B133" s="968"/>
      <c r="C133" s="968"/>
      <c r="D133" s="970"/>
      <c r="E133" s="970"/>
      <c r="F133" s="968"/>
      <c r="G133" s="970"/>
      <c r="H133" s="970"/>
      <c r="I133" s="970"/>
      <c r="J133" s="969"/>
    </row>
    <row r="134" spans="1:10" ht="9.9" customHeight="1">
      <c r="A134" s="968"/>
      <c r="B134" s="968"/>
      <c r="C134" s="968"/>
      <c r="D134" s="968"/>
      <c r="E134" s="970"/>
      <c r="F134" s="968"/>
      <c r="G134" s="968"/>
      <c r="H134" s="970"/>
      <c r="I134" s="970"/>
      <c r="J134" s="969"/>
    </row>
    <row r="135" spans="1:10" ht="9.9" customHeight="1">
      <c r="A135" s="968"/>
      <c r="B135" s="968"/>
      <c r="C135" s="968"/>
      <c r="D135" s="970"/>
      <c r="E135" s="970"/>
      <c r="F135" s="968"/>
      <c r="G135" s="968"/>
      <c r="H135" s="970"/>
      <c r="I135" s="970"/>
      <c r="J135" s="969"/>
    </row>
    <row r="136" spans="1:10" ht="9.9" customHeight="1">
      <c r="A136" s="968"/>
      <c r="B136" s="968"/>
      <c r="C136" s="968"/>
      <c r="D136" s="970"/>
      <c r="E136" s="970"/>
      <c r="F136" s="968"/>
      <c r="G136" s="970"/>
      <c r="H136" s="968"/>
      <c r="I136" s="970"/>
      <c r="J136" s="969"/>
    </row>
    <row r="137" spans="1:10" ht="9.9" customHeight="1">
      <c r="A137" s="968"/>
      <c r="B137" s="968"/>
      <c r="C137" s="968"/>
      <c r="D137" s="970"/>
      <c r="E137" s="970"/>
      <c r="F137" s="968"/>
      <c r="G137" s="970"/>
      <c r="H137" s="968"/>
      <c r="I137" s="970"/>
      <c r="J137" s="969"/>
    </row>
    <row r="138" spans="1:10" ht="9.9" customHeight="1">
      <c r="A138" s="968"/>
      <c r="B138" s="968"/>
      <c r="C138" s="968"/>
      <c r="D138" s="968"/>
      <c r="E138" s="968"/>
      <c r="F138" s="968"/>
      <c r="G138" s="968"/>
      <c r="H138" s="968"/>
      <c r="I138" s="968"/>
      <c r="J138" s="969"/>
    </row>
    <row r="139" spans="1:10" ht="9.9" customHeight="1">
      <c r="A139" s="968"/>
      <c r="B139" s="968"/>
      <c r="C139" s="968"/>
      <c r="D139" s="970"/>
      <c r="E139" s="970"/>
      <c r="F139" s="968"/>
      <c r="G139" s="970"/>
      <c r="H139" s="970"/>
      <c r="I139" s="970"/>
      <c r="J139" s="969"/>
    </row>
    <row r="140" spans="1:10" ht="9.9" customHeight="1">
      <c r="A140" s="968"/>
      <c r="B140" s="968"/>
      <c r="C140" s="968"/>
      <c r="D140" s="970"/>
      <c r="E140" s="970"/>
      <c r="F140" s="968"/>
      <c r="G140" s="970"/>
      <c r="H140" s="970"/>
      <c r="I140" s="970"/>
      <c r="J140" s="969"/>
    </row>
    <row r="141" spans="1:10" ht="9.9" customHeight="1">
      <c r="A141" s="968"/>
      <c r="B141" s="968"/>
      <c r="C141" s="968"/>
      <c r="D141" s="968"/>
      <c r="E141" s="968"/>
      <c r="F141" s="968"/>
      <c r="G141" s="968"/>
      <c r="H141" s="968"/>
      <c r="I141" s="968"/>
      <c r="J141" s="969"/>
    </row>
    <row r="142" spans="1:10" ht="9.9" customHeight="1">
      <c r="A142" s="968"/>
      <c r="B142" s="968"/>
      <c r="C142" s="968"/>
      <c r="D142" s="968"/>
      <c r="E142" s="968"/>
      <c r="F142" s="968"/>
      <c r="G142" s="968"/>
      <c r="H142" s="970"/>
      <c r="I142" s="970"/>
      <c r="J142" s="969"/>
    </row>
    <row r="143" spans="1:10" ht="9.9" customHeight="1">
      <c r="A143" s="968"/>
      <c r="B143" s="968"/>
      <c r="C143" s="968"/>
      <c r="D143" s="968"/>
      <c r="E143" s="970"/>
      <c r="F143" s="968"/>
      <c r="G143" s="970"/>
      <c r="H143" s="968"/>
      <c r="I143" s="970"/>
      <c r="J143" s="969"/>
    </row>
    <row r="144" spans="1:10" ht="9.9" customHeight="1">
      <c r="A144" s="968"/>
      <c r="B144" s="968"/>
      <c r="C144" s="968"/>
      <c r="D144" s="968"/>
      <c r="E144" s="968"/>
      <c r="F144" s="968"/>
      <c r="G144" s="968"/>
      <c r="H144" s="968"/>
      <c r="I144" s="968"/>
      <c r="J144" s="969"/>
    </row>
    <row r="145" spans="1:10" ht="9.9" customHeight="1">
      <c r="A145" s="968"/>
      <c r="B145" s="968"/>
      <c r="C145" s="968"/>
      <c r="D145" s="968"/>
      <c r="E145" s="968"/>
      <c r="F145" s="968"/>
      <c r="G145" s="968"/>
      <c r="H145" s="968"/>
      <c r="I145" s="968"/>
      <c r="J145" s="968"/>
    </row>
    <row r="146" spans="1:10" ht="9.9" customHeight="1">
      <c r="A146" s="968"/>
      <c r="B146" s="968"/>
      <c r="C146" s="968"/>
      <c r="D146" s="970"/>
      <c r="E146" s="970"/>
      <c r="F146" s="968"/>
      <c r="G146" s="970"/>
      <c r="H146" s="970"/>
      <c r="I146" s="970"/>
      <c r="J146" s="969"/>
    </row>
    <row r="147" spans="1:10" ht="9.9" customHeight="1">
      <c r="A147" s="968"/>
      <c r="B147" s="968"/>
      <c r="C147" s="968"/>
      <c r="D147" s="968"/>
      <c r="E147" s="968"/>
      <c r="F147" s="968"/>
      <c r="G147" s="968"/>
      <c r="H147" s="968"/>
      <c r="I147" s="968"/>
      <c r="J147" s="969"/>
    </row>
    <row r="148" spans="1:10" ht="9.9" customHeight="1">
      <c r="A148" s="968"/>
      <c r="B148" s="968"/>
      <c r="C148" s="968"/>
      <c r="D148" s="968"/>
      <c r="E148" s="968"/>
      <c r="F148" s="968"/>
      <c r="G148" s="968"/>
      <c r="H148" s="970"/>
      <c r="I148" s="970"/>
      <c r="J148" s="969"/>
    </row>
    <row r="149" spans="1:10" ht="9.9" customHeight="1">
      <c r="A149" s="968"/>
      <c r="B149" s="968"/>
      <c r="C149" s="968"/>
      <c r="D149" s="968"/>
      <c r="E149" s="968"/>
      <c r="F149" s="968"/>
      <c r="G149" s="968"/>
      <c r="H149" s="968"/>
      <c r="I149" s="968"/>
      <c r="J149" s="968"/>
    </row>
    <row r="150" spans="1:10" ht="9.9" customHeight="1">
      <c r="A150" s="968"/>
      <c r="B150" s="968"/>
      <c r="C150" s="968"/>
      <c r="D150" s="968"/>
      <c r="E150" s="970"/>
      <c r="F150" s="968"/>
      <c r="G150" s="968"/>
      <c r="H150" s="970"/>
      <c r="I150" s="970"/>
      <c r="J150" s="968"/>
    </row>
    <row r="151" spans="1:10" ht="9.9" customHeight="1">
      <c r="A151" s="968"/>
      <c r="B151" s="968"/>
      <c r="C151" s="968"/>
      <c r="D151" s="970"/>
      <c r="E151" s="970"/>
      <c r="F151" s="968"/>
      <c r="G151" s="970"/>
      <c r="H151" s="970"/>
      <c r="I151" s="970"/>
      <c r="J151" s="969"/>
    </row>
    <row r="152" spans="1:10" ht="9.9" customHeight="1">
      <c r="A152" s="968"/>
      <c r="B152" s="968"/>
      <c r="C152" s="968"/>
      <c r="D152" s="970"/>
      <c r="E152" s="970"/>
      <c r="F152" s="968"/>
      <c r="G152" s="970"/>
      <c r="H152" s="970"/>
      <c r="I152" s="970"/>
      <c r="J152" s="969"/>
    </row>
    <row r="153" spans="1:10" ht="9.9" customHeight="1">
      <c r="A153" s="968"/>
      <c r="B153" s="968"/>
      <c r="C153" s="968"/>
      <c r="D153" s="970"/>
      <c r="E153" s="970"/>
      <c r="F153" s="968"/>
      <c r="G153" s="968"/>
      <c r="H153" s="970"/>
      <c r="I153" s="970"/>
      <c r="J153" s="969"/>
    </row>
    <row r="154" spans="1:10" ht="9.9" customHeight="1">
      <c r="A154" s="968"/>
      <c r="B154" s="968"/>
      <c r="C154" s="968"/>
      <c r="D154" s="970"/>
      <c r="E154" s="970"/>
      <c r="F154" s="968"/>
      <c r="G154" s="970"/>
      <c r="H154" s="970"/>
      <c r="I154" s="970"/>
      <c r="J154" s="969"/>
    </row>
    <row r="155" spans="1:10" ht="9.9" customHeight="1">
      <c r="A155" s="968"/>
      <c r="B155" s="968"/>
      <c r="C155" s="968"/>
      <c r="D155" s="968"/>
      <c r="E155" s="968"/>
      <c r="F155" s="968"/>
      <c r="G155" s="968"/>
      <c r="H155" s="968"/>
      <c r="I155" s="968"/>
      <c r="J155" s="969"/>
    </row>
    <row r="156" spans="1:10" ht="9.9" customHeight="1">
      <c r="A156" s="968"/>
      <c r="B156" s="968"/>
      <c r="C156" s="968"/>
      <c r="D156" s="968"/>
      <c r="E156" s="968"/>
      <c r="F156" s="968"/>
      <c r="G156" s="968"/>
      <c r="H156" s="968"/>
      <c r="I156" s="968"/>
      <c r="J156" s="969"/>
    </row>
    <row r="157" spans="1:10" ht="9.9" customHeight="1">
      <c r="A157" s="968"/>
      <c r="B157" s="968"/>
      <c r="C157" s="968"/>
      <c r="D157" s="968"/>
      <c r="E157" s="968"/>
      <c r="F157" s="968"/>
      <c r="G157" s="968"/>
      <c r="H157" s="968"/>
      <c r="I157" s="968"/>
      <c r="J157" s="968"/>
    </row>
    <row r="158" spans="1:10" ht="9.9" customHeight="1">
      <c r="A158" s="968"/>
      <c r="B158" s="968"/>
      <c r="C158" s="968"/>
      <c r="D158" s="970"/>
      <c r="E158" s="970"/>
      <c r="F158" s="968"/>
      <c r="G158" s="970"/>
      <c r="H158" s="970"/>
      <c r="I158" s="970"/>
      <c r="J158" s="969"/>
    </row>
    <row r="159" spans="1:10" ht="9.9" customHeight="1">
      <c r="A159" s="968"/>
      <c r="B159" s="968"/>
      <c r="C159" s="968"/>
      <c r="D159" s="970"/>
      <c r="E159" s="970"/>
      <c r="F159" s="968"/>
      <c r="G159" s="970"/>
      <c r="H159" s="970"/>
      <c r="I159" s="970"/>
      <c r="J159" s="969"/>
    </row>
    <row r="160" spans="1:10" ht="9.9" customHeight="1">
      <c r="A160" s="968"/>
      <c r="B160" s="968"/>
      <c r="C160" s="968"/>
      <c r="D160" s="968"/>
      <c r="E160" s="968"/>
      <c r="F160" s="968"/>
      <c r="G160" s="968"/>
      <c r="H160" s="970"/>
      <c r="I160" s="970"/>
      <c r="J160" s="969"/>
    </row>
    <row r="161" spans="1:10" ht="9.9" customHeight="1">
      <c r="A161" s="968"/>
      <c r="B161" s="968"/>
      <c r="C161" s="968"/>
      <c r="D161" s="968"/>
      <c r="E161" s="968"/>
      <c r="F161" s="968"/>
      <c r="G161" s="968"/>
      <c r="H161" s="968"/>
      <c r="I161" s="968"/>
      <c r="J161" s="968"/>
    </row>
    <row r="162" spans="1:10" ht="9.9" customHeight="1">
      <c r="A162" s="968"/>
      <c r="B162" s="968"/>
      <c r="C162" s="968"/>
      <c r="D162" s="970"/>
      <c r="E162" s="968"/>
      <c r="F162" s="968"/>
      <c r="G162" s="970"/>
      <c r="H162" s="968"/>
      <c r="I162" s="970"/>
      <c r="J162" s="969"/>
    </row>
    <row r="163" spans="1:10" ht="9.9" customHeight="1">
      <c r="A163" s="968"/>
      <c r="B163" s="968"/>
      <c r="C163" s="968"/>
      <c r="D163" s="968"/>
      <c r="E163" s="970"/>
      <c r="F163" s="968"/>
      <c r="G163" s="968"/>
      <c r="H163" s="968"/>
      <c r="I163" s="970"/>
      <c r="J163" s="969"/>
    </row>
    <row r="164" spans="1:10" ht="9.9" customHeight="1">
      <c r="A164" s="968"/>
      <c r="B164" s="968"/>
      <c r="C164" s="968"/>
      <c r="D164" s="968"/>
      <c r="E164" s="970"/>
      <c r="F164" s="968"/>
      <c r="G164" s="968"/>
      <c r="H164" s="970"/>
      <c r="I164" s="970"/>
      <c r="J164" s="969"/>
    </row>
    <row r="165" spans="1:10" ht="9.9" customHeight="1">
      <c r="A165" s="968"/>
      <c r="B165" s="968"/>
      <c r="C165" s="968"/>
      <c r="D165" s="968"/>
      <c r="E165" s="968"/>
      <c r="F165" s="968"/>
      <c r="G165" s="968"/>
      <c r="H165" s="968"/>
      <c r="I165" s="968"/>
      <c r="J165" s="969"/>
    </row>
    <row r="166" spans="1:10" ht="9.9" customHeight="1">
      <c r="A166" s="968"/>
      <c r="B166" s="968"/>
      <c r="C166" s="968"/>
      <c r="D166" s="968"/>
      <c r="E166" s="968"/>
      <c r="F166" s="968"/>
      <c r="G166" s="968"/>
      <c r="H166" s="968"/>
      <c r="I166" s="968"/>
      <c r="J166" s="968"/>
    </row>
    <row r="167" spans="1:10" ht="9.9" customHeight="1">
      <c r="A167" s="968"/>
      <c r="B167" s="968"/>
      <c r="C167" s="968"/>
      <c r="D167" s="968"/>
      <c r="E167" s="968"/>
      <c r="F167" s="968"/>
      <c r="G167" s="968"/>
      <c r="H167" s="970"/>
      <c r="I167" s="970"/>
      <c r="J167" s="969"/>
    </row>
    <row r="168" spans="1:10" ht="9.9" customHeight="1">
      <c r="A168" s="968"/>
      <c r="B168" s="968"/>
      <c r="C168" s="968"/>
      <c r="D168" s="970"/>
      <c r="E168" s="970"/>
      <c r="F168" s="968"/>
      <c r="G168" s="970"/>
      <c r="H168" s="970"/>
      <c r="I168" s="970"/>
      <c r="J168" s="969"/>
    </row>
    <row r="169" spans="1:10" ht="9.9" customHeight="1">
      <c r="A169" s="968"/>
      <c r="B169" s="968"/>
      <c r="C169" s="968"/>
      <c r="D169" s="968"/>
      <c r="E169" s="968"/>
      <c r="F169" s="968"/>
      <c r="G169" s="968"/>
      <c r="H169" s="968"/>
      <c r="I169" s="968"/>
      <c r="J169" s="969"/>
    </row>
    <row r="170" spans="1:10" ht="9.9" customHeight="1">
      <c r="A170" s="968"/>
      <c r="B170" s="968"/>
      <c r="C170" s="968"/>
      <c r="D170" s="970"/>
      <c r="E170" s="968"/>
      <c r="F170" s="968"/>
      <c r="G170" s="970"/>
      <c r="H170" s="970"/>
      <c r="I170" s="970"/>
      <c r="J170" s="968"/>
    </row>
    <row r="171" spans="1:10" ht="9.9" customHeight="1">
      <c r="A171" s="968"/>
      <c r="B171" s="968"/>
      <c r="C171" s="968"/>
      <c r="D171" s="968"/>
      <c r="E171" s="968"/>
      <c r="F171" s="968"/>
      <c r="G171" s="968"/>
      <c r="H171" s="968"/>
      <c r="I171" s="968"/>
      <c r="J171" s="969"/>
    </row>
    <row r="172" spans="1:10" ht="9.9" customHeight="1">
      <c r="A172" s="968"/>
      <c r="B172" s="968"/>
      <c r="C172" s="968"/>
      <c r="D172" s="970"/>
      <c r="E172" s="970"/>
      <c r="F172" s="968"/>
      <c r="G172" s="970"/>
      <c r="H172" s="970"/>
      <c r="I172" s="970"/>
      <c r="J172" s="968"/>
    </row>
    <row r="173" spans="1:10" ht="9.9" customHeight="1">
      <c r="A173" s="968"/>
      <c r="B173" s="968"/>
      <c r="C173" s="968"/>
      <c r="D173" s="970"/>
      <c r="E173" s="970"/>
      <c r="F173" s="968"/>
      <c r="G173" s="970"/>
      <c r="H173" s="970"/>
      <c r="I173" s="970"/>
      <c r="J173" s="969"/>
    </row>
    <row r="174" spans="1:10" ht="9.9" customHeight="1">
      <c r="A174" s="968"/>
      <c r="B174" s="968"/>
      <c r="C174" s="968"/>
      <c r="D174" s="970"/>
      <c r="E174" s="970"/>
      <c r="F174" s="968"/>
      <c r="G174" s="970"/>
      <c r="H174" s="968"/>
      <c r="I174" s="970"/>
      <c r="J174" s="969"/>
    </row>
    <row r="175" spans="1:10" ht="9.9" customHeight="1">
      <c r="A175" s="968"/>
      <c r="B175" s="968"/>
      <c r="C175" s="968"/>
      <c r="D175" s="968"/>
      <c r="E175" s="970"/>
      <c r="F175" s="968"/>
      <c r="G175" s="970"/>
      <c r="H175" s="968"/>
      <c r="I175" s="970"/>
      <c r="J175" s="969"/>
    </row>
    <row r="176" spans="1:10" ht="9.9" customHeight="1">
      <c r="A176" s="968"/>
      <c r="B176" s="968"/>
      <c r="C176" s="968"/>
      <c r="D176" s="968"/>
      <c r="E176" s="968"/>
      <c r="F176" s="968"/>
      <c r="G176" s="968"/>
      <c r="H176" s="968"/>
      <c r="I176" s="968"/>
      <c r="J176" s="969"/>
    </row>
    <row r="177" spans="1:10" ht="9.9" customHeight="1">
      <c r="A177" s="968"/>
      <c r="B177" s="968"/>
      <c r="C177" s="968"/>
      <c r="D177" s="968"/>
      <c r="E177" s="970"/>
      <c r="F177" s="968"/>
      <c r="G177" s="970"/>
      <c r="H177" s="968"/>
      <c r="I177" s="970"/>
      <c r="J177" s="969"/>
    </row>
    <row r="178" spans="1:10" ht="9.9" customHeight="1">
      <c r="A178" s="968"/>
      <c r="B178" s="968"/>
      <c r="C178" s="968"/>
      <c r="D178" s="968"/>
      <c r="E178" s="968"/>
      <c r="F178" s="968"/>
      <c r="G178" s="968"/>
      <c r="H178" s="968"/>
      <c r="I178" s="968"/>
      <c r="J178" s="969"/>
    </row>
    <row r="179" spans="1:10" ht="9.9" customHeight="1">
      <c r="A179" s="968"/>
      <c r="B179" s="968"/>
      <c r="C179" s="968"/>
      <c r="D179" s="970"/>
      <c r="E179" s="968"/>
      <c r="F179" s="968"/>
      <c r="G179" s="970"/>
      <c r="H179" s="970"/>
      <c r="I179" s="970"/>
      <c r="J179" s="969"/>
    </row>
    <row r="180" spans="1:10" ht="9.9" customHeight="1">
      <c r="A180" s="968"/>
      <c r="B180" s="968"/>
      <c r="C180" s="968"/>
      <c r="D180" s="970"/>
      <c r="E180" s="970"/>
      <c r="F180" s="968"/>
      <c r="G180" s="970"/>
      <c r="H180" s="968"/>
      <c r="I180" s="970"/>
      <c r="J180" s="969"/>
    </row>
    <row r="181" spans="1:10" ht="9.9" customHeight="1">
      <c r="A181" s="968"/>
      <c r="B181" s="968"/>
      <c r="C181" s="968"/>
      <c r="D181" s="970"/>
      <c r="E181" s="968"/>
      <c r="F181" s="968"/>
      <c r="G181" s="968"/>
      <c r="H181" s="970"/>
      <c r="I181" s="970"/>
      <c r="J181" s="969"/>
    </row>
    <row r="182" spans="1:10" ht="9.9" customHeight="1">
      <c r="A182" s="968"/>
      <c r="B182" s="968"/>
      <c r="C182" s="968"/>
      <c r="D182" s="970"/>
      <c r="E182" s="970"/>
      <c r="F182" s="968"/>
      <c r="G182" s="970"/>
      <c r="H182" s="970"/>
      <c r="I182" s="970"/>
      <c r="J182" s="969"/>
    </row>
    <row r="183" spans="1:10" ht="9.9" customHeight="1">
      <c r="A183" s="968"/>
      <c r="B183" s="968"/>
      <c r="C183" s="968"/>
      <c r="D183" s="970"/>
      <c r="E183" s="970"/>
      <c r="F183" s="968"/>
      <c r="G183" s="970"/>
      <c r="H183" s="968"/>
      <c r="I183" s="970"/>
      <c r="J183" s="969"/>
    </row>
    <row r="184" spans="1:10" ht="9.9" customHeight="1">
      <c r="A184" s="968"/>
      <c r="B184" s="968"/>
      <c r="C184" s="968"/>
      <c r="D184" s="968"/>
      <c r="E184" s="970"/>
      <c r="F184" s="968"/>
      <c r="G184" s="968"/>
      <c r="H184" s="970"/>
      <c r="I184" s="970"/>
      <c r="J184" s="969"/>
    </row>
    <row r="185" spans="1:10" ht="9.9" customHeight="1">
      <c r="A185" s="968"/>
      <c r="B185" s="968"/>
      <c r="C185" s="968"/>
      <c r="D185" s="968"/>
      <c r="E185" s="968"/>
      <c r="F185" s="968"/>
      <c r="G185" s="968"/>
      <c r="H185" s="968"/>
      <c r="I185" s="968"/>
      <c r="J185" s="969"/>
    </row>
    <row r="186" spans="1:10" ht="9.9" customHeight="1">
      <c r="A186" s="968"/>
      <c r="B186" s="968"/>
      <c r="C186" s="968"/>
      <c r="D186" s="968"/>
      <c r="E186" s="968"/>
      <c r="F186" s="968"/>
      <c r="G186" s="968"/>
      <c r="H186" s="968"/>
      <c r="I186" s="968"/>
      <c r="J186" s="968"/>
    </row>
    <row r="187" spans="1:10" ht="9.9" customHeight="1">
      <c r="A187" s="968"/>
      <c r="B187" s="968"/>
      <c r="C187" s="968"/>
      <c r="D187" s="970"/>
      <c r="E187" s="970"/>
      <c r="F187" s="968"/>
      <c r="G187" s="970"/>
      <c r="H187" s="970"/>
      <c r="I187" s="970"/>
      <c r="J187" s="969"/>
    </row>
    <row r="188" spans="1:10" ht="9.9" customHeight="1">
      <c r="A188" s="968"/>
      <c r="B188" s="968"/>
      <c r="C188" s="968"/>
      <c r="D188" s="970"/>
      <c r="E188" s="970"/>
      <c r="F188" s="968"/>
      <c r="G188" s="970"/>
      <c r="H188" s="970"/>
      <c r="I188" s="970"/>
      <c r="J188" s="969"/>
    </row>
    <row r="189" spans="1:10" ht="9.9" customHeight="1">
      <c r="A189" s="968"/>
      <c r="B189" s="968"/>
      <c r="C189" s="968"/>
      <c r="D189" s="968"/>
      <c r="E189" s="968"/>
      <c r="F189" s="968"/>
      <c r="G189" s="968"/>
      <c r="H189" s="968"/>
      <c r="I189" s="968"/>
      <c r="J189" s="969"/>
    </row>
    <row r="190" spans="1:10" ht="9.9" customHeight="1">
      <c r="A190" s="968"/>
      <c r="B190" s="968"/>
      <c r="C190" s="968"/>
      <c r="D190" s="970"/>
      <c r="E190" s="968"/>
      <c r="F190" s="968"/>
      <c r="G190" s="970"/>
      <c r="H190" s="968"/>
      <c r="I190" s="970"/>
      <c r="J190" s="969"/>
    </row>
    <row r="191" spans="1:10" ht="9.9" customHeight="1">
      <c r="A191" s="968"/>
      <c r="B191" s="968"/>
      <c r="C191" s="968"/>
      <c r="D191" s="968"/>
      <c r="E191" s="968"/>
      <c r="F191" s="968"/>
      <c r="G191" s="968"/>
      <c r="H191" s="968"/>
      <c r="I191" s="968"/>
      <c r="J191" s="968"/>
    </row>
    <row r="192" spans="1:10" ht="9.9" customHeight="1">
      <c r="A192" s="968"/>
      <c r="B192" s="968"/>
      <c r="C192" s="968"/>
      <c r="D192" s="968"/>
      <c r="E192" s="968"/>
      <c r="F192" s="968"/>
      <c r="G192" s="968"/>
      <c r="H192" s="968"/>
      <c r="I192" s="968"/>
      <c r="J192" s="969"/>
    </row>
    <row r="193" spans="1:10" ht="9.9" customHeight="1">
      <c r="A193" s="968"/>
      <c r="B193" s="968"/>
      <c r="C193" s="968"/>
      <c r="D193" s="968"/>
      <c r="E193" s="968"/>
      <c r="F193" s="968"/>
      <c r="G193" s="968"/>
      <c r="H193" s="968"/>
      <c r="I193" s="968"/>
      <c r="J193" s="969"/>
    </row>
    <row r="194" spans="1:10" ht="9.9" customHeight="1">
      <c r="A194" s="968"/>
      <c r="B194" s="968"/>
      <c r="C194" s="968"/>
      <c r="D194" s="970"/>
      <c r="E194" s="970"/>
      <c r="F194" s="968"/>
      <c r="G194" s="970"/>
      <c r="H194" s="970"/>
      <c r="I194" s="970"/>
      <c r="J194" s="969"/>
    </row>
    <row r="195" spans="1:10" ht="9.9" customHeight="1">
      <c r="A195" s="968"/>
      <c r="B195" s="968"/>
      <c r="C195" s="968"/>
      <c r="D195" s="970"/>
      <c r="E195" s="970"/>
      <c r="F195" s="968"/>
      <c r="G195" s="970"/>
      <c r="H195" s="970"/>
      <c r="I195" s="970"/>
      <c r="J195" s="969"/>
    </row>
    <row r="196" spans="1:10" ht="9.9" customHeight="1">
      <c r="A196" s="968"/>
      <c r="B196" s="968"/>
      <c r="C196" s="968"/>
      <c r="D196" s="970"/>
      <c r="E196" s="970"/>
      <c r="F196" s="968"/>
      <c r="G196" s="970"/>
      <c r="H196" s="968"/>
      <c r="I196" s="970"/>
      <c r="J196" s="969"/>
    </row>
    <row r="197" spans="1:10" ht="9.9" customHeight="1">
      <c r="A197" s="968"/>
      <c r="B197" s="968"/>
      <c r="C197" s="968"/>
      <c r="D197" s="970"/>
      <c r="E197" s="970"/>
      <c r="F197" s="968"/>
      <c r="G197" s="970"/>
      <c r="H197" s="970"/>
      <c r="I197" s="970"/>
      <c r="J197" s="969"/>
    </row>
    <row r="198" spans="1:10" ht="9.9" customHeight="1">
      <c r="A198" s="968"/>
      <c r="B198" s="968"/>
      <c r="C198" s="968"/>
      <c r="D198" s="968"/>
      <c r="E198" s="968"/>
      <c r="F198" s="968"/>
      <c r="G198" s="968"/>
      <c r="H198" s="968"/>
      <c r="I198" s="968"/>
      <c r="J198" s="969"/>
    </row>
    <row r="199" spans="1:10" ht="9.9" customHeight="1">
      <c r="A199" s="968"/>
      <c r="B199" s="968"/>
      <c r="C199" s="968"/>
      <c r="D199" s="968"/>
      <c r="E199" s="968"/>
      <c r="F199" s="968"/>
      <c r="G199" s="968"/>
      <c r="H199" s="968"/>
      <c r="I199" s="968"/>
      <c r="J199" s="969"/>
    </row>
    <row r="200" spans="1:10" ht="9.9" customHeight="1">
      <c r="A200" s="968"/>
      <c r="B200" s="968"/>
      <c r="C200" s="968"/>
      <c r="D200" s="968"/>
      <c r="E200" s="970"/>
      <c r="F200" s="968"/>
      <c r="G200" s="970"/>
      <c r="H200" s="970"/>
      <c r="I200" s="970"/>
      <c r="J200" s="969"/>
    </row>
    <row r="201" spans="1:10" ht="9.9" customHeight="1">
      <c r="A201" s="968"/>
      <c r="B201" s="968"/>
      <c r="C201" s="968"/>
      <c r="D201" s="968"/>
      <c r="E201" s="968"/>
      <c r="F201" s="968"/>
      <c r="G201" s="968"/>
      <c r="H201" s="968"/>
      <c r="I201" s="968"/>
      <c r="J201" s="968"/>
    </row>
    <row r="202" spans="1:10" ht="9.9" customHeight="1">
      <c r="A202" s="968"/>
      <c r="B202" s="968"/>
      <c r="C202" s="968"/>
      <c r="D202" s="970"/>
      <c r="E202" s="968"/>
      <c r="F202" s="968"/>
      <c r="G202" s="970"/>
      <c r="H202" s="970"/>
      <c r="I202" s="970"/>
      <c r="J202" s="969"/>
    </row>
    <row r="203" spans="1:10" ht="9.9" customHeight="1">
      <c r="A203" s="968"/>
      <c r="B203" s="968"/>
      <c r="C203" s="968"/>
      <c r="D203" s="970"/>
      <c r="E203" s="968"/>
      <c r="F203" s="968"/>
      <c r="G203" s="968"/>
      <c r="H203" s="970"/>
      <c r="I203" s="970"/>
      <c r="J203" s="969"/>
    </row>
    <row r="204" spans="1:10" ht="9.9" customHeight="1">
      <c r="A204" s="968"/>
      <c r="B204" s="968"/>
      <c r="C204" s="968"/>
      <c r="D204" s="968"/>
      <c r="E204" s="970"/>
      <c r="F204" s="968"/>
      <c r="G204" s="970"/>
      <c r="H204" s="968"/>
      <c r="I204" s="970"/>
      <c r="J204" s="969"/>
    </row>
    <row r="205" spans="1:10" ht="9.9" customHeight="1">
      <c r="A205" s="968"/>
      <c r="B205" s="968"/>
      <c r="C205" s="968"/>
      <c r="D205" s="970"/>
      <c r="E205" s="970"/>
      <c r="F205" s="968"/>
      <c r="G205" s="970"/>
      <c r="H205" s="970"/>
      <c r="I205" s="970"/>
      <c r="J205" s="969"/>
    </row>
    <row r="206" spans="1:10" ht="9.9" customHeight="1">
      <c r="A206" s="968"/>
      <c r="B206" s="968"/>
      <c r="C206" s="968"/>
      <c r="D206" s="970"/>
      <c r="E206" s="968"/>
      <c r="F206" s="968"/>
      <c r="G206" s="970"/>
      <c r="H206" s="968"/>
      <c r="I206" s="970"/>
      <c r="J206" s="968"/>
    </row>
    <row r="207" spans="1:10" ht="9.9" customHeight="1">
      <c r="A207" s="968"/>
      <c r="B207" s="968"/>
      <c r="C207" s="968"/>
      <c r="D207" s="968"/>
      <c r="E207" s="968"/>
      <c r="F207" s="968"/>
      <c r="G207" s="968"/>
      <c r="H207" s="968"/>
      <c r="I207" s="968"/>
      <c r="J207" s="969"/>
    </row>
    <row r="208" spans="1:10" ht="9.9" customHeight="1">
      <c r="A208" s="968"/>
      <c r="B208" s="968"/>
      <c r="C208" s="968"/>
      <c r="D208" s="968"/>
      <c r="E208" s="970"/>
      <c r="F208" s="968"/>
      <c r="G208" s="970"/>
      <c r="H208" s="968"/>
      <c r="I208" s="970"/>
      <c r="J208" s="969"/>
    </row>
    <row r="209" spans="1:10" ht="9.9" customHeight="1">
      <c r="A209" s="968"/>
      <c r="B209" s="968"/>
      <c r="C209" s="968"/>
      <c r="D209" s="968"/>
      <c r="E209" s="968"/>
      <c r="F209" s="968"/>
      <c r="G209" s="968"/>
      <c r="H209" s="968"/>
      <c r="I209" s="968"/>
      <c r="J209" s="969"/>
    </row>
    <row r="210" spans="1:10" ht="9.9" customHeight="1">
      <c r="A210" s="968"/>
      <c r="B210" s="968"/>
      <c r="C210" s="968"/>
      <c r="D210" s="968"/>
      <c r="E210" s="968"/>
      <c r="F210" s="968"/>
      <c r="G210" s="968"/>
      <c r="H210" s="968"/>
      <c r="I210" s="968"/>
      <c r="J210" s="969"/>
    </row>
    <row r="211" spans="1:10" ht="9.9" customHeight="1">
      <c r="A211" s="968"/>
      <c r="B211" s="968"/>
      <c r="C211" s="968"/>
      <c r="D211" s="970"/>
      <c r="E211" s="970"/>
      <c r="F211" s="968"/>
      <c r="G211" s="970"/>
      <c r="H211" s="970"/>
      <c r="I211" s="970"/>
      <c r="J211" s="969"/>
    </row>
    <row r="212" spans="1:10" ht="9.9" customHeight="1">
      <c r="A212" s="968"/>
      <c r="B212" s="968"/>
      <c r="C212" s="968"/>
      <c r="D212" s="968"/>
      <c r="E212" s="970"/>
      <c r="F212" s="968"/>
      <c r="G212" s="970"/>
      <c r="H212" s="968"/>
      <c r="I212" s="970"/>
      <c r="J212" s="969"/>
    </row>
    <row r="213" spans="1:10" ht="9.9" customHeight="1">
      <c r="A213" s="968"/>
      <c r="B213" s="968"/>
      <c r="C213" s="968"/>
      <c r="D213" s="968"/>
      <c r="E213" s="968"/>
      <c r="F213" s="968"/>
      <c r="G213" s="968"/>
      <c r="H213" s="968"/>
      <c r="I213" s="968"/>
      <c r="J213" s="969"/>
    </row>
    <row r="214" spans="1:10" ht="9.9" customHeight="1">
      <c r="A214" s="968"/>
      <c r="B214" s="968"/>
      <c r="C214" s="968"/>
      <c r="D214" s="968"/>
      <c r="E214" s="968"/>
      <c r="F214" s="968"/>
      <c r="G214" s="968"/>
      <c r="H214" s="968"/>
      <c r="I214" s="968"/>
      <c r="J214" s="969"/>
    </row>
    <row r="215" spans="1:10" ht="9.9" customHeight="1">
      <c r="A215" s="968"/>
      <c r="B215" s="968"/>
      <c r="C215" s="968"/>
      <c r="D215" s="968"/>
      <c r="E215" s="968"/>
      <c r="F215" s="968"/>
      <c r="G215" s="968"/>
      <c r="H215" s="968"/>
      <c r="I215" s="968"/>
      <c r="J215" s="968"/>
    </row>
    <row r="216" spans="1:10" ht="9.9" customHeight="1">
      <c r="A216" s="968"/>
      <c r="B216" s="968"/>
      <c r="C216" s="968"/>
      <c r="D216" s="970"/>
      <c r="E216" s="968"/>
      <c r="F216" s="968"/>
      <c r="G216" s="968"/>
      <c r="H216" s="970"/>
      <c r="I216" s="970"/>
      <c r="J216" s="969"/>
    </row>
    <row r="217" spans="1:10" ht="9.9" customHeight="1">
      <c r="A217" s="968"/>
      <c r="B217" s="968"/>
      <c r="C217" s="968"/>
      <c r="D217" s="968"/>
      <c r="E217" s="968"/>
      <c r="F217" s="968"/>
      <c r="G217" s="968"/>
      <c r="H217" s="968"/>
      <c r="I217" s="968"/>
      <c r="J217" s="968"/>
    </row>
    <row r="218" spans="1:10" ht="9.9" customHeight="1">
      <c r="A218" s="968"/>
      <c r="B218" s="968"/>
      <c r="C218" s="968"/>
      <c r="D218" s="968"/>
      <c r="E218" s="968"/>
      <c r="F218" s="968"/>
      <c r="G218" s="968"/>
      <c r="H218" s="968"/>
      <c r="I218" s="968"/>
      <c r="J218" s="969"/>
    </row>
    <row r="219" spans="1:10" ht="9.9" customHeight="1">
      <c r="A219" s="968"/>
      <c r="B219" s="968"/>
      <c r="C219" s="968"/>
      <c r="D219" s="968"/>
      <c r="E219" s="968"/>
      <c r="F219" s="968"/>
      <c r="G219" s="968"/>
      <c r="H219" s="968"/>
      <c r="I219" s="968"/>
      <c r="J219" s="968"/>
    </row>
    <row r="220" spans="1:10" ht="9.9" customHeight="1">
      <c r="A220" s="968"/>
      <c r="B220" s="968"/>
      <c r="C220" s="968"/>
      <c r="D220" s="970"/>
      <c r="E220" s="970"/>
      <c r="F220" s="968"/>
      <c r="G220" s="970"/>
      <c r="H220" s="970"/>
      <c r="I220" s="970"/>
      <c r="J220" s="969"/>
    </row>
    <row r="221" spans="1:10" ht="9.9" customHeight="1">
      <c r="A221" s="968"/>
      <c r="B221" s="968"/>
      <c r="C221" s="968"/>
      <c r="D221" s="968"/>
      <c r="E221" s="968"/>
      <c r="F221" s="968"/>
      <c r="G221" s="968"/>
      <c r="H221" s="968"/>
      <c r="I221" s="968"/>
      <c r="J221" s="969"/>
    </row>
    <row r="222" spans="1:10">
      <c r="A222" s="90"/>
      <c r="B222" s="90"/>
      <c r="C222" s="90"/>
      <c r="D222" s="90"/>
      <c r="E222" s="90"/>
      <c r="F222" s="90"/>
      <c r="G222" s="90"/>
      <c r="H222" s="90"/>
      <c r="I222" s="90"/>
      <c r="J222" s="967"/>
    </row>
    <row r="223" spans="1:10">
      <c r="A223" s="90"/>
      <c r="B223" s="90"/>
      <c r="C223" s="90"/>
      <c r="D223" s="91"/>
      <c r="E223" s="91"/>
      <c r="F223" s="90"/>
      <c r="G223" s="91"/>
      <c r="H223" s="91"/>
      <c r="I223" s="91"/>
      <c r="J223" s="967"/>
    </row>
    <row r="224" spans="1:10">
      <c r="A224" s="90"/>
      <c r="B224" s="90"/>
      <c r="C224" s="90"/>
      <c r="D224" s="90"/>
      <c r="E224" s="90"/>
      <c r="F224" s="90"/>
      <c r="G224" s="90"/>
      <c r="H224" s="90"/>
      <c r="I224" s="90"/>
      <c r="J224" s="967"/>
    </row>
  </sheetData>
  <autoFilter ref="A1:J1" xr:uid="{C2712E7B-B03B-4C4D-8040-514DD7AB7153}"/>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47278-1B18-4EDE-A7E5-979BF1AE69EA}">
  <sheetPr>
    <tabColor rgb="FFC00000"/>
  </sheetPr>
  <dimension ref="A1:U562"/>
  <sheetViews>
    <sheetView workbookViewId="0">
      <selection activeCell="E19" sqref="E19"/>
    </sheetView>
  </sheetViews>
  <sheetFormatPr defaultRowHeight="14.4"/>
  <sheetData>
    <row r="1" spans="1:21">
      <c r="A1" t="s">
        <v>3117</v>
      </c>
      <c r="B1" t="s">
        <v>1761</v>
      </c>
      <c r="C1" t="s">
        <v>2301</v>
      </c>
      <c r="D1" t="s">
        <v>3118</v>
      </c>
      <c r="E1" t="s">
        <v>929</v>
      </c>
      <c r="F1" t="s">
        <v>1233</v>
      </c>
      <c r="G1" t="s">
        <v>3119</v>
      </c>
      <c r="H1" t="s">
        <v>1216</v>
      </c>
      <c r="I1" t="s">
        <v>1760</v>
      </c>
      <c r="J1" t="s">
        <v>3120</v>
      </c>
      <c r="K1" t="s">
        <v>3121</v>
      </c>
      <c r="L1" t="s">
        <v>2292</v>
      </c>
      <c r="M1" t="s">
        <v>2296</v>
      </c>
      <c r="N1" t="s">
        <v>3122</v>
      </c>
      <c r="O1" t="s">
        <v>3123</v>
      </c>
      <c r="P1" t="s">
        <v>2298</v>
      </c>
      <c r="Q1" t="s">
        <v>2300</v>
      </c>
      <c r="R1" t="s">
        <v>3124</v>
      </c>
      <c r="S1" t="s">
        <v>3125</v>
      </c>
      <c r="T1" t="s">
        <v>3126</v>
      </c>
      <c r="U1" t="s">
        <v>2383</v>
      </c>
    </row>
    <row r="2" spans="1:21">
      <c r="A2" t="s">
        <v>1751</v>
      </c>
      <c r="B2" t="s">
        <v>8646</v>
      </c>
      <c r="C2" t="s">
        <v>1751</v>
      </c>
      <c r="D2">
        <v>20456656</v>
      </c>
      <c r="E2" t="s">
        <v>3128</v>
      </c>
      <c r="F2" t="s">
        <v>1237</v>
      </c>
      <c r="G2" t="s">
        <v>3143</v>
      </c>
      <c r="H2" t="s">
        <v>1251</v>
      </c>
      <c r="J2" s="455">
        <v>46077</v>
      </c>
      <c r="U2" s="455">
        <v>46081</v>
      </c>
    </row>
    <row r="3" spans="1:21">
      <c r="A3" t="s">
        <v>1751</v>
      </c>
      <c r="B3" t="s">
        <v>8647</v>
      </c>
      <c r="C3" t="s">
        <v>1751</v>
      </c>
      <c r="D3">
        <v>20452401</v>
      </c>
      <c r="E3" t="s">
        <v>1907</v>
      </c>
      <c r="F3" t="s">
        <v>1912</v>
      </c>
      <c r="G3" t="s">
        <v>3134</v>
      </c>
      <c r="H3" t="s">
        <v>1247</v>
      </c>
      <c r="I3" t="s">
        <v>1963</v>
      </c>
      <c r="J3" s="455">
        <v>46071</v>
      </c>
      <c r="K3" s="455">
        <v>46071</v>
      </c>
      <c r="L3" s="455">
        <v>46077</v>
      </c>
      <c r="U3" s="455">
        <v>46083</v>
      </c>
    </row>
    <row r="4" spans="1:21">
      <c r="A4" t="s">
        <v>1751</v>
      </c>
      <c r="B4" t="s">
        <v>8648</v>
      </c>
      <c r="C4" t="s">
        <v>1751</v>
      </c>
      <c r="D4">
        <v>20440270</v>
      </c>
      <c r="E4" t="s">
        <v>3133</v>
      </c>
      <c r="F4" t="s">
        <v>1238</v>
      </c>
      <c r="G4" t="s">
        <v>3141</v>
      </c>
      <c r="H4" t="s">
        <v>1248</v>
      </c>
      <c r="I4" t="s">
        <v>1927</v>
      </c>
      <c r="J4" s="455">
        <v>46056</v>
      </c>
      <c r="K4" s="455">
        <v>46056</v>
      </c>
      <c r="L4" s="455">
        <v>46056</v>
      </c>
      <c r="S4" s="455">
        <v>46078</v>
      </c>
      <c r="U4" s="455">
        <v>46078</v>
      </c>
    </row>
    <row r="5" spans="1:21">
      <c r="A5" t="s">
        <v>1751</v>
      </c>
      <c r="B5" t="s">
        <v>8648</v>
      </c>
      <c r="C5" t="s">
        <v>1751</v>
      </c>
      <c r="D5">
        <v>20440414</v>
      </c>
      <c r="E5" t="s">
        <v>3133</v>
      </c>
      <c r="F5" t="s">
        <v>1238</v>
      </c>
      <c r="G5" t="s">
        <v>3134</v>
      </c>
      <c r="H5" t="s">
        <v>1248</v>
      </c>
      <c r="I5" t="s">
        <v>2446</v>
      </c>
      <c r="J5" s="455">
        <v>46056</v>
      </c>
      <c r="K5" s="455">
        <v>46056</v>
      </c>
      <c r="L5" s="455">
        <v>46056</v>
      </c>
      <c r="R5" s="455">
        <v>46063</v>
      </c>
      <c r="U5" s="455">
        <v>46088</v>
      </c>
    </row>
    <row r="6" spans="1:21">
      <c r="A6" t="s">
        <v>1751</v>
      </c>
      <c r="B6" t="s">
        <v>8649</v>
      </c>
      <c r="C6" t="s">
        <v>1751</v>
      </c>
      <c r="D6">
        <v>20441112</v>
      </c>
      <c r="E6" t="s">
        <v>3133</v>
      </c>
      <c r="F6" t="s">
        <v>1237</v>
      </c>
      <c r="G6" t="s">
        <v>3134</v>
      </c>
      <c r="H6" t="s">
        <v>1248</v>
      </c>
      <c r="I6" t="s">
        <v>1796</v>
      </c>
      <c r="J6" s="455">
        <v>46057</v>
      </c>
      <c r="K6" s="455">
        <v>46057</v>
      </c>
      <c r="L6" s="455">
        <v>46057</v>
      </c>
      <c r="R6" s="455">
        <v>46071</v>
      </c>
      <c r="U6" s="455">
        <v>46084</v>
      </c>
    </row>
    <row r="7" spans="1:21">
      <c r="A7" t="s">
        <v>1751</v>
      </c>
      <c r="B7" t="s">
        <v>1930</v>
      </c>
      <c r="C7" t="s">
        <v>1751</v>
      </c>
      <c r="D7">
        <v>20457949</v>
      </c>
      <c r="E7" t="s">
        <v>1897</v>
      </c>
      <c r="F7" t="s">
        <v>1242</v>
      </c>
      <c r="G7" t="s">
        <v>3143</v>
      </c>
      <c r="H7" t="s">
        <v>1248</v>
      </c>
      <c r="I7" t="s">
        <v>1929</v>
      </c>
      <c r="J7" s="455">
        <v>46079</v>
      </c>
      <c r="K7" s="455">
        <v>46080</v>
      </c>
      <c r="U7" s="455">
        <v>46109</v>
      </c>
    </row>
    <row r="8" spans="1:21">
      <c r="A8" t="s">
        <v>1751</v>
      </c>
      <c r="B8" t="s">
        <v>8650</v>
      </c>
      <c r="C8" t="s">
        <v>1751</v>
      </c>
      <c r="D8">
        <v>20448346</v>
      </c>
      <c r="E8" t="s">
        <v>3128</v>
      </c>
      <c r="F8" t="s">
        <v>1241</v>
      </c>
      <c r="G8" t="s">
        <v>3143</v>
      </c>
      <c r="H8" t="s">
        <v>1248</v>
      </c>
      <c r="I8" t="s">
        <v>1559</v>
      </c>
      <c r="J8" s="455">
        <v>46066</v>
      </c>
      <c r="U8" s="455">
        <v>46066</v>
      </c>
    </row>
    <row r="9" spans="1:21">
      <c r="A9" t="s">
        <v>1751</v>
      </c>
      <c r="B9" t="s">
        <v>8651</v>
      </c>
      <c r="C9" t="s">
        <v>1751</v>
      </c>
      <c r="D9">
        <v>20440440</v>
      </c>
      <c r="E9" t="s">
        <v>3133</v>
      </c>
      <c r="F9" t="s">
        <v>8652</v>
      </c>
      <c r="G9" t="s">
        <v>3134</v>
      </c>
      <c r="H9" t="s">
        <v>1249</v>
      </c>
      <c r="I9" t="s">
        <v>1801</v>
      </c>
      <c r="J9" s="455">
        <v>46056</v>
      </c>
      <c r="K9" s="455">
        <v>46056</v>
      </c>
      <c r="L9" s="455">
        <v>46058</v>
      </c>
      <c r="S9" s="455">
        <v>46063</v>
      </c>
      <c r="U9" s="455">
        <v>46113</v>
      </c>
    </row>
    <row r="10" spans="1:21">
      <c r="A10" t="s">
        <v>1751</v>
      </c>
      <c r="B10" t="s">
        <v>8653</v>
      </c>
      <c r="C10" t="s">
        <v>1751</v>
      </c>
      <c r="D10">
        <v>20411822</v>
      </c>
      <c r="E10" t="s">
        <v>3190</v>
      </c>
      <c r="F10" t="s">
        <v>1239</v>
      </c>
      <c r="G10" t="s">
        <v>3129</v>
      </c>
      <c r="H10" t="s">
        <v>1252</v>
      </c>
      <c r="J10" s="455">
        <v>46014</v>
      </c>
      <c r="R10" s="455">
        <v>46066</v>
      </c>
      <c r="U10" s="455">
        <v>46053</v>
      </c>
    </row>
    <row r="11" spans="1:21">
      <c r="A11" t="s">
        <v>1751</v>
      </c>
      <c r="B11" t="s">
        <v>8654</v>
      </c>
      <c r="C11" t="s">
        <v>1751</v>
      </c>
      <c r="D11">
        <v>20455583</v>
      </c>
      <c r="E11" t="s">
        <v>3128</v>
      </c>
      <c r="F11" t="s">
        <v>1782</v>
      </c>
      <c r="G11" t="s">
        <v>3129</v>
      </c>
      <c r="H11" t="s">
        <v>1252</v>
      </c>
      <c r="J11" s="455">
        <v>46076</v>
      </c>
      <c r="U11" s="455">
        <v>46077</v>
      </c>
    </row>
    <row r="12" spans="1:21">
      <c r="A12" t="s">
        <v>1751</v>
      </c>
      <c r="B12" t="s">
        <v>8655</v>
      </c>
      <c r="C12" t="s">
        <v>1751</v>
      </c>
      <c r="D12">
        <v>20444308</v>
      </c>
      <c r="E12" t="s">
        <v>3128</v>
      </c>
      <c r="F12" t="s">
        <v>8652</v>
      </c>
      <c r="G12" t="s">
        <v>3143</v>
      </c>
      <c r="H12" t="s">
        <v>1248</v>
      </c>
      <c r="I12" t="s">
        <v>2148</v>
      </c>
      <c r="J12" s="455">
        <v>46063</v>
      </c>
      <c r="U12" s="455">
        <v>46081</v>
      </c>
    </row>
    <row r="13" spans="1:21">
      <c r="A13" t="s">
        <v>1751</v>
      </c>
      <c r="B13" t="s">
        <v>8656</v>
      </c>
      <c r="C13" t="s">
        <v>1751</v>
      </c>
      <c r="D13">
        <v>20444775</v>
      </c>
      <c r="E13" t="s">
        <v>3128</v>
      </c>
      <c r="F13" t="s">
        <v>1241</v>
      </c>
      <c r="G13" t="s">
        <v>2009</v>
      </c>
      <c r="H13" t="s">
        <v>1247</v>
      </c>
      <c r="J13" s="455">
        <v>46063</v>
      </c>
      <c r="U13" s="455">
        <v>46084</v>
      </c>
    </row>
    <row r="14" spans="1:21">
      <c r="A14" t="s">
        <v>1751</v>
      </c>
      <c r="B14" t="s">
        <v>8657</v>
      </c>
      <c r="C14" t="s">
        <v>1751</v>
      </c>
      <c r="D14">
        <v>20448941</v>
      </c>
      <c r="E14" t="s">
        <v>3128</v>
      </c>
      <c r="F14" t="s">
        <v>1782</v>
      </c>
      <c r="G14" t="s">
        <v>2009</v>
      </c>
      <c r="H14" t="s">
        <v>1247</v>
      </c>
      <c r="J14" s="455">
        <v>46067</v>
      </c>
      <c r="U14" s="455">
        <v>46083</v>
      </c>
    </row>
    <row r="15" spans="1:21">
      <c r="A15" t="s">
        <v>1751</v>
      </c>
      <c r="B15" t="s">
        <v>8658</v>
      </c>
      <c r="C15" t="s">
        <v>1751</v>
      </c>
      <c r="D15">
        <v>20440209</v>
      </c>
      <c r="E15" t="s">
        <v>3128</v>
      </c>
      <c r="F15" t="s">
        <v>1782</v>
      </c>
      <c r="G15" t="s">
        <v>3129</v>
      </c>
      <c r="H15" t="s">
        <v>1253</v>
      </c>
      <c r="J15" s="455">
        <v>46056</v>
      </c>
      <c r="U15" s="455">
        <v>46056</v>
      </c>
    </row>
    <row r="16" spans="1:21">
      <c r="A16" t="s">
        <v>1751</v>
      </c>
      <c r="B16" t="s">
        <v>8659</v>
      </c>
      <c r="C16" t="s">
        <v>1751</v>
      </c>
      <c r="D16">
        <v>20443863</v>
      </c>
      <c r="E16" t="s">
        <v>3128</v>
      </c>
      <c r="F16" t="s">
        <v>1239</v>
      </c>
      <c r="G16" t="s">
        <v>3143</v>
      </c>
      <c r="H16" t="s">
        <v>1248</v>
      </c>
      <c r="J16" s="455">
        <v>46062</v>
      </c>
      <c r="U16" s="455">
        <v>46062</v>
      </c>
    </row>
    <row r="17" spans="1:21">
      <c r="A17" t="s">
        <v>1751</v>
      </c>
      <c r="B17" t="s">
        <v>1837</v>
      </c>
      <c r="C17" t="s">
        <v>1751</v>
      </c>
      <c r="D17">
        <v>20443684</v>
      </c>
      <c r="E17" t="s">
        <v>3128</v>
      </c>
      <c r="F17" t="s">
        <v>1237</v>
      </c>
      <c r="G17" t="s">
        <v>3143</v>
      </c>
      <c r="H17" t="s">
        <v>1248</v>
      </c>
      <c r="I17" t="s">
        <v>3262</v>
      </c>
      <c r="J17" s="455">
        <v>46062</v>
      </c>
      <c r="U17" s="455">
        <v>46136</v>
      </c>
    </row>
    <row r="18" spans="1:21">
      <c r="A18" t="s">
        <v>1751</v>
      </c>
      <c r="B18" t="s">
        <v>8660</v>
      </c>
      <c r="C18" t="s">
        <v>1751</v>
      </c>
      <c r="D18">
        <v>20441240</v>
      </c>
      <c r="E18" t="s">
        <v>3128</v>
      </c>
      <c r="F18" t="s">
        <v>1241</v>
      </c>
      <c r="G18" t="s">
        <v>3141</v>
      </c>
      <c r="H18" t="s">
        <v>1251</v>
      </c>
      <c r="J18" s="455">
        <v>46057</v>
      </c>
      <c r="U18" s="455">
        <v>46057</v>
      </c>
    </row>
    <row r="19" spans="1:21">
      <c r="A19" t="s">
        <v>1751</v>
      </c>
      <c r="B19" t="s">
        <v>8661</v>
      </c>
      <c r="C19" t="s">
        <v>1751</v>
      </c>
      <c r="D19">
        <v>20457180</v>
      </c>
      <c r="E19" t="s">
        <v>3128</v>
      </c>
      <c r="F19" t="s">
        <v>1242</v>
      </c>
      <c r="G19" t="s">
        <v>3143</v>
      </c>
      <c r="H19" t="s">
        <v>1249</v>
      </c>
      <c r="J19" s="455">
        <v>46078</v>
      </c>
      <c r="U19" s="455">
        <v>46103</v>
      </c>
    </row>
    <row r="20" spans="1:21">
      <c r="A20" t="s">
        <v>1751</v>
      </c>
      <c r="B20" t="s">
        <v>8662</v>
      </c>
      <c r="C20" t="s">
        <v>1751</v>
      </c>
      <c r="D20">
        <v>20430985</v>
      </c>
      <c r="E20" t="s">
        <v>3133</v>
      </c>
      <c r="F20" t="s">
        <v>1239</v>
      </c>
      <c r="G20" t="s">
        <v>3143</v>
      </c>
      <c r="H20" t="s">
        <v>1251</v>
      </c>
      <c r="I20" t="s">
        <v>1925</v>
      </c>
      <c r="J20" s="455">
        <v>46042</v>
      </c>
      <c r="K20" s="455">
        <v>46073</v>
      </c>
      <c r="L20" s="455">
        <v>46073</v>
      </c>
      <c r="R20" s="455">
        <v>46077</v>
      </c>
      <c r="U20" s="455">
        <v>46081</v>
      </c>
    </row>
    <row r="21" spans="1:21">
      <c r="A21" t="s">
        <v>1751</v>
      </c>
      <c r="B21" t="s">
        <v>7096</v>
      </c>
      <c r="C21" t="s">
        <v>1751</v>
      </c>
      <c r="D21">
        <v>20457202</v>
      </c>
      <c r="E21" t="s">
        <v>1897</v>
      </c>
      <c r="F21" t="s">
        <v>1912</v>
      </c>
      <c r="G21" t="s">
        <v>3134</v>
      </c>
      <c r="H21" t="s">
        <v>1247</v>
      </c>
      <c r="I21" t="s">
        <v>1524</v>
      </c>
      <c r="J21" s="455">
        <v>46078</v>
      </c>
      <c r="K21" s="455">
        <v>46078</v>
      </c>
      <c r="U21" s="455">
        <v>46078</v>
      </c>
    </row>
    <row r="22" spans="1:21">
      <c r="A22" t="s">
        <v>1751</v>
      </c>
      <c r="B22" t="s">
        <v>7096</v>
      </c>
      <c r="C22" t="s">
        <v>1751</v>
      </c>
      <c r="D22">
        <v>20456466</v>
      </c>
      <c r="E22" t="s">
        <v>1901</v>
      </c>
      <c r="F22" t="s">
        <v>1237</v>
      </c>
      <c r="G22" t="s">
        <v>3134</v>
      </c>
      <c r="H22" t="s">
        <v>1247</v>
      </c>
      <c r="I22" t="s">
        <v>7095</v>
      </c>
      <c r="J22" s="455">
        <v>46077</v>
      </c>
      <c r="K22" s="455">
        <v>46077</v>
      </c>
      <c r="L22" s="455">
        <v>46077</v>
      </c>
      <c r="U22" s="455">
        <v>46097</v>
      </c>
    </row>
    <row r="23" spans="1:21">
      <c r="A23" t="s">
        <v>1751</v>
      </c>
      <c r="B23" t="s">
        <v>8663</v>
      </c>
      <c r="C23" t="s">
        <v>1751</v>
      </c>
      <c r="D23">
        <v>20437537</v>
      </c>
      <c r="E23" t="s">
        <v>3133</v>
      </c>
      <c r="F23" t="s">
        <v>1237</v>
      </c>
      <c r="G23" t="s">
        <v>3134</v>
      </c>
      <c r="H23" t="s">
        <v>1248</v>
      </c>
      <c r="I23" t="s">
        <v>6998</v>
      </c>
      <c r="J23" s="455">
        <v>46052</v>
      </c>
      <c r="K23" s="455">
        <v>46052</v>
      </c>
      <c r="L23" s="455">
        <v>46052</v>
      </c>
      <c r="R23" s="455">
        <v>46074</v>
      </c>
      <c r="U23" s="455">
        <v>46074</v>
      </c>
    </row>
    <row r="24" spans="1:21">
      <c r="A24" t="s">
        <v>1751</v>
      </c>
      <c r="B24" t="s">
        <v>8663</v>
      </c>
      <c r="C24" t="s">
        <v>1751</v>
      </c>
      <c r="D24">
        <v>20437558</v>
      </c>
      <c r="E24" t="s">
        <v>3133</v>
      </c>
      <c r="F24" t="s">
        <v>8652</v>
      </c>
      <c r="G24" t="s">
        <v>3134</v>
      </c>
      <c r="H24" t="s">
        <v>1248</v>
      </c>
      <c r="I24" t="s">
        <v>2556</v>
      </c>
      <c r="J24" s="455">
        <v>46052</v>
      </c>
      <c r="K24" s="455">
        <v>46052</v>
      </c>
      <c r="L24" s="455">
        <v>46052</v>
      </c>
      <c r="S24" s="455">
        <v>46058</v>
      </c>
      <c r="U24" s="455">
        <v>46060</v>
      </c>
    </row>
    <row r="25" spans="1:21">
      <c r="A25" t="s">
        <v>1751</v>
      </c>
      <c r="B25" t="s">
        <v>8664</v>
      </c>
      <c r="C25" t="s">
        <v>1751</v>
      </c>
      <c r="D25">
        <v>20456639</v>
      </c>
      <c r="E25" t="s">
        <v>3133</v>
      </c>
      <c r="F25" t="s">
        <v>1237</v>
      </c>
      <c r="G25" t="s">
        <v>3134</v>
      </c>
      <c r="H25" t="s">
        <v>1247</v>
      </c>
      <c r="I25" t="s">
        <v>1805</v>
      </c>
      <c r="J25" s="455">
        <v>46077</v>
      </c>
      <c r="K25" s="455">
        <v>46077</v>
      </c>
      <c r="R25" s="455">
        <v>46077</v>
      </c>
      <c r="U25" s="455">
        <v>46088</v>
      </c>
    </row>
    <row r="26" spans="1:21">
      <c r="A26" t="s">
        <v>1751</v>
      </c>
      <c r="B26" t="s">
        <v>7129</v>
      </c>
      <c r="C26" t="s">
        <v>1751</v>
      </c>
      <c r="D26">
        <v>20453791</v>
      </c>
      <c r="E26" t="s">
        <v>2011</v>
      </c>
      <c r="F26" t="s">
        <v>1238</v>
      </c>
      <c r="G26" t="s">
        <v>3134</v>
      </c>
      <c r="H26" t="s">
        <v>1251</v>
      </c>
      <c r="I26" t="s">
        <v>7128</v>
      </c>
      <c r="J26" s="455">
        <v>46072</v>
      </c>
      <c r="K26" s="455">
        <v>46072</v>
      </c>
      <c r="L26" s="455">
        <v>46072</v>
      </c>
      <c r="M26" s="455">
        <v>46080</v>
      </c>
      <c r="N26" s="455">
        <v>46080</v>
      </c>
      <c r="O26" s="455">
        <v>46083</v>
      </c>
      <c r="U26" s="455">
        <v>46081</v>
      </c>
    </row>
    <row r="27" spans="1:21">
      <c r="A27" t="s">
        <v>1751</v>
      </c>
      <c r="B27" t="s">
        <v>1924</v>
      </c>
      <c r="C27" t="s">
        <v>1751</v>
      </c>
      <c r="D27">
        <v>20457276</v>
      </c>
      <c r="E27" t="s">
        <v>1897</v>
      </c>
      <c r="F27" t="s">
        <v>1782</v>
      </c>
      <c r="G27" t="s">
        <v>3134</v>
      </c>
      <c r="H27" t="s">
        <v>1247</v>
      </c>
      <c r="I27" t="s">
        <v>1923</v>
      </c>
      <c r="J27" s="455">
        <v>46078</v>
      </c>
      <c r="K27" s="455">
        <v>46078</v>
      </c>
      <c r="U27" s="455">
        <v>46182</v>
      </c>
    </row>
    <row r="28" spans="1:21">
      <c r="A28" t="s">
        <v>1751</v>
      </c>
      <c r="B28" t="s">
        <v>8665</v>
      </c>
      <c r="C28" t="s">
        <v>1751</v>
      </c>
      <c r="D28">
        <v>20436771</v>
      </c>
      <c r="E28" t="s">
        <v>1897</v>
      </c>
      <c r="F28" t="s">
        <v>8652</v>
      </c>
      <c r="G28" t="s">
        <v>2009</v>
      </c>
      <c r="H28" t="s">
        <v>1251</v>
      </c>
      <c r="J28" s="455">
        <v>46051</v>
      </c>
      <c r="K28" s="455">
        <v>46062</v>
      </c>
      <c r="U28" s="455">
        <v>46085</v>
      </c>
    </row>
    <row r="29" spans="1:21">
      <c r="A29" t="s">
        <v>1751</v>
      </c>
      <c r="B29" t="s">
        <v>8665</v>
      </c>
      <c r="C29" t="s">
        <v>1751</v>
      </c>
      <c r="D29">
        <v>20442672</v>
      </c>
      <c r="E29" t="s">
        <v>3133</v>
      </c>
      <c r="F29" t="s">
        <v>8652</v>
      </c>
      <c r="G29" t="s">
        <v>3134</v>
      </c>
      <c r="H29" t="s">
        <v>1247</v>
      </c>
      <c r="I29" t="s">
        <v>1931</v>
      </c>
      <c r="J29" s="455">
        <v>46060</v>
      </c>
      <c r="K29" s="455">
        <v>46060</v>
      </c>
      <c r="L29" s="455">
        <v>46060</v>
      </c>
      <c r="R29" s="455">
        <v>46071</v>
      </c>
      <c r="U29" s="455">
        <v>46085</v>
      </c>
    </row>
    <row r="30" spans="1:21">
      <c r="A30" t="s">
        <v>1751</v>
      </c>
      <c r="B30" t="s">
        <v>8666</v>
      </c>
      <c r="C30" t="s">
        <v>1751</v>
      </c>
      <c r="D30">
        <v>20444109</v>
      </c>
      <c r="E30" t="s">
        <v>1907</v>
      </c>
      <c r="F30" t="s">
        <v>1237</v>
      </c>
      <c r="G30" t="s">
        <v>3134</v>
      </c>
      <c r="H30" t="s">
        <v>1247</v>
      </c>
      <c r="I30" t="s">
        <v>1961</v>
      </c>
      <c r="J30" s="455">
        <v>46062</v>
      </c>
      <c r="K30" s="455">
        <v>46062</v>
      </c>
      <c r="L30" s="455">
        <v>46062</v>
      </c>
      <c r="U30" s="455">
        <v>46078</v>
      </c>
    </row>
    <row r="31" spans="1:21">
      <c r="A31" t="s">
        <v>1751</v>
      </c>
      <c r="B31" t="s">
        <v>8667</v>
      </c>
      <c r="C31" t="s">
        <v>1751</v>
      </c>
      <c r="D31">
        <v>20413385</v>
      </c>
      <c r="E31" t="s">
        <v>1897</v>
      </c>
      <c r="F31" t="s">
        <v>1237</v>
      </c>
      <c r="G31" t="s">
        <v>3141</v>
      </c>
      <c r="H31" t="s">
        <v>1252</v>
      </c>
      <c r="J31" s="455">
        <v>46018</v>
      </c>
      <c r="K31" s="455">
        <v>46055</v>
      </c>
      <c r="T31" s="455">
        <v>46055</v>
      </c>
      <c r="U31" s="455">
        <v>46059</v>
      </c>
    </row>
    <row r="32" spans="1:21">
      <c r="A32" t="s">
        <v>1751</v>
      </c>
      <c r="B32" t="s">
        <v>8668</v>
      </c>
      <c r="C32" t="s">
        <v>1751</v>
      </c>
      <c r="D32">
        <v>20452742</v>
      </c>
      <c r="E32" t="s">
        <v>3128</v>
      </c>
      <c r="F32" t="s">
        <v>1782</v>
      </c>
      <c r="G32" t="s">
        <v>3141</v>
      </c>
      <c r="H32" t="s">
        <v>1247</v>
      </c>
      <c r="J32" s="455">
        <v>46072</v>
      </c>
      <c r="U32" s="455">
        <v>46113</v>
      </c>
    </row>
    <row r="33" spans="1:21">
      <c r="A33" t="s">
        <v>1751</v>
      </c>
      <c r="B33" t="s">
        <v>8669</v>
      </c>
      <c r="C33" t="s">
        <v>1751</v>
      </c>
      <c r="D33">
        <v>20455784</v>
      </c>
      <c r="E33" t="s">
        <v>3128</v>
      </c>
      <c r="F33" t="s">
        <v>1239</v>
      </c>
      <c r="G33" t="s">
        <v>3143</v>
      </c>
      <c r="H33" t="s">
        <v>1252</v>
      </c>
      <c r="J33" s="455">
        <v>46076</v>
      </c>
      <c r="U33" s="455">
        <v>46076</v>
      </c>
    </row>
    <row r="34" spans="1:21">
      <c r="A34" t="s">
        <v>1751</v>
      </c>
      <c r="B34" t="s">
        <v>8670</v>
      </c>
      <c r="C34" t="s">
        <v>1751</v>
      </c>
      <c r="D34">
        <v>20440321</v>
      </c>
      <c r="E34" t="s">
        <v>1897</v>
      </c>
      <c r="F34" t="s">
        <v>1239</v>
      </c>
      <c r="G34" t="s">
        <v>3134</v>
      </c>
      <c r="H34" t="s">
        <v>1247</v>
      </c>
      <c r="J34" s="455">
        <v>46056</v>
      </c>
      <c r="K34" s="455">
        <v>46056</v>
      </c>
      <c r="U34" s="455">
        <v>46056</v>
      </c>
    </row>
    <row r="35" spans="1:21">
      <c r="A35" t="s">
        <v>1751</v>
      </c>
      <c r="B35" t="s">
        <v>8671</v>
      </c>
      <c r="C35" t="s">
        <v>1751</v>
      </c>
      <c r="D35">
        <v>20438394</v>
      </c>
      <c r="E35" t="s">
        <v>3133</v>
      </c>
      <c r="F35" t="s">
        <v>1237</v>
      </c>
      <c r="G35" t="s">
        <v>3134</v>
      </c>
      <c r="H35" t="s">
        <v>1247</v>
      </c>
      <c r="I35" t="s">
        <v>1831</v>
      </c>
      <c r="J35" s="455">
        <v>46053</v>
      </c>
      <c r="K35" s="455">
        <v>46053</v>
      </c>
      <c r="L35" s="455">
        <v>46053</v>
      </c>
      <c r="R35" s="455">
        <v>46077</v>
      </c>
      <c r="U35" s="455">
        <v>46081</v>
      </c>
    </row>
    <row r="36" spans="1:21">
      <c r="A36" t="s">
        <v>1751</v>
      </c>
      <c r="B36" t="s">
        <v>8672</v>
      </c>
      <c r="C36" t="s">
        <v>1751</v>
      </c>
      <c r="D36">
        <v>20442372</v>
      </c>
      <c r="E36" t="s">
        <v>3128</v>
      </c>
      <c r="F36" t="s">
        <v>1239</v>
      </c>
      <c r="G36" t="s">
        <v>3143</v>
      </c>
      <c r="H36" t="s">
        <v>1248</v>
      </c>
      <c r="I36" t="s">
        <v>3752</v>
      </c>
      <c r="J36" s="455">
        <v>46059</v>
      </c>
      <c r="T36" s="455">
        <v>46070</v>
      </c>
      <c r="U36" s="455">
        <v>46066</v>
      </c>
    </row>
    <row r="37" spans="1:21">
      <c r="A37" t="s">
        <v>1751</v>
      </c>
      <c r="B37" t="s">
        <v>8673</v>
      </c>
      <c r="C37" t="s">
        <v>1751</v>
      </c>
      <c r="D37">
        <v>20439559</v>
      </c>
      <c r="E37" t="s">
        <v>3133</v>
      </c>
      <c r="F37" t="s">
        <v>1912</v>
      </c>
      <c r="G37" t="s">
        <v>3134</v>
      </c>
      <c r="H37" t="s">
        <v>1247</v>
      </c>
      <c r="I37" t="s">
        <v>3872</v>
      </c>
      <c r="J37" s="455">
        <v>46055</v>
      </c>
      <c r="K37" s="455">
        <v>46055</v>
      </c>
      <c r="R37" s="455">
        <v>46056</v>
      </c>
      <c r="U37" s="455">
        <v>46109</v>
      </c>
    </row>
    <row r="38" spans="1:21">
      <c r="A38" t="s">
        <v>1751</v>
      </c>
      <c r="B38" t="s">
        <v>8673</v>
      </c>
      <c r="C38" t="s">
        <v>1751</v>
      </c>
      <c r="D38">
        <v>20439330</v>
      </c>
      <c r="E38" t="s">
        <v>3133</v>
      </c>
      <c r="F38" t="s">
        <v>1237</v>
      </c>
      <c r="G38" t="s">
        <v>3143</v>
      </c>
      <c r="H38" t="s">
        <v>3358</v>
      </c>
      <c r="I38" t="s">
        <v>1536</v>
      </c>
      <c r="J38" s="455">
        <v>46055</v>
      </c>
      <c r="K38" s="455">
        <v>46055</v>
      </c>
      <c r="L38" s="455">
        <v>46056</v>
      </c>
      <c r="S38" s="455">
        <v>46078</v>
      </c>
      <c r="U38" s="455">
        <v>46109</v>
      </c>
    </row>
    <row r="39" spans="1:21">
      <c r="A39" t="s">
        <v>1751</v>
      </c>
      <c r="B39" t="s">
        <v>8674</v>
      </c>
      <c r="C39" t="s">
        <v>1751</v>
      </c>
      <c r="D39">
        <v>20443741</v>
      </c>
      <c r="E39" t="s">
        <v>3128</v>
      </c>
      <c r="F39" t="s">
        <v>1782</v>
      </c>
      <c r="G39" t="s">
        <v>3137</v>
      </c>
      <c r="H39" t="s">
        <v>1247</v>
      </c>
      <c r="J39" s="455">
        <v>46062</v>
      </c>
      <c r="U39" s="455">
        <v>46082</v>
      </c>
    </row>
    <row r="40" spans="1:21">
      <c r="A40" t="s">
        <v>1751</v>
      </c>
      <c r="B40" t="s">
        <v>8675</v>
      </c>
      <c r="C40" t="s">
        <v>1751</v>
      </c>
      <c r="D40">
        <v>20443949</v>
      </c>
      <c r="E40" t="s">
        <v>3128</v>
      </c>
      <c r="F40" t="s">
        <v>1782</v>
      </c>
      <c r="G40" t="s">
        <v>3129</v>
      </c>
      <c r="H40" t="s">
        <v>1252</v>
      </c>
      <c r="J40" s="455">
        <v>46062</v>
      </c>
      <c r="U40" s="455">
        <v>46143</v>
      </c>
    </row>
    <row r="41" spans="1:21">
      <c r="A41" t="s">
        <v>1751</v>
      </c>
      <c r="B41" t="s">
        <v>3201</v>
      </c>
      <c r="C41" t="s">
        <v>1751</v>
      </c>
      <c r="D41">
        <v>20446658</v>
      </c>
      <c r="E41" t="s">
        <v>3133</v>
      </c>
      <c r="F41" t="s">
        <v>1237</v>
      </c>
      <c r="G41" t="s">
        <v>3134</v>
      </c>
      <c r="H41" t="s">
        <v>1247</v>
      </c>
      <c r="I41" t="s">
        <v>1218</v>
      </c>
      <c r="J41" s="455">
        <v>46064</v>
      </c>
      <c r="K41" s="455">
        <v>46064</v>
      </c>
      <c r="L41" s="455">
        <v>46064</v>
      </c>
      <c r="R41" s="455">
        <v>46073</v>
      </c>
      <c r="U41" s="455">
        <v>46070</v>
      </c>
    </row>
    <row r="42" spans="1:21">
      <c r="A42" t="s">
        <v>1751</v>
      </c>
      <c r="B42" t="s">
        <v>8676</v>
      </c>
      <c r="C42" t="s">
        <v>1751</v>
      </c>
      <c r="D42">
        <v>20450641</v>
      </c>
      <c r="E42" t="s">
        <v>3128</v>
      </c>
      <c r="F42" t="s">
        <v>1241</v>
      </c>
      <c r="G42" t="s">
        <v>3129</v>
      </c>
      <c r="H42" t="s">
        <v>1247</v>
      </c>
      <c r="J42" s="455">
        <v>46070</v>
      </c>
      <c r="U42" s="455">
        <v>46070</v>
      </c>
    </row>
    <row r="43" spans="1:21">
      <c r="A43" t="s">
        <v>1751</v>
      </c>
      <c r="B43" t="s">
        <v>8677</v>
      </c>
      <c r="C43" t="s">
        <v>1751</v>
      </c>
      <c r="D43">
        <v>20451166</v>
      </c>
      <c r="E43" t="s">
        <v>1897</v>
      </c>
      <c r="F43" t="s">
        <v>1912</v>
      </c>
      <c r="G43" t="s">
        <v>3134</v>
      </c>
      <c r="H43" t="s">
        <v>1247</v>
      </c>
      <c r="I43" t="s">
        <v>7107</v>
      </c>
      <c r="J43" s="455">
        <v>46071</v>
      </c>
      <c r="K43" s="455">
        <v>46071</v>
      </c>
      <c r="U43" s="455">
        <v>46088</v>
      </c>
    </row>
    <row r="44" spans="1:21">
      <c r="A44" t="s">
        <v>1751</v>
      </c>
      <c r="B44" t="s">
        <v>8678</v>
      </c>
      <c r="C44" t="s">
        <v>1751</v>
      </c>
      <c r="D44">
        <v>20439985</v>
      </c>
      <c r="E44" t="s">
        <v>1897</v>
      </c>
      <c r="F44" t="s">
        <v>1238</v>
      </c>
      <c r="G44" t="s">
        <v>3134</v>
      </c>
      <c r="H44" t="s">
        <v>1247</v>
      </c>
      <c r="J44" s="455">
        <v>46056</v>
      </c>
      <c r="K44" s="455">
        <v>46056</v>
      </c>
      <c r="U44" s="455">
        <v>46056</v>
      </c>
    </row>
    <row r="45" spans="1:21">
      <c r="A45" t="s">
        <v>1751</v>
      </c>
      <c r="B45" t="s">
        <v>8679</v>
      </c>
      <c r="C45" t="s">
        <v>1751</v>
      </c>
      <c r="D45">
        <v>20458531</v>
      </c>
      <c r="E45" t="s">
        <v>1897</v>
      </c>
      <c r="F45" t="s">
        <v>1241</v>
      </c>
      <c r="G45" t="s">
        <v>3134</v>
      </c>
      <c r="H45" t="s">
        <v>1247</v>
      </c>
      <c r="J45" s="455">
        <v>46079</v>
      </c>
      <c r="K45" s="455">
        <v>46079</v>
      </c>
      <c r="U45" s="455">
        <v>46143</v>
      </c>
    </row>
    <row r="46" spans="1:21">
      <c r="A46" t="s">
        <v>1751</v>
      </c>
      <c r="B46" t="s">
        <v>8680</v>
      </c>
      <c r="C46" t="s">
        <v>1751</v>
      </c>
      <c r="D46">
        <v>20435970</v>
      </c>
      <c r="E46" t="s">
        <v>3133</v>
      </c>
      <c r="F46" t="s">
        <v>1237</v>
      </c>
      <c r="G46" t="s">
        <v>3134</v>
      </c>
      <c r="H46" t="s">
        <v>1247</v>
      </c>
      <c r="I46" t="s">
        <v>2403</v>
      </c>
      <c r="J46" s="455">
        <v>46050</v>
      </c>
      <c r="K46" s="455">
        <v>46050</v>
      </c>
      <c r="L46" s="455">
        <v>46050</v>
      </c>
      <c r="R46" s="455">
        <v>46071</v>
      </c>
      <c r="U46" s="455">
        <v>46073</v>
      </c>
    </row>
    <row r="47" spans="1:21">
      <c r="A47" t="s">
        <v>1751</v>
      </c>
      <c r="B47" t="s">
        <v>8681</v>
      </c>
      <c r="C47" t="s">
        <v>1751</v>
      </c>
      <c r="D47">
        <v>20441063</v>
      </c>
      <c r="E47" t="s">
        <v>3128</v>
      </c>
      <c r="F47" t="s">
        <v>1782</v>
      </c>
      <c r="G47" t="s">
        <v>3129</v>
      </c>
      <c r="H47" t="s">
        <v>1253</v>
      </c>
      <c r="J47" s="455">
        <v>46057</v>
      </c>
      <c r="U47" s="455">
        <v>46057</v>
      </c>
    </row>
    <row r="48" spans="1:21">
      <c r="A48" t="s">
        <v>1751</v>
      </c>
      <c r="B48" t="s">
        <v>8682</v>
      </c>
      <c r="C48" t="s">
        <v>1751</v>
      </c>
      <c r="D48">
        <v>20440723</v>
      </c>
      <c r="E48" t="s">
        <v>3128</v>
      </c>
      <c r="F48" t="s">
        <v>1782</v>
      </c>
      <c r="G48" t="s">
        <v>3129</v>
      </c>
      <c r="H48" t="s">
        <v>1252</v>
      </c>
      <c r="J48" s="455">
        <v>46057</v>
      </c>
      <c r="U48" s="455">
        <v>46057</v>
      </c>
    </row>
    <row r="49" spans="1:21">
      <c r="A49" t="s">
        <v>1751</v>
      </c>
      <c r="B49" t="s">
        <v>8683</v>
      </c>
      <c r="C49" t="s">
        <v>1751</v>
      </c>
      <c r="D49">
        <v>20454877</v>
      </c>
      <c r="E49" t="s">
        <v>3128</v>
      </c>
      <c r="F49" t="s">
        <v>1239</v>
      </c>
      <c r="G49" t="s">
        <v>3143</v>
      </c>
      <c r="H49" t="s">
        <v>3358</v>
      </c>
      <c r="J49" s="455">
        <v>46074</v>
      </c>
      <c r="U49" s="455">
        <v>46074</v>
      </c>
    </row>
    <row r="50" spans="1:21">
      <c r="A50" t="s">
        <v>1751</v>
      </c>
      <c r="B50" t="s">
        <v>6421</v>
      </c>
      <c r="C50" t="s">
        <v>1751</v>
      </c>
      <c r="D50">
        <v>20458274</v>
      </c>
      <c r="E50" t="s">
        <v>3557</v>
      </c>
      <c r="F50" t="s">
        <v>1912</v>
      </c>
      <c r="G50" t="s">
        <v>3134</v>
      </c>
      <c r="H50" t="s">
        <v>1247</v>
      </c>
      <c r="I50" t="s">
        <v>6064</v>
      </c>
      <c r="J50" s="455">
        <v>46079</v>
      </c>
      <c r="K50" s="455">
        <v>46079</v>
      </c>
      <c r="L50" s="455">
        <v>46080</v>
      </c>
      <c r="M50" s="455">
        <v>46080</v>
      </c>
      <c r="N50" s="455">
        <v>46080</v>
      </c>
      <c r="P50" s="455">
        <v>46080</v>
      </c>
      <c r="U50" s="455">
        <v>46081</v>
      </c>
    </row>
    <row r="51" spans="1:21">
      <c r="A51" t="s">
        <v>1751</v>
      </c>
      <c r="B51" t="s">
        <v>8684</v>
      </c>
      <c r="C51" t="s">
        <v>1751</v>
      </c>
      <c r="D51">
        <v>20440792</v>
      </c>
      <c r="E51" t="s">
        <v>3128</v>
      </c>
      <c r="F51" t="s">
        <v>1239</v>
      </c>
      <c r="G51" t="s">
        <v>3143</v>
      </c>
      <c r="H51" t="s">
        <v>1248</v>
      </c>
      <c r="J51" s="455">
        <v>46057</v>
      </c>
      <c r="U51" s="455">
        <v>46057</v>
      </c>
    </row>
    <row r="52" spans="1:21">
      <c r="A52" t="s">
        <v>1751</v>
      </c>
      <c r="B52" t="s">
        <v>8685</v>
      </c>
      <c r="C52" t="s">
        <v>1751</v>
      </c>
      <c r="D52">
        <v>20442006</v>
      </c>
      <c r="E52" t="s">
        <v>3133</v>
      </c>
      <c r="F52" t="s">
        <v>1238</v>
      </c>
      <c r="G52" t="s">
        <v>3141</v>
      </c>
      <c r="H52" t="s">
        <v>1247</v>
      </c>
      <c r="I52" t="s">
        <v>1947</v>
      </c>
      <c r="J52" s="455">
        <v>46059</v>
      </c>
      <c r="K52" s="455">
        <v>46060</v>
      </c>
      <c r="L52" s="455">
        <v>46060</v>
      </c>
      <c r="S52" s="455">
        <v>46068</v>
      </c>
      <c r="U52" s="455">
        <v>46066</v>
      </c>
    </row>
    <row r="53" spans="1:21">
      <c r="A53" t="s">
        <v>1751</v>
      </c>
      <c r="B53" t="s">
        <v>8686</v>
      </c>
      <c r="C53" t="s">
        <v>1751</v>
      </c>
      <c r="D53">
        <v>20451183</v>
      </c>
      <c r="E53" t="s">
        <v>1907</v>
      </c>
      <c r="F53" t="s">
        <v>1237</v>
      </c>
      <c r="G53" t="s">
        <v>3134</v>
      </c>
      <c r="H53" t="s">
        <v>1249</v>
      </c>
      <c r="I53" t="s">
        <v>1519</v>
      </c>
      <c r="J53" s="455">
        <v>46071</v>
      </c>
      <c r="K53" s="455">
        <v>46071</v>
      </c>
      <c r="L53" s="455">
        <v>46071</v>
      </c>
      <c r="U53" s="455">
        <v>46086</v>
      </c>
    </row>
    <row r="54" spans="1:21">
      <c r="A54" t="s">
        <v>1751</v>
      </c>
      <c r="B54" t="s">
        <v>8687</v>
      </c>
      <c r="C54" t="s">
        <v>1751</v>
      </c>
      <c r="D54">
        <v>20452647</v>
      </c>
      <c r="E54" t="s">
        <v>3128</v>
      </c>
      <c r="F54" t="s">
        <v>1782</v>
      </c>
      <c r="G54" t="s">
        <v>3141</v>
      </c>
      <c r="H54" t="s">
        <v>1247</v>
      </c>
      <c r="J54" s="455">
        <v>46071</v>
      </c>
      <c r="U54" s="455">
        <v>46113</v>
      </c>
    </row>
    <row r="55" spans="1:21">
      <c r="A55" t="s">
        <v>1751</v>
      </c>
      <c r="B55" t="s">
        <v>8688</v>
      </c>
      <c r="C55" t="s">
        <v>1751</v>
      </c>
      <c r="D55">
        <v>20442733</v>
      </c>
      <c r="E55" t="s">
        <v>3128</v>
      </c>
      <c r="F55" t="s">
        <v>1782</v>
      </c>
      <c r="G55" t="s">
        <v>3129</v>
      </c>
      <c r="H55" t="s">
        <v>1253</v>
      </c>
      <c r="J55" s="455">
        <v>46060</v>
      </c>
      <c r="U55" s="455">
        <v>46060</v>
      </c>
    </row>
    <row r="56" spans="1:21">
      <c r="A56" t="s">
        <v>1751</v>
      </c>
      <c r="B56" t="s">
        <v>8689</v>
      </c>
      <c r="C56" t="s">
        <v>1751</v>
      </c>
      <c r="D56">
        <v>20453959</v>
      </c>
      <c r="E56" t="s">
        <v>3128</v>
      </c>
      <c r="F56" t="s">
        <v>1241</v>
      </c>
      <c r="G56" t="s">
        <v>2009</v>
      </c>
      <c r="H56" t="s">
        <v>1252</v>
      </c>
      <c r="J56" s="455">
        <v>46073</v>
      </c>
      <c r="U56" s="455">
        <v>46073</v>
      </c>
    </row>
    <row r="57" spans="1:21">
      <c r="A57" t="s">
        <v>1751</v>
      </c>
      <c r="B57" t="s">
        <v>8690</v>
      </c>
      <c r="C57" t="s">
        <v>1751</v>
      </c>
      <c r="D57">
        <v>20442676</v>
      </c>
      <c r="E57" t="s">
        <v>3128</v>
      </c>
      <c r="F57" t="s">
        <v>1237</v>
      </c>
      <c r="G57" t="s">
        <v>3143</v>
      </c>
      <c r="H57" t="s">
        <v>1251</v>
      </c>
      <c r="I57" t="s">
        <v>1947</v>
      </c>
      <c r="J57" s="455">
        <v>46060</v>
      </c>
      <c r="U57" s="455">
        <v>46060</v>
      </c>
    </row>
    <row r="58" spans="1:21">
      <c r="A58" t="s">
        <v>1751</v>
      </c>
      <c r="B58" t="s">
        <v>8691</v>
      </c>
      <c r="C58" t="s">
        <v>1751</v>
      </c>
      <c r="D58">
        <v>20441809</v>
      </c>
      <c r="E58" t="s">
        <v>3128</v>
      </c>
      <c r="F58" t="s">
        <v>1239</v>
      </c>
      <c r="G58" t="s">
        <v>3143</v>
      </c>
      <c r="H58" t="s">
        <v>1252</v>
      </c>
      <c r="J58" s="455">
        <v>46058</v>
      </c>
      <c r="U58" s="455">
        <v>46058</v>
      </c>
    </row>
    <row r="59" spans="1:21">
      <c r="A59" t="s">
        <v>1751</v>
      </c>
      <c r="B59" t="s">
        <v>3239</v>
      </c>
      <c r="C59" t="s">
        <v>1751</v>
      </c>
      <c r="D59">
        <v>20448448</v>
      </c>
      <c r="E59" t="s">
        <v>1901</v>
      </c>
      <c r="F59" t="s">
        <v>1241</v>
      </c>
      <c r="G59" t="s">
        <v>3134</v>
      </c>
      <c r="H59" t="s">
        <v>1247</v>
      </c>
      <c r="I59" t="s">
        <v>3872</v>
      </c>
      <c r="J59" s="455">
        <v>46066</v>
      </c>
      <c r="K59" s="455">
        <v>46066</v>
      </c>
      <c r="L59" s="455">
        <v>46077</v>
      </c>
      <c r="O59" s="455">
        <v>46164</v>
      </c>
      <c r="U59" s="455">
        <v>46160</v>
      </c>
    </row>
    <row r="60" spans="1:21">
      <c r="A60" t="s">
        <v>1751</v>
      </c>
      <c r="B60" t="s">
        <v>8692</v>
      </c>
      <c r="C60" t="s">
        <v>1751</v>
      </c>
      <c r="D60">
        <v>20457839</v>
      </c>
      <c r="E60" t="s">
        <v>1907</v>
      </c>
      <c r="F60" t="s">
        <v>1237</v>
      </c>
      <c r="G60" t="s">
        <v>3134</v>
      </c>
      <c r="H60" t="s">
        <v>1247</v>
      </c>
      <c r="I60" t="s">
        <v>1967</v>
      </c>
      <c r="J60" s="455">
        <v>46079</v>
      </c>
      <c r="K60" s="455">
        <v>46079</v>
      </c>
      <c r="L60" s="455">
        <v>46079</v>
      </c>
      <c r="U60" s="455">
        <v>46083</v>
      </c>
    </row>
    <row r="61" spans="1:21">
      <c r="A61" t="s">
        <v>1751</v>
      </c>
      <c r="B61" t="s">
        <v>8693</v>
      </c>
      <c r="C61" t="s">
        <v>1751</v>
      </c>
      <c r="D61">
        <v>20456772</v>
      </c>
      <c r="E61" t="s">
        <v>1897</v>
      </c>
      <c r="F61" t="s">
        <v>1238</v>
      </c>
      <c r="G61" t="s">
        <v>3134</v>
      </c>
      <c r="H61" t="s">
        <v>1251</v>
      </c>
      <c r="I61" t="s">
        <v>1784</v>
      </c>
      <c r="J61" s="455">
        <v>46077</v>
      </c>
      <c r="K61" s="455">
        <v>46077</v>
      </c>
      <c r="U61" s="455">
        <v>46127</v>
      </c>
    </row>
    <row r="62" spans="1:21">
      <c r="A62" t="s">
        <v>1751</v>
      </c>
      <c r="B62" t="s">
        <v>8694</v>
      </c>
      <c r="C62" t="s">
        <v>1751</v>
      </c>
      <c r="D62">
        <v>20442534</v>
      </c>
      <c r="E62" t="s">
        <v>3133</v>
      </c>
      <c r="F62" t="s">
        <v>1912</v>
      </c>
      <c r="G62" t="s">
        <v>3134</v>
      </c>
      <c r="H62" t="s">
        <v>1247</v>
      </c>
      <c r="I62" t="s">
        <v>1967</v>
      </c>
      <c r="J62" s="455">
        <v>46059</v>
      </c>
      <c r="K62" s="455">
        <v>46059</v>
      </c>
      <c r="R62" s="455">
        <v>46065</v>
      </c>
      <c r="U62" s="455">
        <v>46073</v>
      </c>
    </row>
    <row r="63" spans="1:21">
      <c r="A63" t="s">
        <v>1751</v>
      </c>
      <c r="B63" t="s">
        <v>8694</v>
      </c>
      <c r="C63" t="s">
        <v>1751</v>
      </c>
      <c r="D63">
        <v>20428192</v>
      </c>
      <c r="E63" t="s">
        <v>3133</v>
      </c>
      <c r="F63" t="s">
        <v>1237</v>
      </c>
      <c r="G63" t="s">
        <v>3134</v>
      </c>
      <c r="H63" t="s">
        <v>1247</v>
      </c>
      <c r="I63" t="s">
        <v>7095</v>
      </c>
      <c r="J63" s="455">
        <v>46037</v>
      </c>
      <c r="K63" s="455">
        <v>46037</v>
      </c>
      <c r="L63" s="455">
        <v>46064</v>
      </c>
      <c r="R63" s="455">
        <v>46077</v>
      </c>
      <c r="U63" s="455">
        <v>46078</v>
      </c>
    </row>
    <row r="64" spans="1:21">
      <c r="A64" t="s">
        <v>1751</v>
      </c>
      <c r="B64" t="s">
        <v>8695</v>
      </c>
      <c r="C64" t="s">
        <v>1751</v>
      </c>
      <c r="D64">
        <v>20452081</v>
      </c>
      <c r="E64" t="s">
        <v>3128</v>
      </c>
      <c r="F64" t="s">
        <v>1782</v>
      </c>
      <c r="G64" t="s">
        <v>3129</v>
      </c>
      <c r="H64" t="s">
        <v>1252</v>
      </c>
      <c r="J64" s="455">
        <v>46071</v>
      </c>
      <c r="U64" s="455">
        <v>46071</v>
      </c>
    </row>
    <row r="65" spans="1:21">
      <c r="A65" t="s">
        <v>1751</v>
      </c>
      <c r="B65" t="s">
        <v>8696</v>
      </c>
      <c r="C65" t="s">
        <v>1751</v>
      </c>
      <c r="D65">
        <v>20454986</v>
      </c>
      <c r="E65" t="s">
        <v>3128</v>
      </c>
      <c r="F65" t="s">
        <v>1241</v>
      </c>
      <c r="G65" t="s">
        <v>3137</v>
      </c>
      <c r="H65" t="s">
        <v>1247</v>
      </c>
      <c r="J65" s="455">
        <v>46074</v>
      </c>
      <c r="U65" s="455">
        <v>46074</v>
      </c>
    </row>
    <row r="66" spans="1:21">
      <c r="A66" t="s">
        <v>1751</v>
      </c>
      <c r="B66" t="s">
        <v>1911</v>
      </c>
      <c r="C66" t="s">
        <v>1751</v>
      </c>
      <c r="D66">
        <v>20447674</v>
      </c>
      <c r="E66" t="s">
        <v>1897</v>
      </c>
      <c r="F66" t="s">
        <v>1912</v>
      </c>
      <c r="G66" t="s">
        <v>3134</v>
      </c>
      <c r="H66" t="s">
        <v>1247</v>
      </c>
      <c r="I66" t="s">
        <v>1910</v>
      </c>
      <c r="J66" s="455">
        <v>46065</v>
      </c>
      <c r="K66" s="455">
        <v>46065</v>
      </c>
      <c r="U66" s="455">
        <v>46072</v>
      </c>
    </row>
    <row r="67" spans="1:21">
      <c r="A67" t="s">
        <v>1751</v>
      </c>
      <c r="B67" t="s">
        <v>8697</v>
      </c>
      <c r="C67" t="s">
        <v>1751</v>
      </c>
      <c r="D67">
        <v>20453256</v>
      </c>
      <c r="E67" t="s">
        <v>1897</v>
      </c>
      <c r="F67" t="s">
        <v>1912</v>
      </c>
      <c r="G67" t="s">
        <v>3134</v>
      </c>
      <c r="H67" t="s">
        <v>1247</v>
      </c>
      <c r="J67" s="455">
        <v>46072</v>
      </c>
      <c r="K67" s="455">
        <v>46072</v>
      </c>
      <c r="U67" s="455">
        <v>46072</v>
      </c>
    </row>
    <row r="68" spans="1:21">
      <c r="A68" t="s">
        <v>1751</v>
      </c>
      <c r="B68" t="s">
        <v>8698</v>
      </c>
      <c r="C68" t="s">
        <v>1751</v>
      </c>
      <c r="D68">
        <v>20458765</v>
      </c>
      <c r="E68" t="s">
        <v>1897</v>
      </c>
      <c r="F68" t="s">
        <v>1912</v>
      </c>
      <c r="G68" t="s">
        <v>3134</v>
      </c>
      <c r="H68" t="s">
        <v>1247</v>
      </c>
      <c r="I68" t="s">
        <v>1808</v>
      </c>
      <c r="J68" s="455">
        <v>46080</v>
      </c>
      <c r="K68" s="455">
        <v>46080</v>
      </c>
      <c r="U68" s="455">
        <v>46080</v>
      </c>
    </row>
    <row r="69" spans="1:21">
      <c r="A69" t="s">
        <v>1751</v>
      </c>
      <c r="B69" t="s">
        <v>8699</v>
      </c>
      <c r="C69" t="s">
        <v>1751</v>
      </c>
      <c r="D69">
        <v>20450400</v>
      </c>
      <c r="E69" t="s">
        <v>3128</v>
      </c>
      <c r="F69" t="s">
        <v>1782</v>
      </c>
      <c r="G69" t="s">
        <v>3141</v>
      </c>
      <c r="H69" t="s">
        <v>1247</v>
      </c>
      <c r="J69" s="455">
        <v>46070</v>
      </c>
      <c r="U69" s="455">
        <v>46143</v>
      </c>
    </row>
    <row r="70" spans="1:21">
      <c r="A70" t="s">
        <v>1751</v>
      </c>
      <c r="B70" t="s">
        <v>8700</v>
      </c>
      <c r="C70" t="s">
        <v>1751</v>
      </c>
      <c r="D70">
        <v>20455740</v>
      </c>
      <c r="E70" t="s">
        <v>3128</v>
      </c>
      <c r="F70" t="s">
        <v>1241</v>
      </c>
      <c r="G70" t="s">
        <v>2009</v>
      </c>
      <c r="H70" t="s">
        <v>1248</v>
      </c>
      <c r="J70" s="455">
        <v>46076</v>
      </c>
      <c r="U70" s="455">
        <v>46091</v>
      </c>
    </row>
    <row r="71" spans="1:21">
      <c r="A71" t="s">
        <v>1751</v>
      </c>
      <c r="B71" t="s">
        <v>8701</v>
      </c>
      <c r="C71" t="s">
        <v>1751</v>
      </c>
      <c r="D71">
        <v>20442940</v>
      </c>
      <c r="E71" t="s">
        <v>3133</v>
      </c>
      <c r="F71" t="s">
        <v>1237</v>
      </c>
      <c r="G71" t="s">
        <v>3134</v>
      </c>
      <c r="H71" t="s">
        <v>1247</v>
      </c>
      <c r="I71" t="s">
        <v>3105</v>
      </c>
      <c r="J71" s="455">
        <v>46060</v>
      </c>
      <c r="K71" s="455">
        <v>46060</v>
      </c>
      <c r="L71" s="455">
        <v>46061</v>
      </c>
      <c r="R71" s="455">
        <v>46073</v>
      </c>
      <c r="U71" s="455">
        <v>46074</v>
      </c>
    </row>
    <row r="72" spans="1:21">
      <c r="A72" t="s">
        <v>1751</v>
      </c>
      <c r="B72" t="s">
        <v>7054</v>
      </c>
      <c r="C72" t="s">
        <v>1751</v>
      </c>
      <c r="D72">
        <v>20414514</v>
      </c>
      <c r="E72" t="s">
        <v>3142</v>
      </c>
      <c r="F72" t="s">
        <v>1238</v>
      </c>
      <c r="G72" t="s">
        <v>3129</v>
      </c>
      <c r="H72" t="s">
        <v>1247</v>
      </c>
      <c r="I72" t="s">
        <v>6059</v>
      </c>
      <c r="J72" s="455">
        <v>46020</v>
      </c>
      <c r="K72" s="455">
        <v>46059</v>
      </c>
      <c r="L72" s="455">
        <v>46059</v>
      </c>
      <c r="M72" s="455">
        <v>46064</v>
      </c>
      <c r="N72" s="455">
        <v>46070</v>
      </c>
      <c r="P72" s="455">
        <v>46070</v>
      </c>
      <c r="Q72" s="455">
        <v>46071</v>
      </c>
      <c r="U72" s="455">
        <v>46079</v>
      </c>
    </row>
    <row r="73" spans="1:21">
      <c r="A73" t="s">
        <v>1751</v>
      </c>
      <c r="B73" t="s">
        <v>8702</v>
      </c>
      <c r="C73" t="s">
        <v>1751</v>
      </c>
      <c r="D73">
        <v>20454767</v>
      </c>
      <c r="E73" t="s">
        <v>3128</v>
      </c>
      <c r="F73" t="s">
        <v>1239</v>
      </c>
      <c r="G73" t="s">
        <v>3143</v>
      </c>
      <c r="H73" t="s">
        <v>1248</v>
      </c>
      <c r="J73" s="455">
        <v>46074</v>
      </c>
      <c r="U73" s="455">
        <v>46074</v>
      </c>
    </row>
    <row r="74" spans="1:21">
      <c r="A74" t="s">
        <v>1751</v>
      </c>
      <c r="B74" t="s">
        <v>3290</v>
      </c>
      <c r="C74" t="s">
        <v>1751</v>
      </c>
      <c r="D74">
        <v>20442118</v>
      </c>
      <c r="E74" t="s">
        <v>3133</v>
      </c>
      <c r="F74" t="s">
        <v>1237</v>
      </c>
      <c r="G74" t="s">
        <v>3134</v>
      </c>
      <c r="H74" t="s">
        <v>1247</v>
      </c>
      <c r="I74" t="s">
        <v>2163</v>
      </c>
      <c r="J74" s="455">
        <v>46059</v>
      </c>
      <c r="K74" s="455">
        <v>46059</v>
      </c>
      <c r="R74" s="455">
        <v>46059</v>
      </c>
      <c r="U74" s="455">
        <v>46069</v>
      </c>
    </row>
    <row r="75" spans="1:21">
      <c r="A75" t="s">
        <v>1751</v>
      </c>
      <c r="B75" t="s">
        <v>3290</v>
      </c>
      <c r="C75" t="s">
        <v>1751</v>
      </c>
      <c r="D75">
        <v>20441472</v>
      </c>
      <c r="E75" t="s">
        <v>3133</v>
      </c>
      <c r="F75" t="s">
        <v>1237</v>
      </c>
      <c r="G75" t="s">
        <v>3143</v>
      </c>
      <c r="H75" t="s">
        <v>1249</v>
      </c>
      <c r="I75" t="s">
        <v>2163</v>
      </c>
      <c r="J75" s="455">
        <v>46058</v>
      </c>
      <c r="K75" s="455">
        <v>46059</v>
      </c>
      <c r="L75" s="455">
        <v>46059</v>
      </c>
      <c r="R75" s="455">
        <v>46071</v>
      </c>
      <c r="U75" s="455">
        <v>46073</v>
      </c>
    </row>
    <row r="76" spans="1:21">
      <c r="A76" t="s">
        <v>1751</v>
      </c>
      <c r="B76" t="s">
        <v>2447</v>
      </c>
      <c r="C76" t="s">
        <v>1751</v>
      </c>
      <c r="D76">
        <v>20441183</v>
      </c>
      <c r="E76" t="s">
        <v>3133</v>
      </c>
      <c r="F76" t="s">
        <v>1238</v>
      </c>
      <c r="G76" t="s">
        <v>3134</v>
      </c>
      <c r="H76" t="s">
        <v>1247</v>
      </c>
      <c r="I76" t="s">
        <v>1938</v>
      </c>
      <c r="J76" s="455">
        <v>46057</v>
      </c>
      <c r="K76" s="455">
        <v>46057</v>
      </c>
      <c r="L76" s="455">
        <v>46057</v>
      </c>
      <c r="R76" s="455">
        <v>46073</v>
      </c>
      <c r="U76" s="455">
        <v>46085</v>
      </c>
    </row>
    <row r="77" spans="1:21">
      <c r="A77" t="s">
        <v>1751</v>
      </c>
      <c r="B77" t="s">
        <v>2447</v>
      </c>
      <c r="C77" t="s">
        <v>1751</v>
      </c>
      <c r="D77">
        <v>20445913</v>
      </c>
      <c r="E77" t="s">
        <v>2008</v>
      </c>
      <c r="F77" t="s">
        <v>1238</v>
      </c>
      <c r="G77" t="s">
        <v>3134</v>
      </c>
      <c r="H77" t="s">
        <v>1247</v>
      </c>
      <c r="I77" t="s">
        <v>2446</v>
      </c>
      <c r="J77" s="455">
        <v>46064</v>
      </c>
      <c r="K77" s="455">
        <v>46064</v>
      </c>
      <c r="L77" s="455">
        <v>46064</v>
      </c>
      <c r="M77" s="455">
        <v>46077</v>
      </c>
      <c r="U77" s="455">
        <v>46085</v>
      </c>
    </row>
    <row r="78" spans="1:21">
      <c r="A78" t="s">
        <v>1751</v>
      </c>
      <c r="B78" t="s">
        <v>8703</v>
      </c>
      <c r="C78" t="s">
        <v>1751</v>
      </c>
      <c r="D78">
        <v>20442536</v>
      </c>
      <c r="E78" t="s">
        <v>3128</v>
      </c>
      <c r="F78" t="s">
        <v>1241</v>
      </c>
      <c r="G78" t="s">
        <v>3141</v>
      </c>
      <c r="H78" t="s">
        <v>1247</v>
      </c>
      <c r="J78" s="455">
        <v>46059</v>
      </c>
      <c r="U78" s="455">
        <v>46074</v>
      </c>
    </row>
    <row r="79" spans="1:21">
      <c r="A79" t="s">
        <v>1751</v>
      </c>
      <c r="B79" t="s">
        <v>8704</v>
      </c>
      <c r="C79" t="s">
        <v>1751</v>
      </c>
      <c r="D79">
        <v>20454340</v>
      </c>
      <c r="E79" t="s">
        <v>1907</v>
      </c>
      <c r="F79" t="s">
        <v>1237</v>
      </c>
      <c r="G79" t="s">
        <v>3134</v>
      </c>
      <c r="H79" t="s">
        <v>1250</v>
      </c>
      <c r="I79" t="s">
        <v>1796</v>
      </c>
      <c r="J79" s="455">
        <v>46073</v>
      </c>
      <c r="K79" s="455">
        <v>46073</v>
      </c>
      <c r="L79" s="455">
        <v>46077</v>
      </c>
      <c r="U79" s="455">
        <v>46087</v>
      </c>
    </row>
    <row r="80" spans="1:21">
      <c r="A80" t="s">
        <v>1751</v>
      </c>
      <c r="B80" t="s">
        <v>8705</v>
      </c>
      <c r="C80" t="s">
        <v>1751</v>
      </c>
      <c r="D80">
        <v>20444078</v>
      </c>
      <c r="E80" t="s">
        <v>3128</v>
      </c>
      <c r="F80" t="s">
        <v>1241</v>
      </c>
      <c r="G80" t="s">
        <v>3137</v>
      </c>
      <c r="H80" t="s">
        <v>1251</v>
      </c>
      <c r="J80" s="455">
        <v>46062</v>
      </c>
      <c r="U80" s="455">
        <v>46115</v>
      </c>
    </row>
    <row r="81" spans="1:21">
      <c r="A81" t="s">
        <v>1751</v>
      </c>
      <c r="B81" t="s">
        <v>8706</v>
      </c>
      <c r="C81" t="s">
        <v>1751</v>
      </c>
      <c r="D81">
        <v>20455908</v>
      </c>
      <c r="E81" t="s">
        <v>1897</v>
      </c>
      <c r="F81" t="s">
        <v>1241</v>
      </c>
      <c r="G81" t="s">
        <v>3134</v>
      </c>
      <c r="H81" t="s">
        <v>1249</v>
      </c>
      <c r="I81" t="s">
        <v>1541</v>
      </c>
      <c r="J81" s="455">
        <v>46076</v>
      </c>
      <c r="K81" s="455">
        <v>46076</v>
      </c>
      <c r="U81" s="455">
        <v>46113</v>
      </c>
    </row>
    <row r="82" spans="1:21">
      <c r="A82" t="s">
        <v>1751</v>
      </c>
      <c r="B82" t="s">
        <v>8707</v>
      </c>
      <c r="C82" t="s">
        <v>1751</v>
      </c>
      <c r="D82">
        <v>20441040</v>
      </c>
      <c r="E82" t="s">
        <v>3128</v>
      </c>
      <c r="F82" t="s">
        <v>1241</v>
      </c>
      <c r="G82" t="s">
        <v>3143</v>
      </c>
      <c r="H82" t="s">
        <v>1252</v>
      </c>
      <c r="J82" s="455">
        <v>46057</v>
      </c>
      <c r="U82" s="455">
        <v>46081</v>
      </c>
    </row>
    <row r="83" spans="1:21">
      <c r="A83" t="s">
        <v>1751</v>
      </c>
      <c r="B83" t="s">
        <v>2430</v>
      </c>
      <c r="C83" t="s">
        <v>1751</v>
      </c>
      <c r="D83">
        <v>20429522</v>
      </c>
      <c r="E83" t="s">
        <v>1897</v>
      </c>
      <c r="F83" t="s">
        <v>1238</v>
      </c>
      <c r="G83" t="s">
        <v>3143</v>
      </c>
      <c r="H83" t="s">
        <v>1248</v>
      </c>
      <c r="J83" s="455">
        <v>46039</v>
      </c>
      <c r="K83" s="455">
        <v>46081</v>
      </c>
      <c r="U83" s="455">
        <v>46053</v>
      </c>
    </row>
    <row r="84" spans="1:21">
      <c r="A84" t="s">
        <v>1751</v>
      </c>
      <c r="B84" t="s">
        <v>2430</v>
      </c>
      <c r="C84" t="s">
        <v>1751</v>
      </c>
      <c r="D84">
        <v>20459649</v>
      </c>
      <c r="E84" t="s">
        <v>1907</v>
      </c>
      <c r="F84" t="s">
        <v>1238</v>
      </c>
      <c r="G84" t="s">
        <v>3134</v>
      </c>
      <c r="H84" t="s">
        <v>1247</v>
      </c>
      <c r="I84" t="s">
        <v>2429</v>
      </c>
      <c r="J84" s="455">
        <v>46081</v>
      </c>
      <c r="K84" s="455">
        <v>46081</v>
      </c>
      <c r="L84" s="455">
        <v>46081</v>
      </c>
      <c r="U84" s="455">
        <v>46081</v>
      </c>
    </row>
    <row r="85" spans="1:21">
      <c r="A85" t="s">
        <v>1751</v>
      </c>
      <c r="B85" t="s">
        <v>8708</v>
      </c>
      <c r="C85" t="s">
        <v>1751</v>
      </c>
      <c r="D85">
        <v>20439286</v>
      </c>
      <c r="E85" t="s">
        <v>1897</v>
      </c>
      <c r="F85" t="s">
        <v>1241</v>
      </c>
      <c r="G85" t="s">
        <v>3134</v>
      </c>
      <c r="H85" t="s">
        <v>1247</v>
      </c>
      <c r="I85" t="s">
        <v>6580</v>
      </c>
      <c r="J85" s="455">
        <v>46055</v>
      </c>
      <c r="K85" s="455">
        <v>46055</v>
      </c>
      <c r="U85" s="455">
        <v>46057</v>
      </c>
    </row>
    <row r="86" spans="1:21">
      <c r="A86" t="s">
        <v>1751</v>
      </c>
      <c r="B86" t="s">
        <v>8709</v>
      </c>
      <c r="C86" t="s">
        <v>1751</v>
      </c>
      <c r="D86">
        <v>20450299</v>
      </c>
      <c r="E86" t="s">
        <v>1897</v>
      </c>
      <c r="F86" t="s">
        <v>1239</v>
      </c>
      <c r="G86" t="s">
        <v>3134</v>
      </c>
      <c r="H86" t="s">
        <v>1251</v>
      </c>
      <c r="J86" s="455">
        <v>46070</v>
      </c>
      <c r="K86" s="455">
        <v>46070</v>
      </c>
      <c r="U86" s="455">
        <v>46080</v>
      </c>
    </row>
    <row r="87" spans="1:21">
      <c r="A87" t="s">
        <v>1751</v>
      </c>
      <c r="B87" t="s">
        <v>8709</v>
      </c>
      <c r="C87" t="s">
        <v>1751</v>
      </c>
      <c r="D87">
        <v>20450291</v>
      </c>
      <c r="E87" t="s">
        <v>3128</v>
      </c>
      <c r="F87" t="s">
        <v>1782</v>
      </c>
      <c r="G87" t="s">
        <v>3141</v>
      </c>
      <c r="H87" t="s">
        <v>1251</v>
      </c>
      <c r="J87" s="455">
        <v>46070</v>
      </c>
      <c r="U87" s="455">
        <v>46070</v>
      </c>
    </row>
    <row r="88" spans="1:21">
      <c r="A88" t="s">
        <v>1751</v>
      </c>
      <c r="B88" t="s">
        <v>8710</v>
      </c>
      <c r="C88" t="s">
        <v>1751</v>
      </c>
      <c r="D88">
        <v>20440537</v>
      </c>
      <c r="E88" t="s">
        <v>3133</v>
      </c>
      <c r="F88" t="s">
        <v>8652</v>
      </c>
      <c r="G88" t="s">
        <v>3134</v>
      </c>
      <c r="H88" t="s">
        <v>1247</v>
      </c>
      <c r="I88" t="s">
        <v>6580</v>
      </c>
      <c r="J88" s="455">
        <v>46056</v>
      </c>
      <c r="K88" s="455">
        <v>46056</v>
      </c>
      <c r="L88" s="455">
        <v>46056</v>
      </c>
      <c r="R88" s="455">
        <v>46077</v>
      </c>
      <c r="U88" s="455">
        <v>46081</v>
      </c>
    </row>
    <row r="89" spans="1:21">
      <c r="A89" t="s">
        <v>1751</v>
      </c>
      <c r="B89" t="s">
        <v>8711</v>
      </c>
      <c r="C89" t="s">
        <v>1751</v>
      </c>
      <c r="D89">
        <v>20452178</v>
      </c>
      <c r="E89" t="s">
        <v>1897</v>
      </c>
      <c r="F89" t="s">
        <v>1238</v>
      </c>
      <c r="G89" t="s">
        <v>3143</v>
      </c>
      <c r="H89" t="s">
        <v>1248</v>
      </c>
      <c r="I89" t="s">
        <v>1839</v>
      </c>
      <c r="J89" s="455">
        <v>46071</v>
      </c>
      <c r="K89" s="455">
        <v>46071</v>
      </c>
      <c r="U89" s="455">
        <v>46088</v>
      </c>
    </row>
    <row r="90" spans="1:21">
      <c r="A90" t="s">
        <v>1751</v>
      </c>
      <c r="B90" t="s">
        <v>8712</v>
      </c>
      <c r="C90" t="s">
        <v>1751</v>
      </c>
      <c r="D90">
        <v>20440808</v>
      </c>
      <c r="E90" t="s">
        <v>3128</v>
      </c>
      <c r="F90" t="s">
        <v>1241</v>
      </c>
      <c r="G90" t="s">
        <v>2009</v>
      </c>
      <c r="H90" t="s">
        <v>1251</v>
      </c>
      <c r="J90" s="455">
        <v>46057</v>
      </c>
      <c r="U90" s="455">
        <v>46057</v>
      </c>
    </row>
    <row r="91" spans="1:21">
      <c r="A91" t="s">
        <v>1751</v>
      </c>
      <c r="B91" t="s">
        <v>8712</v>
      </c>
      <c r="C91" t="s">
        <v>1751</v>
      </c>
      <c r="D91">
        <v>20442446</v>
      </c>
      <c r="E91" t="s">
        <v>1897</v>
      </c>
      <c r="F91" t="s">
        <v>1912</v>
      </c>
      <c r="G91" t="s">
        <v>3134</v>
      </c>
      <c r="H91" t="s">
        <v>1247</v>
      </c>
      <c r="J91" s="455">
        <v>46059</v>
      </c>
      <c r="K91" s="455">
        <v>46059</v>
      </c>
      <c r="U91" s="455">
        <v>46101</v>
      </c>
    </row>
    <row r="92" spans="1:21">
      <c r="A92" t="s">
        <v>1751</v>
      </c>
      <c r="B92" t="s">
        <v>8713</v>
      </c>
      <c r="C92" t="s">
        <v>1751</v>
      </c>
      <c r="D92">
        <v>20448792</v>
      </c>
      <c r="E92" t="s">
        <v>1897</v>
      </c>
      <c r="F92" t="s">
        <v>1912</v>
      </c>
      <c r="G92" t="s">
        <v>3134</v>
      </c>
      <c r="H92" t="s">
        <v>1252</v>
      </c>
      <c r="I92" t="s">
        <v>3258</v>
      </c>
      <c r="J92" s="455">
        <v>46066</v>
      </c>
      <c r="K92" s="455">
        <v>46066</v>
      </c>
      <c r="U92" s="455">
        <v>46083</v>
      </c>
    </row>
    <row r="93" spans="1:21">
      <c r="A93" t="s">
        <v>1751</v>
      </c>
      <c r="B93" t="s">
        <v>1896</v>
      </c>
      <c r="C93" t="s">
        <v>1751</v>
      </c>
      <c r="D93">
        <v>20440548</v>
      </c>
      <c r="E93" t="s">
        <v>1897</v>
      </c>
      <c r="F93" t="s">
        <v>1782</v>
      </c>
      <c r="G93" t="s">
        <v>3134</v>
      </c>
      <c r="H93" t="s">
        <v>1247</v>
      </c>
      <c r="I93" t="s">
        <v>1895</v>
      </c>
      <c r="J93" s="455">
        <v>46056</v>
      </c>
      <c r="K93" s="455">
        <v>46056</v>
      </c>
      <c r="U93" s="455">
        <v>46062</v>
      </c>
    </row>
    <row r="94" spans="1:21">
      <c r="A94" t="s">
        <v>1751</v>
      </c>
      <c r="B94" t="s">
        <v>1896</v>
      </c>
      <c r="C94" t="s">
        <v>1751</v>
      </c>
      <c r="D94">
        <v>20440955</v>
      </c>
      <c r="E94" t="s">
        <v>3133</v>
      </c>
      <c r="F94" t="s">
        <v>1237</v>
      </c>
      <c r="G94" t="s">
        <v>3134</v>
      </c>
      <c r="H94" t="s">
        <v>1247</v>
      </c>
      <c r="I94" t="s">
        <v>3385</v>
      </c>
      <c r="J94" s="455">
        <v>46057</v>
      </c>
      <c r="K94" s="455">
        <v>46057</v>
      </c>
      <c r="L94" s="455">
        <v>46057</v>
      </c>
      <c r="R94" s="455">
        <v>46074</v>
      </c>
      <c r="U94" s="455">
        <v>46074</v>
      </c>
    </row>
    <row r="95" spans="1:21">
      <c r="A95" t="s">
        <v>1751</v>
      </c>
      <c r="B95" t="s">
        <v>8714</v>
      </c>
      <c r="C95" t="s">
        <v>1751</v>
      </c>
      <c r="D95">
        <v>20449393</v>
      </c>
      <c r="E95" t="s">
        <v>3128</v>
      </c>
      <c r="F95" t="s">
        <v>1241</v>
      </c>
      <c r="G95" t="s">
        <v>3129</v>
      </c>
      <c r="H95" t="s">
        <v>1252</v>
      </c>
      <c r="J95" s="455">
        <v>46068</v>
      </c>
      <c r="U95" s="455">
        <v>46265</v>
      </c>
    </row>
    <row r="96" spans="1:21">
      <c r="A96" t="s">
        <v>1751</v>
      </c>
      <c r="B96" t="s">
        <v>2156</v>
      </c>
      <c r="C96" t="s">
        <v>1751</v>
      </c>
      <c r="D96">
        <v>20427552</v>
      </c>
      <c r="E96" t="s">
        <v>3133</v>
      </c>
      <c r="F96" t="s">
        <v>1237</v>
      </c>
      <c r="G96" t="s">
        <v>2009</v>
      </c>
      <c r="H96" t="s">
        <v>3542</v>
      </c>
      <c r="I96" t="s">
        <v>1963</v>
      </c>
      <c r="J96" s="455">
        <v>46037</v>
      </c>
      <c r="K96" s="455">
        <v>46037</v>
      </c>
      <c r="R96" s="455">
        <v>46059</v>
      </c>
      <c r="U96" s="455">
        <v>46168</v>
      </c>
    </row>
    <row r="97" spans="1:21">
      <c r="A97" t="s">
        <v>1751</v>
      </c>
      <c r="B97" t="s">
        <v>8715</v>
      </c>
      <c r="C97" t="s">
        <v>1751</v>
      </c>
      <c r="D97">
        <v>20451073</v>
      </c>
      <c r="E97" t="s">
        <v>3128</v>
      </c>
      <c r="F97" t="s">
        <v>1782</v>
      </c>
      <c r="G97" t="s">
        <v>3141</v>
      </c>
      <c r="H97" t="s">
        <v>1247</v>
      </c>
      <c r="J97" s="455">
        <v>46070</v>
      </c>
      <c r="U97" s="455">
        <v>46082</v>
      </c>
    </row>
    <row r="98" spans="1:21">
      <c r="A98" t="s">
        <v>1751</v>
      </c>
      <c r="B98" t="s">
        <v>8716</v>
      </c>
      <c r="C98" t="s">
        <v>1751</v>
      </c>
      <c r="D98">
        <v>20449629</v>
      </c>
      <c r="E98" t="s">
        <v>3128</v>
      </c>
      <c r="F98" t="s">
        <v>1782</v>
      </c>
      <c r="G98" t="s">
        <v>3141</v>
      </c>
      <c r="H98" t="s">
        <v>1247</v>
      </c>
      <c r="J98" s="455">
        <v>46069</v>
      </c>
      <c r="U98" s="455">
        <v>46083</v>
      </c>
    </row>
    <row r="99" spans="1:21">
      <c r="A99" t="s">
        <v>1751</v>
      </c>
      <c r="B99" t="s">
        <v>8717</v>
      </c>
      <c r="C99" t="s">
        <v>1751</v>
      </c>
      <c r="D99">
        <v>20453297</v>
      </c>
      <c r="E99" t="s">
        <v>3128</v>
      </c>
      <c r="F99" t="s">
        <v>8652</v>
      </c>
      <c r="G99" t="s">
        <v>3143</v>
      </c>
      <c r="H99" t="s">
        <v>1248</v>
      </c>
      <c r="J99" s="455">
        <v>46072</v>
      </c>
      <c r="U99" s="455">
        <v>46072</v>
      </c>
    </row>
    <row r="100" spans="1:21">
      <c r="A100" t="s">
        <v>1751</v>
      </c>
      <c r="B100" t="s">
        <v>8718</v>
      </c>
      <c r="C100" t="s">
        <v>1751</v>
      </c>
      <c r="D100">
        <v>20440798</v>
      </c>
      <c r="E100" t="s">
        <v>3133</v>
      </c>
      <c r="F100" t="s">
        <v>8652</v>
      </c>
      <c r="G100" t="s">
        <v>3137</v>
      </c>
      <c r="H100" t="s">
        <v>1251</v>
      </c>
      <c r="I100" t="s">
        <v>4368</v>
      </c>
      <c r="J100" s="455">
        <v>46057</v>
      </c>
      <c r="K100" s="455">
        <v>46057</v>
      </c>
      <c r="L100" s="455">
        <v>46057</v>
      </c>
      <c r="S100" s="455">
        <v>46058</v>
      </c>
      <c r="U100" s="455">
        <v>46069</v>
      </c>
    </row>
    <row r="101" spans="1:21">
      <c r="A101" t="s">
        <v>1751</v>
      </c>
      <c r="B101" t="s">
        <v>8718</v>
      </c>
      <c r="C101" t="s">
        <v>1751</v>
      </c>
      <c r="D101">
        <v>20441010</v>
      </c>
      <c r="E101" t="s">
        <v>1897</v>
      </c>
      <c r="F101" t="s">
        <v>8652</v>
      </c>
      <c r="G101" t="s">
        <v>3134</v>
      </c>
      <c r="H101" t="s">
        <v>1247</v>
      </c>
      <c r="J101" s="455">
        <v>46057</v>
      </c>
      <c r="K101" s="455">
        <v>46057</v>
      </c>
      <c r="U101" s="455">
        <v>46057</v>
      </c>
    </row>
    <row r="102" spans="1:21">
      <c r="A102" t="s">
        <v>1751</v>
      </c>
      <c r="B102" t="s">
        <v>8719</v>
      </c>
      <c r="C102" t="s">
        <v>1751</v>
      </c>
      <c r="D102">
        <v>20450541</v>
      </c>
      <c r="E102" t="s">
        <v>3128</v>
      </c>
      <c r="F102" t="s">
        <v>8652</v>
      </c>
      <c r="G102" t="s">
        <v>3143</v>
      </c>
      <c r="H102" t="s">
        <v>1252</v>
      </c>
      <c r="J102" s="455">
        <v>46070</v>
      </c>
      <c r="U102" s="455">
        <v>46113</v>
      </c>
    </row>
    <row r="103" spans="1:21">
      <c r="A103" t="s">
        <v>1751</v>
      </c>
      <c r="B103" t="s">
        <v>8720</v>
      </c>
      <c r="C103" t="s">
        <v>1751</v>
      </c>
      <c r="D103">
        <v>20453775</v>
      </c>
      <c r="E103" t="s">
        <v>3128</v>
      </c>
      <c r="F103" t="s">
        <v>1782</v>
      </c>
      <c r="G103" t="s">
        <v>3141</v>
      </c>
      <c r="H103" t="s">
        <v>1247</v>
      </c>
      <c r="J103" s="455">
        <v>46072</v>
      </c>
      <c r="U103" s="455">
        <v>46072</v>
      </c>
    </row>
    <row r="104" spans="1:21">
      <c r="A104" t="s">
        <v>1751</v>
      </c>
      <c r="B104" t="s">
        <v>2942</v>
      </c>
      <c r="C104" t="s">
        <v>1751</v>
      </c>
      <c r="D104">
        <v>20440608</v>
      </c>
      <c r="E104" t="s">
        <v>3128</v>
      </c>
      <c r="F104" t="s">
        <v>1782</v>
      </c>
      <c r="G104" t="s">
        <v>3141</v>
      </c>
      <c r="H104" t="s">
        <v>1251</v>
      </c>
      <c r="J104" s="455">
        <v>46056</v>
      </c>
      <c r="U104" s="455">
        <v>46056</v>
      </c>
    </row>
    <row r="105" spans="1:21">
      <c r="A105" t="s">
        <v>1751</v>
      </c>
      <c r="B105" t="s">
        <v>8721</v>
      </c>
      <c r="C105" t="s">
        <v>1751</v>
      </c>
      <c r="D105">
        <v>20459687</v>
      </c>
      <c r="E105" t="s">
        <v>3128</v>
      </c>
      <c r="F105" t="s">
        <v>1241</v>
      </c>
      <c r="G105" t="s">
        <v>2009</v>
      </c>
      <c r="H105" t="s">
        <v>1247</v>
      </c>
      <c r="J105" s="455">
        <v>46081</v>
      </c>
      <c r="U105" s="455">
        <v>46101</v>
      </c>
    </row>
    <row r="106" spans="1:21">
      <c r="A106" t="s">
        <v>1751</v>
      </c>
      <c r="B106" t="s">
        <v>8722</v>
      </c>
      <c r="C106" t="s">
        <v>1751</v>
      </c>
      <c r="D106">
        <v>20456717</v>
      </c>
      <c r="E106" t="s">
        <v>3128</v>
      </c>
      <c r="F106" t="s">
        <v>1239</v>
      </c>
      <c r="G106" t="s">
        <v>3143</v>
      </c>
      <c r="H106" t="s">
        <v>1252</v>
      </c>
      <c r="J106" s="455">
        <v>46077</v>
      </c>
      <c r="U106" s="455">
        <v>46077</v>
      </c>
    </row>
    <row r="107" spans="1:21">
      <c r="A107" t="s">
        <v>1751</v>
      </c>
      <c r="B107" t="s">
        <v>8723</v>
      </c>
      <c r="C107" t="s">
        <v>1751</v>
      </c>
      <c r="D107">
        <v>20446981</v>
      </c>
      <c r="E107" t="s">
        <v>3128</v>
      </c>
      <c r="F107" t="s">
        <v>1241</v>
      </c>
      <c r="G107" t="s">
        <v>2009</v>
      </c>
      <c r="H107" t="s">
        <v>1247</v>
      </c>
      <c r="J107" s="455">
        <v>46064</v>
      </c>
      <c r="U107" s="455">
        <v>46113</v>
      </c>
    </row>
    <row r="108" spans="1:21">
      <c r="A108" t="s">
        <v>1751</v>
      </c>
      <c r="B108" t="s">
        <v>8724</v>
      </c>
      <c r="C108" t="s">
        <v>1751</v>
      </c>
      <c r="D108">
        <v>20455489</v>
      </c>
      <c r="E108" t="s">
        <v>3128</v>
      </c>
      <c r="F108" t="s">
        <v>1241</v>
      </c>
      <c r="G108" t="s">
        <v>3137</v>
      </c>
      <c r="H108" t="s">
        <v>1247</v>
      </c>
      <c r="J108" s="455">
        <v>46076</v>
      </c>
      <c r="U108" s="455">
        <v>46132</v>
      </c>
    </row>
    <row r="109" spans="1:21">
      <c r="A109" t="s">
        <v>1751</v>
      </c>
      <c r="B109" t="s">
        <v>8725</v>
      </c>
      <c r="C109" t="s">
        <v>1751</v>
      </c>
      <c r="D109">
        <v>20450723</v>
      </c>
      <c r="E109" t="s">
        <v>3128</v>
      </c>
      <c r="F109" t="s">
        <v>1782</v>
      </c>
      <c r="G109" t="s">
        <v>3141</v>
      </c>
      <c r="H109" t="s">
        <v>1247</v>
      </c>
      <c r="J109" s="455">
        <v>46070</v>
      </c>
      <c r="U109" s="455">
        <v>46213</v>
      </c>
    </row>
    <row r="110" spans="1:21">
      <c r="A110" t="s">
        <v>1751</v>
      </c>
      <c r="B110" t="s">
        <v>8726</v>
      </c>
      <c r="C110" t="s">
        <v>1751</v>
      </c>
      <c r="D110">
        <v>20415697</v>
      </c>
      <c r="E110" t="s">
        <v>3133</v>
      </c>
      <c r="F110" t="s">
        <v>1238</v>
      </c>
      <c r="G110" t="s">
        <v>3134</v>
      </c>
      <c r="H110" t="s">
        <v>1247</v>
      </c>
      <c r="I110" t="s">
        <v>1915</v>
      </c>
      <c r="J110" s="455">
        <v>46022</v>
      </c>
      <c r="K110" s="455">
        <v>46022</v>
      </c>
      <c r="L110" s="455">
        <v>46022</v>
      </c>
      <c r="S110" s="455">
        <v>46062</v>
      </c>
      <c r="U110" s="455">
        <v>46081</v>
      </c>
    </row>
    <row r="111" spans="1:21">
      <c r="A111" t="s">
        <v>1751</v>
      </c>
      <c r="B111" t="s">
        <v>1916</v>
      </c>
      <c r="C111" t="s">
        <v>1751</v>
      </c>
      <c r="D111">
        <v>20451157</v>
      </c>
      <c r="E111" t="s">
        <v>1897</v>
      </c>
      <c r="F111" t="s">
        <v>1912</v>
      </c>
      <c r="G111" t="s">
        <v>3134</v>
      </c>
      <c r="H111" t="s">
        <v>1252</v>
      </c>
      <c r="I111" t="s">
        <v>1915</v>
      </c>
      <c r="J111" s="455">
        <v>46071</v>
      </c>
      <c r="K111" s="455">
        <v>46071</v>
      </c>
      <c r="U111" s="455">
        <v>46083</v>
      </c>
    </row>
    <row r="112" spans="1:21">
      <c r="A112" t="s">
        <v>1751</v>
      </c>
      <c r="B112" t="s">
        <v>8727</v>
      </c>
      <c r="C112" t="s">
        <v>1751</v>
      </c>
      <c r="D112">
        <v>20439903</v>
      </c>
      <c r="E112" t="s">
        <v>1897</v>
      </c>
      <c r="F112" t="s">
        <v>1239</v>
      </c>
      <c r="G112" t="s">
        <v>2009</v>
      </c>
      <c r="H112" t="s">
        <v>3165</v>
      </c>
      <c r="J112" s="455">
        <v>46055</v>
      </c>
      <c r="K112" s="455">
        <v>46062</v>
      </c>
      <c r="U112" s="455">
        <v>46078</v>
      </c>
    </row>
    <row r="113" spans="1:21">
      <c r="A113" t="s">
        <v>1751</v>
      </c>
      <c r="B113" t="s">
        <v>8727</v>
      </c>
      <c r="C113" t="s">
        <v>1751</v>
      </c>
      <c r="D113">
        <v>20443424</v>
      </c>
      <c r="E113" t="s">
        <v>3133</v>
      </c>
      <c r="F113" t="s">
        <v>1239</v>
      </c>
      <c r="G113" t="s">
        <v>3134</v>
      </c>
      <c r="H113" t="s">
        <v>3165</v>
      </c>
      <c r="I113" t="s">
        <v>2176</v>
      </c>
      <c r="J113" s="455">
        <v>46061</v>
      </c>
      <c r="K113" s="455">
        <v>46061</v>
      </c>
      <c r="L113" s="455">
        <v>46061</v>
      </c>
      <c r="R113" s="455">
        <v>46076</v>
      </c>
      <c r="U113" s="455">
        <v>46078</v>
      </c>
    </row>
    <row r="114" spans="1:21">
      <c r="A114" t="s">
        <v>1751</v>
      </c>
      <c r="B114" t="s">
        <v>8728</v>
      </c>
      <c r="C114" t="s">
        <v>1751</v>
      </c>
      <c r="D114">
        <v>20455472</v>
      </c>
      <c r="E114" t="s">
        <v>3128</v>
      </c>
      <c r="F114" t="s">
        <v>1782</v>
      </c>
      <c r="G114" t="s">
        <v>3141</v>
      </c>
      <c r="H114" t="s">
        <v>1247</v>
      </c>
      <c r="J114" s="455">
        <v>46076</v>
      </c>
      <c r="U114" s="455">
        <v>46153</v>
      </c>
    </row>
    <row r="115" spans="1:21">
      <c r="A115" t="s">
        <v>1751</v>
      </c>
      <c r="B115" t="s">
        <v>8729</v>
      </c>
      <c r="C115" t="s">
        <v>1751</v>
      </c>
      <c r="D115">
        <v>20450235</v>
      </c>
      <c r="E115" t="s">
        <v>3128</v>
      </c>
      <c r="F115" t="s">
        <v>1782</v>
      </c>
      <c r="G115" t="s">
        <v>3129</v>
      </c>
      <c r="H115" t="s">
        <v>1247</v>
      </c>
      <c r="J115" s="455">
        <v>46070</v>
      </c>
      <c r="U115" s="455">
        <v>46070</v>
      </c>
    </row>
    <row r="116" spans="1:21">
      <c r="A116" t="s">
        <v>1751</v>
      </c>
      <c r="B116" t="s">
        <v>8730</v>
      </c>
      <c r="C116" t="s">
        <v>1751</v>
      </c>
      <c r="D116">
        <v>20448254</v>
      </c>
      <c r="E116" t="s">
        <v>1897</v>
      </c>
      <c r="F116" t="s">
        <v>1782</v>
      </c>
      <c r="G116" t="s">
        <v>3134</v>
      </c>
      <c r="H116" t="s">
        <v>1247</v>
      </c>
      <c r="J116" s="455">
        <v>46066</v>
      </c>
      <c r="K116" s="455">
        <v>46066</v>
      </c>
      <c r="U116" s="455">
        <v>46066</v>
      </c>
    </row>
    <row r="117" spans="1:21">
      <c r="A117" t="s">
        <v>1751</v>
      </c>
      <c r="B117" t="s">
        <v>8731</v>
      </c>
      <c r="C117" t="s">
        <v>1751</v>
      </c>
      <c r="D117">
        <v>20443572</v>
      </c>
      <c r="E117" t="s">
        <v>3128</v>
      </c>
      <c r="F117" t="s">
        <v>1238</v>
      </c>
      <c r="G117" t="s">
        <v>2009</v>
      </c>
      <c r="H117" t="s">
        <v>1251</v>
      </c>
      <c r="J117" s="455">
        <v>46062</v>
      </c>
      <c r="U117" s="455">
        <v>46275</v>
      </c>
    </row>
    <row r="118" spans="1:21">
      <c r="A118" t="s">
        <v>1751</v>
      </c>
      <c r="B118" t="s">
        <v>8732</v>
      </c>
      <c r="C118" t="s">
        <v>1751</v>
      </c>
      <c r="D118">
        <v>20449493</v>
      </c>
      <c r="E118" t="s">
        <v>3128</v>
      </c>
      <c r="F118" t="s">
        <v>1241</v>
      </c>
      <c r="G118" t="s">
        <v>2009</v>
      </c>
      <c r="H118" t="s">
        <v>1247</v>
      </c>
      <c r="J118" s="455">
        <v>46068</v>
      </c>
      <c r="U118" s="455">
        <v>46111</v>
      </c>
    </row>
    <row r="119" spans="1:21">
      <c r="A119" t="s">
        <v>1751</v>
      </c>
      <c r="B119" t="s">
        <v>8733</v>
      </c>
      <c r="C119" t="s">
        <v>1751</v>
      </c>
      <c r="D119">
        <v>20454998</v>
      </c>
      <c r="E119" t="s">
        <v>3128</v>
      </c>
      <c r="F119" t="s">
        <v>1241</v>
      </c>
      <c r="G119" t="s">
        <v>3137</v>
      </c>
      <c r="H119" t="s">
        <v>1247</v>
      </c>
      <c r="J119" s="455">
        <v>46074</v>
      </c>
      <c r="U119" s="455">
        <v>46235</v>
      </c>
    </row>
    <row r="120" spans="1:21">
      <c r="A120" t="s">
        <v>1751</v>
      </c>
      <c r="B120" t="s">
        <v>1932</v>
      </c>
      <c r="C120" t="s">
        <v>1751</v>
      </c>
      <c r="D120">
        <v>20459589</v>
      </c>
      <c r="E120" t="s">
        <v>3128</v>
      </c>
      <c r="F120" t="s">
        <v>1238</v>
      </c>
      <c r="G120" t="s">
        <v>3143</v>
      </c>
      <c r="H120" t="s">
        <v>1249</v>
      </c>
      <c r="J120" s="455">
        <v>46081</v>
      </c>
      <c r="L120" s="455">
        <v>46097</v>
      </c>
      <c r="O120" s="455">
        <v>46113</v>
      </c>
      <c r="U120" s="455">
        <v>46081</v>
      </c>
    </row>
    <row r="121" spans="1:21">
      <c r="A121" t="s">
        <v>1751</v>
      </c>
      <c r="B121" t="s">
        <v>8734</v>
      </c>
      <c r="C121" t="s">
        <v>1751</v>
      </c>
      <c r="D121">
        <v>20450749</v>
      </c>
      <c r="E121" t="s">
        <v>1907</v>
      </c>
      <c r="F121" t="s">
        <v>1799</v>
      </c>
      <c r="G121" t="s">
        <v>3143</v>
      </c>
      <c r="H121" t="s">
        <v>1248</v>
      </c>
      <c r="I121" t="s">
        <v>2127</v>
      </c>
      <c r="J121" s="455">
        <v>46070</v>
      </c>
      <c r="K121" s="455">
        <v>46070</v>
      </c>
      <c r="L121" s="455">
        <v>46070</v>
      </c>
      <c r="U121" s="455">
        <v>46101</v>
      </c>
    </row>
    <row r="122" spans="1:21">
      <c r="A122" t="s">
        <v>1751</v>
      </c>
      <c r="B122" t="s">
        <v>8735</v>
      </c>
      <c r="C122" t="s">
        <v>1751</v>
      </c>
      <c r="D122">
        <v>20448146</v>
      </c>
      <c r="E122" t="s">
        <v>3128</v>
      </c>
      <c r="F122" t="s">
        <v>1782</v>
      </c>
      <c r="G122" t="s">
        <v>2009</v>
      </c>
      <c r="H122" t="s">
        <v>1247</v>
      </c>
      <c r="J122" s="455">
        <v>46065</v>
      </c>
      <c r="U122" s="455">
        <v>46095</v>
      </c>
    </row>
    <row r="123" spans="1:21">
      <c r="A123" t="s">
        <v>1751</v>
      </c>
      <c r="B123" t="s">
        <v>8736</v>
      </c>
      <c r="C123" t="s">
        <v>1751</v>
      </c>
      <c r="D123">
        <v>20458244</v>
      </c>
      <c r="E123" t="s">
        <v>3128</v>
      </c>
      <c r="F123" t="s">
        <v>1239</v>
      </c>
      <c r="G123" t="s">
        <v>3143</v>
      </c>
      <c r="H123" t="s">
        <v>1252</v>
      </c>
      <c r="J123" s="455">
        <v>46079</v>
      </c>
      <c r="U123" s="455">
        <v>46079</v>
      </c>
    </row>
    <row r="124" spans="1:21">
      <c r="A124" t="s">
        <v>1751</v>
      </c>
      <c r="B124" t="s">
        <v>8737</v>
      </c>
      <c r="C124" t="s">
        <v>1751</v>
      </c>
      <c r="D124">
        <v>20442016</v>
      </c>
      <c r="E124" t="s">
        <v>1907</v>
      </c>
      <c r="F124" t="s">
        <v>1237</v>
      </c>
      <c r="G124" t="s">
        <v>3134</v>
      </c>
      <c r="H124" t="s">
        <v>1247</v>
      </c>
      <c r="I124" t="s">
        <v>7024</v>
      </c>
      <c r="J124" s="455">
        <v>46059</v>
      </c>
      <c r="K124" s="455">
        <v>46059</v>
      </c>
      <c r="L124" s="455">
        <v>46059</v>
      </c>
      <c r="U124" s="455">
        <v>46093</v>
      </c>
    </row>
    <row r="125" spans="1:21">
      <c r="A125" t="s">
        <v>1751</v>
      </c>
      <c r="B125" t="s">
        <v>8737</v>
      </c>
      <c r="C125" t="s">
        <v>1751</v>
      </c>
      <c r="D125">
        <v>20457690</v>
      </c>
      <c r="E125" t="s">
        <v>1897</v>
      </c>
      <c r="F125" t="s">
        <v>1241</v>
      </c>
      <c r="G125" t="s">
        <v>3134</v>
      </c>
      <c r="H125" t="s">
        <v>1247</v>
      </c>
      <c r="I125" t="s">
        <v>1808</v>
      </c>
      <c r="J125" s="455">
        <v>46078</v>
      </c>
      <c r="K125" s="455">
        <v>46078</v>
      </c>
      <c r="U125" s="455">
        <v>46101</v>
      </c>
    </row>
    <row r="126" spans="1:21">
      <c r="A126" t="s">
        <v>1751</v>
      </c>
      <c r="B126" t="s">
        <v>8738</v>
      </c>
      <c r="C126" t="s">
        <v>1751</v>
      </c>
      <c r="D126">
        <v>20455817</v>
      </c>
      <c r="E126" t="s">
        <v>3128</v>
      </c>
      <c r="F126" t="s">
        <v>1782</v>
      </c>
      <c r="G126" t="s">
        <v>3141</v>
      </c>
      <c r="H126" t="s">
        <v>1247</v>
      </c>
      <c r="J126" s="455">
        <v>46076</v>
      </c>
      <c r="U126" s="455">
        <v>46082</v>
      </c>
    </row>
    <row r="127" spans="1:21">
      <c r="A127" t="s">
        <v>1751</v>
      </c>
      <c r="B127" t="s">
        <v>8739</v>
      </c>
      <c r="C127" t="s">
        <v>1751</v>
      </c>
      <c r="D127">
        <v>20447715</v>
      </c>
      <c r="E127" t="s">
        <v>3128</v>
      </c>
      <c r="F127" t="s">
        <v>8652</v>
      </c>
      <c r="G127" t="s">
        <v>3143</v>
      </c>
      <c r="H127" t="s">
        <v>1248</v>
      </c>
      <c r="J127" s="455">
        <v>46065</v>
      </c>
      <c r="U127" s="455">
        <v>46065</v>
      </c>
    </row>
    <row r="128" spans="1:21">
      <c r="A128" t="s">
        <v>1751</v>
      </c>
      <c r="B128" t="s">
        <v>8740</v>
      </c>
      <c r="C128" t="s">
        <v>1751</v>
      </c>
      <c r="D128">
        <v>20446215</v>
      </c>
      <c r="E128" t="s">
        <v>3128</v>
      </c>
      <c r="F128" t="s">
        <v>1241</v>
      </c>
      <c r="G128" t="s">
        <v>3129</v>
      </c>
      <c r="H128" t="s">
        <v>1940</v>
      </c>
      <c r="J128" s="455">
        <v>46064</v>
      </c>
      <c r="U128" s="455">
        <v>46064</v>
      </c>
    </row>
    <row r="129" spans="1:21">
      <c r="A129" t="s">
        <v>1751</v>
      </c>
      <c r="B129" t="s">
        <v>8741</v>
      </c>
      <c r="C129" t="s">
        <v>1751</v>
      </c>
      <c r="D129">
        <v>20457133</v>
      </c>
      <c r="E129" t="s">
        <v>3128</v>
      </c>
      <c r="F129" t="s">
        <v>1782</v>
      </c>
      <c r="G129" t="s">
        <v>3141</v>
      </c>
      <c r="H129" t="s">
        <v>1247</v>
      </c>
      <c r="J129" s="455">
        <v>46078</v>
      </c>
      <c r="U129" s="455">
        <v>46082</v>
      </c>
    </row>
    <row r="130" spans="1:21">
      <c r="A130" t="s">
        <v>1751</v>
      </c>
      <c r="B130" t="s">
        <v>8742</v>
      </c>
      <c r="C130" t="s">
        <v>1751</v>
      </c>
      <c r="D130">
        <v>20449106</v>
      </c>
      <c r="E130" t="s">
        <v>3128</v>
      </c>
      <c r="F130" t="s">
        <v>1241</v>
      </c>
      <c r="G130" t="s">
        <v>3137</v>
      </c>
      <c r="H130" t="s">
        <v>1247</v>
      </c>
      <c r="J130" s="455">
        <v>46067</v>
      </c>
      <c r="U130" s="455">
        <v>46081</v>
      </c>
    </row>
    <row r="131" spans="1:21">
      <c r="A131" t="s">
        <v>1751</v>
      </c>
      <c r="B131" t="s">
        <v>8743</v>
      </c>
      <c r="C131" t="s">
        <v>1751</v>
      </c>
      <c r="D131">
        <v>20450141</v>
      </c>
      <c r="E131" t="s">
        <v>3128</v>
      </c>
      <c r="F131" t="s">
        <v>1241</v>
      </c>
      <c r="G131" t="s">
        <v>3141</v>
      </c>
      <c r="H131" t="s">
        <v>1247</v>
      </c>
      <c r="J131" s="455">
        <v>46069</v>
      </c>
      <c r="U131" s="455">
        <v>46087</v>
      </c>
    </row>
    <row r="132" spans="1:21">
      <c r="A132" t="s">
        <v>1751</v>
      </c>
      <c r="B132" t="s">
        <v>8744</v>
      </c>
      <c r="C132" t="s">
        <v>1751</v>
      </c>
      <c r="D132">
        <v>20459519</v>
      </c>
      <c r="E132" t="s">
        <v>3128</v>
      </c>
      <c r="F132" t="s">
        <v>1238</v>
      </c>
      <c r="G132" t="s">
        <v>3143</v>
      </c>
      <c r="H132" t="s">
        <v>1248</v>
      </c>
      <c r="J132" s="455">
        <v>46081</v>
      </c>
      <c r="U132" s="455">
        <v>46081</v>
      </c>
    </row>
    <row r="133" spans="1:21">
      <c r="A133" t="s">
        <v>1751</v>
      </c>
      <c r="B133" t="s">
        <v>8745</v>
      </c>
      <c r="C133" t="s">
        <v>1751</v>
      </c>
      <c r="D133">
        <v>20442055</v>
      </c>
      <c r="E133" t="s">
        <v>3133</v>
      </c>
      <c r="F133" t="s">
        <v>1239</v>
      </c>
      <c r="G133" t="s">
        <v>3134</v>
      </c>
      <c r="H133" t="s">
        <v>1247</v>
      </c>
      <c r="I133" t="s">
        <v>3752</v>
      </c>
      <c r="J133" s="455">
        <v>46059</v>
      </c>
      <c r="K133" s="455">
        <v>46059</v>
      </c>
      <c r="L133" s="455">
        <v>46063</v>
      </c>
      <c r="R133" s="455">
        <v>46076</v>
      </c>
      <c r="U133" s="455">
        <v>46081</v>
      </c>
    </row>
    <row r="134" spans="1:21">
      <c r="A134" t="s">
        <v>1751</v>
      </c>
      <c r="B134" t="s">
        <v>2467</v>
      </c>
      <c r="C134" t="s">
        <v>1751</v>
      </c>
      <c r="D134">
        <v>20448528</v>
      </c>
      <c r="E134" t="s">
        <v>3128</v>
      </c>
      <c r="F134" t="s">
        <v>1782</v>
      </c>
      <c r="G134" t="s">
        <v>3141</v>
      </c>
      <c r="H134" t="s">
        <v>3165</v>
      </c>
      <c r="J134" s="455">
        <v>46066</v>
      </c>
      <c r="U134" s="455">
        <v>46066</v>
      </c>
    </row>
    <row r="135" spans="1:21">
      <c r="A135" t="s">
        <v>1751</v>
      </c>
      <c r="B135" t="s">
        <v>8746</v>
      </c>
      <c r="C135" t="s">
        <v>1751</v>
      </c>
      <c r="D135">
        <v>20456145</v>
      </c>
      <c r="E135" t="s">
        <v>3128</v>
      </c>
      <c r="F135" t="s">
        <v>1782</v>
      </c>
      <c r="G135" t="s">
        <v>3141</v>
      </c>
      <c r="H135" t="s">
        <v>1247</v>
      </c>
      <c r="J135" s="455">
        <v>46076</v>
      </c>
      <c r="U135" s="455">
        <v>46188</v>
      </c>
    </row>
    <row r="136" spans="1:21">
      <c r="A136" t="s">
        <v>1751</v>
      </c>
      <c r="B136" t="s">
        <v>8747</v>
      </c>
      <c r="C136" t="s">
        <v>1751</v>
      </c>
      <c r="D136">
        <v>20443810</v>
      </c>
      <c r="E136" t="s">
        <v>1897</v>
      </c>
      <c r="F136" t="s">
        <v>1239</v>
      </c>
      <c r="G136" t="s">
        <v>3143</v>
      </c>
      <c r="H136" t="s">
        <v>1251</v>
      </c>
      <c r="J136" s="455">
        <v>46062</v>
      </c>
      <c r="K136" s="455">
        <v>46062</v>
      </c>
      <c r="U136" s="455">
        <v>46062</v>
      </c>
    </row>
    <row r="137" spans="1:21">
      <c r="A137" t="s">
        <v>1751</v>
      </c>
      <c r="B137" t="s">
        <v>8748</v>
      </c>
      <c r="C137" t="s">
        <v>1751</v>
      </c>
      <c r="D137">
        <v>20448931</v>
      </c>
      <c r="E137" t="s">
        <v>1897</v>
      </c>
      <c r="F137" t="s">
        <v>1239</v>
      </c>
      <c r="G137" t="s">
        <v>3143</v>
      </c>
      <c r="H137" t="s">
        <v>1249</v>
      </c>
      <c r="J137" s="455">
        <v>46067</v>
      </c>
      <c r="K137" s="455">
        <v>46076</v>
      </c>
      <c r="U137" s="455">
        <v>46067</v>
      </c>
    </row>
    <row r="138" spans="1:21">
      <c r="A138" t="s">
        <v>1751</v>
      </c>
      <c r="B138" t="s">
        <v>8748</v>
      </c>
      <c r="C138" t="s">
        <v>1751</v>
      </c>
      <c r="D138">
        <v>20456021</v>
      </c>
      <c r="E138" t="s">
        <v>1897</v>
      </c>
      <c r="F138" t="s">
        <v>1912</v>
      </c>
      <c r="G138" t="s">
        <v>3134</v>
      </c>
      <c r="H138" t="s">
        <v>1247</v>
      </c>
      <c r="I138" t="s">
        <v>1963</v>
      </c>
      <c r="J138" s="455">
        <v>46076</v>
      </c>
      <c r="K138" s="455">
        <v>46076</v>
      </c>
      <c r="U138" s="455">
        <v>46076</v>
      </c>
    </row>
    <row r="139" spans="1:21">
      <c r="A139" t="s">
        <v>1751</v>
      </c>
      <c r="B139" t="s">
        <v>8749</v>
      </c>
      <c r="C139" t="s">
        <v>1751</v>
      </c>
      <c r="D139">
        <v>20453252</v>
      </c>
      <c r="E139" t="s">
        <v>3128</v>
      </c>
      <c r="F139" t="s">
        <v>1239</v>
      </c>
      <c r="G139" t="s">
        <v>3143</v>
      </c>
      <c r="H139" t="s">
        <v>1248</v>
      </c>
      <c r="J139" s="455">
        <v>46072</v>
      </c>
      <c r="U139" s="455">
        <v>46072</v>
      </c>
    </row>
    <row r="140" spans="1:21">
      <c r="A140" t="s">
        <v>1751</v>
      </c>
      <c r="B140" t="s">
        <v>8750</v>
      </c>
      <c r="C140" t="s">
        <v>1751</v>
      </c>
      <c r="D140">
        <v>20455547</v>
      </c>
      <c r="E140" t="s">
        <v>3128</v>
      </c>
      <c r="F140" t="s">
        <v>1239</v>
      </c>
      <c r="G140" t="s">
        <v>3129</v>
      </c>
      <c r="H140" t="s">
        <v>3358</v>
      </c>
      <c r="J140" s="455">
        <v>46076</v>
      </c>
      <c r="U140" s="455">
        <v>46076</v>
      </c>
    </row>
    <row r="141" spans="1:21">
      <c r="A141" t="s">
        <v>1751</v>
      </c>
      <c r="B141" t="s">
        <v>8751</v>
      </c>
      <c r="C141" t="s">
        <v>1751</v>
      </c>
      <c r="D141">
        <v>20439680</v>
      </c>
      <c r="E141" t="s">
        <v>3133</v>
      </c>
      <c r="F141" t="s">
        <v>1912</v>
      </c>
      <c r="G141" t="s">
        <v>3134</v>
      </c>
      <c r="H141" t="s">
        <v>1249</v>
      </c>
      <c r="J141" s="455">
        <v>46055</v>
      </c>
      <c r="K141" s="455">
        <v>46055</v>
      </c>
      <c r="R141" s="455">
        <v>46056</v>
      </c>
      <c r="U141" s="455">
        <v>46055</v>
      </c>
    </row>
    <row r="142" spans="1:21">
      <c r="A142" t="s">
        <v>1751</v>
      </c>
      <c r="B142" t="s">
        <v>8751</v>
      </c>
      <c r="C142" t="s">
        <v>1751</v>
      </c>
      <c r="D142">
        <v>20459330</v>
      </c>
      <c r="E142" t="s">
        <v>3128</v>
      </c>
      <c r="F142" t="s">
        <v>1782</v>
      </c>
      <c r="G142" t="s">
        <v>3129</v>
      </c>
      <c r="H142" t="s">
        <v>3131</v>
      </c>
      <c r="J142" s="455">
        <v>46081</v>
      </c>
      <c r="U142" s="455">
        <v>46081</v>
      </c>
    </row>
    <row r="143" spans="1:21">
      <c r="A143" t="s">
        <v>1751</v>
      </c>
      <c r="B143" t="s">
        <v>8752</v>
      </c>
      <c r="C143" t="s">
        <v>1751</v>
      </c>
      <c r="D143">
        <v>20421611</v>
      </c>
      <c r="E143" t="s">
        <v>3190</v>
      </c>
      <c r="F143" t="s">
        <v>1237</v>
      </c>
      <c r="G143" t="s">
        <v>3141</v>
      </c>
      <c r="H143" t="s">
        <v>1252</v>
      </c>
      <c r="J143" s="455">
        <v>46011</v>
      </c>
      <c r="R143" s="455">
        <v>46058</v>
      </c>
      <c r="U143" s="455">
        <v>46031</v>
      </c>
    </row>
    <row r="144" spans="1:21">
      <c r="A144" t="s">
        <v>1751</v>
      </c>
      <c r="B144" t="s">
        <v>8753</v>
      </c>
      <c r="C144" t="s">
        <v>1751</v>
      </c>
      <c r="D144">
        <v>20455023</v>
      </c>
      <c r="E144" t="s">
        <v>1897</v>
      </c>
      <c r="F144" t="s">
        <v>1237</v>
      </c>
      <c r="G144" t="s">
        <v>3143</v>
      </c>
      <c r="H144" t="s">
        <v>1248</v>
      </c>
      <c r="I144" t="s">
        <v>1546</v>
      </c>
      <c r="J144" s="455">
        <v>46074</v>
      </c>
      <c r="K144" s="455">
        <v>46078</v>
      </c>
      <c r="U144" s="455">
        <v>46108</v>
      </c>
    </row>
    <row r="145" spans="1:21">
      <c r="A145" t="s">
        <v>1751</v>
      </c>
      <c r="B145" t="s">
        <v>8754</v>
      </c>
      <c r="C145" t="s">
        <v>1751</v>
      </c>
      <c r="D145">
        <v>20447916</v>
      </c>
      <c r="E145" t="s">
        <v>3128</v>
      </c>
      <c r="F145" t="s">
        <v>1241</v>
      </c>
      <c r="G145" t="s">
        <v>3137</v>
      </c>
      <c r="H145" t="s">
        <v>1247</v>
      </c>
      <c r="J145" s="455">
        <v>46065</v>
      </c>
      <c r="U145" s="455">
        <v>46066</v>
      </c>
    </row>
    <row r="146" spans="1:21">
      <c r="A146" t="s">
        <v>1751</v>
      </c>
      <c r="B146" t="s">
        <v>8755</v>
      </c>
      <c r="C146" t="s">
        <v>1751</v>
      </c>
      <c r="D146">
        <v>20440960</v>
      </c>
      <c r="E146" t="s">
        <v>3128</v>
      </c>
      <c r="F146" t="s">
        <v>1239</v>
      </c>
      <c r="G146" t="s">
        <v>3143</v>
      </c>
      <c r="H146" t="s">
        <v>1248</v>
      </c>
      <c r="J146" s="455">
        <v>46057</v>
      </c>
      <c r="U146" s="455">
        <v>46095</v>
      </c>
    </row>
    <row r="147" spans="1:21">
      <c r="A147" t="s">
        <v>1751</v>
      </c>
      <c r="B147" t="s">
        <v>1900</v>
      </c>
      <c r="C147" t="s">
        <v>1751</v>
      </c>
      <c r="D147">
        <v>20441173</v>
      </c>
      <c r="E147" t="s">
        <v>1901</v>
      </c>
      <c r="F147" t="s">
        <v>1239</v>
      </c>
      <c r="G147" t="s">
        <v>3134</v>
      </c>
      <c r="H147" t="s">
        <v>1248</v>
      </c>
      <c r="I147" t="s">
        <v>1899</v>
      </c>
      <c r="J147" s="455">
        <v>46057</v>
      </c>
      <c r="K147" s="455">
        <v>46057</v>
      </c>
      <c r="L147" s="455">
        <v>46058</v>
      </c>
      <c r="U147" s="455">
        <v>46088</v>
      </c>
    </row>
    <row r="148" spans="1:21">
      <c r="A148" t="s">
        <v>1751</v>
      </c>
      <c r="B148" t="s">
        <v>8756</v>
      </c>
      <c r="C148" t="s">
        <v>1751</v>
      </c>
      <c r="D148">
        <v>20449295</v>
      </c>
      <c r="E148" t="s">
        <v>3128</v>
      </c>
      <c r="F148" t="s">
        <v>1241</v>
      </c>
      <c r="G148" t="s">
        <v>2009</v>
      </c>
      <c r="H148" t="s">
        <v>1247</v>
      </c>
      <c r="J148" s="455">
        <v>46068</v>
      </c>
      <c r="U148" s="455">
        <v>46127</v>
      </c>
    </row>
    <row r="149" spans="1:21">
      <c r="A149" t="s">
        <v>1751</v>
      </c>
      <c r="B149" t="s">
        <v>8757</v>
      </c>
      <c r="C149" t="s">
        <v>1751</v>
      </c>
      <c r="D149">
        <v>20444500</v>
      </c>
      <c r="E149" t="s">
        <v>1907</v>
      </c>
      <c r="F149" t="s">
        <v>8652</v>
      </c>
      <c r="G149" t="s">
        <v>3134</v>
      </c>
      <c r="H149" t="s">
        <v>1247</v>
      </c>
      <c r="I149" t="s">
        <v>1811</v>
      </c>
      <c r="J149" s="455">
        <v>46063</v>
      </c>
      <c r="K149" s="455">
        <v>46063</v>
      </c>
      <c r="L149" s="455">
        <v>46063</v>
      </c>
      <c r="U149" s="455">
        <v>46081</v>
      </c>
    </row>
    <row r="150" spans="1:21">
      <c r="A150" t="s">
        <v>1751</v>
      </c>
      <c r="B150" t="s">
        <v>4484</v>
      </c>
      <c r="C150" t="s">
        <v>1751</v>
      </c>
      <c r="D150">
        <v>20450536</v>
      </c>
      <c r="E150" t="s">
        <v>3142</v>
      </c>
      <c r="F150" t="s">
        <v>1238</v>
      </c>
      <c r="G150" t="s">
        <v>3143</v>
      </c>
      <c r="H150" t="s">
        <v>1251</v>
      </c>
      <c r="I150" t="s">
        <v>1542</v>
      </c>
      <c r="J150" s="455">
        <v>46070</v>
      </c>
      <c r="K150" s="455">
        <v>46070</v>
      </c>
      <c r="L150" s="455">
        <v>46070</v>
      </c>
      <c r="M150" s="455">
        <v>46080</v>
      </c>
      <c r="N150" s="455">
        <v>46080</v>
      </c>
      <c r="P150" s="455">
        <v>46080</v>
      </c>
      <c r="Q150" s="455">
        <v>46080</v>
      </c>
      <c r="U150" s="455">
        <v>46080</v>
      </c>
    </row>
    <row r="151" spans="1:21">
      <c r="A151" t="s">
        <v>1751</v>
      </c>
      <c r="B151" t="s">
        <v>8758</v>
      </c>
      <c r="C151" t="s">
        <v>1751</v>
      </c>
      <c r="D151">
        <v>20453239</v>
      </c>
      <c r="E151" t="s">
        <v>3128</v>
      </c>
      <c r="F151" t="s">
        <v>1782</v>
      </c>
      <c r="G151" t="s">
        <v>3129</v>
      </c>
      <c r="H151" t="s">
        <v>1253</v>
      </c>
      <c r="J151" s="455">
        <v>46072</v>
      </c>
      <c r="U151" s="455">
        <v>46072</v>
      </c>
    </row>
    <row r="152" spans="1:21">
      <c r="A152" t="s">
        <v>1751</v>
      </c>
      <c r="B152" t="s">
        <v>8759</v>
      </c>
      <c r="C152" t="s">
        <v>1751</v>
      </c>
      <c r="D152">
        <v>20442867</v>
      </c>
      <c r="E152" t="s">
        <v>1897</v>
      </c>
      <c r="F152" t="s">
        <v>1241</v>
      </c>
      <c r="G152" t="s">
        <v>3143</v>
      </c>
      <c r="H152" t="s">
        <v>1248</v>
      </c>
      <c r="I152" t="s">
        <v>3752</v>
      </c>
      <c r="J152" s="455">
        <v>46060</v>
      </c>
      <c r="K152" s="455">
        <v>46062</v>
      </c>
      <c r="U152" s="455">
        <v>46067</v>
      </c>
    </row>
    <row r="153" spans="1:21">
      <c r="A153" t="s">
        <v>1751</v>
      </c>
      <c r="B153" t="s">
        <v>8760</v>
      </c>
      <c r="C153" t="s">
        <v>1751</v>
      </c>
      <c r="D153">
        <v>20450699</v>
      </c>
      <c r="E153" t="s">
        <v>3133</v>
      </c>
      <c r="F153" t="s">
        <v>8652</v>
      </c>
      <c r="G153" t="s">
        <v>3143</v>
      </c>
      <c r="H153" t="s">
        <v>1248</v>
      </c>
      <c r="I153" t="s">
        <v>1559</v>
      </c>
      <c r="J153" s="455">
        <v>46070</v>
      </c>
      <c r="K153" s="455">
        <v>46070</v>
      </c>
      <c r="R153" s="455">
        <v>46072</v>
      </c>
      <c r="U153" s="455">
        <v>46094</v>
      </c>
    </row>
    <row r="154" spans="1:21">
      <c r="A154" t="s">
        <v>1751</v>
      </c>
      <c r="B154" t="s">
        <v>8761</v>
      </c>
      <c r="C154" t="s">
        <v>1751</v>
      </c>
      <c r="D154">
        <v>20441362</v>
      </c>
      <c r="E154" t="s">
        <v>3128</v>
      </c>
      <c r="F154" t="s">
        <v>1241</v>
      </c>
      <c r="G154" t="s">
        <v>3137</v>
      </c>
      <c r="H154" t="s">
        <v>1247</v>
      </c>
      <c r="J154" s="455">
        <v>46058</v>
      </c>
      <c r="U154" s="455">
        <v>46204</v>
      </c>
    </row>
    <row r="155" spans="1:21">
      <c r="A155" t="s">
        <v>1751</v>
      </c>
      <c r="B155" t="s">
        <v>8762</v>
      </c>
      <c r="C155" t="s">
        <v>1751</v>
      </c>
      <c r="D155">
        <v>20442335</v>
      </c>
      <c r="E155" t="s">
        <v>3128</v>
      </c>
      <c r="F155" t="s">
        <v>1241</v>
      </c>
      <c r="G155" t="s">
        <v>3141</v>
      </c>
      <c r="H155" t="s">
        <v>1247</v>
      </c>
      <c r="J155" s="455">
        <v>46059</v>
      </c>
      <c r="U155" s="455">
        <v>46082</v>
      </c>
    </row>
    <row r="156" spans="1:21">
      <c r="A156" t="s">
        <v>1751</v>
      </c>
      <c r="B156" t="s">
        <v>8763</v>
      </c>
      <c r="C156" t="s">
        <v>1751</v>
      </c>
      <c r="D156">
        <v>20456528</v>
      </c>
      <c r="E156" t="s">
        <v>3128</v>
      </c>
      <c r="F156" t="s">
        <v>1241</v>
      </c>
      <c r="G156" t="s">
        <v>3137</v>
      </c>
      <c r="H156" t="s">
        <v>1247</v>
      </c>
      <c r="J156" s="455">
        <v>46077</v>
      </c>
      <c r="U156" s="455">
        <v>46133</v>
      </c>
    </row>
    <row r="157" spans="1:21">
      <c r="A157" t="s">
        <v>1751</v>
      </c>
      <c r="B157" t="s">
        <v>1922</v>
      </c>
      <c r="C157" t="s">
        <v>1751</v>
      </c>
      <c r="D157">
        <v>20456879</v>
      </c>
      <c r="E157" t="s">
        <v>1897</v>
      </c>
      <c r="F157" t="s">
        <v>1237</v>
      </c>
      <c r="G157" t="s">
        <v>3143</v>
      </c>
      <c r="H157" t="s">
        <v>1249</v>
      </c>
      <c r="I157" t="s">
        <v>1921</v>
      </c>
      <c r="J157" s="455">
        <v>46077</v>
      </c>
      <c r="K157" s="455">
        <v>46077</v>
      </c>
      <c r="U157" s="455">
        <v>46109</v>
      </c>
    </row>
    <row r="158" spans="1:21">
      <c r="A158" t="s">
        <v>1751</v>
      </c>
      <c r="B158" t="s">
        <v>8764</v>
      </c>
      <c r="C158" t="s">
        <v>1751</v>
      </c>
      <c r="D158">
        <v>20456646</v>
      </c>
      <c r="E158" t="s">
        <v>3190</v>
      </c>
      <c r="F158" t="s">
        <v>1242</v>
      </c>
      <c r="G158" t="s">
        <v>3143</v>
      </c>
      <c r="H158" t="s">
        <v>1248</v>
      </c>
      <c r="J158" s="455">
        <v>46077</v>
      </c>
      <c r="R158" s="455">
        <v>46077</v>
      </c>
      <c r="U158" s="455">
        <v>46077</v>
      </c>
    </row>
    <row r="159" spans="1:21">
      <c r="A159" t="s">
        <v>1751</v>
      </c>
      <c r="B159" t="s">
        <v>8765</v>
      </c>
      <c r="C159" t="s">
        <v>1751</v>
      </c>
      <c r="D159">
        <v>20454108</v>
      </c>
      <c r="E159" t="s">
        <v>3128</v>
      </c>
      <c r="F159" t="s">
        <v>1782</v>
      </c>
      <c r="G159" t="s">
        <v>3129</v>
      </c>
      <c r="H159" t="s">
        <v>1253</v>
      </c>
      <c r="J159" s="455">
        <v>46073</v>
      </c>
      <c r="U159" s="455">
        <v>46073</v>
      </c>
    </row>
    <row r="160" spans="1:21">
      <c r="A160" t="s">
        <v>1751</v>
      </c>
      <c r="B160" t="s">
        <v>8766</v>
      </c>
      <c r="C160" t="s">
        <v>1751</v>
      </c>
      <c r="D160">
        <v>20457573</v>
      </c>
      <c r="E160" t="s">
        <v>3128</v>
      </c>
      <c r="F160" t="s">
        <v>1241</v>
      </c>
      <c r="G160" t="s">
        <v>3137</v>
      </c>
      <c r="H160" t="s">
        <v>1247</v>
      </c>
      <c r="J160" s="455">
        <v>46078</v>
      </c>
      <c r="U160" s="455">
        <v>46284</v>
      </c>
    </row>
    <row r="161" spans="1:21">
      <c r="A161" t="s">
        <v>1751</v>
      </c>
      <c r="B161" t="s">
        <v>8767</v>
      </c>
      <c r="C161" t="s">
        <v>1751</v>
      </c>
      <c r="D161">
        <v>20444274</v>
      </c>
      <c r="E161" t="s">
        <v>3128</v>
      </c>
      <c r="F161" t="s">
        <v>1241</v>
      </c>
      <c r="G161" t="s">
        <v>2009</v>
      </c>
      <c r="H161" t="s">
        <v>1247</v>
      </c>
      <c r="J161" s="455">
        <v>46063</v>
      </c>
      <c r="U161" s="455">
        <v>46082</v>
      </c>
    </row>
    <row r="162" spans="1:21">
      <c r="A162" t="s">
        <v>1751</v>
      </c>
      <c r="B162" t="s">
        <v>8768</v>
      </c>
      <c r="C162" t="s">
        <v>1751</v>
      </c>
      <c r="D162">
        <v>20441167</v>
      </c>
      <c r="E162" t="s">
        <v>3128</v>
      </c>
      <c r="F162" t="s">
        <v>1782</v>
      </c>
      <c r="G162" t="s">
        <v>3141</v>
      </c>
      <c r="H162" t="s">
        <v>1247</v>
      </c>
      <c r="J162" s="455">
        <v>46057</v>
      </c>
      <c r="U162" s="455">
        <v>46143</v>
      </c>
    </row>
    <row r="163" spans="1:21">
      <c r="A163" t="s">
        <v>1751</v>
      </c>
      <c r="B163" t="s">
        <v>8769</v>
      </c>
      <c r="C163" t="s">
        <v>1751</v>
      </c>
      <c r="D163">
        <v>20447913</v>
      </c>
      <c r="E163" t="s">
        <v>3128</v>
      </c>
      <c r="F163" t="s">
        <v>1239</v>
      </c>
      <c r="G163" t="s">
        <v>3143</v>
      </c>
      <c r="H163" t="s">
        <v>1251</v>
      </c>
      <c r="J163" s="455">
        <v>46065</v>
      </c>
      <c r="U163" s="455">
        <v>46065</v>
      </c>
    </row>
    <row r="164" spans="1:21">
      <c r="A164" t="s">
        <v>1751</v>
      </c>
      <c r="B164" t="s">
        <v>8770</v>
      </c>
      <c r="C164" t="s">
        <v>1751</v>
      </c>
      <c r="D164">
        <v>20416808</v>
      </c>
      <c r="E164" t="s">
        <v>3133</v>
      </c>
      <c r="F164" t="s">
        <v>1238</v>
      </c>
      <c r="G164" t="s">
        <v>3141</v>
      </c>
      <c r="H164" t="s">
        <v>3165</v>
      </c>
      <c r="I164" t="s">
        <v>3200</v>
      </c>
      <c r="J164" s="455">
        <v>46024</v>
      </c>
      <c r="K164" s="455">
        <v>46064</v>
      </c>
      <c r="L164" s="455">
        <v>46064</v>
      </c>
      <c r="R164" s="455">
        <v>46079</v>
      </c>
      <c r="U164" s="455">
        <v>46081</v>
      </c>
    </row>
    <row r="165" spans="1:21">
      <c r="A165" t="s">
        <v>1751</v>
      </c>
      <c r="B165" t="s">
        <v>8771</v>
      </c>
      <c r="C165" t="s">
        <v>1751</v>
      </c>
      <c r="D165">
        <v>20449099</v>
      </c>
      <c r="E165" t="s">
        <v>3128</v>
      </c>
      <c r="F165" t="s">
        <v>1241</v>
      </c>
      <c r="G165" t="s">
        <v>3129</v>
      </c>
      <c r="H165" t="s">
        <v>1253</v>
      </c>
      <c r="J165" s="455">
        <v>46067</v>
      </c>
      <c r="U165" s="455">
        <v>46067</v>
      </c>
    </row>
    <row r="166" spans="1:21">
      <c r="A166" t="s">
        <v>1751</v>
      </c>
      <c r="B166" t="s">
        <v>8772</v>
      </c>
      <c r="C166" t="s">
        <v>1751</v>
      </c>
      <c r="D166">
        <v>20444743</v>
      </c>
      <c r="E166" t="s">
        <v>3128</v>
      </c>
      <c r="F166" t="s">
        <v>1241</v>
      </c>
      <c r="G166" t="s">
        <v>2009</v>
      </c>
      <c r="H166" t="s">
        <v>3220</v>
      </c>
      <c r="J166" s="455">
        <v>46063</v>
      </c>
      <c r="U166" s="455">
        <v>46129</v>
      </c>
    </row>
    <row r="167" spans="1:21">
      <c r="A167" t="s">
        <v>1751</v>
      </c>
      <c r="B167" t="s">
        <v>8773</v>
      </c>
      <c r="C167" t="s">
        <v>1751</v>
      </c>
      <c r="D167">
        <v>20459496</v>
      </c>
      <c r="E167" t="s">
        <v>3128</v>
      </c>
      <c r="F167" t="s">
        <v>1241</v>
      </c>
      <c r="G167" t="s">
        <v>2009</v>
      </c>
      <c r="H167" t="s">
        <v>1247</v>
      </c>
      <c r="J167" s="455">
        <v>46081</v>
      </c>
      <c r="U167" s="455">
        <v>46082</v>
      </c>
    </row>
    <row r="168" spans="1:21">
      <c r="A168" t="s">
        <v>1751</v>
      </c>
      <c r="B168" t="s">
        <v>8774</v>
      </c>
      <c r="C168" t="s">
        <v>1751</v>
      </c>
      <c r="D168">
        <v>20455525</v>
      </c>
      <c r="E168" t="s">
        <v>1907</v>
      </c>
      <c r="F168" t="s">
        <v>1237</v>
      </c>
      <c r="G168" t="s">
        <v>3134</v>
      </c>
      <c r="H168" t="s">
        <v>1247</v>
      </c>
      <c r="I168" t="s">
        <v>1230</v>
      </c>
      <c r="J168" s="455">
        <v>46076</v>
      </c>
      <c r="K168" s="455">
        <v>46076</v>
      </c>
      <c r="L168" s="455">
        <v>46076</v>
      </c>
      <c r="U168" s="455">
        <v>46081</v>
      </c>
    </row>
    <row r="169" spans="1:21">
      <c r="A169" t="s">
        <v>1751</v>
      </c>
      <c r="B169" t="s">
        <v>8775</v>
      </c>
      <c r="C169" t="s">
        <v>1751</v>
      </c>
      <c r="D169">
        <v>20457891</v>
      </c>
      <c r="E169" t="s">
        <v>3128</v>
      </c>
      <c r="F169" t="s">
        <v>1782</v>
      </c>
      <c r="G169" t="s">
        <v>3141</v>
      </c>
      <c r="H169" t="s">
        <v>1251</v>
      </c>
      <c r="J169" s="455">
        <v>46079</v>
      </c>
      <c r="U169" s="455">
        <v>46079</v>
      </c>
    </row>
    <row r="170" spans="1:21">
      <c r="A170" t="s">
        <v>1751</v>
      </c>
      <c r="B170" t="s">
        <v>8776</v>
      </c>
      <c r="C170" t="s">
        <v>1751</v>
      </c>
      <c r="D170">
        <v>20459732</v>
      </c>
      <c r="E170" t="s">
        <v>3128</v>
      </c>
      <c r="F170" t="s">
        <v>1238</v>
      </c>
      <c r="G170" t="s">
        <v>3143</v>
      </c>
      <c r="H170" t="s">
        <v>1249</v>
      </c>
      <c r="J170" s="455">
        <v>46081</v>
      </c>
      <c r="U170" s="455">
        <v>46081</v>
      </c>
    </row>
    <row r="171" spans="1:21">
      <c r="A171" t="s">
        <v>1751</v>
      </c>
      <c r="B171" t="s">
        <v>8777</v>
      </c>
      <c r="C171" t="s">
        <v>1751</v>
      </c>
      <c r="D171">
        <v>20455080</v>
      </c>
      <c r="E171" t="s">
        <v>3128</v>
      </c>
      <c r="F171" t="s">
        <v>1782</v>
      </c>
      <c r="G171" t="s">
        <v>3141</v>
      </c>
      <c r="H171" t="s">
        <v>1247</v>
      </c>
      <c r="J171" s="455">
        <v>46074</v>
      </c>
      <c r="U171" s="455">
        <v>46099</v>
      </c>
    </row>
    <row r="172" spans="1:21">
      <c r="A172" t="s">
        <v>1751</v>
      </c>
      <c r="B172" t="s">
        <v>8778</v>
      </c>
      <c r="C172" t="s">
        <v>1751</v>
      </c>
      <c r="D172">
        <v>20442683</v>
      </c>
      <c r="E172" t="s">
        <v>3128</v>
      </c>
      <c r="F172" t="s">
        <v>1782</v>
      </c>
      <c r="G172" t="s">
        <v>3129</v>
      </c>
      <c r="H172" t="s">
        <v>1252</v>
      </c>
      <c r="J172" s="455">
        <v>46060</v>
      </c>
      <c r="U172" s="455">
        <v>46060</v>
      </c>
    </row>
    <row r="173" spans="1:21">
      <c r="A173" t="s">
        <v>1751</v>
      </c>
      <c r="B173" t="s">
        <v>8779</v>
      </c>
      <c r="C173" t="s">
        <v>1751</v>
      </c>
      <c r="D173">
        <v>20459588</v>
      </c>
      <c r="E173" t="s">
        <v>1897</v>
      </c>
      <c r="F173" t="s">
        <v>1912</v>
      </c>
      <c r="G173" t="s">
        <v>3134</v>
      </c>
      <c r="H173" t="s">
        <v>1247</v>
      </c>
      <c r="I173" t="s">
        <v>5773</v>
      </c>
      <c r="J173" s="455">
        <v>46081</v>
      </c>
      <c r="K173" s="455">
        <v>46081</v>
      </c>
      <c r="U173" s="455">
        <v>46081</v>
      </c>
    </row>
    <row r="174" spans="1:21">
      <c r="A174" t="s">
        <v>1751</v>
      </c>
      <c r="B174" t="s">
        <v>8780</v>
      </c>
      <c r="C174" t="s">
        <v>1751</v>
      </c>
      <c r="D174">
        <v>20459460</v>
      </c>
      <c r="E174" t="s">
        <v>3128</v>
      </c>
      <c r="F174" t="s">
        <v>1238</v>
      </c>
      <c r="G174" t="s">
        <v>3143</v>
      </c>
      <c r="H174" t="s">
        <v>1248</v>
      </c>
      <c r="J174" s="455">
        <v>46081</v>
      </c>
      <c r="U174" s="455">
        <v>46081</v>
      </c>
    </row>
    <row r="175" spans="1:21">
      <c r="A175" t="s">
        <v>1751</v>
      </c>
      <c r="B175" t="s">
        <v>8781</v>
      </c>
      <c r="C175" t="s">
        <v>1751</v>
      </c>
      <c r="D175">
        <v>20450095</v>
      </c>
      <c r="E175" t="s">
        <v>3128</v>
      </c>
      <c r="F175" t="s">
        <v>1782</v>
      </c>
      <c r="G175" t="s">
        <v>3141</v>
      </c>
      <c r="H175" t="s">
        <v>1247</v>
      </c>
      <c r="J175" s="455">
        <v>46069</v>
      </c>
      <c r="U175" s="455">
        <v>46120</v>
      </c>
    </row>
    <row r="176" spans="1:21">
      <c r="A176" t="s">
        <v>1751</v>
      </c>
      <c r="B176" t="s">
        <v>3543</v>
      </c>
      <c r="C176" t="s">
        <v>1751</v>
      </c>
      <c r="D176">
        <v>20448051</v>
      </c>
      <c r="E176" t="s">
        <v>1897</v>
      </c>
      <c r="F176" t="s">
        <v>1912</v>
      </c>
      <c r="G176" t="s">
        <v>3134</v>
      </c>
      <c r="H176" t="s">
        <v>1247</v>
      </c>
      <c r="J176" s="455">
        <v>46065</v>
      </c>
      <c r="K176" s="455">
        <v>46065</v>
      </c>
      <c r="U176" s="455">
        <v>46065</v>
      </c>
    </row>
    <row r="177" spans="1:21">
      <c r="A177" t="s">
        <v>1751</v>
      </c>
      <c r="B177" t="s">
        <v>8782</v>
      </c>
      <c r="C177" t="s">
        <v>1751</v>
      </c>
      <c r="D177">
        <v>20444302</v>
      </c>
      <c r="E177" t="s">
        <v>1901</v>
      </c>
      <c r="F177" t="s">
        <v>1912</v>
      </c>
      <c r="G177" t="s">
        <v>3134</v>
      </c>
      <c r="H177" t="s">
        <v>1247</v>
      </c>
      <c r="I177" t="s">
        <v>1557</v>
      </c>
      <c r="J177" s="455">
        <v>46063</v>
      </c>
      <c r="K177" s="455">
        <v>46063</v>
      </c>
      <c r="L177" s="455">
        <v>46063</v>
      </c>
      <c r="U177" s="455">
        <v>46126</v>
      </c>
    </row>
    <row r="178" spans="1:21">
      <c r="A178" t="s">
        <v>1751</v>
      </c>
      <c r="B178" t="s">
        <v>8782</v>
      </c>
      <c r="C178" t="s">
        <v>1751</v>
      </c>
      <c r="D178">
        <v>20444029</v>
      </c>
      <c r="E178" t="s">
        <v>1907</v>
      </c>
      <c r="F178" t="s">
        <v>1239</v>
      </c>
      <c r="G178" t="s">
        <v>3141</v>
      </c>
      <c r="H178" t="s">
        <v>1247</v>
      </c>
      <c r="I178" t="s">
        <v>3288</v>
      </c>
      <c r="J178" s="455">
        <v>46062</v>
      </c>
      <c r="K178" s="455">
        <v>46064</v>
      </c>
      <c r="L178" s="455">
        <v>46065</v>
      </c>
      <c r="O178" s="455">
        <v>46098</v>
      </c>
      <c r="U178" s="455">
        <v>46109</v>
      </c>
    </row>
    <row r="179" spans="1:21">
      <c r="A179" t="s">
        <v>1751</v>
      </c>
      <c r="B179" t="s">
        <v>7109</v>
      </c>
      <c r="C179" t="s">
        <v>1751</v>
      </c>
      <c r="D179">
        <v>20472844</v>
      </c>
      <c r="E179" t="s">
        <v>3128</v>
      </c>
      <c r="F179" t="s">
        <v>1238</v>
      </c>
      <c r="G179" t="s">
        <v>2009</v>
      </c>
      <c r="H179" t="s">
        <v>1252</v>
      </c>
      <c r="J179" s="455">
        <v>46066</v>
      </c>
      <c r="O179" s="455">
        <v>46106</v>
      </c>
      <c r="U179" s="455">
        <v>46097</v>
      </c>
    </row>
    <row r="180" spans="1:21">
      <c r="A180" t="s">
        <v>1751</v>
      </c>
      <c r="B180" t="s">
        <v>7109</v>
      </c>
      <c r="C180" t="s">
        <v>1751</v>
      </c>
      <c r="D180">
        <v>20448431</v>
      </c>
      <c r="E180" t="s">
        <v>1897</v>
      </c>
      <c r="F180" t="s">
        <v>1241</v>
      </c>
      <c r="G180" t="s">
        <v>3134</v>
      </c>
      <c r="H180" t="s">
        <v>1252</v>
      </c>
      <c r="I180" t="s">
        <v>1780</v>
      </c>
      <c r="J180" s="455">
        <v>46066</v>
      </c>
      <c r="K180" s="455">
        <v>46066</v>
      </c>
      <c r="U180" s="455">
        <v>46066</v>
      </c>
    </row>
    <row r="181" spans="1:21">
      <c r="A181" t="s">
        <v>1751</v>
      </c>
      <c r="B181" t="s">
        <v>7109</v>
      </c>
      <c r="C181" t="s">
        <v>1751</v>
      </c>
      <c r="D181">
        <v>20448353</v>
      </c>
      <c r="E181" t="s">
        <v>3133</v>
      </c>
      <c r="F181" t="s">
        <v>1912</v>
      </c>
      <c r="G181" t="s">
        <v>3134</v>
      </c>
      <c r="H181" t="s">
        <v>1252</v>
      </c>
      <c r="I181" t="s">
        <v>1780</v>
      </c>
      <c r="J181" s="455">
        <v>46066</v>
      </c>
      <c r="K181" s="455">
        <v>46066</v>
      </c>
      <c r="L181" s="455">
        <v>46066</v>
      </c>
      <c r="R181" s="455">
        <v>46066</v>
      </c>
      <c r="U181" s="455">
        <v>46087</v>
      </c>
    </row>
    <row r="182" spans="1:21">
      <c r="A182" t="s">
        <v>1751</v>
      </c>
      <c r="B182" t="s">
        <v>8783</v>
      </c>
      <c r="C182" t="s">
        <v>1751</v>
      </c>
      <c r="D182">
        <v>20453300</v>
      </c>
      <c r="E182" t="s">
        <v>3128</v>
      </c>
      <c r="F182" t="s">
        <v>1782</v>
      </c>
      <c r="G182" t="s">
        <v>3129</v>
      </c>
      <c r="H182" t="s">
        <v>3487</v>
      </c>
      <c r="J182" s="455">
        <v>46072</v>
      </c>
      <c r="U182" s="455">
        <v>46087</v>
      </c>
    </row>
    <row r="183" spans="1:21">
      <c r="A183" t="s">
        <v>1751</v>
      </c>
      <c r="B183" t="s">
        <v>8784</v>
      </c>
      <c r="C183" t="s">
        <v>1751</v>
      </c>
      <c r="D183">
        <v>20423041</v>
      </c>
      <c r="E183" t="s">
        <v>3133</v>
      </c>
      <c r="F183" t="s">
        <v>1237</v>
      </c>
      <c r="G183" t="s">
        <v>3134</v>
      </c>
      <c r="H183" t="s">
        <v>1247</v>
      </c>
      <c r="J183" s="455">
        <v>46034</v>
      </c>
      <c r="K183" s="455">
        <v>46034</v>
      </c>
      <c r="R183" s="455">
        <v>46077</v>
      </c>
      <c r="U183" s="455">
        <v>46045</v>
      </c>
    </row>
    <row r="184" spans="1:21">
      <c r="A184" t="s">
        <v>1751</v>
      </c>
      <c r="B184" t="s">
        <v>8785</v>
      </c>
      <c r="C184" t="s">
        <v>1751</v>
      </c>
      <c r="D184">
        <v>20453840</v>
      </c>
      <c r="E184" t="s">
        <v>3128</v>
      </c>
      <c r="F184" t="s">
        <v>1782</v>
      </c>
      <c r="G184" t="s">
        <v>3137</v>
      </c>
      <c r="H184" t="s">
        <v>1247</v>
      </c>
      <c r="J184" s="455">
        <v>46072</v>
      </c>
      <c r="U184" s="455">
        <v>46118</v>
      </c>
    </row>
    <row r="185" spans="1:21">
      <c r="A185" t="s">
        <v>1751</v>
      </c>
      <c r="B185" t="s">
        <v>7134</v>
      </c>
      <c r="C185" t="s">
        <v>1751</v>
      </c>
      <c r="D185">
        <v>20447882</v>
      </c>
      <c r="E185" t="s">
        <v>1907</v>
      </c>
      <c r="F185" t="s">
        <v>1782</v>
      </c>
      <c r="G185" t="s">
        <v>3137</v>
      </c>
      <c r="H185" t="s">
        <v>1247</v>
      </c>
      <c r="I185" t="s">
        <v>1839</v>
      </c>
      <c r="J185" s="455">
        <v>46065</v>
      </c>
      <c r="K185" s="455">
        <v>46075</v>
      </c>
      <c r="L185" s="455">
        <v>46075</v>
      </c>
      <c r="U185" s="455">
        <v>46094</v>
      </c>
    </row>
    <row r="186" spans="1:21">
      <c r="A186" t="s">
        <v>1751</v>
      </c>
      <c r="B186" t="s">
        <v>8786</v>
      </c>
      <c r="C186" t="s">
        <v>1751</v>
      </c>
      <c r="D186">
        <v>20443881</v>
      </c>
      <c r="E186" t="s">
        <v>3133</v>
      </c>
      <c r="F186" t="s">
        <v>1239</v>
      </c>
      <c r="G186" t="s">
        <v>3134</v>
      </c>
      <c r="H186" t="s">
        <v>1247</v>
      </c>
      <c r="I186" t="s">
        <v>1825</v>
      </c>
      <c r="J186" s="455">
        <v>46062</v>
      </c>
      <c r="K186" s="455">
        <v>46062</v>
      </c>
      <c r="L186" s="455">
        <v>46062</v>
      </c>
      <c r="S186" s="455">
        <v>46072</v>
      </c>
      <c r="U186" s="455">
        <v>46074</v>
      </c>
    </row>
    <row r="187" spans="1:21">
      <c r="A187" t="s">
        <v>1751</v>
      </c>
      <c r="B187" t="s">
        <v>8787</v>
      </c>
      <c r="C187" t="s">
        <v>1751</v>
      </c>
      <c r="D187">
        <v>20440473</v>
      </c>
      <c r="E187" t="s">
        <v>3133</v>
      </c>
      <c r="F187" t="s">
        <v>1239</v>
      </c>
      <c r="G187" t="s">
        <v>3134</v>
      </c>
      <c r="H187" t="s">
        <v>1247</v>
      </c>
      <c r="I187" t="s">
        <v>1952</v>
      </c>
      <c r="J187" s="455">
        <v>46056</v>
      </c>
      <c r="K187" s="455">
        <v>46056</v>
      </c>
      <c r="L187" s="455">
        <v>46056</v>
      </c>
      <c r="R187" s="455">
        <v>46072</v>
      </c>
      <c r="U187" s="455">
        <v>46081</v>
      </c>
    </row>
    <row r="188" spans="1:21">
      <c r="A188" t="s">
        <v>1751</v>
      </c>
      <c r="B188" t="s">
        <v>8787</v>
      </c>
      <c r="C188" t="s">
        <v>1751</v>
      </c>
      <c r="D188">
        <v>20440444</v>
      </c>
      <c r="E188" t="s">
        <v>3128</v>
      </c>
      <c r="F188" t="s">
        <v>1239</v>
      </c>
      <c r="G188" t="s">
        <v>3143</v>
      </c>
      <c r="H188" t="s">
        <v>1251</v>
      </c>
      <c r="J188" s="455">
        <v>46056</v>
      </c>
      <c r="U188" s="455">
        <v>46056</v>
      </c>
    </row>
    <row r="189" spans="1:21">
      <c r="A189" t="s">
        <v>1751</v>
      </c>
      <c r="B189" t="s">
        <v>8788</v>
      </c>
      <c r="C189" t="s">
        <v>1751</v>
      </c>
      <c r="D189">
        <v>20453286</v>
      </c>
      <c r="E189" t="s">
        <v>3128</v>
      </c>
      <c r="F189" t="s">
        <v>1239</v>
      </c>
      <c r="G189" t="s">
        <v>3129</v>
      </c>
      <c r="H189" t="s">
        <v>1248</v>
      </c>
      <c r="J189" s="455">
        <v>46072</v>
      </c>
      <c r="U189" s="455">
        <v>46101</v>
      </c>
    </row>
    <row r="190" spans="1:21">
      <c r="A190" t="s">
        <v>1751</v>
      </c>
      <c r="B190" t="s">
        <v>8789</v>
      </c>
      <c r="C190" t="s">
        <v>1751</v>
      </c>
      <c r="D190">
        <v>20449432</v>
      </c>
      <c r="E190" t="s">
        <v>3128</v>
      </c>
      <c r="F190" t="s">
        <v>1782</v>
      </c>
      <c r="G190" t="s">
        <v>2009</v>
      </c>
      <c r="H190" t="s">
        <v>1247</v>
      </c>
      <c r="J190" s="455">
        <v>46068</v>
      </c>
      <c r="U190" s="455">
        <v>46237</v>
      </c>
    </row>
    <row r="191" spans="1:21">
      <c r="A191" t="s">
        <v>1751</v>
      </c>
      <c r="B191" t="s">
        <v>8790</v>
      </c>
      <c r="C191" t="s">
        <v>1751</v>
      </c>
      <c r="D191">
        <v>20443361</v>
      </c>
      <c r="E191" t="s">
        <v>3128</v>
      </c>
      <c r="F191" t="s">
        <v>1241</v>
      </c>
      <c r="G191" t="s">
        <v>3141</v>
      </c>
      <c r="H191" t="s">
        <v>1247</v>
      </c>
      <c r="J191" s="455">
        <v>46061</v>
      </c>
      <c r="U191" s="455">
        <v>46157</v>
      </c>
    </row>
    <row r="192" spans="1:21">
      <c r="A192" t="s">
        <v>1751</v>
      </c>
      <c r="B192" t="s">
        <v>1914</v>
      </c>
      <c r="C192" t="s">
        <v>1751</v>
      </c>
      <c r="D192">
        <v>20449577</v>
      </c>
      <c r="E192" t="s">
        <v>1897</v>
      </c>
      <c r="F192" t="s">
        <v>1799</v>
      </c>
      <c r="G192" t="s">
        <v>3134</v>
      </c>
      <c r="H192" t="s">
        <v>1247</v>
      </c>
      <c r="I192" t="s">
        <v>1913</v>
      </c>
      <c r="J192" s="455">
        <v>46068</v>
      </c>
      <c r="K192" s="455">
        <v>46068</v>
      </c>
      <c r="U192" s="455">
        <v>46069</v>
      </c>
    </row>
    <row r="193" spans="1:21">
      <c r="A193" t="s">
        <v>1751</v>
      </c>
      <c r="B193" t="s">
        <v>8791</v>
      </c>
      <c r="C193" t="s">
        <v>1751</v>
      </c>
      <c r="D193">
        <v>20458166</v>
      </c>
      <c r="E193" t="s">
        <v>1897</v>
      </c>
      <c r="F193" t="s">
        <v>1912</v>
      </c>
      <c r="G193" t="s">
        <v>3134</v>
      </c>
      <c r="H193" t="s">
        <v>1247</v>
      </c>
      <c r="J193" s="455">
        <v>46079</v>
      </c>
      <c r="K193" s="455">
        <v>46079</v>
      </c>
      <c r="U193" s="455">
        <v>46079</v>
      </c>
    </row>
    <row r="194" spans="1:21">
      <c r="A194" t="s">
        <v>1751</v>
      </c>
      <c r="B194" t="s">
        <v>8792</v>
      </c>
      <c r="C194" t="s">
        <v>1751</v>
      </c>
      <c r="D194">
        <v>20446907</v>
      </c>
      <c r="E194" t="s">
        <v>3128</v>
      </c>
      <c r="F194" t="s">
        <v>1782</v>
      </c>
      <c r="G194" t="s">
        <v>2009</v>
      </c>
      <c r="H194" t="s">
        <v>1247</v>
      </c>
      <c r="J194" s="455">
        <v>46064</v>
      </c>
      <c r="U194" s="455">
        <v>46083</v>
      </c>
    </row>
    <row r="195" spans="1:21">
      <c r="A195" t="s">
        <v>1751</v>
      </c>
      <c r="B195" t="s">
        <v>8793</v>
      </c>
      <c r="C195" t="s">
        <v>1751</v>
      </c>
      <c r="D195">
        <v>20448297</v>
      </c>
      <c r="E195" t="s">
        <v>3128</v>
      </c>
      <c r="F195" t="s">
        <v>1782</v>
      </c>
      <c r="G195" t="s">
        <v>3129</v>
      </c>
      <c r="H195" t="s">
        <v>3131</v>
      </c>
      <c r="J195" s="455">
        <v>46066</v>
      </c>
      <c r="U195" s="455">
        <v>46066</v>
      </c>
    </row>
    <row r="196" spans="1:21">
      <c r="A196" t="s">
        <v>1751</v>
      </c>
      <c r="B196" t="s">
        <v>8794</v>
      </c>
      <c r="C196" t="s">
        <v>1751</v>
      </c>
      <c r="D196">
        <v>20441592</v>
      </c>
      <c r="E196" t="s">
        <v>3128</v>
      </c>
      <c r="F196" t="s">
        <v>1241</v>
      </c>
      <c r="G196" t="s">
        <v>3129</v>
      </c>
      <c r="H196" t="s">
        <v>1253</v>
      </c>
      <c r="J196" s="455">
        <v>46058</v>
      </c>
      <c r="U196" s="455">
        <v>46112</v>
      </c>
    </row>
    <row r="197" spans="1:21">
      <c r="A197" t="s">
        <v>1751</v>
      </c>
      <c r="B197" t="s">
        <v>8795</v>
      </c>
      <c r="C197" t="s">
        <v>1751</v>
      </c>
      <c r="D197">
        <v>20448539</v>
      </c>
      <c r="E197" t="s">
        <v>3128</v>
      </c>
      <c r="F197" t="s">
        <v>1782</v>
      </c>
      <c r="G197" t="s">
        <v>3141</v>
      </c>
      <c r="H197" t="s">
        <v>1251</v>
      </c>
      <c r="J197" s="455">
        <v>46066</v>
      </c>
      <c r="U197" s="455">
        <v>46113</v>
      </c>
    </row>
    <row r="198" spans="1:21">
      <c r="A198" t="s">
        <v>1751</v>
      </c>
      <c r="B198" t="s">
        <v>8796</v>
      </c>
      <c r="C198" t="s">
        <v>1751</v>
      </c>
      <c r="D198">
        <v>20443511</v>
      </c>
      <c r="E198" t="s">
        <v>1897</v>
      </c>
      <c r="F198" t="s">
        <v>1241</v>
      </c>
      <c r="G198" t="s">
        <v>3129</v>
      </c>
      <c r="H198" t="s">
        <v>1252</v>
      </c>
      <c r="J198" s="455">
        <v>46062</v>
      </c>
      <c r="K198" s="455">
        <v>46062</v>
      </c>
      <c r="U198" s="455">
        <v>46062</v>
      </c>
    </row>
    <row r="199" spans="1:21">
      <c r="A199" t="s">
        <v>1751</v>
      </c>
      <c r="B199" t="s">
        <v>8796</v>
      </c>
      <c r="C199" t="s">
        <v>1751</v>
      </c>
      <c r="D199">
        <v>20443523</v>
      </c>
      <c r="E199" t="s">
        <v>1897</v>
      </c>
      <c r="F199" t="s">
        <v>1239</v>
      </c>
      <c r="G199" t="s">
        <v>3134</v>
      </c>
      <c r="H199" t="s">
        <v>1247</v>
      </c>
      <c r="J199" s="455">
        <v>46062</v>
      </c>
      <c r="K199" s="455">
        <v>46062</v>
      </c>
      <c r="U199" s="455">
        <v>46062</v>
      </c>
    </row>
    <row r="200" spans="1:21">
      <c r="A200" t="s">
        <v>1751</v>
      </c>
      <c r="B200" t="s">
        <v>8797</v>
      </c>
      <c r="C200" t="s">
        <v>1751</v>
      </c>
      <c r="D200">
        <v>20457540</v>
      </c>
      <c r="E200" t="s">
        <v>3128</v>
      </c>
      <c r="F200" t="s">
        <v>1237</v>
      </c>
      <c r="G200" t="s">
        <v>3143</v>
      </c>
      <c r="H200" t="s">
        <v>1248</v>
      </c>
      <c r="J200" s="455">
        <v>46078</v>
      </c>
      <c r="U200" s="455">
        <v>46078</v>
      </c>
    </row>
    <row r="201" spans="1:21">
      <c r="A201" t="s">
        <v>1751</v>
      </c>
      <c r="B201" t="s">
        <v>1148</v>
      </c>
      <c r="C201" t="s">
        <v>1751</v>
      </c>
      <c r="D201">
        <v>20448080</v>
      </c>
      <c r="E201" t="s">
        <v>1907</v>
      </c>
      <c r="F201" t="s">
        <v>1238</v>
      </c>
      <c r="G201" t="s">
        <v>3141</v>
      </c>
      <c r="H201" t="s">
        <v>1251</v>
      </c>
      <c r="I201" t="s">
        <v>3055</v>
      </c>
      <c r="J201" s="455">
        <v>46065</v>
      </c>
      <c r="K201" s="455">
        <v>46069</v>
      </c>
      <c r="L201" s="455">
        <v>46069</v>
      </c>
      <c r="U201" s="455">
        <v>46083</v>
      </c>
    </row>
    <row r="202" spans="1:21">
      <c r="A202" t="s">
        <v>1751</v>
      </c>
      <c r="B202" t="s">
        <v>1148</v>
      </c>
      <c r="C202" t="s">
        <v>1751</v>
      </c>
      <c r="D202">
        <v>20441115</v>
      </c>
      <c r="E202" t="s">
        <v>3133</v>
      </c>
      <c r="F202" t="s">
        <v>1238</v>
      </c>
      <c r="G202" t="s">
        <v>3141</v>
      </c>
      <c r="H202" t="s">
        <v>1251</v>
      </c>
      <c r="I202" t="s">
        <v>7095</v>
      </c>
      <c r="J202" s="455">
        <v>46057</v>
      </c>
      <c r="K202" s="455">
        <v>46057</v>
      </c>
      <c r="L202" s="455">
        <v>46057</v>
      </c>
      <c r="R202" s="455">
        <v>46063</v>
      </c>
      <c r="U202" s="455">
        <v>46066</v>
      </c>
    </row>
    <row r="203" spans="1:21">
      <c r="A203" t="s">
        <v>1751</v>
      </c>
      <c r="B203" t="s">
        <v>1148</v>
      </c>
      <c r="C203" t="s">
        <v>1751</v>
      </c>
      <c r="D203">
        <v>20436284</v>
      </c>
      <c r="E203" t="s">
        <v>3133</v>
      </c>
      <c r="F203" t="s">
        <v>1238</v>
      </c>
      <c r="G203" t="s">
        <v>3141</v>
      </c>
      <c r="H203" t="s">
        <v>1251</v>
      </c>
      <c r="I203" t="s">
        <v>2617</v>
      </c>
      <c r="J203" s="455">
        <v>46050</v>
      </c>
      <c r="K203" s="455">
        <v>46053</v>
      </c>
      <c r="R203" s="455">
        <v>46055</v>
      </c>
      <c r="U203" s="455">
        <v>46062</v>
      </c>
    </row>
    <row r="204" spans="1:21">
      <c r="A204" t="s">
        <v>1751</v>
      </c>
      <c r="B204" t="s">
        <v>1148</v>
      </c>
      <c r="C204" t="s">
        <v>1751</v>
      </c>
      <c r="D204">
        <v>20438364</v>
      </c>
      <c r="E204" t="s">
        <v>3133</v>
      </c>
      <c r="F204" t="s">
        <v>1238</v>
      </c>
      <c r="G204" t="s">
        <v>3134</v>
      </c>
      <c r="H204" t="s">
        <v>1247</v>
      </c>
      <c r="I204" t="s">
        <v>2696</v>
      </c>
      <c r="J204" s="455">
        <v>46053</v>
      </c>
      <c r="K204" s="455">
        <v>46053</v>
      </c>
      <c r="L204" s="455">
        <v>46053</v>
      </c>
      <c r="R204" s="455">
        <v>46073</v>
      </c>
      <c r="U204" s="455">
        <v>46071</v>
      </c>
    </row>
    <row r="205" spans="1:21">
      <c r="A205" t="s">
        <v>1751</v>
      </c>
      <c r="B205" t="s">
        <v>1148</v>
      </c>
      <c r="C205" t="s">
        <v>1751</v>
      </c>
      <c r="D205">
        <v>20438365</v>
      </c>
      <c r="E205" t="s">
        <v>3133</v>
      </c>
      <c r="F205" t="s">
        <v>1238</v>
      </c>
      <c r="G205" t="s">
        <v>3134</v>
      </c>
      <c r="H205" t="s">
        <v>1247</v>
      </c>
      <c r="J205" s="455">
        <v>46053</v>
      </c>
      <c r="K205" s="455">
        <v>46053</v>
      </c>
      <c r="R205" s="455">
        <v>46055</v>
      </c>
      <c r="U205" s="455">
        <v>46053</v>
      </c>
    </row>
    <row r="206" spans="1:21">
      <c r="A206" t="s">
        <v>1751</v>
      </c>
      <c r="B206" t="s">
        <v>8798</v>
      </c>
      <c r="C206" t="s">
        <v>1751</v>
      </c>
      <c r="D206">
        <v>20450048</v>
      </c>
      <c r="E206" t="s">
        <v>3128</v>
      </c>
      <c r="F206" t="s">
        <v>1782</v>
      </c>
      <c r="G206" t="s">
        <v>3141</v>
      </c>
      <c r="H206" t="s">
        <v>1247</v>
      </c>
      <c r="J206" s="455">
        <v>46069</v>
      </c>
      <c r="U206" s="455">
        <v>46070</v>
      </c>
    </row>
    <row r="207" spans="1:21">
      <c r="A207" t="s">
        <v>1751</v>
      </c>
      <c r="B207" t="s">
        <v>8799</v>
      </c>
      <c r="C207" t="s">
        <v>1751</v>
      </c>
      <c r="D207">
        <v>20414199</v>
      </c>
      <c r="E207" t="s">
        <v>3190</v>
      </c>
      <c r="F207" t="s">
        <v>1782</v>
      </c>
      <c r="G207" t="s">
        <v>3141</v>
      </c>
      <c r="H207" t="s">
        <v>1247</v>
      </c>
      <c r="J207" s="455">
        <v>46020</v>
      </c>
      <c r="R207" s="455">
        <v>46055</v>
      </c>
      <c r="U207" s="455">
        <v>46020</v>
      </c>
    </row>
    <row r="208" spans="1:21">
      <c r="A208" t="s">
        <v>1751</v>
      </c>
      <c r="B208" t="s">
        <v>7185</v>
      </c>
      <c r="C208" t="s">
        <v>1751</v>
      </c>
      <c r="D208">
        <v>20448736</v>
      </c>
      <c r="E208" t="s">
        <v>1907</v>
      </c>
      <c r="F208" t="s">
        <v>1237</v>
      </c>
      <c r="G208" t="s">
        <v>3134</v>
      </c>
      <c r="H208" t="s">
        <v>1250</v>
      </c>
      <c r="I208" t="s">
        <v>3752</v>
      </c>
      <c r="J208" s="455">
        <v>46066</v>
      </c>
      <c r="K208" s="455">
        <v>46066</v>
      </c>
      <c r="L208" s="455">
        <v>46066</v>
      </c>
      <c r="U208" s="455">
        <v>46083</v>
      </c>
    </row>
    <row r="209" spans="1:21">
      <c r="A209" t="s">
        <v>1751</v>
      </c>
      <c r="B209" t="s">
        <v>7185</v>
      </c>
      <c r="C209" t="s">
        <v>1751</v>
      </c>
      <c r="D209">
        <v>20448762</v>
      </c>
      <c r="E209" t="s">
        <v>1897</v>
      </c>
      <c r="F209" t="s">
        <v>1241</v>
      </c>
      <c r="G209" t="s">
        <v>3134</v>
      </c>
      <c r="H209" t="s">
        <v>1250</v>
      </c>
      <c r="I209" t="s">
        <v>1950</v>
      </c>
      <c r="J209" s="455">
        <v>46066</v>
      </c>
      <c r="K209" s="455">
        <v>46066</v>
      </c>
      <c r="U209" s="455">
        <v>46083</v>
      </c>
    </row>
    <row r="210" spans="1:21">
      <c r="A210" t="s">
        <v>1751</v>
      </c>
      <c r="B210" t="s">
        <v>8800</v>
      </c>
      <c r="C210" t="s">
        <v>1751</v>
      </c>
      <c r="D210">
        <v>20457003</v>
      </c>
      <c r="E210" t="s">
        <v>3128</v>
      </c>
      <c r="F210" t="s">
        <v>1241</v>
      </c>
      <c r="G210" t="s">
        <v>3129</v>
      </c>
      <c r="H210" t="s">
        <v>3131</v>
      </c>
      <c r="J210" s="455">
        <v>46077</v>
      </c>
      <c r="U210" s="455">
        <v>46077</v>
      </c>
    </row>
    <row r="211" spans="1:21">
      <c r="A211" t="s">
        <v>1751</v>
      </c>
      <c r="B211" t="s">
        <v>8801</v>
      </c>
      <c r="C211" t="s">
        <v>1751</v>
      </c>
      <c r="D211">
        <v>20454124</v>
      </c>
      <c r="E211" t="s">
        <v>3128</v>
      </c>
      <c r="F211" t="s">
        <v>1782</v>
      </c>
      <c r="G211" t="s">
        <v>3141</v>
      </c>
      <c r="H211" t="s">
        <v>1247</v>
      </c>
      <c r="J211" s="455">
        <v>46073</v>
      </c>
      <c r="U211" s="455">
        <v>46082</v>
      </c>
    </row>
    <row r="212" spans="1:21">
      <c r="A212" t="s">
        <v>1751</v>
      </c>
      <c r="B212" t="s">
        <v>8802</v>
      </c>
      <c r="C212" t="s">
        <v>1751</v>
      </c>
      <c r="D212">
        <v>20441675</v>
      </c>
      <c r="E212" t="s">
        <v>3128</v>
      </c>
      <c r="F212" t="s">
        <v>1237</v>
      </c>
      <c r="G212" t="s">
        <v>2009</v>
      </c>
      <c r="H212" t="s">
        <v>1252</v>
      </c>
      <c r="J212" s="455">
        <v>46058</v>
      </c>
      <c r="U212" s="455">
        <v>46080</v>
      </c>
    </row>
    <row r="213" spans="1:21">
      <c r="A213" t="s">
        <v>1751</v>
      </c>
      <c r="B213" t="s">
        <v>8803</v>
      </c>
      <c r="C213" t="s">
        <v>1751</v>
      </c>
      <c r="D213">
        <v>20456988</v>
      </c>
      <c r="E213" t="s">
        <v>1897</v>
      </c>
      <c r="F213" t="s">
        <v>1912</v>
      </c>
      <c r="G213" t="s">
        <v>3134</v>
      </c>
      <c r="H213" t="s">
        <v>3515</v>
      </c>
      <c r="I213" t="s">
        <v>3202</v>
      </c>
      <c r="J213" s="455">
        <v>46077</v>
      </c>
      <c r="K213" s="455">
        <v>46077</v>
      </c>
      <c r="U213" s="455">
        <v>46081</v>
      </c>
    </row>
    <row r="214" spans="1:21">
      <c r="A214" t="s">
        <v>1751</v>
      </c>
      <c r="B214" t="s">
        <v>8804</v>
      </c>
      <c r="C214" t="s">
        <v>1751</v>
      </c>
      <c r="D214">
        <v>20442547</v>
      </c>
      <c r="E214" t="s">
        <v>3128</v>
      </c>
      <c r="F214" t="s">
        <v>1238</v>
      </c>
      <c r="G214" t="s">
        <v>3141</v>
      </c>
      <c r="H214" t="s">
        <v>1247</v>
      </c>
      <c r="J214" s="455">
        <v>46059</v>
      </c>
      <c r="U214" s="455">
        <v>46073</v>
      </c>
    </row>
    <row r="215" spans="1:21">
      <c r="A215" t="s">
        <v>1751</v>
      </c>
      <c r="B215" t="s">
        <v>8805</v>
      </c>
      <c r="C215" t="s">
        <v>1751</v>
      </c>
      <c r="D215">
        <v>20458398</v>
      </c>
      <c r="E215" t="s">
        <v>3128</v>
      </c>
      <c r="F215" t="s">
        <v>1239</v>
      </c>
      <c r="G215" t="s">
        <v>3129</v>
      </c>
      <c r="H215" t="s">
        <v>1252</v>
      </c>
      <c r="J215" s="455">
        <v>46079</v>
      </c>
      <c r="U215" s="455">
        <v>46079</v>
      </c>
    </row>
    <row r="216" spans="1:21">
      <c r="A216" t="s">
        <v>1751</v>
      </c>
      <c r="B216" t="s">
        <v>8806</v>
      </c>
      <c r="C216" t="s">
        <v>1751</v>
      </c>
      <c r="D216">
        <v>20443287</v>
      </c>
      <c r="E216" t="s">
        <v>3128</v>
      </c>
      <c r="F216" t="s">
        <v>1241</v>
      </c>
      <c r="G216" t="s">
        <v>3141</v>
      </c>
      <c r="H216" t="s">
        <v>1247</v>
      </c>
      <c r="J216" s="455">
        <v>46061</v>
      </c>
      <c r="U216" s="455">
        <v>46113</v>
      </c>
    </row>
    <row r="217" spans="1:21">
      <c r="A217" t="s">
        <v>1751</v>
      </c>
      <c r="B217" t="s">
        <v>8807</v>
      </c>
      <c r="C217" t="s">
        <v>1751</v>
      </c>
      <c r="D217">
        <v>20443187</v>
      </c>
      <c r="E217" t="s">
        <v>3128</v>
      </c>
      <c r="F217" t="s">
        <v>1782</v>
      </c>
      <c r="G217" t="s">
        <v>3129</v>
      </c>
      <c r="H217" t="s">
        <v>1253</v>
      </c>
      <c r="J217" s="455">
        <v>46061</v>
      </c>
      <c r="U217" s="455">
        <v>46082</v>
      </c>
    </row>
    <row r="218" spans="1:21">
      <c r="A218" t="s">
        <v>1751</v>
      </c>
      <c r="B218" t="s">
        <v>8808</v>
      </c>
      <c r="C218" t="s">
        <v>1751</v>
      </c>
      <c r="D218">
        <v>20444140</v>
      </c>
      <c r="E218" t="s">
        <v>3128</v>
      </c>
      <c r="F218" t="s">
        <v>1782</v>
      </c>
      <c r="G218" t="s">
        <v>3141</v>
      </c>
      <c r="H218" t="s">
        <v>1247</v>
      </c>
      <c r="J218" s="455">
        <v>46062</v>
      </c>
      <c r="U218" s="455">
        <v>46132</v>
      </c>
    </row>
    <row r="219" spans="1:21">
      <c r="A219" t="s">
        <v>1751</v>
      </c>
      <c r="B219" t="s">
        <v>8809</v>
      </c>
      <c r="C219" t="s">
        <v>1751</v>
      </c>
      <c r="D219">
        <v>20430744</v>
      </c>
      <c r="E219" t="s">
        <v>3133</v>
      </c>
      <c r="F219" t="s">
        <v>1237</v>
      </c>
      <c r="G219" t="s">
        <v>3134</v>
      </c>
      <c r="H219" t="s">
        <v>1252</v>
      </c>
      <c r="I219" t="s">
        <v>1818</v>
      </c>
      <c r="J219" s="455">
        <v>46042</v>
      </c>
      <c r="K219" s="455">
        <v>46042</v>
      </c>
      <c r="L219" s="455">
        <v>46052</v>
      </c>
      <c r="R219" s="455">
        <v>46077</v>
      </c>
      <c r="U219" s="455">
        <v>46081</v>
      </c>
    </row>
    <row r="220" spans="1:21">
      <c r="A220" t="s">
        <v>1751</v>
      </c>
      <c r="B220" t="s">
        <v>8810</v>
      </c>
      <c r="C220" t="s">
        <v>1751</v>
      </c>
      <c r="D220">
        <v>20438908</v>
      </c>
      <c r="E220" t="s">
        <v>1897</v>
      </c>
      <c r="F220" t="s">
        <v>1241</v>
      </c>
      <c r="G220" t="s">
        <v>3134</v>
      </c>
      <c r="H220" t="s">
        <v>1247</v>
      </c>
      <c r="J220" s="455">
        <v>46054</v>
      </c>
      <c r="K220" s="455">
        <v>46054</v>
      </c>
      <c r="U220" s="455">
        <v>46113</v>
      </c>
    </row>
    <row r="221" spans="1:21">
      <c r="A221" t="s">
        <v>1751</v>
      </c>
      <c r="B221" t="s">
        <v>8811</v>
      </c>
      <c r="C221" t="s">
        <v>1751</v>
      </c>
      <c r="D221">
        <v>20453937</v>
      </c>
      <c r="E221" t="s">
        <v>3133</v>
      </c>
      <c r="F221" t="s">
        <v>1239</v>
      </c>
      <c r="G221" t="s">
        <v>3129</v>
      </c>
      <c r="H221" t="s">
        <v>1252</v>
      </c>
      <c r="I221" t="s">
        <v>3265</v>
      </c>
      <c r="J221" s="455">
        <v>46073</v>
      </c>
      <c r="K221" s="455">
        <v>46073</v>
      </c>
      <c r="L221" s="455">
        <v>46073</v>
      </c>
      <c r="S221" s="455">
        <v>46076</v>
      </c>
      <c r="U221" s="455">
        <v>46081</v>
      </c>
    </row>
    <row r="222" spans="1:21">
      <c r="A222" t="s">
        <v>1751</v>
      </c>
      <c r="B222" t="s">
        <v>7025</v>
      </c>
      <c r="C222" t="s">
        <v>1751</v>
      </c>
      <c r="D222">
        <v>20443912</v>
      </c>
      <c r="E222" t="s">
        <v>3128</v>
      </c>
      <c r="F222" t="s">
        <v>1237</v>
      </c>
      <c r="G222" t="s">
        <v>3143</v>
      </c>
      <c r="H222" t="s">
        <v>1251</v>
      </c>
      <c r="I222" t="s">
        <v>7035</v>
      </c>
      <c r="J222" s="455">
        <v>46062</v>
      </c>
      <c r="L222" s="455">
        <v>46111</v>
      </c>
      <c r="O222" s="455">
        <v>46129</v>
      </c>
      <c r="U222" s="455">
        <v>46143</v>
      </c>
    </row>
    <row r="223" spans="1:21">
      <c r="A223" t="s">
        <v>1751</v>
      </c>
      <c r="B223" t="s">
        <v>8812</v>
      </c>
      <c r="C223" t="s">
        <v>1751</v>
      </c>
      <c r="D223">
        <v>20442804</v>
      </c>
      <c r="E223" t="s">
        <v>3128</v>
      </c>
      <c r="F223" t="s">
        <v>1782</v>
      </c>
      <c r="G223" t="s">
        <v>3141</v>
      </c>
      <c r="H223" t="s">
        <v>1247</v>
      </c>
      <c r="J223" s="455">
        <v>46060</v>
      </c>
      <c r="U223" s="455">
        <v>46063</v>
      </c>
    </row>
    <row r="224" spans="1:21">
      <c r="A224" t="s">
        <v>1751</v>
      </c>
      <c r="B224" t="s">
        <v>8813</v>
      </c>
      <c r="C224" t="s">
        <v>1751</v>
      </c>
      <c r="D224">
        <v>20444534</v>
      </c>
      <c r="E224" t="s">
        <v>3128</v>
      </c>
      <c r="F224" t="s">
        <v>1239</v>
      </c>
      <c r="G224" t="s">
        <v>3143</v>
      </c>
      <c r="H224" t="s">
        <v>1248</v>
      </c>
      <c r="J224" s="455">
        <v>46063</v>
      </c>
      <c r="U224" s="455">
        <v>46063</v>
      </c>
    </row>
    <row r="225" spans="1:21">
      <c r="A225" t="s">
        <v>1751</v>
      </c>
      <c r="B225" t="s">
        <v>8814</v>
      </c>
      <c r="C225" t="s">
        <v>1751</v>
      </c>
      <c r="D225">
        <v>20442172</v>
      </c>
      <c r="E225" t="s">
        <v>3133</v>
      </c>
      <c r="F225" t="s">
        <v>1237</v>
      </c>
      <c r="G225" t="s">
        <v>3134</v>
      </c>
      <c r="H225" t="s">
        <v>1247</v>
      </c>
      <c r="I225" t="s">
        <v>1784</v>
      </c>
      <c r="J225" s="455">
        <v>46059</v>
      </c>
      <c r="K225" s="455">
        <v>46059</v>
      </c>
      <c r="L225" s="455">
        <v>46060</v>
      </c>
      <c r="R225" s="455">
        <v>46077</v>
      </c>
      <c r="U225" s="455">
        <v>46078</v>
      </c>
    </row>
    <row r="226" spans="1:21">
      <c r="A226" t="s">
        <v>1751</v>
      </c>
      <c r="B226" t="s">
        <v>8814</v>
      </c>
      <c r="C226" t="s">
        <v>1751</v>
      </c>
      <c r="D226">
        <v>20442171</v>
      </c>
      <c r="E226" t="s">
        <v>1897</v>
      </c>
      <c r="F226" t="s">
        <v>1912</v>
      </c>
      <c r="G226" t="s">
        <v>3134</v>
      </c>
      <c r="H226" t="s">
        <v>1247</v>
      </c>
      <c r="J226" s="455">
        <v>46059</v>
      </c>
      <c r="K226" s="455">
        <v>46059</v>
      </c>
      <c r="U226" s="455">
        <v>46064</v>
      </c>
    </row>
    <row r="227" spans="1:21">
      <c r="A227" t="s">
        <v>1751</v>
      </c>
      <c r="B227" t="s">
        <v>8814</v>
      </c>
      <c r="C227" t="s">
        <v>1751</v>
      </c>
      <c r="D227">
        <v>20441302</v>
      </c>
      <c r="E227" t="s">
        <v>1897</v>
      </c>
      <c r="F227" t="s">
        <v>1237</v>
      </c>
      <c r="G227" t="s">
        <v>3143</v>
      </c>
      <c r="H227" t="s">
        <v>4333</v>
      </c>
      <c r="J227" s="455">
        <v>46057</v>
      </c>
      <c r="K227" s="455">
        <v>46059</v>
      </c>
      <c r="U227" s="455">
        <v>46064</v>
      </c>
    </row>
    <row r="228" spans="1:21">
      <c r="A228" t="s">
        <v>1751</v>
      </c>
      <c r="B228" t="s">
        <v>8815</v>
      </c>
      <c r="C228" t="s">
        <v>1751</v>
      </c>
      <c r="D228">
        <v>20449581</v>
      </c>
      <c r="E228" t="s">
        <v>3128</v>
      </c>
      <c r="F228" t="s">
        <v>1241</v>
      </c>
      <c r="G228" t="s">
        <v>3137</v>
      </c>
      <c r="H228" t="s">
        <v>1247</v>
      </c>
      <c r="J228" s="455">
        <v>46068</v>
      </c>
      <c r="U228" s="455">
        <v>46265</v>
      </c>
    </row>
    <row r="229" spans="1:21">
      <c r="A229" t="s">
        <v>1751</v>
      </c>
      <c r="B229" t="s">
        <v>2133</v>
      </c>
      <c r="C229" t="s">
        <v>1751</v>
      </c>
      <c r="D229">
        <v>20424577</v>
      </c>
      <c r="E229" t="s">
        <v>3133</v>
      </c>
      <c r="F229" t="s">
        <v>1237</v>
      </c>
      <c r="G229" t="s">
        <v>2009</v>
      </c>
      <c r="H229" t="s">
        <v>3542</v>
      </c>
      <c r="I229" t="s">
        <v>2134</v>
      </c>
      <c r="J229" s="455">
        <v>46035</v>
      </c>
      <c r="K229" s="455">
        <v>46035</v>
      </c>
      <c r="R229" s="455">
        <v>46059</v>
      </c>
      <c r="U229" s="455">
        <v>46035</v>
      </c>
    </row>
    <row r="230" spans="1:21">
      <c r="A230" t="s">
        <v>1751</v>
      </c>
      <c r="B230" t="s">
        <v>2133</v>
      </c>
      <c r="C230" t="s">
        <v>1751</v>
      </c>
      <c r="D230">
        <v>20426402</v>
      </c>
      <c r="E230" t="s">
        <v>3133</v>
      </c>
      <c r="F230" t="s">
        <v>1237</v>
      </c>
      <c r="G230" t="s">
        <v>2009</v>
      </c>
      <c r="H230" t="s">
        <v>1247</v>
      </c>
      <c r="I230" t="s">
        <v>2134</v>
      </c>
      <c r="J230" s="455">
        <v>46037</v>
      </c>
      <c r="K230" s="455">
        <v>46037</v>
      </c>
      <c r="L230" s="455">
        <v>46037</v>
      </c>
      <c r="S230" s="455">
        <v>46062</v>
      </c>
      <c r="U230" s="455">
        <v>46067</v>
      </c>
    </row>
    <row r="231" spans="1:21">
      <c r="A231" t="s">
        <v>1751</v>
      </c>
      <c r="B231" t="s">
        <v>8816</v>
      </c>
      <c r="C231" t="s">
        <v>1751</v>
      </c>
      <c r="D231">
        <v>20443014</v>
      </c>
      <c r="E231" t="s">
        <v>3128</v>
      </c>
      <c r="F231" t="s">
        <v>1782</v>
      </c>
      <c r="G231" t="s">
        <v>3141</v>
      </c>
      <c r="H231" t="s">
        <v>1251</v>
      </c>
      <c r="J231" s="455">
        <v>46060</v>
      </c>
      <c r="U231" s="455">
        <v>46163</v>
      </c>
    </row>
    <row r="232" spans="1:21">
      <c r="A232" t="s">
        <v>1751</v>
      </c>
      <c r="B232" t="s">
        <v>8817</v>
      </c>
      <c r="C232" t="s">
        <v>1751</v>
      </c>
      <c r="D232">
        <v>20411269</v>
      </c>
      <c r="E232" t="s">
        <v>3190</v>
      </c>
      <c r="F232" t="s">
        <v>1782</v>
      </c>
      <c r="G232" t="s">
        <v>3141</v>
      </c>
      <c r="H232" t="s">
        <v>1253</v>
      </c>
      <c r="J232" s="455">
        <v>46013</v>
      </c>
      <c r="R232" s="455">
        <v>46057</v>
      </c>
      <c r="U232" s="455">
        <v>46015</v>
      </c>
    </row>
    <row r="233" spans="1:21">
      <c r="A233" t="s">
        <v>1751</v>
      </c>
      <c r="B233" t="s">
        <v>8818</v>
      </c>
      <c r="C233" t="s">
        <v>1751</v>
      </c>
      <c r="D233">
        <v>20421917</v>
      </c>
      <c r="E233" t="s">
        <v>3190</v>
      </c>
      <c r="F233" t="s">
        <v>1237</v>
      </c>
      <c r="G233" t="s">
        <v>3141</v>
      </c>
      <c r="H233" t="s">
        <v>1252</v>
      </c>
      <c r="J233" s="455">
        <v>46012</v>
      </c>
      <c r="R233" s="455">
        <v>46058</v>
      </c>
      <c r="U233" s="455">
        <v>46031</v>
      </c>
    </row>
    <row r="234" spans="1:21">
      <c r="A234" t="s">
        <v>1751</v>
      </c>
      <c r="B234" t="s">
        <v>8819</v>
      </c>
      <c r="C234" t="s">
        <v>1751</v>
      </c>
      <c r="D234">
        <v>20449224</v>
      </c>
      <c r="E234" t="s">
        <v>3128</v>
      </c>
      <c r="F234" t="s">
        <v>1782</v>
      </c>
      <c r="G234" t="s">
        <v>2009</v>
      </c>
      <c r="H234" t="s">
        <v>1251</v>
      </c>
      <c r="J234" s="455">
        <v>46067</v>
      </c>
      <c r="U234" s="455">
        <v>46067</v>
      </c>
    </row>
    <row r="235" spans="1:21">
      <c r="A235" t="s">
        <v>1751</v>
      </c>
      <c r="B235" t="s">
        <v>8820</v>
      </c>
      <c r="C235" t="s">
        <v>1751</v>
      </c>
      <c r="D235">
        <v>20442365</v>
      </c>
      <c r="E235" t="s">
        <v>1897</v>
      </c>
      <c r="F235" t="s">
        <v>1912</v>
      </c>
      <c r="G235" t="s">
        <v>3134</v>
      </c>
      <c r="H235" t="s">
        <v>1247</v>
      </c>
      <c r="J235" s="455">
        <v>46059</v>
      </c>
      <c r="K235" s="455">
        <v>46059</v>
      </c>
      <c r="U235" s="455">
        <v>46080</v>
      </c>
    </row>
    <row r="236" spans="1:21">
      <c r="A236" t="s">
        <v>1751</v>
      </c>
      <c r="B236" t="s">
        <v>8821</v>
      </c>
      <c r="C236" t="s">
        <v>1751</v>
      </c>
      <c r="D236">
        <v>20443070</v>
      </c>
      <c r="E236" t="s">
        <v>3128</v>
      </c>
      <c r="F236" t="s">
        <v>1782</v>
      </c>
      <c r="G236" t="s">
        <v>3141</v>
      </c>
      <c r="H236" t="s">
        <v>1247</v>
      </c>
      <c r="J236" s="455">
        <v>46060</v>
      </c>
      <c r="U236" s="455">
        <v>46068</v>
      </c>
    </row>
    <row r="237" spans="1:21">
      <c r="A237" t="s">
        <v>1751</v>
      </c>
      <c r="B237" t="s">
        <v>8822</v>
      </c>
      <c r="C237" t="s">
        <v>1751</v>
      </c>
      <c r="D237">
        <v>20444578</v>
      </c>
      <c r="E237" t="s">
        <v>3128</v>
      </c>
      <c r="F237" t="s">
        <v>1782</v>
      </c>
      <c r="G237" t="s">
        <v>2009</v>
      </c>
      <c r="H237" t="s">
        <v>1247</v>
      </c>
      <c r="J237" s="455">
        <v>46063</v>
      </c>
      <c r="U237" s="455">
        <v>46072</v>
      </c>
    </row>
    <row r="238" spans="1:21">
      <c r="A238" t="s">
        <v>1751</v>
      </c>
      <c r="B238" t="s">
        <v>7155</v>
      </c>
      <c r="C238" t="s">
        <v>1751</v>
      </c>
      <c r="D238">
        <v>20423794</v>
      </c>
      <c r="E238" t="s">
        <v>3142</v>
      </c>
      <c r="F238" t="s">
        <v>8652</v>
      </c>
      <c r="G238" t="s">
        <v>3129</v>
      </c>
      <c r="H238" t="s">
        <v>1253</v>
      </c>
      <c r="I238" t="s">
        <v>7154</v>
      </c>
      <c r="J238" s="455">
        <v>46035</v>
      </c>
      <c r="K238" s="455">
        <v>46035</v>
      </c>
      <c r="L238" s="455">
        <v>46035</v>
      </c>
      <c r="M238" s="455">
        <v>46055</v>
      </c>
      <c r="N238" s="455">
        <v>46055</v>
      </c>
      <c r="O238" s="455">
        <v>46055</v>
      </c>
      <c r="P238" s="455">
        <v>46055</v>
      </c>
      <c r="Q238" s="455">
        <v>46055</v>
      </c>
      <c r="U238" s="455">
        <v>46055</v>
      </c>
    </row>
    <row r="239" spans="1:21">
      <c r="A239" t="s">
        <v>1751</v>
      </c>
      <c r="B239" t="s">
        <v>8823</v>
      </c>
      <c r="C239" t="s">
        <v>1751</v>
      </c>
      <c r="D239">
        <v>20458719</v>
      </c>
      <c r="E239" t="s">
        <v>3190</v>
      </c>
      <c r="F239" t="s">
        <v>1239</v>
      </c>
      <c r="G239" t="s">
        <v>3143</v>
      </c>
      <c r="H239" t="s">
        <v>3358</v>
      </c>
      <c r="J239" s="455">
        <v>46080</v>
      </c>
      <c r="R239" s="455">
        <v>46080</v>
      </c>
      <c r="U239" s="455">
        <v>46080</v>
      </c>
    </row>
    <row r="240" spans="1:21">
      <c r="A240" t="s">
        <v>1751</v>
      </c>
      <c r="B240" t="s">
        <v>8824</v>
      </c>
      <c r="C240" t="s">
        <v>1751</v>
      </c>
      <c r="D240">
        <v>20452705</v>
      </c>
      <c r="E240" t="s">
        <v>3128</v>
      </c>
      <c r="F240" t="s">
        <v>1782</v>
      </c>
      <c r="G240" t="s">
        <v>3141</v>
      </c>
      <c r="H240" t="s">
        <v>1247</v>
      </c>
      <c r="J240" s="455">
        <v>46071</v>
      </c>
      <c r="U240" s="455">
        <v>46083</v>
      </c>
    </row>
    <row r="241" spans="1:21">
      <c r="A241" t="s">
        <v>1751</v>
      </c>
      <c r="B241" t="s">
        <v>8825</v>
      </c>
      <c r="C241" t="s">
        <v>1751</v>
      </c>
      <c r="D241">
        <v>20455911</v>
      </c>
      <c r="E241" t="s">
        <v>3128</v>
      </c>
      <c r="F241" t="s">
        <v>1782</v>
      </c>
      <c r="G241" t="s">
        <v>3143</v>
      </c>
      <c r="H241" t="s">
        <v>1248</v>
      </c>
      <c r="J241" s="455">
        <v>46076</v>
      </c>
      <c r="U241" s="455">
        <v>46157</v>
      </c>
    </row>
    <row r="242" spans="1:21">
      <c r="A242" t="s">
        <v>1751</v>
      </c>
      <c r="B242" t="s">
        <v>8826</v>
      </c>
      <c r="C242" t="s">
        <v>1751</v>
      </c>
      <c r="D242">
        <v>20455295</v>
      </c>
      <c r="E242" t="s">
        <v>3128</v>
      </c>
      <c r="F242" t="s">
        <v>1782</v>
      </c>
      <c r="G242" t="s">
        <v>3141</v>
      </c>
      <c r="H242" t="s">
        <v>1247</v>
      </c>
      <c r="J242" s="455">
        <v>46075</v>
      </c>
      <c r="U242" s="455">
        <v>46174</v>
      </c>
    </row>
    <row r="243" spans="1:21">
      <c r="A243" t="s">
        <v>1751</v>
      </c>
      <c r="B243" t="s">
        <v>8827</v>
      </c>
      <c r="C243" t="s">
        <v>1751</v>
      </c>
      <c r="D243">
        <v>20441373</v>
      </c>
      <c r="E243" t="s">
        <v>3128</v>
      </c>
      <c r="F243" t="s">
        <v>1241</v>
      </c>
      <c r="G243" t="s">
        <v>3141</v>
      </c>
      <c r="H243" t="s">
        <v>1247</v>
      </c>
      <c r="J243" s="455">
        <v>46058</v>
      </c>
      <c r="U243" s="455">
        <v>46335</v>
      </c>
    </row>
    <row r="244" spans="1:21">
      <c r="A244" t="s">
        <v>1751</v>
      </c>
      <c r="B244" t="s">
        <v>8828</v>
      </c>
      <c r="C244" t="s">
        <v>1751</v>
      </c>
      <c r="D244">
        <v>20454196</v>
      </c>
      <c r="E244" t="s">
        <v>1897</v>
      </c>
      <c r="F244" t="s">
        <v>1912</v>
      </c>
      <c r="G244" t="s">
        <v>3134</v>
      </c>
      <c r="H244" t="s">
        <v>1247</v>
      </c>
      <c r="J244" s="455">
        <v>46073</v>
      </c>
      <c r="K244" s="455">
        <v>46073</v>
      </c>
      <c r="U244" s="455">
        <v>46073</v>
      </c>
    </row>
    <row r="245" spans="1:21">
      <c r="A245" t="s">
        <v>1751</v>
      </c>
      <c r="B245" t="s">
        <v>8829</v>
      </c>
      <c r="C245" t="s">
        <v>1751</v>
      </c>
      <c r="D245">
        <v>20449730</v>
      </c>
      <c r="E245" t="s">
        <v>3133</v>
      </c>
      <c r="F245" t="s">
        <v>1239</v>
      </c>
      <c r="G245" t="s">
        <v>3134</v>
      </c>
      <c r="H245" t="s">
        <v>1250</v>
      </c>
      <c r="I245" t="s">
        <v>3303</v>
      </c>
      <c r="J245" s="455">
        <v>46069</v>
      </c>
      <c r="K245" s="455">
        <v>46069</v>
      </c>
      <c r="L245" s="455">
        <v>46069</v>
      </c>
      <c r="S245" s="455">
        <v>46080</v>
      </c>
      <c r="U245" s="455">
        <v>46081</v>
      </c>
    </row>
    <row r="246" spans="1:21">
      <c r="A246" t="s">
        <v>1751</v>
      </c>
      <c r="B246" t="s">
        <v>8830</v>
      </c>
      <c r="C246" t="s">
        <v>1751</v>
      </c>
      <c r="D246">
        <v>20439987</v>
      </c>
      <c r="E246" t="s">
        <v>1907</v>
      </c>
      <c r="F246" t="s">
        <v>1238</v>
      </c>
      <c r="G246" t="s">
        <v>3134</v>
      </c>
      <c r="H246" t="s">
        <v>1247</v>
      </c>
      <c r="I246" t="s">
        <v>1220</v>
      </c>
      <c r="J246" s="455">
        <v>46056</v>
      </c>
      <c r="K246" s="455">
        <v>46056</v>
      </c>
      <c r="L246" s="455">
        <v>46056</v>
      </c>
      <c r="M246" s="455">
        <v>46079</v>
      </c>
      <c r="U246" s="455">
        <v>46087</v>
      </c>
    </row>
    <row r="247" spans="1:21">
      <c r="A247" t="s">
        <v>1751</v>
      </c>
      <c r="B247" t="s">
        <v>8831</v>
      </c>
      <c r="C247" t="s">
        <v>1751</v>
      </c>
      <c r="D247">
        <v>20445900</v>
      </c>
      <c r="E247" t="s">
        <v>3128</v>
      </c>
      <c r="F247" t="s">
        <v>1241</v>
      </c>
      <c r="G247" t="s">
        <v>2009</v>
      </c>
      <c r="H247" t="s">
        <v>1247</v>
      </c>
      <c r="J247" s="455">
        <v>46064</v>
      </c>
      <c r="U247" s="455">
        <v>46099</v>
      </c>
    </row>
    <row r="248" spans="1:21">
      <c r="A248" t="s">
        <v>1751</v>
      </c>
      <c r="B248" t="s">
        <v>8832</v>
      </c>
      <c r="C248" t="s">
        <v>1751</v>
      </c>
      <c r="D248">
        <v>20452237</v>
      </c>
      <c r="E248" t="s">
        <v>3128</v>
      </c>
      <c r="F248" t="s">
        <v>1782</v>
      </c>
      <c r="G248" t="s">
        <v>3141</v>
      </c>
      <c r="H248" t="s">
        <v>1247</v>
      </c>
      <c r="J248" s="455">
        <v>46071</v>
      </c>
      <c r="U248" s="455">
        <v>46173</v>
      </c>
    </row>
    <row r="249" spans="1:21">
      <c r="A249" t="s">
        <v>1751</v>
      </c>
      <c r="B249" t="s">
        <v>8833</v>
      </c>
      <c r="C249" t="s">
        <v>1751</v>
      </c>
      <c r="D249">
        <v>20442548</v>
      </c>
      <c r="E249" t="s">
        <v>3133</v>
      </c>
      <c r="F249" t="s">
        <v>1239</v>
      </c>
      <c r="G249" t="s">
        <v>3134</v>
      </c>
      <c r="H249" t="s">
        <v>1247</v>
      </c>
      <c r="I249" t="s">
        <v>1805</v>
      </c>
      <c r="J249" s="455">
        <v>46059</v>
      </c>
      <c r="K249" s="455">
        <v>46059</v>
      </c>
      <c r="L249" s="455">
        <v>46059</v>
      </c>
      <c r="R249" s="455">
        <v>46073</v>
      </c>
      <c r="U249" s="455">
        <v>46092</v>
      </c>
    </row>
    <row r="250" spans="1:21">
      <c r="A250" t="s">
        <v>1751</v>
      </c>
      <c r="B250" t="s">
        <v>8833</v>
      </c>
      <c r="C250" t="s">
        <v>1751</v>
      </c>
      <c r="D250">
        <v>20442545</v>
      </c>
      <c r="E250" t="s">
        <v>3128</v>
      </c>
      <c r="F250" t="s">
        <v>1239</v>
      </c>
      <c r="G250" t="s">
        <v>3141</v>
      </c>
      <c r="H250" t="s">
        <v>3165</v>
      </c>
      <c r="J250" s="455">
        <v>46059</v>
      </c>
      <c r="U250" s="455">
        <v>46059</v>
      </c>
    </row>
    <row r="251" spans="1:21">
      <c r="A251" t="s">
        <v>1751</v>
      </c>
      <c r="B251" t="s">
        <v>8834</v>
      </c>
      <c r="C251" t="s">
        <v>1751</v>
      </c>
      <c r="D251">
        <v>20447752</v>
      </c>
      <c r="E251" t="s">
        <v>3128</v>
      </c>
      <c r="F251" t="s">
        <v>1241</v>
      </c>
      <c r="G251" t="s">
        <v>3143</v>
      </c>
      <c r="H251" t="s">
        <v>1248</v>
      </c>
      <c r="J251" s="455">
        <v>46065</v>
      </c>
      <c r="U251" s="455">
        <v>46108</v>
      </c>
    </row>
    <row r="252" spans="1:21">
      <c r="A252" t="s">
        <v>1751</v>
      </c>
      <c r="B252" t="s">
        <v>8835</v>
      </c>
      <c r="C252" t="s">
        <v>1751</v>
      </c>
      <c r="D252">
        <v>20442646</v>
      </c>
      <c r="E252" t="s">
        <v>3128</v>
      </c>
      <c r="F252" t="s">
        <v>1782</v>
      </c>
      <c r="G252" t="s">
        <v>3129</v>
      </c>
      <c r="H252" t="s">
        <v>1252</v>
      </c>
      <c r="J252" s="455">
        <v>46060</v>
      </c>
      <c r="U252" s="455">
        <v>46143</v>
      </c>
    </row>
    <row r="253" spans="1:21">
      <c r="A253" t="s">
        <v>1751</v>
      </c>
      <c r="B253" t="s">
        <v>8836</v>
      </c>
      <c r="C253" t="s">
        <v>1751</v>
      </c>
      <c r="D253">
        <v>20442316</v>
      </c>
      <c r="E253" t="s">
        <v>3128</v>
      </c>
      <c r="F253" t="s">
        <v>1782</v>
      </c>
      <c r="G253" t="s">
        <v>3143</v>
      </c>
      <c r="H253" t="s">
        <v>3358</v>
      </c>
      <c r="J253" s="455">
        <v>46059</v>
      </c>
      <c r="U253" s="455">
        <v>46073</v>
      </c>
    </row>
    <row r="254" spans="1:21">
      <c r="A254" t="s">
        <v>1751</v>
      </c>
      <c r="B254" t="s">
        <v>8837</v>
      </c>
      <c r="C254" t="s">
        <v>1751</v>
      </c>
      <c r="D254">
        <v>20448313</v>
      </c>
      <c r="E254" t="s">
        <v>1897</v>
      </c>
      <c r="F254" t="s">
        <v>8652</v>
      </c>
      <c r="G254" t="s">
        <v>3143</v>
      </c>
      <c r="H254" t="s">
        <v>1251</v>
      </c>
      <c r="J254" s="455">
        <v>46066</v>
      </c>
      <c r="K254" s="455">
        <v>46066</v>
      </c>
      <c r="U254" s="455">
        <v>46081</v>
      </c>
    </row>
    <row r="255" spans="1:21">
      <c r="A255" t="s">
        <v>1751</v>
      </c>
      <c r="B255" t="s">
        <v>8837</v>
      </c>
      <c r="C255" t="s">
        <v>1751</v>
      </c>
      <c r="D255">
        <v>20448370</v>
      </c>
      <c r="E255" t="s">
        <v>1897</v>
      </c>
      <c r="F255" t="s">
        <v>1912</v>
      </c>
      <c r="G255" t="s">
        <v>3134</v>
      </c>
      <c r="H255" t="s">
        <v>1251</v>
      </c>
      <c r="I255" t="s">
        <v>1524</v>
      </c>
      <c r="J255" s="455">
        <v>46066</v>
      </c>
      <c r="K255" s="455">
        <v>46066</v>
      </c>
      <c r="U255" s="455">
        <v>46081</v>
      </c>
    </row>
    <row r="256" spans="1:21">
      <c r="A256" t="s">
        <v>1751</v>
      </c>
      <c r="B256" t="s">
        <v>8838</v>
      </c>
      <c r="C256" t="s">
        <v>1751</v>
      </c>
      <c r="D256">
        <v>20448797</v>
      </c>
      <c r="E256" t="s">
        <v>3133</v>
      </c>
      <c r="F256" t="s">
        <v>8652</v>
      </c>
      <c r="G256" t="s">
        <v>3134</v>
      </c>
      <c r="H256" t="s">
        <v>1247</v>
      </c>
      <c r="I256" t="s">
        <v>2122</v>
      </c>
      <c r="J256" s="455">
        <v>46066</v>
      </c>
      <c r="K256" s="455">
        <v>46066</v>
      </c>
      <c r="L256" s="455">
        <v>46066</v>
      </c>
      <c r="R256" s="455">
        <v>46078</v>
      </c>
      <c r="U256" s="455">
        <v>46081</v>
      </c>
    </row>
    <row r="257" spans="1:21">
      <c r="A257" t="s">
        <v>1751</v>
      </c>
      <c r="B257" t="s">
        <v>8839</v>
      </c>
      <c r="C257" t="s">
        <v>1751</v>
      </c>
      <c r="D257">
        <v>20453458</v>
      </c>
      <c r="E257" t="s">
        <v>3133</v>
      </c>
      <c r="F257" t="s">
        <v>1239</v>
      </c>
      <c r="G257" t="s">
        <v>3143</v>
      </c>
      <c r="H257" t="s">
        <v>1248</v>
      </c>
      <c r="I257" t="s">
        <v>2429</v>
      </c>
      <c r="J257" s="455">
        <v>46072</v>
      </c>
      <c r="K257" s="455">
        <v>46073</v>
      </c>
      <c r="L257" s="455">
        <v>46073</v>
      </c>
      <c r="R257" s="455">
        <v>46080</v>
      </c>
      <c r="U257" s="455">
        <v>46079</v>
      </c>
    </row>
    <row r="258" spans="1:21">
      <c r="A258" t="s">
        <v>1751</v>
      </c>
      <c r="B258" t="s">
        <v>8840</v>
      </c>
      <c r="C258" t="s">
        <v>1751</v>
      </c>
      <c r="D258">
        <v>20444279</v>
      </c>
      <c r="E258" t="s">
        <v>3128</v>
      </c>
      <c r="F258" t="s">
        <v>1782</v>
      </c>
      <c r="G258" t="s">
        <v>3129</v>
      </c>
      <c r="H258" t="s">
        <v>1252</v>
      </c>
      <c r="J258" s="455">
        <v>46063</v>
      </c>
      <c r="U258" s="455">
        <v>46078</v>
      </c>
    </row>
    <row r="259" spans="1:21">
      <c r="A259" t="s">
        <v>1751</v>
      </c>
      <c r="B259" t="s">
        <v>8841</v>
      </c>
      <c r="C259" t="s">
        <v>1751</v>
      </c>
      <c r="D259">
        <v>20449857</v>
      </c>
      <c r="E259" t="s">
        <v>3128</v>
      </c>
      <c r="F259" t="s">
        <v>1782</v>
      </c>
      <c r="G259" t="s">
        <v>3141</v>
      </c>
      <c r="H259" t="s">
        <v>1247</v>
      </c>
      <c r="J259" s="455">
        <v>46069</v>
      </c>
      <c r="U259" s="455">
        <v>46081</v>
      </c>
    </row>
    <row r="260" spans="1:21">
      <c r="A260" t="s">
        <v>1751</v>
      </c>
      <c r="B260" t="s">
        <v>8842</v>
      </c>
      <c r="C260" t="s">
        <v>1751</v>
      </c>
      <c r="D260">
        <v>20443104</v>
      </c>
      <c r="E260" t="s">
        <v>3128</v>
      </c>
      <c r="F260" t="s">
        <v>1241</v>
      </c>
      <c r="G260" t="s">
        <v>2009</v>
      </c>
      <c r="H260" t="s">
        <v>1251</v>
      </c>
      <c r="J260" s="455">
        <v>46060</v>
      </c>
      <c r="U260" s="455">
        <v>46060</v>
      </c>
    </row>
    <row r="261" spans="1:21">
      <c r="A261" t="s">
        <v>1751</v>
      </c>
      <c r="B261" t="s">
        <v>8843</v>
      </c>
      <c r="C261" t="s">
        <v>1751</v>
      </c>
      <c r="D261">
        <v>20436900</v>
      </c>
      <c r="E261" t="s">
        <v>3133</v>
      </c>
      <c r="F261" t="s">
        <v>1238</v>
      </c>
      <c r="G261" t="s">
        <v>3134</v>
      </c>
      <c r="H261" t="s">
        <v>1247</v>
      </c>
      <c r="I261" t="s">
        <v>1227</v>
      </c>
      <c r="J261" s="455">
        <v>46051</v>
      </c>
      <c r="K261" s="455">
        <v>46051</v>
      </c>
      <c r="L261" s="455">
        <v>46051</v>
      </c>
      <c r="R261" s="455">
        <v>46066</v>
      </c>
      <c r="U261" s="455">
        <v>46081</v>
      </c>
    </row>
    <row r="262" spans="1:21">
      <c r="A262" t="s">
        <v>1751</v>
      </c>
      <c r="B262" t="s">
        <v>8844</v>
      </c>
      <c r="C262" t="s">
        <v>1751</v>
      </c>
      <c r="D262">
        <v>20451081</v>
      </c>
      <c r="E262" t="s">
        <v>3128</v>
      </c>
      <c r="F262" t="s">
        <v>1241</v>
      </c>
      <c r="G262" t="s">
        <v>2009</v>
      </c>
      <c r="H262" t="s">
        <v>1247</v>
      </c>
      <c r="J262" s="455">
        <v>46070</v>
      </c>
      <c r="U262" s="455">
        <v>46238</v>
      </c>
    </row>
    <row r="263" spans="1:21">
      <c r="A263" t="s">
        <v>1751</v>
      </c>
      <c r="B263" t="s">
        <v>8845</v>
      </c>
      <c r="C263" t="s">
        <v>1751</v>
      </c>
      <c r="D263">
        <v>20442104</v>
      </c>
      <c r="E263" t="s">
        <v>3128</v>
      </c>
      <c r="F263" t="s">
        <v>1782</v>
      </c>
      <c r="G263" t="s">
        <v>3141</v>
      </c>
      <c r="H263" t="s">
        <v>1247</v>
      </c>
      <c r="J263" s="455">
        <v>46059</v>
      </c>
      <c r="U263" s="455">
        <v>46150</v>
      </c>
    </row>
    <row r="264" spans="1:21">
      <c r="A264" t="s">
        <v>1751</v>
      </c>
      <c r="B264" t="s">
        <v>8846</v>
      </c>
      <c r="C264" t="s">
        <v>1751</v>
      </c>
      <c r="D264">
        <v>20456038</v>
      </c>
      <c r="E264" t="s">
        <v>3128</v>
      </c>
      <c r="F264" t="s">
        <v>1782</v>
      </c>
      <c r="G264" t="s">
        <v>3141</v>
      </c>
      <c r="H264" t="s">
        <v>1247</v>
      </c>
      <c r="J264" s="455">
        <v>46076</v>
      </c>
      <c r="U264" s="455">
        <v>46203</v>
      </c>
    </row>
    <row r="265" spans="1:21">
      <c r="A265" t="s">
        <v>1751</v>
      </c>
      <c r="B265" t="s">
        <v>8847</v>
      </c>
      <c r="C265" t="s">
        <v>1751</v>
      </c>
      <c r="D265">
        <v>20449565</v>
      </c>
      <c r="E265" t="s">
        <v>3128</v>
      </c>
      <c r="F265" t="s">
        <v>1782</v>
      </c>
      <c r="G265" t="s">
        <v>3137</v>
      </c>
      <c r="H265" t="s">
        <v>1252</v>
      </c>
      <c r="I265" t="s">
        <v>1925</v>
      </c>
      <c r="J265" s="455">
        <v>46068</v>
      </c>
      <c r="U265" s="455">
        <v>46068</v>
      </c>
    </row>
    <row r="266" spans="1:21">
      <c r="A266" t="s">
        <v>1751</v>
      </c>
      <c r="B266" t="s">
        <v>8848</v>
      </c>
      <c r="C266" t="s">
        <v>1751</v>
      </c>
      <c r="D266">
        <v>20456433</v>
      </c>
      <c r="E266" t="s">
        <v>3128</v>
      </c>
      <c r="F266" t="s">
        <v>1782</v>
      </c>
      <c r="G266" t="s">
        <v>3141</v>
      </c>
      <c r="H266" t="s">
        <v>1247</v>
      </c>
      <c r="J266" s="455">
        <v>46077</v>
      </c>
      <c r="U266" s="455">
        <v>46200</v>
      </c>
    </row>
    <row r="267" spans="1:21">
      <c r="A267" t="s">
        <v>1751</v>
      </c>
      <c r="B267" t="s">
        <v>8849</v>
      </c>
      <c r="C267" t="s">
        <v>1751</v>
      </c>
      <c r="D267">
        <v>20443233</v>
      </c>
      <c r="E267" t="s">
        <v>3133</v>
      </c>
      <c r="F267" t="s">
        <v>1239</v>
      </c>
      <c r="G267" t="s">
        <v>3134</v>
      </c>
      <c r="H267" t="s">
        <v>1250</v>
      </c>
      <c r="I267" t="s">
        <v>3703</v>
      </c>
      <c r="J267" s="455">
        <v>46061</v>
      </c>
      <c r="K267" s="455">
        <v>46061</v>
      </c>
      <c r="L267" s="455">
        <v>46062</v>
      </c>
      <c r="R267" s="455">
        <v>46076</v>
      </c>
      <c r="U267" s="455">
        <v>46090</v>
      </c>
    </row>
    <row r="268" spans="1:21">
      <c r="A268" t="s">
        <v>1751</v>
      </c>
      <c r="B268" t="s">
        <v>6643</v>
      </c>
      <c r="C268" t="s">
        <v>1751</v>
      </c>
      <c r="D268">
        <v>20457479</v>
      </c>
      <c r="E268" t="s">
        <v>3128</v>
      </c>
      <c r="F268" t="s">
        <v>1241</v>
      </c>
      <c r="G268" t="s">
        <v>2009</v>
      </c>
      <c r="H268" t="s">
        <v>1247</v>
      </c>
      <c r="J268" s="455">
        <v>46078</v>
      </c>
      <c r="U268" s="455">
        <v>46136</v>
      </c>
    </row>
    <row r="269" spans="1:21">
      <c r="A269" t="s">
        <v>1751</v>
      </c>
      <c r="B269" t="s">
        <v>8850</v>
      </c>
      <c r="C269" t="s">
        <v>1751</v>
      </c>
      <c r="D269">
        <v>20443611</v>
      </c>
      <c r="E269" t="s">
        <v>3133</v>
      </c>
      <c r="F269" t="s">
        <v>8652</v>
      </c>
      <c r="G269" t="s">
        <v>3134</v>
      </c>
      <c r="H269" t="s">
        <v>1247</v>
      </c>
      <c r="I269" t="s">
        <v>7052</v>
      </c>
      <c r="J269" s="455">
        <v>46062</v>
      </c>
      <c r="K269" s="455">
        <v>46062</v>
      </c>
      <c r="L269" s="455">
        <v>46062</v>
      </c>
      <c r="R269" s="455">
        <v>46070</v>
      </c>
      <c r="U269" s="455">
        <v>46081</v>
      </c>
    </row>
    <row r="270" spans="1:21">
      <c r="A270" t="s">
        <v>1751</v>
      </c>
      <c r="B270" t="s">
        <v>8850</v>
      </c>
      <c r="C270" t="s">
        <v>1751</v>
      </c>
      <c r="D270">
        <v>20459043</v>
      </c>
      <c r="E270" t="s">
        <v>3128</v>
      </c>
      <c r="F270" t="s">
        <v>1782</v>
      </c>
      <c r="G270" t="s">
        <v>3129</v>
      </c>
      <c r="H270" t="s">
        <v>3131</v>
      </c>
      <c r="J270" s="455">
        <v>46080</v>
      </c>
      <c r="U270" s="455">
        <v>46080</v>
      </c>
    </row>
    <row r="271" spans="1:21">
      <c r="A271" t="s">
        <v>1751</v>
      </c>
      <c r="B271" t="s">
        <v>7053</v>
      </c>
      <c r="C271" t="s">
        <v>1751</v>
      </c>
      <c r="D271">
        <v>20447357</v>
      </c>
      <c r="E271" t="s">
        <v>3142</v>
      </c>
      <c r="F271" t="s">
        <v>1239</v>
      </c>
      <c r="G271" t="s">
        <v>3134</v>
      </c>
      <c r="H271" t="s">
        <v>1252</v>
      </c>
      <c r="I271" t="s">
        <v>7052</v>
      </c>
      <c r="J271" s="455">
        <v>46064</v>
      </c>
      <c r="K271" s="455">
        <v>46064</v>
      </c>
      <c r="L271" s="455">
        <v>46065</v>
      </c>
      <c r="M271" s="455">
        <v>46078</v>
      </c>
      <c r="N271" s="455">
        <v>46079</v>
      </c>
      <c r="O271" s="455">
        <v>46080</v>
      </c>
      <c r="P271" s="455">
        <v>46079</v>
      </c>
      <c r="Q271" s="455">
        <v>46081</v>
      </c>
      <c r="U271" s="455">
        <v>46081</v>
      </c>
    </row>
    <row r="272" spans="1:21">
      <c r="A272" t="s">
        <v>1751</v>
      </c>
      <c r="B272" t="s">
        <v>7053</v>
      </c>
      <c r="C272" t="s">
        <v>1751</v>
      </c>
      <c r="D272">
        <v>20440239</v>
      </c>
      <c r="E272" t="s">
        <v>3133</v>
      </c>
      <c r="F272" t="s">
        <v>1239</v>
      </c>
      <c r="G272" t="s">
        <v>3143</v>
      </c>
      <c r="H272" t="s">
        <v>1252</v>
      </c>
      <c r="I272" t="s">
        <v>1919</v>
      </c>
      <c r="J272" s="455">
        <v>46056</v>
      </c>
      <c r="K272" s="455">
        <v>46062</v>
      </c>
      <c r="L272" s="455">
        <v>46062</v>
      </c>
      <c r="R272" s="455">
        <v>46070</v>
      </c>
      <c r="U272" s="455">
        <v>46081</v>
      </c>
    </row>
    <row r="273" spans="1:21">
      <c r="A273" t="s">
        <v>1751</v>
      </c>
      <c r="B273" t="s">
        <v>8851</v>
      </c>
      <c r="C273" t="s">
        <v>1751</v>
      </c>
      <c r="D273">
        <v>20442939</v>
      </c>
      <c r="E273" t="s">
        <v>3128</v>
      </c>
      <c r="F273" t="s">
        <v>1782</v>
      </c>
      <c r="G273" t="s">
        <v>3141</v>
      </c>
      <c r="H273" t="s">
        <v>1247</v>
      </c>
      <c r="J273" s="455">
        <v>46060</v>
      </c>
      <c r="U273" s="455">
        <v>46082</v>
      </c>
    </row>
    <row r="274" spans="1:21">
      <c r="A274" t="s">
        <v>1751</v>
      </c>
      <c r="B274" t="s">
        <v>8852</v>
      </c>
      <c r="C274" t="s">
        <v>1751</v>
      </c>
      <c r="D274">
        <v>20453335</v>
      </c>
      <c r="E274" t="s">
        <v>1897</v>
      </c>
      <c r="F274" t="s">
        <v>1237</v>
      </c>
      <c r="G274" t="s">
        <v>3143</v>
      </c>
      <c r="H274" t="s">
        <v>1251</v>
      </c>
      <c r="J274" s="455">
        <v>46072</v>
      </c>
      <c r="K274" s="455">
        <v>46072</v>
      </c>
      <c r="U274" s="455">
        <v>46072</v>
      </c>
    </row>
    <row r="275" spans="1:21">
      <c r="A275" t="s">
        <v>1751</v>
      </c>
      <c r="B275" t="s">
        <v>8852</v>
      </c>
      <c r="C275" t="s">
        <v>1751</v>
      </c>
      <c r="D275">
        <v>20453813</v>
      </c>
      <c r="E275" t="s">
        <v>1897</v>
      </c>
      <c r="F275" t="s">
        <v>1912</v>
      </c>
      <c r="G275" t="s">
        <v>3134</v>
      </c>
      <c r="H275" t="s">
        <v>1247</v>
      </c>
      <c r="J275" s="455">
        <v>46072</v>
      </c>
      <c r="K275" s="455">
        <v>46072</v>
      </c>
      <c r="U275" s="455">
        <v>46072</v>
      </c>
    </row>
    <row r="276" spans="1:21">
      <c r="A276" t="s">
        <v>1751</v>
      </c>
      <c r="B276" t="s">
        <v>8853</v>
      </c>
      <c r="C276" t="s">
        <v>1751</v>
      </c>
      <c r="D276">
        <v>20444066</v>
      </c>
      <c r="E276" t="s">
        <v>3128</v>
      </c>
      <c r="F276" t="s">
        <v>1782</v>
      </c>
      <c r="G276" t="s">
        <v>3141</v>
      </c>
      <c r="H276" t="s">
        <v>1247</v>
      </c>
      <c r="J276" s="455">
        <v>46062</v>
      </c>
      <c r="U276" s="455">
        <v>46080</v>
      </c>
    </row>
    <row r="277" spans="1:21">
      <c r="A277" t="s">
        <v>1751</v>
      </c>
      <c r="B277" t="s">
        <v>8854</v>
      </c>
      <c r="C277" t="s">
        <v>1751</v>
      </c>
      <c r="D277">
        <v>20446012</v>
      </c>
      <c r="E277" t="s">
        <v>3128</v>
      </c>
      <c r="F277" t="s">
        <v>1241</v>
      </c>
      <c r="G277" t="s">
        <v>2009</v>
      </c>
      <c r="H277" t="s">
        <v>1247</v>
      </c>
      <c r="J277" s="455">
        <v>46064</v>
      </c>
      <c r="U277" s="455">
        <v>46073</v>
      </c>
    </row>
    <row r="278" spans="1:21">
      <c r="A278" t="s">
        <v>1751</v>
      </c>
      <c r="B278" t="s">
        <v>8855</v>
      </c>
      <c r="C278" t="s">
        <v>1751</v>
      </c>
      <c r="D278">
        <v>20441241</v>
      </c>
      <c r="E278" t="s">
        <v>3128</v>
      </c>
      <c r="F278" t="s">
        <v>1241</v>
      </c>
      <c r="G278" t="s">
        <v>3141</v>
      </c>
      <c r="H278" t="s">
        <v>1247</v>
      </c>
      <c r="J278" s="455">
        <v>46057</v>
      </c>
      <c r="U278" s="455">
        <v>46078</v>
      </c>
    </row>
    <row r="279" spans="1:21">
      <c r="A279" t="s">
        <v>1751</v>
      </c>
      <c r="B279" t="s">
        <v>8856</v>
      </c>
      <c r="C279" t="s">
        <v>1751</v>
      </c>
      <c r="D279">
        <v>20450060</v>
      </c>
      <c r="E279" t="s">
        <v>3128</v>
      </c>
      <c r="F279" t="s">
        <v>1782</v>
      </c>
      <c r="G279" t="s">
        <v>3141</v>
      </c>
      <c r="H279" t="s">
        <v>1247</v>
      </c>
      <c r="J279" s="455">
        <v>46069</v>
      </c>
      <c r="U279" s="455">
        <v>46135</v>
      </c>
    </row>
    <row r="280" spans="1:21">
      <c r="A280" t="s">
        <v>1751</v>
      </c>
      <c r="B280" t="s">
        <v>8857</v>
      </c>
      <c r="C280" t="s">
        <v>1751</v>
      </c>
      <c r="D280">
        <v>20442635</v>
      </c>
      <c r="E280" t="s">
        <v>3128</v>
      </c>
      <c r="F280" t="s">
        <v>1241</v>
      </c>
      <c r="G280" t="s">
        <v>3137</v>
      </c>
      <c r="H280" t="s">
        <v>1247</v>
      </c>
      <c r="J280" s="455">
        <v>46060</v>
      </c>
      <c r="U280" s="455">
        <v>46082</v>
      </c>
    </row>
    <row r="281" spans="1:21">
      <c r="A281" t="s">
        <v>1751</v>
      </c>
      <c r="B281" t="s">
        <v>8858</v>
      </c>
      <c r="C281" t="s">
        <v>1751</v>
      </c>
      <c r="D281">
        <v>20448138</v>
      </c>
      <c r="E281" t="s">
        <v>3128</v>
      </c>
      <c r="F281" t="s">
        <v>1241</v>
      </c>
      <c r="G281" t="s">
        <v>2009</v>
      </c>
      <c r="H281" t="s">
        <v>1247</v>
      </c>
      <c r="J281" s="455">
        <v>46065</v>
      </c>
      <c r="U281" s="455">
        <v>46080</v>
      </c>
    </row>
    <row r="282" spans="1:21">
      <c r="A282" t="s">
        <v>1751</v>
      </c>
      <c r="B282" t="s">
        <v>8859</v>
      </c>
      <c r="C282" t="s">
        <v>1751</v>
      </c>
      <c r="D282">
        <v>20445946</v>
      </c>
      <c r="E282" t="s">
        <v>3128</v>
      </c>
      <c r="F282" t="s">
        <v>1241</v>
      </c>
      <c r="G282" t="s">
        <v>2009</v>
      </c>
      <c r="H282" t="s">
        <v>1247</v>
      </c>
      <c r="J282" s="455">
        <v>46064</v>
      </c>
      <c r="U282" s="455">
        <v>46071</v>
      </c>
    </row>
    <row r="283" spans="1:21">
      <c r="A283" t="s">
        <v>1751</v>
      </c>
      <c r="B283" t="s">
        <v>8860</v>
      </c>
      <c r="C283" t="s">
        <v>1751</v>
      </c>
      <c r="D283">
        <v>20453164</v>
      </c>
      <c r="E283" t="s">
        <v>3128</v>
      </c>
      <c r="F283" t="s">
        <v>1782</v>
      </c>
      <c r="G283" t="s">
        <v>3141</v>
      </c>
      <c r="H283" t="s">
        <v>1247</v>
      </c>
      <c r="J283" s="455">
        <v>46072</v>
      </c>
      <c r="U283" s="455">
        <v>46109</v>
      </c>
    </row>
    <row r="284" spans="1:21">
      <c r="A284" t="s">
        <v>1751</v>
      </c>
      <c r="B284" t="s">
        <v>8861</v>
      </c>
      <c r="C284" t="s">
        <v>1751</v>
      </c>
      <c r="D284">
        <v>20442538</v>
      </c>
      <c r="E284" t="s">
        <v>3128</v>
      </c>
      <c r="F284" t="s">
        <v>1241</v>
      </c>
      <c r="G284" t="s">
        <v>3141</v>
      </c>
      <c r="H284" t="s">
        <v>1247</v>
      </c>
      <c r="J284" s="455">
        <v>46059</v>
      </c>
      <c r="U284" s="455">
        <v>46150</v>
      </c>
    </row>
    <row r="285" spans="1:21">
      <c r="A285" t="s">
        <v>1751</v>
      </c>
      <c r="B285" t="s">
        <v>8862</v>
      </c>
      <c r="C285" t="s">
        <v>1751</v>
      </c>
      <c r="D285">
        <v>20453908</v>
      </c>
      <c r="E285" t="s">
        <v>3128</v>
      </c>
      <c r="F285" t="s">
        <v>1782</v>
      </c>
      <c r="G285" t="s">
        <v>3137</v>
      </c>
      <c r="H285" t="s">
        <v>1252</v>
      </c>
      <c r="J285" s="455">
        <v>46073</v>
      </c>
      <c r="U285" s="455">
        <v>46091</v>
      </c>
    </row>
    <row r="286" spans="1:21">
      <c r="A286" t="s">
        <v>1751</v>
      </c>
      <c r="B286" t="s">
        <v>8863</v>
      </c>
      <c r="C286" t="s">
        <v>1751</v>
      </c>
      <c r="D286">
        <v>20447869</v>
      </c>
      <c r="E286" t="s">
        <v>1897</v>
      </c>
      <c r="F286" t="s">
        <v>1237</v>
      </c>
      <c r="G286" t="s">
        <v>3134</v>
      </c>
      <c r="H286" t="s">
        <v>1247</v>
      </c>
      <c r="J286" s="455">
        <v>46065</v>
      </c>
      <c r="K286" s="455">
        <v>46065</v>
      </c>
      <c r="U286" s="455">
        <v>46065</v>
      </c>
    </row>
    <row r="287" spans="1:21">
      <c r="A287" t="s">
        <v>1751</v>
      </c>
      <c r="B287" t="s">
        <v>8864</v>
      </c>
      <c r="C287" t="s">
        <v>1751</v>
      </c>
      <c r="D287">
        <v>20447739</v>
      </c>
      <c r="E287" t="s">
        <v>3190</v>
      </c>
      <c r="F287" t="s">
        <v>1782</v>
      </c>
      <c r="G287" t="s">
        <v>3129</v>
      </c>
      <c r="H287" t="s">
        <v>1253</v>
      </c>
      <c r="J287" s="455">
        <v>46065</v>
      </c>
      <c r="K287" s="455">
        <v>46065</v>
      </c>
      <c r="R287" s="455">
        <v>46065</v>
      </c>
      <c r="U287" s="455">
        <v>46065</v>
      </c>
    </row>
    <row r="288" spans="1:21">
      <c r="A288" t="s">
        <v>1751</v>
      </c>
      <c r="B288" t="s">
        <v>8864</v>
      </c>
      <c r="C288" t="s">
        <v>1751</v>
      </c>
      <c r="D288">
        <v>20447835</v>
      </c>
      <c r="E288" t="s">
        <v>1907</v>
      </c>
      <c r="F288" t="s">
        <v>1237</v>
      </c>
      <c r="G288" t="s">
        <v>3134</v>
      </c>
      <c r="H288" t="s">
        <v>1247</v>
      </c>
      <c r="I288" t="s">
        <v>1225</v>
      </c>
      <c r="J288" s="455">
        <v>46065</v>
      </c>
      <c r="K288" s="455">
        <v>46065</v>
      </c>
      <c r="L288" s="455">
        <v>46065</v>
      </c>
      <c r="U288" s="455">
        <v>46078</v>
      </c>
    </row>
    <row r="289" spans="1:21">
      <c r="A289" t="s">
        <v>1751</v>
      </c>
      <c r="B289" t="s">
        <v>1904</v>
      </c>
      <c r="C289" t="s">
        <v>1751</v>
      </c>
      <c r="D289">
        <v>20441505</v>
      </c>
      <c r="E289" t="s">
        <v>3128</v>
      </c>
      <c r="F289" t="s">
        <v>1782</v>
      </c>
      <c r="G289" t="s">
        <v>3129</v>
      </c>
      <c r="H289" t="s">
        <v>1252</v>
      </c>
      <c r="I289" t="s">
        <v>1831</v>
      </c>
      <c r="J289" s="455">
        <v>46058</v>
      </c>
      <c r="U289" s="455">
        <v>46081</v>
      </c>
    </row>
    <row r="290" spans="1:21">
      <c r="A290" t="s">
        <v>1751</v>
      </c>
      <c r="B290" t="s">
        <v>8865</v>
      </c>
      <c r="C290" t="s">
        <v>1751</v>
      </c>
      <c r="D290">
        <v>20446849</v>
      </c>
      <c r="E290" t="s">
        <v>3128</v>
      </c>
      <c r="F290" t="s">
        <v>1241</v>
      </c>
      <c r="G290" t="s">
        <v>3143</v>
      </c>
      <c r="H290" t="s">
        <v>1248</v>
      </c>
      <c r="I290" t="s">
        <v>1831</v>
      </c>
      <c r="J290" s="455">
        <v>46064</v>
      </c>
      <c r="U290" s="455">
        <v>46142</v>
      </c>
    </row>
    <row r="291" spans="1:21">
      <c r="A291" t="s">
        <v>1751</v>
      </c>
      <c r="B291" t="s">
        <v>8866</v>
      </c>
      <c r="C291" t="s">
        <v>1751</v>
      </c>
      <c r="D291">
        <v>20441055</v>
      </c>
      <c r="E291" t="s">
        <v>3133</v>
      </c>
      <c r="F291" t="s">
        <v>1238</v>
      </c>
      <c r="G291" t="s">
        <v>3134</v>
      </c>
      <c r="H291" t="s">
        <v>1247</v>
      </c>
      <c r="I291" t="s">
        <v>1935</v>
      </c>
      <c r="J291" s="455">
        <v>46057</v>
      </c>
      <c r="K291" s="455">
        <v>46057</v>
      </c>
      <c r="L291" s="455">
        <v>46058</v>
      </c>
      <c r="S291" s="455">
        <v>46079</v>
      </c>
      <c r="U291" s="455">
        <v>46081</v>
      </c>
    </row>
    <row r="292" spans="1:21">
      <c r="A292" t="s">
        <v>1751</v>
      </c>
      <c r="B292" t="s">
        <v>8867</v>
      </c>
      <c r="C292" t="s">
        <v>1751</v>
      </c>
      <c r="D292">
        <v>20442656</v>
      </c>
      <c r="E292" t="s">
        <v>3128</v>
      </c>
      <c r="F292" t="s">
        <v>1782</v>
      </c>
      <c r="G292" t="s">
        <v>3141</v>
      </c>
      <c r="H292" t="s">
        <v>1247</v>
      </c>
      <c r="J292" s="455">
        <v>46060</v>
      </c>
      <c r="U292" s="455">
        <v>46174</v>
      </c>
    </row>
    <row r="293" spans="1:21">
      <c r="A293" t="s">
        <v>1751</v>
      </c>
      <c r="B293" t="s">
        <v>8868</v>
      </c>
      <c r="C293" t="s">
        <v>1751</v>
      </c>
      <c r="D293">
        <v>20442736</v>
      </c>
      <c r="E293" t="s">
        <v>3133</v>
      </c>
      <c r="F293" t="s">
        <v>1239</v>
      </c>
      <c r="G293" t="s">
        <v>3143</v>
      </c>
      <c r="H293" t="s">
        <v>1251</v>
      </c>
      <c r="I293" t="s">
        <v>5773</v>
      </c>
      <c r="J293" s="455">
        <v>46060</v>
      </c>
      <c r="K293" s="455">
        <v>46060</v>
      </c>
      <c r="L293" s="455">
        <v>46060</v>
      </c>
      <c r="M293" s="455">
        <v>46076</v>
      </c>
      <c r="R293" s="455">
        <v>46078</v>
      </c>
      <c r="U293" s="455">
        <v>46081</v>
      </c>
    </row>
    <row r="294" spans="1:21">
      <c r="A294" t="s">
        <v>1751</v>
      </c>
      <c r="B294" t="s">
        <v>6706</v>
      </c>
      <c r="C294" t="s">
        <v>1751</v>
      </c>
      <c r="D294">
        <v>20426429</v>
      </c>
      <c r="E294" t="s">
        <v>3142</v>
      </c>
      <c r="F294" t="s">
        <v>1237</v>
      </c>
      <c r="G294" t="s">
        <v>3141</v>
      </c>
      <c r="H294" t="s">
        <v>1252</v>
      </c>
      <c r="I294" t="s">
        <v>2146</v>
      </c>
      <c r="J294" s="455">
        <v>46037</v>
      </c>
      <c r="K294" s="455">
        <v>46050</v>
      </c>
      <c r="L294" s="455">
        <v>46050</v>
      </c>
      <c r="M294" s="455">
        <v>46062</v>
      </c>
      <c r="N294" s="455">
        <v>46063</v>
      </c>
      <c r="P294" s="455">
        <v>46063</v>
      </c>
      <c r="Q294" s="455">
        <v>46063</v>
      </c>
      <c r="U294" s="455">
        <v>46070</v>
      </c>
    </row>
    <row r="295" spans="1:21">
      <c r="A295" t="s">
        <v>1751</v>
      </c>
      <c r="B295" t="s">
        <v>8869</v>
      </c>
      <c r="C295" t="s">
        <v>1751</v>
      </c>
      <c r="D295">
        <v>20444547</v>
      </c>
      <c r="E295" t="s">
        <v>3128</v>
      </c>
      <c r="F295" t="s">
        <v>1241</v>
      </c>
      <c r="G295" t="s">
        <v>2009</v>
      </c>
      <c r="H295" t="s">
        <v>1247</v>
      </c>
      <c r="J295" s="455">
        <v>46063</v>
      </c>
      <c r="U295" s="455">
        <v>46122</v>
      </c>
    </row>
    <row r="296" spans="1:21">
      <c r="A296" t="s">
        <v>1751</v>
      </c>
      <c r="B296" t="s">
        <v>8870</v>
      </c>
      <c r="C296" t="s">
        <v>1751</v>
      </c>
      <c r="D296">
        <v>20459311</v>
      </c>
      <c r="E296" t="s">
        <v>1897</v>
      </c>
      <c r="F296" t="s">
        <v>1912</v>
      </c>
      <c r="G296" t="s">
        <v>3134</v>
      </c>
      <c r="H296" t="s">
        <v>1247</v>
      </c>
      <c r="J296" s="455">
        <v>46081</v>
      </c>
      <c r="K296" s="455">
        <v>46081</v>
      </c>
      <c r="U296" s="455">
        <v>46191</v>
      </c>
    </row>
    <row r="297" spans="1:21">
      <c r="A297" t="s">
        <v>1751</v>
      </c>
      <c r="B297" t="s">
        <v>8871</v>
      </c>
      <c r="C297" t="s">
        <v>1751</v>
      </c>
      <c r="D297">
        <v>20423136</v>
      </c>
      <c r="E297" t="s">
        <v>1907</v>
      </c>
      <c r="F297" t="s">
        <v>1782</v>
      </c>
      <c r="G297" t="s">
        <v>3141</v>
      </c>
      <c r="H297" t="s">
        <v>1252</v>
      </c>
      <c r="I297" t="s">
        <v>3872</v>
      </c>
      <c r="J297" s="455">
        <v>46034</v>
      </c>
      <c r="K297" s="455">
        <v>46074</v>
      </c>
      <c r="L297" s="455">
        <v>46078</v>
      </c>
      <c r="U297" s="455">
        <v>46174</v>
      </c>
    </row>
    <row r="298" spans="1:21">
      <c r="A298" t="s">
        <v>1751</v>
      </c>
      <c r="B298" t="s">
        <v>8871</v>
      </c>
      <c r="C298" t="s">
        <v>1751</v>
      </c>
      <c r="D298">
        <v>20454865</v>
      </c>
      <c r="E298" t="s">
        <v>1897</v>
      </c>
      <c r="F298" t="s">
        <v>1912</v>
      </c>
      <c r="G298" t="s">
        <v>3134</v>
      </c>
      <c r="H298" t="s">
        <v>1252</v>
      </c>
      <c r="J298" s="455">
        <v>46074</v>
      </c>
      <c r="K298" s="455">
        <v>46074</v>
      </c>
      <c r="U298" s="455">
        <v>46074</v>
      </c>
    </row>
    <row r="299" spans="1:21">
      <c r="A299" t="s">
        <v>1751</v>
      </c>
      <c r="B299" t="s">
        <v>1795</v>
      </c>
      <c r="C299" t="s">
        <v>1751</v>
      </c>
      <c r="D299">
        <v>20450635</v>
      </c>
      <c r="E299" t="s">
        <v>3128</v>
      </c>
      <c r="F299" t="s">
        <v>1782</v>
      </c>
      <c r="G299" t="s">
        <v>3129</v>
      </c>
      <c r="H299" t="s">
        <v>3131</v>
      </c>
      <c r="J299" s="455">
        <v>46070</v>
      </c>
      <c r="U299" s="455">
        <v>46116</v>
      </c>
    </row>
    <row r="300" spans="1:21">
      <c r="A300" t="s">
        <v>1751</v>
      </c>
      <c r="B300" t="s">
        <v>8872</v>
      </c>
      <c r="C300" t="s">
        <v>1751</v>
      </c>
      <c r="D300">
        <v>20444709</v>
      </c>
      <c r="E300" t="s">
        <v>1897</v>
      </c>
      <c r="F300" t="s">
        <v>1912</v>
      </c>
      <c r="G300" t="s">
        <v>3134</v>
      </c>
      <c r="H300" t="s">
        <v>1247</v>
      </c>
      <c r="I300" t="s">
        <v>1524</v>
      </c>
      <c r="J300" s="455">
        <v>46063</v>
      </c>
      <c r="K300" s="455">
        <v>46063</v>
      </c>
      <c r="U300" s="455">
        <v>46079</v>
      </c>
    </row>
    <row r="301" spans="1:21">
      <c r="A301" t="s">
        <v>1751</v>
      </c>
      <c r="B301" t="s">
        <v>1928</v>
      </c>
      <c r="C301" t="s">
        <v>1751</v>
      </c>
      <c r="D301">
        <v>20458158</v>
      </c>
      <c r="E301" t="s">
        <v>3128</v>
      </c>
      <c r="F301" t="s">
        <v>1239</v>
      </c>
      <c r="G301" t="s">
        <v>3143</v>
      </c>
      <c r="H301" t="s">
        <v>1250</v>
      </c>
      <c r="J301" s="455">
        <v>46079</v>
      </c>
      <c r="U301" s="455">
        <v>46079</v>
      </c>
    </row>
    <row r="302" spans="1:21">
      <c r="A302" t="s">
        <v>1751</v>
      </c>
      <c r="B302" t="s">
        <v>8873</v>
      </c>
      <c r="C302" t="s">
        <v>1751</v>
      </c>
      <c r="D302">
        <v>20452337</v>
      </c>
      <c r="E302" t="s">
        <v>1907</v>
      </c>
      <c r="F302" t="s">
        <v>1782</v>
      </c>
      <c r="G302" t="s">
        <v>3143</v>
      </c>
      <c r="H302" t="s">
        <v>1248</v>
      </c>
      <c r="I302" t="s">
        <v>1227</v>
      </c>
      <c r="J302" s="455">
        <v>46071</v>
      </c>
      <c r="K302" s="455">
        <v>46071</v>
      </c>
      <c r="L302" s="455">
        <v>46072</v>
      </c>
      <c r="U302" s="455">
        <v>46081</v>
      </c>
    </row>
    <row r="303" spans="1:21">
      <c r="A303" t="s">
        <v>1751</v>
      </c>
      <c r="B303" t="s">
        <v>8874</v>
      </c>
      <c r="C303" t="s">
        <v>1751</v>
      </c>
      <c r="D303">
        <v>20455891</v>
      </c>
      <c r="E303" t="s">
        <v>3128</v>
      </c>
      <c r="F303" t="s">
        <v>1782</v>
      </c>
      <c r="G303" t="s">
        <v>3141</v>
      </c>
      <c r="H303" t="s">
        <v>8875</v>
      </c>
      <c r="J303" s="455">
        <v>46076</v>
      </c>
      <c r="U303" s="455">
        <v>46088</v>
      </c>
    </row>
    <row r="304" spans="1:21">
      <c r="A304" t="s">
        <v>1751</v>
      </c>
      <c r="B304" t="s">
        <v>8876</v>
      </c>
      <c r="C304" t="s">
        <v>1751</v>
      </c>
      <c r="D304">
        <v>20439108</v>
      </c>
      <c r="E304" t="s">
        <v>3128</v>
      </c>
      <c r="F304" t="s">
        <v>1782</v>
      </c>
      <c r="G304" t="s">
        <v>3129</v>
      </c>
      <c r="H304" t="s">
        <v>1251</v>
      </c>
      <c r="J304" s="455">
        <v>46054</v>
      </c>
      <c r="U304" s="455">
        <v>46055</v>
      </c>
    </row>
    <row r="305" spans="1:21">
      <c r="A305" t="s">
        <v>1751</v>
      </c>
      <c r="B305" t="s">
        <v>8877</v>
      </c>
      <c r="C305" t="s">
        <v>1751</v>
      </c>
      <c r="D305">
        <v>20449363</v>
      </c>
      <c r="E305" t="s">
        <v>3128</v>
      </c>
      <c r="F305" t="s">
        <v>1241</v>
      </c>
      <c r="G305" t="s">
        <v>3137</v>
      </c>
      <c r="H305" t="s">
        <v>1251</v>
      </c>
      <c r="J305" s="455">
        <v>46068</v>
      </c>
      <c r="U305" s="455">
        <v>46082</v>
      </c>
    </row>
    <row r="306" spans="1:21">
      <c r="A306" t="s">
        <v>1751</v>
      </c>
      <c r="B306" t="s">
        <v>8878</v>
      </c>
      <c r="C306" t="s">
        <v>1751</v>
      </c>
      <c r="D306">
        <v>20440351</v>
      </c>
      <c r="E306" t="s">
        <v>3128</v>
      </c>
      <c r="F306" t="s">
        <v>1238</v>
      </c>
      <c r="G306" t="s">
        <v>3141</v>
      </c>
      <c r="H306" t="s">
        <v>1253</v>
      </c>
      <c r="J306" s="455">
        <v>46056</v>
      </c>
      <c r="U306" s="455">
        <v>46062</v>
      </c>
    </row>
    <row r="307" spans="1:21">
      <c r="A307" t="s">
        <v>1751</v>
      </c>
      <c r="B307" t="s">
        <v>8879</v>
      </c>
      <c r="C307" t="s">
        <v>1751</v>
      </c>
      <c r="D307">
        <v>20443917</v>
      </c>
      <c r="E307" t="s">
        <v>3128</v>
      </c>
      <c r="F307" t="s">
        <v>1241</v>
      </c>
      <c r="G307" t="s">
        <v>3137</v>
      </c>
      <c r="H307" t="s">
        <v>1251</v>
      </c>
      <c r="J307" s="455">
        <v>46062</v>
      </c>
      <c r="U307" s="455">
        <v>46062</v>
      </c>
    </row>
    <row r="308" spans="1:21">
      <c r="A308" t="s">
        <v>1751</v>
      </c>
      <c r="B308" t="s">
        <v>8880</v>
      </c>
      <c r="C308" t="s">
        <v>1751</v>
      </c>
      <c r="D308">
        <v>20436600</v>
      </c>
      <c r="E308" t="s">
        <v>3133</v>
      </c>
      <c r="F308" t="s">
        <v>1237</v>
      </c>
      <c r="G308" t="s">
        <v>3134</v>
      </c>
      <c r="H308" t="s">
        <v>1249</v>
      </c>
      <c r="I308" t="s">
        <v>3529</v>
      </c>
      <c r="J308" s="455">
        <v>46050</v>
      </c>
      <c r="K308" s="455">
        <v>46050</v>
      </c>
      <c r="L308" s="455">
        <v>46053</v>
      </c>
      <c r="R308" s="455">
        <v>46076</v>
      </c>
      <c r="U308" s="455">
        <v>46081</v>
      </c>
    </row>
    <row r="309" spans="1:21">
      <c r="A309" t="s">
        <v>1751</v>
      </c>
      <c r="B309" t="s">
        <v>7144</v>
      </c>
      <c r="C309" t="s">
        <v>1751</v>
      </c>
      <c r="D309">
        <v>20448159</v>
      </c>
      <c r="E309" t="s">
        <v>1897</v>
      </c>
      <c r="F309" t="s">
        <v>1241</v>
      </c>
      <c r="G309" t="s">
        <v>3134</v>
      </c>
      <c r="H309" t="s">
        <v>1249</v>
      </c>
      <c r="I309" t="s">
        <v>1563</v>
      </c>
      <c r="J309" s="455">
        <v>46065</v>
      </c>
      <c r="K309" s="455">
        <v>46065</v>
      </c>
      <c r="U309" s="455">
        <v>46065</v>
      </c>
    </row>
    <row r="310" spans="1:21">
      <c r="A310" t="s">
        <v>1751</v>
      </c>
      <c r="B310" t="s">
        <v>8881</v>
      </c>
      <c r="C310" t="s">
        <v>1751</v>
      </c>
      <c r="D310">
        <v>20414524</v>
      </c>
      <c r="E310" t="s">
        <v>3190</v>
      </c>
      <c r="F310" t="s">
        <v>1239</v>
      </c>
      <c r="G310" t="s">
        <v>3143</v>
      </c>
      <c r="H310" t="s">
        <v>1248</v>
      </c>
      <c r="J310" s="455">
        <v>46020</v>
      </c>
      <c r="R310" s="455">
        <v>46056</v>
      </c>
      <c r="U310" s="455">
        <v>46020</v>
      </c>
    </row>
    <row r="311" spans="1:21">
      <c r="A311" t="s">
        <v>1751</v>
      </c>
      <c r="B311" t="s">
        <v>8882</v>
      </c>
      <c r="C311" t="s">
        <v>1751</v>
      </c>
      <c r="D311">
        <v>20458359</v>
      </c>
      <c r="E311" t="s">
        <v>3128</v>
      </c>
      <c r="F311" t="s">
        <v>1782</v>
      </c>
      <c r="G311" t="s">
        <v>3129</v>
      </c>
      <c r="H311" t="s">
        <v>1252</v>
      </c>
      <c r="J311" s="455">
        <v>46079</v>
      </c>
      <c r="U311" s="455">
        <v>46173</v>
      </c>
    </row>
    <row r="312" spans="1:21">
      <c r="A312" t="s">
        <v>1751</v>
      </c>
      <c r="B312" t="s">
        <v>8883</v>
      </c>
      <c r="C312" t="s">
        <v>1751</v>
      </c>
      <c r="D312">
        <v>20440430</v>
      </c>
      <c r="E312" t="s">
        <v>1897</v>
      </c>
      <c r="F312" t="s">
        <v>1241</v>
      </c>
      <c r="G312" t="s">
        <v>3134</v>
      </c>
      <c r="H312" t="s">
        <v>1249</v>
      </c>
      <c r="I312" t="s">
        <v>2615</v>
      </c>
      <c r="J312" s="455">
        <v>46056</v>
      </c>
      <c r="K312" s="455">
        <v>46056</v>
      </c>
      <c r="U312" s="455">
        <v>46056</v>
      </c>
    </row>
    <row r="313" spans="1:21">
      <c r="A313" t="s">
        <v>1751</v>
      </c>
      <c r="B313" t="s">
        <v>8884</v>
      </c>
      <c r="C313" t="s">
        <v>1751</v>
      </c>
      <c r="D313">
        <v>20456017</v>
      </c>
      <c r="E313" t="s">
        <v>3128</v>
      </c>
      <c r="F313" t="s">
        <v>1239</v>
      </c>
      <c r="G313" t="s">
        <v>3143</v>
      </c>
      <c r="H313" t="s">
        <v>1248</v>
      </c>
      <c r="J313" s="455">
        <v>46076</v>
      </c>
      <c r="U313" s="455">
        <v>46076</v>
      </c>
    </row>
    <row r="314" spans="1:21">
      <c r="A314" t="s">
        <v>1751</v>
      </c>
      <c r="B314" t="s">
        <v>8885</v>
      </c>
      <c r="C314" t="s">
        <v>1751</v>
      </c>
      <c r="D314">
        <v>20459733</v>
      </c>
      <c r="E314" t="s">
        <v>3128</v>
      </c>
      <c r="F314" t="s">
        <v>1238</v>
      </c>
      <c r="G314" t="s">
        <v>3143</v>
      </c>
      <c r="H314" t="s">
        <v>1248</v>
      </c>
      <c r="J314" s="455">
        <v>46081</v>
      </c>
      <c r="U314" s="455">
        <v>46081</v>
      </c>
    </row>
    <row r="315" spans="1:21">
      <c r="A315" t="s">
        <v>1751</v>
      </c>
      <c r="B315" t="s">
        <v>8886</v>
      </c>
      <c r="C315" t="s">
        <v>1751</v>
      </c>
      <c r="D315">
        <v>20452346</v>
      </c>
      <c r="E315" t="s">
        <v>3128</v>
      </c>
      <c r="F315" t="s">
        <v>1782</v>
      </c>
      <c r="G315" t="s">
        <v>3129</v>
      </c>
      <c r="H315" t="s">
        <v>1253</v>
      </c>
      <c r="J315" s="455">
        <v>46071</v>
      </c>
      <c r="U315" s="455">
        <v>46072</v>
      </c>
    </row>
    <row r="316" spans="1:21">
      <c r="A316" t="s">
        <v>1751</v>
      </c>
      <c r="B316" t="s">
        <v>8887</v>
      </c>
      <c r="C316" t="s">
        <v>1751</v>
      </c>
      <c r="D316">
        <v>20449102</v>
      </c>
      <c r="E316" t="s">
        <v>3128</v>
      </c>
      <c r="F316" t="s">
        <v>1239</v>
      </c>
      <c r="G316" t="s">
        <v>3143</v>
      </c>
      <c r="H316" t="s">
        <v>1248</v>
      </c>
      <c r="J316" s="455">
        <v>46067</v>
      </c>
      <c r="U316" s="455">
        <v>46067</v>
      </c>
    </row>
    <row r="317" spans="1:21">
      <c r="A317" t="s">
        <v>1751</v>
      </c>
      <c r="B317" t="s">
        <v>8888</v>
      </c>
      <c r="C317" t="s">
        <v>1751</v>
      </c>
      <c r="D317">
        <v>20450950</v>
      </c>
      <c r="E317" t="s">
        <v>3133</v>
      </c>
      <c r="F317" t="s">
        <v>1237</v>
      </c>
      <c r="G317" t="s">
        <v>3134</v>
      </c>
      <c r="H317" t="s">
        <v>1250</v>
      </c>
      <c r="I317" t="s">
        <v>1230</v>
      </c>
      <c r="J317" s="455">
        <v>46070</v>
      </c>
      <c r="K317" s="455">
        <v>46070</v>
      </c>
      <c r="L317" s="455">
        <v>46070</v>
      </c>
      <c r="S317" s="455">
        <v>46072</v>
      </c>
      <c r="U317" s="455">
        <v>46087</v>
      </c>
    </row>
    <row r="318" spans="1:21">
      <c r="A318" t="s">
        <v>1751</v>
      </c>
      <c r="B318" t="s">
        <v>8889</v>
      </c>
      <c r="C318" t="s">
        <v>1751</v>
      </c>
      <c r="D318">
        <v>20440253</v>
      </c>
      <c r="E318" t="s">
        <v>3128</v>
      </c>
      <c r="F318" t="s">
        <v>1782</v>
      </c>
      <c r="G318" t="s">
        <v>3143</v>
      </c>
      <c r="H318" t="s">
        <v>1251</v>
      </c>
      <c r="J318" s="455">
        <v>46056</v>
      </c>
      <c r="U318" s="455">
        <v>46056</v>
      </c>
    </row>
    <row r="319" spans="1:21">
      <c r="A319" t="s">
        <v>1751</v>
      </c>
      <c r="B319" t="s">
        <v>8890</v>
      </c>
      <c r="C319" t="s">
        <v>1751</v>
      </c>
      <c r="D319">
        <v>20448910</v>
      </c>
      <c r="E319" t="s">
        <v>3128</v>
      </c>
      <c r="F319" t="s">
        <v>1239</v>
      </c>
      <c r="G319" t="s">
        <v>3143</v>
      </c>
      <c r="H319" t="s">
        <v>1251</v>
      </c>
      <c r="J319" s="455">
        <v>46067</v>
      </c>
      <c r="U319" s="455">
        <v>46067</v>
      </c>
    </row>
    <row r="320" spans="1:21">
      <c r="A320" t="s">
        <v>1751</v>
      </c>
      <c r="B320" t="s">
        <v>8891</v>
      </c>
      <c r="C320" t="s">
        <v>1751</v>
      </c>
      <c r="D320">
        <v>20448883</v>
      </c>
      <c r="E320" t="s">
        <v>3128</v>
      </c>
      <c r="F320" t="s">
        <v>1241</v>
      </c>
      <c r="G320" t="s">
        <v>2009</v>
      </c>
      <c r="H320" t="s">
        <v>1247</v>
      </c>
      <c r="J320" s="455">
        <v>46067</v>
      </c>
      <c r="U320" s="455">
        <v>46067</v>
      </c>
    </row>
    <row r="321" spans="1:21">
      <c r="A321" t="s">
        <v>1751</v>
      </c>
      <c r="B321" t="s">
        <v>8892</v>
      </c>
      <c r="C321" t="s">
        <v>1751</v>
      </c>
      <c r="D321">
        <v>20442245</v>
      </c>
      <c r="E321" t="s">
        <v>3128</v>
      </c>
      <c r="F321" t="s">
        <v>1782</v>
      </c>
      <c r="G321" t="s">
        <v>3137</v>
      </c>
      <c r="H321" t="s">
        <v>3515</v>
      </c>
      <c r="J321" s="455">
        <v>46059</v>
      </c>
      <c r="U321" s="455">
        <v>46059</v>
      </c>
    </row>
    <row r="322" spans="1:21">
      <c r="A322" t="s">
        <v>1751</v>
      </c>
      <c r="B322" t="s">
        <v>8893</v>
      </c>
      <c r="C322" t="s">
        <v>1751</v>
      </c>
      <c r="D322">
        <v>20441535</v>
      </c>
      <c r="E322" t="s">
        <v>3128</v>
      </c>
      <c r="F322" t="s">
        <v>1241</v>
      </c>
      <c r="G322" t="s">
        <v>3129</v>
      </c>
      <c r="H322" t="s">
        <v>1250</v>
      </c>
      <c r="J322" s="455">
        <v>46058</v>
      </c>
      <c r="U322" s="455">
        <v>46058</v>
      </c>
    </row>
    <row r="323" spans="1:21">
      <c r="A323" t="s">
        <v>1751</v>
      </c>
      <c r="B323" t="s">
        <v>8894</v>
      </c>
      <c r="C323" t="s">
        <v>1751</v>
      </c>
      <c r="D323">
        <v>20442341</v>
      </c>
      <c r="E323" t="s">
        <v>3128</v>
      </c>
      <c r="F323" t="s">
        <v>1239</v>
      </c>
      <c r="G323" t="s">
        <v>3143</v>
      </c>
      <c r="H323" t="s">
        <v>1247</v>
      </c>
      <c r="J323" s="455">
        <v>46059</v>
      </c>
      <c r="U323" s="455">
        <v>46059</v>
      </c>
    </row>
    <row r="324" spans="1:21">
      <c r="A324" t="s">
        <v>1751</v>
      </c>
      <c r="B324" t="s">
        <v>8895</v>
      </c>
      <c r="C324" t="s">
        <v>1751</v>
      </c>
      <c r="D324">
        <v>20442494</v>
      </c>
      <c r="E324" t="s">
        <v>3128</v>
      </c>
      <c r="F324" t="s">
        <v>1237</v>
      </c>
      <c r="G324" t="s">
        <v>3143</v>
      </c>
      <c r="H324" t="s">
        <v>4333</v>
      </c>
      <c r="J324" s="455">
        <v>46059</v>
      </c>
      <c r="U324" s="455">
        <v>46059</v>
      </c>
    </row>
    <row r="325" spans="1:21">
      <c r="A325" t="s">
        <v>1751</v>
      </c>
      <c r="B325" t="s">
        <v>3853</v>
      </c>
      <c r="C325" t="s">
        <v>1751</v>
      </c>
      <c r="D325">
        <v>20448090</v>
      </c>
      <c r="E325" t="s">
        <v>1897</v>
      </c>
      <c r="F325" t="s">
        <v>1912</v>
      </c>
      <c r="G325" t="s">
        <v>3134</v>
      </c>
      <c r="H325" t="s">
        <v>3685</v>
      </c>
      <c r="I325" t="s">
        <v>1929</v>
      </c>
      <c r="J325" s="455">
        <v>46065</v>
      </c>
      <c r="K325" s="455">
        <v>46065</v>
      </c>
      <c r="U325" s="455">
        <v>46081</v>
      </c>
    </row>
    <row r="326" spans="1:21">
      <c r="A326" t="s">
        <v>1751</v>
      </c>
      <c r="B326" t="s">
        <v>8896</v>
      </c>
      <c r="C326" t="s">
        <v>1751</v>
      </c>
      <c r="D326">
        <v>20459614</v>
      </c>
      <c r="E326" t="s">
        <v>3128</v>
      </c>
      <c r="F326" t="s">
        <v>1241</v>
      </c>
      <c r="G326" t="s">
        <v>3129</v>
      </c>
      <c r="H326" t="s">
        <v>1252</v>
      </c>
      <c r="J326" s="455">
        <v>46081</v>
      </c>
      <c r="U326" s="455">
        <v>46081</v>
      </c>
    </row>
    <row r="327" spans="1:21">
      <c r="A327" t="s">
        <v>1751</v>
      </c>
      <c r="B327" t="s">
        <v>8897</v>
      </c>
      <c r="C327" t="s">
        <v>1751</v>
      </c>
      <c r="D327">
        <v>20439938</v>
      </c>
      <c r="E327" t="s">
        <v>3133</v>
      </c>
      <c r="F327" t="s">
        <v>8652</v>
      </c>
      <c r="G327" t="s">
        <v>3134</v>
      </c>
      <c r="H327" t="s">
        <v>1252</v>
      </c>
      <c r="I327" t="s">
        <v>1546</v>
      </c>
      <c r="J327" s="455">
        <v>46055</v>
      </c>
      <c r="K327" s="455">
        <v>46055</v>
      </c>
      <c r="L327" s="455">
        <v>46057</v>
      </c>
      <c r="R327" s="455">
        <v>46076</v>
      </c>
      <c r="U327" s="455">
        <v>46083</v>
      </c>
    </row>
    <row r="328" spans="1:21">
      <c r="A328" t="s">
        <v>1751</v>
      </c>
      <c r="B328" t="s">
        <v>8898</v>
      </c>
      <c r="C328" t="s">
        <v>1751</v>
      </c>
      <c r="D328">
        <v>20448852</v>
      </c>
      <c r="E328" t="s">
        <v>3128</v>
      </c>
      <c r="F328" t="s">
        <v>1782</v>
      </c>
      <c r="G328" t="s">
        <v>3137</v>
      </c>
      <c r="H328" t="s">
        <v>1251</v>
      </c>
      <c r="J328" s="455">
        <v>46067</v>
      </c>
      <c r="U328" s="455">
        <v>46067</v>
      </c>
    </row>
    <row r="329" spans="1:21">
      <c r="A329" t="s">
        <v>1751</v>
      </c>
      <c r="B329" t="s">
        <v>8899</v>
      </c>
      <c r="C329" t="s">
        <v>1751</v>
      </c>
      <c r="D329">
        <v>20449834</v>
      </c>
      <c r="E329" t="s">
        <v>3128</v>
      </c>
      <c r="F329" t="s">
        <v>1782</v>
      </c>
      <c r="G329" t="s">
        <v>3137</v>
      </c>
      <c r="H329" t="s">
        <v>1251</v>
      </c>
      <c r="J329" s="455">
        <v>46069</v>
      </c>
      <c r="U329" s="455">
        <v>46174</v>
      </c>
    </row>
    <row r="330" spans="1:21">
      <c r="A330" t="s">
        <v>1751</v>
      </c>
      <c r="B330" t="s">
        <v>8900</v>
      </c>
      <c r="C330" t="s">
        <v>1751</v>
      </c>
      <c r="D330">
        <v>20443938</v>
      </c>
      <c r="E330" t="s">
        <v>3128</v>
      </c>
      <c r="F330" t="s">
        <v>1241</v>
      </c>
      <c r="G330" t="s">
        <v>3143</v>
      </c>
      <c r="H330" t="s">
        <v>1248</v>
      </c>
      <c r="J330" s="455">
        <v>46062</v>
      </c>
      <c r="U330" s="455">
        <v>46062</v>
      </c>
    </row>
    <row r="331" spans="1:21">
      <c r="A331" t="s">
        <v>1751</v>
      </c>
      <c r="B331" t="s">
        <v>8901</v>
      </c>
      <c r="C331" t="s">
        <v>1751</v>
      </c>
      <c r="D331">
        <v>20455506</v>
      </c>
      <c r="E331" t="s">
        <v>3128</v>
      </c>
      <c r="F331" t="s">
        <v>1782</v>
      </c>
      <c r="G331" t="s">
        <v>3137</v>
      </c>
      <c r="H331" t="s">
        <v>1247</v>
      </c>
      <c r="J331" s="455">
        <v>46076</v>
      </c>
      <c r="U331" s="455">
        <v>46171</v>
      </c>
    </row>
    <row r="332" spans="1:21">
      <c r="A332" t="s">
        <v>1751</v>
      </c>
      <c r="B332" t="s">
        <v>8902</v>
      </c>
      <c r="C332" t="s">
        <v>1751</v>
      </c>
      <c r="D332">
        <v>20443652</v>
      </c>
      <c r="E332" t="s">
        <v>3128</v>
      </c>
      <c r="F332" t="s">
        <v>1782</v>
      </c>
      <c r="G332" t="s">
        <v>3141</v>
      </c>
      <c r="H332" t="s">
        <v>1247</v>
      </c>
      <c r="J332" s="455">
        <v>46062</v>
      </c>
      <c r="U332" s="455">
        <v>46082</v>
      </c>
    </row>
    <row r="333" spans="1:21">
      <c r="A333" t="s">
        <v>1751</v>
      </c>
      <c r="B333" t="s">
        <v>8903</v>
      </c>
      <c r="C333" t="s">
        <v>1751</v>
      </c>
      <c r="D333">
        <v>20410543</v>
      </c>
      <c r="E333" t="s">
        <v>3190</v>
      </c>
      <c r="F333" t="s">
        <v>1238</v>
      </c>
      <c r="G333" t="s">
        <v>3143</v>
      </c>
      <c r="H333" t="s">
        <v>1252</v>
      </c>
      <c r="J333" s="455">
        <v>46011</v>
      </c>
      <c r="R333" s="455">
        <v>46058</v>
      </c>
      <c r="U333" s="455">
        <v>46011</v>
      </c>
    </row>
    <row r="334" spans="1:21">
      <c r="A334" t="s">
        <v>1751</v>
      </c>
      <c r="B334" t="s">
        <v>8904</v>
      </c>
      <c r="C334" t="s">
        <v>1751</v>
      </c>
      <c r="D334">
        <v>20454336</v>
      </c>
      <c r="E334" t="s">
        <v>3128</v>
      </c>
      <c r="F334" t="s">
        <v>1782</v>
      </c>
      <c r="G334" t="s">
        <v>3141</v>
      </c>
      <c r="H334" t="s">
        <v>1247</v>
      </c>
      <c r="J334" s="455">
        <v>46073</v>
      </c>
      <c r="U334" s="455">
        <v>46080</v>
      </c>
    </row>
    <row r="335" spans="1:21">
      <c r="A335" t="s">
        <v>1751</v>
      </c>
      <c r="B335" t="s">
        <v>8905</v>
      </c>
      <c r="C335" t="s">
        <v>1751</v>
      </c>
      <c r="D335">
        <v>20411202</v>
      </c>
      <c r="E335" t="s">
        <v>1907</v>
      </c>
      <c r="F335" t="s">
        <v>1239</v>
      </c>
      <c r="G335" t="s">
        <v>3134</v>
      </c>
      <c r="H335" t="s">
        <v>1250</v>
      </c>
      <c r="I335" t="s">
        <v>7081</v>
      </c>
      <c r="J335" s="455">
        <v>46013</v>
      </c>
      <c r="K335" s="455">
        <v>46013</v>
      </c>
      <c r="L335" s="455">
        <v>46066</v>
      </c>
      <c r="U335" s="455">
        <v>46081</v>
      </c>
    </row>
    <row r="336" spans="1:21">
      <c r="A336" t="s">
        <v>1751</v>
      </c>
      <c r="B336" t="s">
        <v>8906</v>
      </c>
      <c r="C336" t="s">
        <v>1751</v>
      </c>
      <c r="D336">
        <v>20445988</v>
      </c>
      <c r="E336" t="s">
        <v>1897</v>
      </c>
      <c r="F336" t="s">
        <v>1912</v>
      </c>
      <c r="G336" t="s">
        <v>3134</v>
      </c>
      <c r="H336" t="s">
        <v>1247</v>
      </c>
      <c r="I336" t="s">
        <v>7107</v>
      </c>
      <c r="J336" s="455">
        <v>46064</v>
      </c>
      <c r="K336" s="455">
        <v>46064</v>
      </c>
      <c r="U336" s="455">
        <v>46086</v>
      </c>
    </row>
    <row r="337" spans="1:21">
      <c r="A337" t="s">
        <v>1751</v>
      </c>
      <c r="B337" t="s">
        <v>8906</v>
      </c>
      <c r="C337" t="s">
        <v>1751</v>
      </c>
      <c r="D337">
        <v>20445987</v>
      </c>
      <c r="E337" t="s">
        <v>1897</v>
      </c>
      <c r="F337" t="s">
        <v>1241</v>
      </c>
      <c r="G337" t="s">
        <v>3137</v>
      </c>
      <c r="H337" t="s">
        <v>1247</v>
      </c>
      <c r="J337" s="455">
        <v>46064</v>
      </c>
      <c r="K337" s="455">
        <v>46065</v>
      </c>
      <c r="U337" s="455">
        <v>46082</v>
      </c>
    </row>
    <row r="338" spans="1:21">
      <c r="A338" t="s">
        <v>1751</v>
      </c>
      <c r="B338" t="s">
        <v>8907</v>
      </c>
      <c r="C338" t="s">
        <v>1751</v>
      </c>
      <c r="D338">
        <v>20448962</v>
      </c>
      <c r="E338" t="s">
        <v>3133</v>
      </c>
      <c r="F338" t="s">
        <v>1782</v>
      </c>
      <c r="G338" t="s">
        <v>3134</v>
      </c>
      <c r="H338" t="s">
        <v>1247</v>
      </c>
      <c r="I338" t="s">
        <v>5943</v>
      </c>
      <c r="J338" s="455">
        <v>46067</v>
      </c>
      <c r="K338" s="455">
        <v>46067</v>
      </c>
      <c r="L338" s="455">
        <v>46067</v>
      </c>
      <c r="R338" s="455">
        <v>46076</v>
      </c>
      <c r="U338" s="455">
        <v>46081</v>
      </c>
    </row>
    <row r="339" spans="1:21">
      <c r="A339" t="s">
        <v>1751</v>
      </c>
      <c r="B339" t="s">
        <v>8907</v>
      </c>
      <c r="C339" t="s">
        <v>1751</v>
      </c>
      <c r="D339">
        <v>20448955</v>
      </c>
      <c r="E339" t="s">
        <v>1897</v>
      </c>
      <c r="F339" t="s">
        <v>1782</v>
      </c>
      <c r="G339" t="s">
        <v>3137</v>
      </c>
      <c r="H339" t="s">
        <v>1247</v>
      </c>
      <c r="J339" s="455">
        <v>46067</v>
      </c>
      <c r="K339" s="455">
        <v>46067</v>
      </c>
      <c r="U339" s="455">
        <v>46095</v>
      </c>
    </row>
    <row r="340" spans="1:21">
      <c r="A340" t="s">
        <v>1751</v>
      </c>
      <c r="B340" t="s">
        <v>1815</v>
      </c>
      <c r="C340" t="s">
        <v>1751</v>
      </c>
      <c r="D340">
        <v>20456660</v>
      </c>
      <c r="E340" t="s">
        <v>3190</v>
      </c>
      <c r="F340" t="s">
        <v>1242</v>
      </c>
      <c r="G340" t="s">
        <v>3143</v>
      </c>
      <c r="H340" t="s">
        <v>1940</v>
      </c>
      <c r="J340" s="455">
        <v>46077</v>
      </c>
      <c r="R340" s="455">
        <v>46079</v>
      </c>
      <c r="U340" s="455">
        <v>46077</v>
      </c>
    </row>
    <row r="341" spans="1:21">
      <c r="A341" t="s">
        <v>1751</v>
      </c>
      <c r="B341" t="s">
        <v>8908</v>
      </c>
      <c r="C341" t="s">
        <v>1751</v>
      </c>
      <c r="D341">
        <v>20449354</v>
      </c>
      <c r="E341" t="s">
        <v>3128</v>
      </c>
      <c r="F341" t="s">
        <v>1241</v>
      </c>
      <c r="G341" t="s">
        <v>3137</v>
      </c>
      <c r="H341" t="s">
        <v>1247</v>
      </c>
      <c r="J341" s="455">
        <v>46068</v>
      </c>
      <c r="U341" s="455">
        <v>46088</v>
      </c>
    </row>
    <row r="342" spans="1:21">
      <c r="A342" t="s">
        <v>1751</v>
      </c>
      <c r="B342" t="s">
        <v>8909</v>
      </c>
      <c r="C342" t="s">
        <v>1751</v>
      </c>
      <c r="D342">
        <v>20459641</v>
      </c>
      <c r="E342" t="s">
        <v>1897</v>
      </c>
      <c r="F342" t="s">
        <v>1912</v>
      </c>
      <c r="G342" t="s">
        <v>3134</v>
      </c>
      <c r="H342" t="s">
        <v>1247</v>
      </c>
      <c r="I342" t="s">
        <v>3582</v>
      </c>
      <c r="J342" s="455">
        <v>46081</v>
      </c>
      <c r="K342" s="455">
        <v>46081</v>
      </c>
      <c r="U342" s="455">
        <v>46081</v>
      </c>
    </row>
    <row r="343" spans="1:21">
      <c r="A343" t="s">
        <v>1751</v>
      </c>
      <c r="B343" t="s">
        <v>8910</v>
      </c>
      <c r="C343" t="s">
        <v>1751</v>
      </c>
      <c r="D343">
        <v>20444115</v>
      </c>
      <c r="E343" t="s">
        <v>3128</v>
      </c>
      <c r="F343" t="s">
        <v>1782</v>
      </c>
      <c r="G343" t="s">
        <v>3141</v>
      </c>
      <c r="H343" t="s">
        <v>1247</v>
      </c>
      <c r="J343" s="455">
        <v>46062</v>
      </c>
      <c r="U343" s="455">
        <v>46087</v>
      </c>
    </row>
    <row r="344" spans="1:21">
      <c r="A344" t="s">
        <v>1751</v>
      </c>
      <c r="B344" t="s">
        <v>8911</v>
      </c>
      <c r="C344" t="s">
        <v>1751</v>
      </c>
      <c r="D344">
        <v>20443745</v>
      </c>
      <c r="E344" t="s">
        <v>1907</v>
      </c>
      <c r="F344" t="s">
        <v>1237</v>
      </c>
      <c r="G344" t="s">
        <v>3143</v>
      </c>
      <c r="H344" t="s">
        <v>1249</v>
      </c>
      <c r="I344" t="s">
        <v>1831</v>
      </c>
      <c r="J344" s="455">
        <v>46062</v>
      </c>
      <c r="K344" s="455">
        <v>46066</v>
      </c>
      <c r="L344" s="455">
        <v>46071</v>
      </c>
      <c r="U344" s="455">
        <v>46081</v>
      </c>
    </row>
    <row r="345" spans="1:21">
      <c r="A345" t="s">
        <v>1751</v>
      </c>
      <c r="B345" t="s">
        <v>8912</v>
      </c>
      <c r="C345" t="s">
        <v>1751</v>
      </c>
      <c r="D345">
        <v>20449899</v>
      </c>
      <c r="E345" t="s">
        <v>3128</v>
      </c>
      <c r="F345" t="s">
        <v>1241</v>
      </c>
      <c r="G345" t="s">
        <v>3137</v>
      </c>
      <c r="H345" t="s">
        <v>1247</v>
      </c>
      <c r="J345" s="455">
        <v>46069</v>
      </c>
      <c r="U345" s="455">
        <v>46129</v>
      </c>
    </row>
    <row r="346" spans="1:21">
      <c r="A346" t="s">
        <v>1751</v>
      </c>
      <c r="B346" t="s">
        <v>8913</v>
      </c>
      <c r="C346" t="s">
        <v>1751</v>
      </c>
      <c r="D346">
        <v>20449533</v>
      </c>
      <c r="E346" t="s">
        <v>3128</v>
      </c>
      <c r="F346" t="s">
        <v>1782</v>
      </c>
      <c r="G346" t="s">
        <v>3137</v>
      </c>
      <c r="H346" t="s">
        <v>1247</v>
      </c>
      <c r="J346" s="455">
        <v>46068</v>
      </c>
      <c r="U346" s="455">
        <v>46114</v>
      </c>
    </row>
    <row r="347" spans="1:21">
      <c r="A347" t="s">
        <v>1751</v>
      </c>
      <c r="B347" t="s">
        <v>8914</v>
      </c>
      <c r="C347" t="s">
        <v>1751</v>
      </c>
      <c r="D347">
        <v>20450053</v>
      </c>
      <c r="E347" t="s">
        <v>3128</v>
      </c>
      <c r="F347" t="s">
        <v>1782</v>
      </c>
      <c r="G347" t="s">
        <v>3141</v>
      </c>
      <c r="H347" t="s">
        <v>1247</v>
      </c>
      <c r="J347" s="455">
        <v>46069</v>
      </c>
      <c r="U347" s="455">
        <v>46120</v>
      </c>
    </row>
    <row r="348" spans="1:21">
      <c r="A348" t="s">
        <v>1751</v>
      </c>
      <c r="B348" t="s">
        <v>8915</v>
      </c>
      <c r="C348" t="s">
        <v>1751</v>
      </c>
      <c r="D348">
        <v>20447821</v>
      </c>
      <c r="E348" t="s">
        <v>3128</v>
      </c>
      <c r="F348" t="s">
        <v>1241</v>
      </c>
      <c r="G348" t="s">
        <v>2009</v>
      </c>
      <c r="H348" t="s">
        <v>1251</v>
      </c>
      <c r="J348" s="455">
        <v>46065</v>
      </c>
      <c r="U348" s="455">
        <v>46065</v>
      </c>
    </row>
    <row r="349" spans="1:21">
      <c r="A349" t="s">
        <v>1751</v>
      </c>
      <c r="B349" t="s">
        <v>8916</v>
      </c>
      <c r="C349" t="s">
        <v>1751</v>
      </c>
      <c r="D349">
        <v>20440521</v>
      </c>
      <c r="E349" t="s">
        <v>3133</v>
      </c>
      <c r="F349" t="s">
        <v>1239</v>
      </c>
      <c r="G349" t="s">
        <v>3134</v>
      </c>
      <c r="H349" t="s">
        <v>1247</v>
      </c>
      <c r="I349" t="s">
        <v>1808</v>
      </c>
      <c r="J349" s="455">
        <v>46056</v>
      </c>
      <c r="K349" s="455">
        <v>46056</v>
      </c>
      <c r="L349" s="455">
        <v>46056</v>
      </c>
      <c r="R349" s="455">
        <v>46077</v>
      </c>
      <c r="U349" s="455">
        <v>46081</v>
      </c>
    </row>
    <row r="350" spans="1:21">
      <c r="A350" t="s">
        <v>1751</v>
      </c>
      <c r="B350" t="s">
        <v>8917</v>
      </c>
      <c r="C350" t="s">
        <v>1751</v>
      </c>
      <c r="D350">
        <v>20439284</v>
      </c>
      <c r="E350" t="s">
        <v>3128</v>
      </c>
      <c r="F350" t="s">
        <v>1241</v>
      </c>
      <c r="G350" t="s">
        <v>3129</v>
      </c>
      <c r="H350" t="s">
        <v>3131</v>
      </c>
      <c r="J350" s="455">
        <v>46055</v>
      </c>
      <c r="U350" s="455">
        <v>46055</v>
      </c>
    </row>
    <row r="351" spans="1:21">
      <c r="A351" t="s">
        <v>1751</v>
      </c>
      <c r="B351" t="s">
        <v>8918</v>
      </c>
      <c r="C351" t="s">
        <v>1751</v>
      </c>
      <c r="D351">
        <v>20439510</v>
      </c>
      <c r="E351" t="s">
        <v>3128</v>
      </c>
      <c r="F351" t="s">
        <v>1239</v>
      </c>
      <c r="G351" t="s">
        <v>3143</v>
      </c>
      <c r="H351" t="s">
        <v>1252</v>
      </c>
      <c r="J351" s="455">
        <v>46055</v>
      </c>
      <c r="T351" s="455">
        <v>46056</v>
      </c>
      <c r="U351" s="455">
        <v>46055</v>
      </c>
    </row>
    <row r="352" spans="1:21">
      <c r="A352" t="s">
        <v>1751</v>
      </c>
      <c r="B352" t="s">
        <v>8919</v>
      </c>
      <c r="C352" t="s">
        <v>1751</v>
      </c>
      <c r="D352">
        <v>20443994</v>
      </c>
      <c r="E352" t="s">
        <v>3133</v>
      </c>
      <c r="F352" t="s">
        <v>1912</v>
      </c>
      <c r="G352" t="s">
        <v>3134</v>
      </c>
      <c r="H352" t="s">
        <v>1247</v>
      </c>
      <c r="J352" s="455">
        <v>46062</v>
      </c>
      <c r="K352" s="455">
        <v>46062</v>
      </c>
      <c r="R352" s="455">
        <v>46062</v>
      </c>
      <c r="U352" s="455">
        <v>46062</v>
      </c>
    </row>
    <row r="353" spans="1:21">
      <c r="A353" t="s">
        <v>1751</v>
      </c>
      <c r="B353" t="s">
        <v>6407</v>
      </c>
      <c r="C353" t="s">
        <v>1751</v>
      </c>
      <c r="D353">
        <v>20452638</v>
      </c>
      <c r="E353" t="s">
        <v>3128</v>
      </c>
      <c r="F353" t="s">
        <v>1241</v>
      </c>
      <c r="G353" t="s">
        <v>3141</v>
      </c>
      <c r="H353" t="s">
        <v>1247</v>
      </c>
      <c r="J353" s="455">
        <v>46071</v>
      </c>
      <c r="U353" s="455">
        <v>46102</v>
      </c>
    </row>
    <row r="354" spans="1:21">
      <c r="A354" t="s">
        <v>1751</v>
      </c>
      <c r="B354" t="s">
        <v>6407</v>
      </c>
      <c r="C354" t="s">
        <v>1751</v>
      </c>
      <c r="D354">
        <v>20454782</v>
      </c>
      <c r="E354" t="s">
        <v>1907</v>
      </c>
      <c r="F354" t="s">
        <v>1238</v>
      </c>
      <c r="G354" t="s">
        <v>3134</v>
      </c>
      <c r="H354" t="s">
        <v>1247</v>
      </c>
      <c r="I354" t="s">
        <v>6406</v>
      </c>
      <c r="J354" s="455">
        <v>46074</v>
      </c>
      <c r="K354" s="455">
        <v>46074</v>
      </c>
      <c r="L354" s="455">
        <v>46074</v>
      </c>
      <c r="U354" s="455">
        <v>46102</v>
      </c>
    </row>
    <row r="355" spans="1:21">
      <c r="A355" t="s">
        <v>1751</v>
      </c>
      <c r="B355" t="s">
        <v>8920</v>
      </c>
      <c r="C355" t="s">
        <v>1751</v>
      </c>
      <c r="D355">
        <v>20448505</v>
      </c>
      <c r="E355" t="s">
        <v>3128</v>
      </c>
      <c r="F355" t="s">
        <v>1239</v>
      </c>
      <c r="G355" t="s">
        <v>3143</v>
      </c>
      <c r="H355" t="s">
        <v>1252</v>
      </c>
      <c r="J355" s="455">
        <v>46066</v>
      </c>
      <c r="U355" s="455">
        <v>46066</v>
      </c>
    </row>
    <row r="356" spans="1:21">
      <c r="A356" t="s">
        <v>1751</v>
      </c>
      <c r="B356" t="s">
        <v>3915</v>
      </c>
      <c r="C356" t="s">
        <v>1751</v>
      </c>
      <c r="D356">
        <v>20441516</v>
      </c>
      <c r="E356" t="s">
        <v>1897</v>
      </c>
      <c r="F356" t="s">
        <v>1912</v>
      </c>
      <c r="G356" t="s">
        <v>3134</v>
      </c>
      <c r="H356" t="s">
        <v>1247</v>
      </c>
      <c r="I356" t="s">
        <v>1929</v>
      </c>
      <c r="J356" s="455">
        <v>46058</v>
      </c>
      <c r="K356" s="455">
        <v>46058</v>
      </c>
      <c r="U356" s="455">
        <v>46083</v>
      </c>
    </row>
    <row r="357" spans="1:21">
      <c r="A357" t="s">
        <v>1751</v>
      </c>
      <c r="B357" t="s">
        <v>8921</v>
      </c>
      <c r="C357" t="s">
        <v>1751</v>
      </c>
      <c r="D357">
        <v>20444573</v>
      </c>
      <c r="E357" t="s">
        <v>3128</v>
      </c>
      <c r="F357" t="s">
        <v>1241</v>
      </c>
      <c r="G357" t="s">
        <v>2009</v>
      </c>
      <c r="H357" t="s">
        <v>1247</v>
      </c>
      <c r="J357" s="455">
        <v>46063</v>
      </c>
      <c r="U357" s="455">
        <v>46113</v>
      </c>
    </row>
    <row r="358" spans="1:21">
      <c r="A358" t="s">
        <v>1751</v>
      </c>
      <c r="B358" t="s">
        <v>8922</v>
      </c>
      <c r="C358" t="s">
        <v>1751</v>
      </c>
      <c r="D358">
        <v>20449470</v>
      </c>
      <c r="E358" t="s">
        <v>3128</v>
      </c>
      <c r="F358" t="s">
        <v>1241</v>
      </c>
      <c r="G358" t="s">
        <v>3137</v>
      </c>
      <c r="H358" t="s">
        <v>1247</v>
      </c>
      <c r="J358" s="455">
        <v>46068</v>
      </c>
      <c r="U358" s="455">
        <v>46113</v>
      </c>
    </row>
    <row r="359" spans="1:21">
      <c r="A359" t="s">
        <v>1751</v>
      </c>
      <c r="B359" t="s">
        <v>8923</v>
      </c>
      <c r="C359" t="s">
        <v>1751</v>
      </c>
      <c r="D359">
        <v>20441182</v>
      </c>
      <c r="E359" t="s">
        <v>3128</v>
      </c>
      <c r="F359" t="s">
        <v>1241</v>
      </c>
      <c r="G359" t="s">
        <v>3141</v>
      </c>
      <c r="H359" t="s">
        <v>1247</v>
      </c>
      <c r="J359" s="455">
        <v>46057</v>
      </c>
      <c r="U359" s="455">
        <v>46174</v>
      </c>
    </row>
    <row r="360" spans="1:21">
      <c r="A360" t="s">
        <v>1751</v>
      </c>
      <c r="B360" t="s">
        <v>8924</v>
      </c>
      <c r="C360" t="s">
        <v>1751</v>
      </c>
      <c r="D360">
        <v>20441358</v>
      </c>
      <c r="E360" t="s">
        <v>3128</v>
      </c>
      <c r="F360" t="s">
        <v>1782</v>
      </c>
      <c r="G360" t="s">
        <v>3141</v>
      </c>
      <c r="H360" t="s">
        <v>1247</v>
      </c>
      <c r="J360" s="455">
        <v>46058</v>
      </c>
      <c r="U360" s="455">
        <v>46155</v>
      </c>
    </row>
    <row r="361" spans="1:21">
      <c r="A361" t="s">
        <v>1751</v>
      </c>
      <c r="B361" t="s">
        <v>8925</v>
      </c>
      <c r="C361" t="s">
        <v>1751</v>
      </c>
      <c r="D361">
        <v>20450443</v>
      </c>
      <c r="E361" t="s">
        <v>3128</v>
      </c>
      <c r="F361" t="s">
        <v>1782</v>
      </c>
      <c r="G361" t="s">
        <v>3137</v>
      </c>
      <c r="H361" t="s">
        <v>1247</v>
      </c>
      <c r="J361" s="455">
        <v>46070</v>
      </c>
      <c r="U361" s="455">
        <v>46113</v>
      </c>
    </row>
    <row r="362" spans="1:21">
      <c r="A362" t="s">
        <v>1751</v>
      </c>
      <c r="B362" t="s">
        <v>8926</v>
      </c>
      <c r="C362" t="s">
        <v>1751</v>
      </c>
      <c r="D362">
        <v>20456836</v>
      </c>
      <c r="E362" t="s">
        <v>3128</v>
      </c>
      <c r="F362" t="s">
        <v>1239</v>
      </c>
      <c r="G362" t="s">
        <v>3143</v>
      </c>
      <c r="H362" t="s">
        <v>1248</v>
      </c>
      <c r="J362" s="455">
        <v>46077</v>
      </c>
      <c r="U362" s="455">
        <v>46077</v>
      </c>
    </row>
    <row r="363" spans="1:21">
      <c r="A363" t="s">
        <v>1751</v>
      </c>
      <c r="B363" t="s">
        <v>8927</v>
      </c>
      <c r="C363" t="s">
        <v>1751</v>
      </c>
      <c r="D363">
        <v>20444324</v>
      </c>
      <c r="E363" t="s">
        <v>3190</v>
      </c>
      <c r="F363" t="s">
        <v>1239</v>
      </c>
      <c r="G363" t="s">
        <v>3143</v>
      </c>
      <c r="H363" t="s">
        <v>1248</v>
      </c>
      <c r="J363" s="455">
        <v>46063</v>
      </c>
      <c r="R363" s="455">
        <v>46063</v>
      </c>
      <c r="U363" s="455">
        <v>46063</v>
      </c>
    </row>
    <row r="364" spans="1:21">
      <c r="A364" t="s">
        <v>1751</v>
      </c>
      <c r="B364" t="s">
        <v>8928</v>
      </c>
      <c r="C364" t="s">
        <v>1751</v>
      </c>
      <c r="D364">
        <v>20452968</v>
      </c>
      <c r="E364" t="s">
        <v>3128</v>
      </c>
      <c r="F364" t="s">
        <v>1239</v>
      </c>
      <c r="G364" t="s">
        <v>3143</v>
      </c>
      <c r="H364" t="s">
        <v>1248</v>
      </c>
      <c r="J364" s="455">
        <v>46072</v>
      </c>
      <c r="U364" s="455">
        <v>46088</v>
      </c>
    </row>
    <row r="365" spans="1:21">
      <c r="A365" t="s">
        <v>1751</v>
      </c>
      <c r="B365" t="s">
        <v>8929</v>
      </c>
      <c r="C365" t="s">
        <v>1751</v>
      </c>
      <c r="D365">
        <v>20452027</v>
      </c>
      <c r="E365" t="s">
        <v>1907</v>
      </c>
      <c r="F365" t="s">
        <v>1237</v>
      </c>
      <c r="G365" t="s">
        <v>3143</v>
      </c>
      <c r="H365" t="s">
        <v>1248</v>
      </c>
      <c r="I365" t="s">
        <v>1947</v>
      </c>
      <c r="J365" s="455">
        <v>46071</v>
      </c>
      <c r="K365" s="455">
        <v>46078</v>
      </c>
      <c r="L365" s="455">
        <v>46079</v>
      </c>
      <c r="U365" s="455">
        <v>46086</v>
      </c>
    </row>
    <row r="366" spans="1:21">
      <c r="A366" t="s">
        <v>1751</v>
      </c>
      <c r="B366" t="s">
        <v>7180</v>
      </c>
      <c r="C366" t="s">
        <v>1751</v>
      </c>
      <c r="D366">
        <v>20444508</v>
      </c>
      <c r="E366" t="s">
        <v>1897</v>
      </c>
      <c r="F366" t="s">
        <v>1912</v>
      </c>
      <c r="G366" t="s">
        <v>3134</v>
      </c>
      <c r="H366" t="s">
        <v>1249</v>
      </c>
      <c r="J366" s="455">
        <v>46063</v>
      </c>
      <c r="K366" s="455">
        <v>46063</v>
      </c>
      <c r="U366" s="455">
        <v>46063</v>
      </c>
    </row>
    <row r="367" spans="1:21">
      <c r="A367" t="s">
        <v>1751</v>
      </c>
      <c r="B367" t="s">
        <v>8930</v>
      </c>
      <c r="C367" t="s">
        <v>1751</v>
      </c>
      <c r="D367">
        <v>20410046</v>
      </c>
      <c r="E367" t="s">
        <v>3190</v>
      </c>
      <c r="F367" t="s">
        <v>8652</v>
      </c>
      <c r="G367" t="s">
        <v>3143</v>
      </c>
      <c r="H367" t="s">
        <v>1248</v>
      </c>
      <c r="J367" s="455">
        <v>46010</v>
      </c>
      <c r="R367" s="455">
        <v>46058</v>
      </c>
      <c r="U367" s="455">
        <v>46010</v>
      </c>
    </row>
    <row r="368" spans="1:21">
      <c r="A368" t="s">
        <v>1751</v>
      </c>
      <c r="B368" t="s">
        <v>8931</v>
      </c>
      <c r="C368" t="s">
        <v>1751</v>
      </c>
      <c r="D368">
        <v>20442539</v>
      </c>
      <c r="E368" t="s">
        <v>3128</v>
      </c>
      <c r="F368" t="s">
        <v>1241</v>
      </c>
      <c r="G368" t="s">
        <v>3141</v>
      </c>
      <c r="H368" t="s">
        <v>1247</v>
      </c>
      <c r="J368" s="455">
        <v>46059</v>
      </c>
      <c r="U368" s="455">
        <v>46160</v>
      </c>
    </row>
    <row r="369" spans="1:21">
      <c r="A369" t="s">
        <v>1751</v>
      </c>
      <c r="B369" t="s">
        <v>8932</v>
      </c>
      <c r="C369" t="s">
        <v>1751</v>
      </c>
      <c r="D369">
        <v>20446847</v>
      </c>
      <c r="E369" t="s">
        <v>3128</v>
      </c>
      <c r="F369" t="s">
        <v>1238</v>
      </c>
      <c r="G369" t="s">
        <v>3143</v>
      </c>
      <c r="H369" t="s">
        <v>1248</v>
      </c>
      <c r="J369" s="455">
        <v>46064</v>
      </c>
      <c r="U369" s="455">
        <v>46064</v>
      </c>
    </row>
    <row r="370" spans="1:21">
      <c r="A370" t="s">
        <v>1751</v>
      </c>
      <c r="B370" t="s">
        <v>8933</v>
      </c>
      <c r="C370" t="s">
        <v>1751</v>
      </c>
      <c r="D370">
        <v>20449462</v>
      </c>
      <c r="E370" t="s">
        <v>3128</v>
      </c>
      <c r="F370" t="s">
        <v>1782</v>
      </c>
      <c r="G370" t="s">
        <v>2009</v>
      </c>
      <c r="H370" t="s">
        <v>1247</v>
      </c>
      <c r="J370" s="455">
        <v>46068</v>
      </c>
      <c r="U370" s="455">
        <v>46082</v>
      </c>
    </row>
    <row r="371" spans="1:21">
      <c r="A371" t="s">
        <v>1751</v>
      </c>
      <c r="B371" t="s">
        <v>8934</v>
      </c>
      <c r="C371" t="s">
        <v>1751</v>
      </c>
      <c r="D371">
        <v>20457433</v>
      </c>
      <c r="E371" t="s">
        <v>3128</v>
      </c>
      <c r="F371" t="s">
        <v>1782</v>
      </c>
      <c r="G371" t="s">
        <v>3129</v>
      </c>
      <c r="H371" t="s">
        <v>1252</v>
      </c>
      <c r="J371" s="455">
        <v>46078</v>
      </c>
      <c r="U371" s="455">
        <v>46081</v>
      </c>
    </row>
    <row r="372" spans="1:21">
      <c r="A372" t="s">
        <v>1751</v>
      </c>
      <c r="B372" t="s">
        <v>8935</v>
      </c>
      <c r="C372" t="s">
        <v>1751</v>
      </c>
      <c r="D372">
        <v>20458834</v>
      </c>
      <c r="E372" t="s">
        <v>3128</v>
      </c>
      <c r="F372" t="s">
        <v>1241</v>
      </c>
      <c r="G372" t="s">
        <v>2009</v>
      </c>
      <c r="H372" t="s">
        <v>1251</v>
      </c>
      <c r="J372" s="455">
        <v>46080</v>
      </c>
      <c r="U372" s="455">
        <v>46080</v>
      </c>
    </row>
    <row r="373" spans="1:21">
      <c r="A373" t="s">
        <v>1751</v>
      </c>
      <c r="B373" t="s">
        <v>8936</v>
      </c>
      <c r="C373" t="s">
        <v>1751</v>
      </c>
      <c r="D373">
        <v>20439638</v>
      </c>
      <c r="E373" t="s">
        <v>3128</v>
      </c>
      <c r="F373" t="s">
        <v>1239</v>
      </c>
      <c r="G373" t="s">
        <v>3143</v>
      </c>
      <c r="H373" t="s">
        <v>1248</v>
      </c>
      <c r="J373" s="455">
        <v>46055</v>
      </c>
      <c r="U373" s="455">
        <v>46055</v>
      </c>
    </row>
    <row r="374" spans="1:21">
      <c r="A374" t="s">
        <v>1751</v>
      </c>
      <c r="B374" t="s">
        <v>8937</v>
      </c>
      <c r="C374" t="s">
        <v>1751</v>
      </c>
      <c r="D374">
        <v>20448263</v>
      </c>
      <c r="E374" t="s">
        <v>3128</v>
      </c>
      <c r="F374" t="s">
        <v>1241</v>
      </c>
      <c r="G374" t="s">
        <v>3129</v>
      </c>
      <c r="H374" t="s">
        <v>1252</v>
      </c>
      <c r="J374" s="455">
        <v>46066</v>
      </c>
      <c r="U374" s="455">
        <v>46068</v>
      </c>
    </row>
    <row r="375" spans="1:21">
      <c r="A375" t="s">
        <v>1751</v>
      </c>
      <c r="B375" t="s">
        <v>3965</v>
      </c>
      <c r="C375" t="s">
        <v>1751</v>
      </c>
      <c r="D375">
        <v>20458502</v>
      </c>
      <c r="E375" t="s">
        <v>3128</v>
      </c>
      <c r="F375" t="s">
        <v>1782</v>
      </c>
      <c r="G375" t="s">
        <v>3137</v>
      </c>
      <c r="H375" t="s">
        <v>1247</v>
      </c>
      <c r="J375" s="455">
        <v>46079</v>
      </c>
      <c r="U375" s="455">
        <v>46110</v>
      </c>
    </row>
    <row r="376" spans="1:21">
      <c r="A376" t="s">
        <v>1751</v>
      </c>
      <c r="B376" t="s">
        <v>8938</v>
      </c>
      <c r="C376" t="s">
        <v>1751</v>
      </c>
      <c r="D376">
        <v>20444577</v>
      </c>
      <c r="E376" t="s">
        <v>3128</v>
      </c>
      <c r="F376" t="s">
        <v>1241</v>
      </c>
      <c r="G376" t="s">
        <v>2009</v>
      </c>
      <c r="H376" t="s">
        <v>1247</v>
      </c>
      <c r="J376" s="455">
        <v>46063</v>
      </c>
      <c r="U376" s="455">
        <v>46069</v>
      </c>
    </row>
    <row r="377" spans="1:21">
      <c r="A377" t="s">
        <v>1751</v>
      </c>
      <c r="B377" t="s">
        <v>8939</v>
      </c>
      <c r="C377" t="s">
        <v>1751</v>
      </c>
      <c r="D377">
        <v>20442594</v>
      </c>
      <c r="E377" t="s">
        <v>3128</v>
      </c>
      <c r="F377" t="s">
        <v>1241</v>
      </c>
      <c r="G377" t="s">
        <v>3141</v>
      </c>
      <c r="H377" t="s">
        <v>1247</v>
      </c>
      <c r="J377" s="455">
        <v>46060</v>
      </c>
      <c r="U377" s="455">
        <v>46191</v>
      </c>
    </row>
    <row r="378" spans="1:21">
      <c r="A378" t="s">
        <v>1751</v>
      </c>
      <c r="B378" t="s">
        <v>8940</v>
      </c>
      <c r="C378" t="s">
        <v>1751</v>
      </c>
      <c r="D378">
        <v>20455225</v>
      </c>
      <c r="E378" t="s">
        <v>3128</v>
      </c>
      <c r="F378" t="s">
        <v>1241</v>
      </c>
      <c r="G378" t="s">
        <v>3137</v>
      </c>
      <c r="H378" t="s">
        <v>1251</v>
      </c>
      <c r="J378" s="455">
        <v>46075</v>
      </c>
      <c r="U378" s="455">
        <v>46075</v>
      </c>
    </row>
    <row r="379" spans="1:21">
      <c r="A379" t="s">
        <v>1751</v>
      </c>
      <c r="B379" t="s">
        <v>8941</v>
      </c>
      <c r="C379" t="s">
        <v>1751</v>
      </c>
      <c r="D379">
        <v>20439220</v>
      </c>
      <c r="E379" t="s">
        <v>3128</v>
      </c>
      <c r="F379" t="s">
        <v>1238</v>
      </c>
      <c r="G379" t="s">
        <v>3129</v>
      </c>
      <c r="H379" t="s">
        <v>1252</v>
      </c>
      <c r="J379" s="455">
        <v>46055</v>
      </c>
      <c r="U379" s="455">
        <v>46060</v>
      </c>
    </row>
    <row r="380" spans="1:21">
      <c r="A380" t="s">
        <v>1751</v>
      </c>
      <c r="B380" t="s">
        <v>8942</v>
      </c>
      <c r="C380" t="s">
        <v>1751</v>
      </c>
      <c r="D380">
        <v>20411050</v>
      </c>
      <c r="E380" t="s">
        <v>3133</v>
      </c>
      <c r="F380" t="s">
        <v>1239</v>
      </c>
      <c r="G380" t="s">
        <v>3129</v>
      </c>
      <c r="H380" t="s">
        <v>3165</v>
      </c>
      <c r="I380" t="s">
        <v>1218</v>
      </c>
      <c r="J380" s="455">
        <v>46013</v>
      </c>
      <c r="K380" s="455">
        <v>46032</v>
      </c>
      <c r="L380" s="455">
        <v>46032</v>
      </c>
      <c r="S380" s="455">
        <v>46062</v>
      </c>
      <c r="U380" s="455">
        <v>46067</v>
      </c>
    </row>
    <row r="381" spans="1:21">
      <c r="A381" t="s">
        <v>1751</v>
      </c>
      <c r="B381" t="s">
        <v>8943</v>
      </c>
      <c r="C381" t="s">
        <v>1751</v>
      </c>
      <c r="D381">
        <v>20456299</v>
      </c>
      <c r="E381" t="s">
        <v>3128</v>
      </c>
      <c r="F381" t="s">
        <v>1782</v>
      </c>
      <c r="G381" t="s">
        <v>3141</v>
      </c>
      <c r="H381" t="s">
        <v>1247</v>
      </c>
      <c r="J381" s="455">
        <v>46077</v>
      </c>
      <c r="U381" s="455">
        <v>46082</v>
      </c>
    </row>
    <row r="382" spans="1:21">
      <c r="A382" t="s">
        <v>1751</v>
      </c>
      <c r="B382" t="s">
        <v>8944</v>
      </c>
      <c r="C382" t="s">
        <v>1751</v>
      </c>
      <c r="D382">
        <v>20454112</v>
      </c>
      <c r="E382" t="s">
        <v>1901</v>
      </c>
      <c r="F382" t="s">
        <v>1241</v>
      </c>
      <c r="G382" t="s">
        <v>3134</v>
      </c>
      <c r="H382" t="s">
        <v>1247</v>
      </c>
      <c r="I382" t="s">
        <v>2186</v>
      </c>
      <c r="J382" s="455">
        <v>46073</v>
      </c>
      <c r="K382" s="455">
        <v>46073</v>
      </c>
      <c r="L382" s="455">
        <v>46080</v>
      </c>
      <c r="U382" s="455">
        <v>46083</v>
      </c>
    </row>
    <row r="383" spans="1:21">
      <c r="A383" t="s">
        <v>1751</v>
      </c>
      <c r="B383" t="s">
        <v>8944</v>
      </c>
      <c r="C383" t="s">
        <v>1751</v>
      </c>
      <c r="D383">
        <v>20438122</v>
      </c>
      <c r="E383" t="s">
        <v>3133</v>
      </c>
      <c r="F383" t="s">
        <v>1238</v>
      </c>
      <c r="G383" t="s">
        <v>3134</v>
      </c>
      <c r="H383" t="s">
        <v>1247</v>
      </c>
      <c r="I383" t="s">
        <v>2186</v>
      </c>
      <c r="J383" s="455">
        <v>46052</v>
      </c>
      <c r="K383" s="455">
        <v>46052</v>
      </c>
      <c r="L383" s="455">
        <v>46052</v>
      </c>
      <c r="R383" s="455">
        <v>46079</v>
      </c>
      <c r="U383" s="455">
        <v>46076</v>
      </c>
    </row>
    <row r="384" spans="1:21">
      <c r="A384" t="s">
        <v>1751</v>
      </c>
      <c r="B384" t="s">
        <v>8945</v>
      </c>
      <c r="C384" t="s">
        <v>1751</v>
      </c>
      <c r="D384">
        <v>20443286</v>
      </c>
      <c r="E384" t="s">
        <v>3128</v>
      </c>
      <c r="F384" t="s">
        <v>1782</v>
      </c>
      <c r="G384" t="s">
        <v>3137</v>
      </c>
      <c r="H384" t="s">
        <v>1247</v>
      </c>
      <c r="J384" s="455">
        <v>46061</v>
      </c>
      <c r="U384" s="455">
        <v>46082</v>
      </c>
    </row>
    <row r="385" spans="1:21">
      <c r="A385" t="s">
        <v>1751</v>
      </c>
      <c r="B385" t="s">
        <v>8946</v>
      </c>
      <c r="C385" t="s">
        <v>1751</v>
      </c>
      <c r="D385">
        <v>20443131</v>
      </c>
      <c r="E385" t="s">
        <v>3128</v>
      </c>
      <c r="F385" t="s">
        <v>1782</v>
      </c>
      <c r="G385" t="s">
        <v>3141</v>
      </c>
      <c r="H385" t="s">
        <v>1247</v>
      </c>
      <c r="J385" s="455">
        <v>46061</v>
      </c>
      <c r="U385" s="455">
        <v>46112</v>
      </c>
    </row>
    <row r="386" spans="1:21">
      <c r="A386" t="s">
        <v>1751</v>
      </c>
      <c r="B386" t="s">
        <v>8947</v>
      </c>
      <c r="C386" t="s">
        <v>1751</v>
      </c>
      <c r="D386">
        <v>20446496</v>
      </c>
      <c r="E386" t="s">
        <v>3128</v>
      </c>
      <c r="F386" t="s">
        <v>1782</v>
      </c>
      <c r="G386" t="s">
        <v>3129</v>
      </c>
      <c r="H386" t="s">
        <v>1247</v>
      </c>
      <c r="J386" s="455">
        <v>46064</v>
      </c>
      <c r="U386" s="455">
        <v>46069</v>
      </c>
    </row>
    <row r="387" spans="1:21">
      <c r="A387" t="s">
        <v>1751</v>
      </c>
      <c r="B387" t="s">
        <v>8948</v>
      </c>
      <c r="C387" t="s">
        <v>1751</v>
      </c>
      <c r="D387">
        <v>20451683</v>
      </c>
      <c r="E387" t="s">
        <v>3128</v>
      </c>
      <c r="F387" t="s">
        <v>1782</v>
      </c>
      <c r="G387" t="s">
        <v>3141</v>
      </c>
      <c r="H387" t="s">
        <v>1247</v>
      </c>
      <c r="J387" s="455">
        <v>46071</v>
      </c>
      <c r="U387" s="455">
        <v>46073</v>
      </c>
    </row>
    <row r="388" spans="1:21">
      <c r="A388" t="s">
        <v>1751</v>
      </c>
      <c r="B388" t="s">
        <v>8949</v>
      </c>
      <c r="C388" t="s">
        <v>1751</v>
      </c>
      <c r="D388">
        <v>20441455</v>
      </c>
      <c r="E388" t="s">
        <v>3128</v>
      </c>
      <c r="F388" t="s">
        <v>1241</v>
      </c>
      <c r="G388" t="s">
        <v>3141</v>
      </c>
      <c r="H388" t="s">
        <v>1247</v>
      </c>
      <c r="J388" s="455">
        <v>46058</v>
      </c>
      <c r="U388" s="455">
        <v>46058</v>
      </c>
    </row>
    <row r="389" spans="1:21">
      <c r="A389" t="s">
        <v>1751</v>
      </c>
      <c r="B389" t="s">
        <v>8950</v>
      </c>
      <c r="C389" t="s">
        <v>1751</v>
      </c>
      <c r="D389">
        <v>20441640</v>
      </c>
      <c r="E389" t="s">
        <v>3128</v>
      </c>
      <c r="F389" t="s">
        <v>1241</v>
      </c>
      <c r="G389" t="s">
        <v>3137</v>
      </c>
      <c r="H389" t="s">
        <v>1251</v>
      </c>
      <c r="J389" s="455">
        <v>46058</v>
      </c>
      <c r="U389" s="455">
        <v>46082</v>
      </c>
    </row>
    <row r="390" spans="1:21">
      <c r="A390" t="s">
        <v>1751</v>
      </c>
      <c r="B390" t="s">
        <v>8951</v>
      </c>
      <c r="C390" t="s">
        <v>1751</v>
      </c>
      <c r="D390">
        <v>20456041</v>
      </c>
      <c r="E390" t="s">
        <v>3128</v>
      </c>
      <c r="F390" t="s">
        <v>1782</v>
      </c>
      <c r="G390" t="s">
        <v>3141</v>
      </c>
      <c r="H390" t="s">
        <v>1248</v>
      </c>
      <c r="J390" s="455">
        <v>46076</v>
      </c>
      <c r="U390" s="455">
        <v>46146</v>
      </c>
    </row>
    <row r="391" spans="1:21">
      <c r="A391" t="s">
        <v>1751</v>
      </c>
      <c r="B391" t="s">
        <v>8952</v>
      </c>
      <c r="C391" t="s">
        <v>1751</v>
      </c>
      <c r="D391">
        <v>20449315</v>
      </c>
      <c r="E391" t="s">
        <v>3128</v>
      </c>
      <c r="F391" t="s">
        <v>1782</v>
      </c>
      <c r="G391" t="s">
        <v>2009</v>
      </c>
      <c r="H391" t="s">
        <v>1247</v>
      </c>
      <c r="J391" s="455">
        <v>46068</v>
      </c>
      <c r="U391" s="455">
        <v>46143</v>
      </c>
    </row>
    <row r="392" spans="1:21">
      <c r="A392" t="s">
        <v>1751</v>
      </c>
      <c r="B392" t="s">
        <v>8953</v>
      </c>
      <c r="C392" t="s">
        <v>1751</v>
      </c>
      <c r="D392">
        <v>20453911</v>
      </c>
      <c r="E392" t="s">
        <v>3128</v>
      </c>
      <c r="F392" t="s">
        <v>1239</v>
      </c>
      <c r="G392" t="s">
        <v>3129</v>
      </c>
      <c r="H392" t="s">
        <v>1253</v>
      </c>
      <c r="J392" s="455">
        <v>46073</v>
      </c>
      <c r="U392" s="455">
        <v>46096</v>
      </c>
    </row>
    <row r="393" spans="1:21">
      <c r="A393" t="s">
        <v>1751</v>
      </c>
      <c r="B393" t="s">
        <v>8954</v>
      </c>
      <c r="C393" t="s">
        <v>1751</v>
      </c>
      <c r="D393">
        <v>20444539</v>
      </c>
      <c r="E393" t="s">
        <v>3128</v>
      </c>
      <c r="F393" t="s">
        <v>1241</v>
      </c>
      <c r="G393" t="s">
        <v>2009</v>
      </c>
      <c r="H393" t="s">
        <v>1247</v>
      </c>
      <c r="J393" s="455">
        <v>46063</v>
      </c>
      <c r="U393" s="455">
        <v>46113</v>
      </c>
    </row>
    <row r="394" spans="1:21">
      <c r="A394" t="s">
        <v>1751</v>
      </c>
      <c r="B394" t="s">
        <v>8955</v>
      </c>
      <c r="C394" t="s">
        <v>1751</v>
      </c>
      <c r="D394">
        <v>20447638</v>
      </c>
      <c r="E394" t="s">
        <v>3128</v>
      </c>
      <c r="F394" t="s">
        <v>1241</v>
      </c>
      <c r="G394" t="s">
        <v>2009</v>
      </c>
      <c r="H394" t="s">
        <v>1251</v>
      </c>
      <c r="J394" s="455">
        <v>46065</v>
      </c>
      <c r="U394" s="455">
        <v>46174</v>
      </c>
    </row>
    <row r="395" spans="1:21">
      <c r="A395" t="s">
        <v>1751</v>
      </c>
      <c r="B395" t="s">
        <v>8956</v>
      </c>
      <c r="C395" t="s">
        <v>1751</v>
      </c>
      <c r="D395">
        <v>20443375</v>
      </c>
      <c r="E395" t="s">
        <v>3190</v>
      </c>
      <c r="F395" t="s">
        <v>1241</v>
      </c>
      <c r="G395" t="s">
        <v>3137</v>
      </c>
      <c r="H395" t="s">
        <v>1247</v>
      </c>
      <c r="I395" t="s">
        <v>3703</v>
      </c>
      <c r="J395" s="455">
        <v>46061</v>
      </c>
      <c r="R395" s="455">
        <v>46067</v>
      </c>
      <c r="U395" s="455">
        <v>46102</v>
      </c>
    </row>
    <row r="396" spans="1:21">
      <c r="A396" t="s">
        <v>1751</v>
      </c>
      <c r="B396" t="s">
        <v>1906</v>
      </c>
      <c r="C396" t="s">
        <v>1751</v>
      </c>
      <c r="D396">
        <v>20442666</v>
      </c>
      <c r="E396" t="s">
        <v>1907</v>
      </c>
      <c r="F396" t="s">
        <v>1238</v>
      </c>
      <c r="G396" t="s">
        <v>3134</v>
      </c>
      <c r="H396" t="s">
        <v>1252</v>
      </c>
      <c r="I396" t="s">
        <v>1905</v>
      </c>
      <c r="J396" s="455">
        <v>46060</v>
      </c>
      <c r="K396" s="455">
        <v>46060</v>
      </c>
      <c r="L396" s="455">
        <v>46060</v>
      </c>
      <c r="M396" s="455">
        <v>46073</v>
      </c>
      <c r="U396" s="455">
        <v>46084</v>
      </c>
    </row>
    <row r="397" spans="1:21">
      <c r="A397" t="s">
        <v>1751</v>
      </c>
      <c r="B397" t="s">
        <v>8957</v>
      </c>
      <c r="C397" t="s">
        <v>1751</v>
      </c>
      <c r="D397">
        <v>20455996</v>
      </c>
      <c r="E397" t="s">
        <v>3128</v>
      </c>
      <c r="F397" t="s">
        <v>1237</v>
      </c>
      <c r="G397" t="s">
        <v>3143</v>
      </c>
      <c r="H397" t="s">
        <v>1247</v>
      </c>
      <c r="J397" s="455">
        <v>46076</v>
      </c>
      <c r="U397" s="455">
        <v>46076</v>
      </c>
    </row>
    <row r="398" spans="1:21">
      <c r="A398" t="s">
        <v>1751</v>
      </c>
      <c r="B398" t="s">
        <v>8958</v>
      </c>
      <c r="C398" t="s">
        <v>1751</v>
      </c>
      <c r="D398">
        <v>20455647</v>
      </c>
      <c r="E398" t="s">
        <v>3128</v>
      </c>
      <c r="F398" t="s">
        <v>1237</v>
      </c>
      <c r="G398" t="s">
        <v>3143</v>
      </c>
      <c r="H398" t="s">
        <v>1248</v>
      </c>
      <c r="J398" s="455">
        <v>46076</v>
      </c>
      <c r="U398" s="455">
        <v>46076</v>
      </c>
    </row>
    <row r="399" spans="1:21">
      <c r="A399" t="s">
        <v>1751</v>
      </c>
      <c r="B399" t="s">
        <v>8959</v>
      </c>
      <c r="C399" t="s">
        <v>1751</v>
      </c>
      <c r="D399">
        <v>20443308</v>
      </c>
      <c r="E399" t="s">
        <v>3128</v>
      </c>
      <c r="F399" t="s">
        <v>1782</v>
      </c>
      <c r="G399" t="s">
        <v>3141</v>
      </c>
      <c r="H399" t="s">
        <v>1247</v>
      </c>
      <c r="J399" s="455">
        <v>46061</v>
      </c>
      <c r="U399" s="455">
        <v>46153</v>
      </c>
    </row>
    <row r="400" spans="1:21">
      <c r="A400" t="s">
        <v>1751</v>
      </c>
      <c r="B400" t="s">
        <v>8960</v>
      </c>
      <c r="C400" t="s">
        <v>1751</v>
      </c>
      <c r="D400">
        <v>20453276</v>
      </c>
      <c r="E400" t="s">
        <v>3128</v>
      </c>
      <c r="F400" t="s">
        <v>8652</v>
      </c>
      <c r="G400" t="s">
        <v>3143</v>
      </c>
      <c r="H400" t="s">
        <v>3515</v>
      </c>
      <c r="J400" s="455">
        <v>46072</v>
      </c>
      <c r="U400" s="455">
        <v>46112</v>
      </c>
    </row>
    <row r="401" spans="1:21">
      <c r="A401" t="s">
        <v>1751</v>
      </c>
      <c r="B401" t="s">
        <v>1920</v>
      </c>
      <c r="C401" t="s">
        <v>1751</v>
      </c>
      <c r="D401">
        <v>20448815</v>
      </c>
      <c r="E401" t="s">
        <v>1897</v>
      </c>
      <c r="F401" t="s">
        <v>1241</v>
      </c>
      <c r="G401" t="s">
        <v>2009</v>
      </c>
      <c r="H401" t="s">
        <v>1247</v>
      </c>
      <c r="I401" t="s">
        <v>1524</v>
      </c>
      <c r="J401" s="455">
        <v>46066</v>
      </c>
      <c r="K401" s="455">
        <v>46072</v>
      </c>
      <c r="U401" s="455">
        <v>46097</v>
      </c>
    </row>
    <row r="402" spans="1:21">
      <c r="A402" t="s">
        <v>1751</v>
      </c>
      <c r="B402" t="s">
        <v>1920</v>
      </c>
      <c r="C402" t="s">
        <v>1751</v>
      </c>
      <c r="D402">
        <v>20453635</v>
      </c>
      <c r="E402" t="s">
        <v>1907</v>
      </c>
      <c r="F402" t="s">
        <v>1239</v>
      </c>
      <c r="G402" t="s">
        <v>3134</v>
      </c>
      <c r="H402" t="s">
        <v>1252</v>
      </c>
      <c r="I402" t="s">
        <v>1919</v>
      </c>
      <c r="J402" s="455">
        <v>46072</v>
      </c>
      <c r="K402" s="455">
        <v>46072</v>
      </c>
      <c r="L402" s="455">
        <v>46072</v>
      </c>
      <c r="O402" s="455">
        <v>46101</v>
      </c>
      <c r="U402" s="455">
        <v>46090</v>
      </c>
    </row>
    <row r="403" spans="1:21">
      <c r="A403" t="s">
        <v>1751</v>
      </c>
      <c r="B403" t="s">
        <v>8961</v>
      </c>
      <c r="C403" t="s">
        <v>1751</v>
      </c>
      <c r="D403">
        <v>20443300</v>
      </c>
      <c r="E403" t="s">
        <v>3128</v>
      </c>
      <c r="F403" t="s">
        <v>1782</v>
      </c>
      <c r="G403" t="s">
        <v>3137</v>
      </c>
      <c r="H403" t="s">
        <v>1247</v>
      </c>
      <c r="J403" s="455">
        <v>46061</v>
      </c>
      <c r="U403" s="455">
        <v>46082</v>
      </c>
    </row>
    <row r="404" spans="1:21">
      <c r="A404" t="s">
        <v>1751</v>
      </c>
      <c r="B404" t="s">
        <v>8962</v>
      </c>
      <c r="C404" t="s">
        <v>1751</v>
      </c>
      <c r="D404">
        <v>20409813</v>
      </c>
      <c r="E404" t="s">
        <v>3190</v>
      </c>
      <c r="F404" t="s">
        <v>1239</v>
      </c>
      <c r="G404" t="s">
        <v>3143</v>
      </c>
      <c r="H404" t="s">
        <v>1248</v>
      </c>
      <c r="J404" s="455">
        <v>46010</v>
      </c>
      <c r="R404" s="455">
        <v>46058</v>
      </c>
      <c r="U404" s="455">
        <v>46010</v>
      </c>
    </row>
    <row r="405" spans="1:21">
      <c r="A405" t="s">
        <v>1751</v>
      </c>
      <c r="B405" t="s">
        <v>8963</v>
      </c>
      <c r="C405" t="s">
        <v>1751</v>
      </c>
      <c r="D405">
        <v>20442460</v>
      </c>
      <c r="E405" t="s">
        <v>3128</v>
      </c>
      <c r="F405" t="s">
        <v>1241</v>
      </c>
      <c r="G405" t="s">
        <v>3141</v>
      </c>
      <c r="H405" t="s">
        <v>1247</v>
      </c>
      <c r="J405" s="455">
        <v>46059</v>
      </c>
      <c r="U405" s="455">
        <v>46061</v>
      </c>
    </row>
    <row r="406" spans="1:21">
      <c r="A406" t="s">
        <v>1751</v>
      </c>
      <c r="B406" t="s">
        <v>8964</v>
      </c>
      <c r="C406" t="s">
        <v>1751</v>
      </c>
      <c r="D406">
        <v>20448322</v>
      </c>
      <c r="E406" t="s">
        <v>3128</v>
      </c>
      <c r="F406" t="s">
        <v>1782</v>
      </c>
      <c r="G406" t="s">
        <v>3129</v>
      </c>
      <c r="H406" t="s">
        <v>3131</v>
      </c>
      <c r="J406" s="455">
        <v>46066</v>
      </c>
      <c r="U406" s="455">
        <v>46066</v>
      </c>
    </row>
    <row r="407" spans="1:21">
      <c r="A407" t="s">
        <v>1751</v>
      </c>
      <c r="B407" t="s">
        <v>4040</v>
      </c>
      <c r="C407" t="s">
        <v>1751</v>
      </c>
      <c r="D407">
        <v>20459091</v>
      </c>
      <c r="E407" t="s">
        <v>3128</v>
      </c>
      <c r="F407" t="s">
        <v>1237</v>
      </c>
      <c r="G407" t="s">
        <v>3143</v>
      </c>
      <c r="H407" t="s">
        <v>1248</v>
      </c>
      <c r="J407" s="455">
        <v>46080</v>
      </c>
      <c r="U407" s="455">
        <v>46080</v>
      </c>
    </row>
    <row r="408" spans="1:21">
      <c r="A408" t="s">
        <v>1751</v>
      </c>
      <c r="B408" t="s">
        <v>8965</v>
      </c>
      <c r="C408" t="s">
        <v>1751</v>
      </c>
      <c r="D408">
        <v>20446038</v>
      </c>
      <c r="E408" t="s">
        <v>3128</v>
      </c>
      <c r="F408" t="s">
        <v>1241</v>
      </c>
      <c r="G408" t="s">
        <v>2009</v>
      </c>
      <c r="H408" t="s">
        <v>1247</v>
      </c>
      <c r="J408" s="455">
        <v>46064</v>
      </c>
      <c r="U408" s="455">
        <v>46082</v>
      </c>
    </row>
    <row r="409" spans="1:21">
      <c r="A409" t="s">
        <v>1751</v>
      </c>
      <c r="B409" t="s">
        <v>8966</v>
      </c>
      <c r="C409" t="s">
        <v>1751</v>
      </c>
      <c r="D409">
        <v>20409572</v>
      </c>
      <c r="E409" t="s">
        <v>3190</v>
      </c>
      <c r="F409" t="s">
        <v>1238</v>
      </c>
      <c r="G409" t="s">
        <v>3137</v>
      </c>
      <c r="H409" t="s">
        <v>1252</v>
      </c>
      <c r="J409" s="455">
        <v>46009</v>
      </c>
      <c r="R409" s="455">
        <v>46055</v>
      </c>
      <c r="U409" s="455">
        <v>46009</v>
      </c>
    </row>
    <row r="410" spans="1:21">
      <c r="A410" t="s">
        <v>1751</v>
      </c>
      <c r="B410" t="s">
        <v>8967</v>
      </c>
      <c r="C410" t="s">
        <v>1751</v>
      </c>
      <c r="D410">
        <v>20455772</v>
      </c>
      <c r="E410" t="s">
        <v>1907</v>
      </c>
      <c r="F410" t="s">
        <v>1239</v>
      </c>
      <c r="G410" t="s">
        <v>3129</v>
      </c>
      <c r="H410" t="s">
        <v>3358</v>
      </c>
      <c r="I410" t="s">
        <v>1821</v>
      </c>
      <c r="J410" s="455">
        <v>46076</v>
      </c>
      <c r="K410" s="455">
        <v>46076</v>
      </c>
      <c r="L410" s="455">
        <v>46078</v>
      </c>
      <c r="U410" s="455">
        <v>46109</v>
      </c>
    </row>
    <row r="411" spans="1:21">
      <c r="A411" t="s">
        <v>1751</v>
      </c>
      <c r="B411" t="s">
        <v>8968</v>
      </c>
      <c r="C411" t="s">
        <v>1751</v>
      </c>
      <c r="D411">
        <v>20449671</v>
      </c>
      <c r="E411" t="s">
        <v>1897</v>
      </c>
      <c r="F411" t="s">
        <v>1239</v>
      </c>
      <c r="G411" t="s">
        <v>3134</v>
      </c>
      <c r="H411" t="s">
        <v>1249</v>
      </c>
      <c r="I411" t="s">
        <v>3258</v>
      </c>
      <c r="J411" s="455">
        <v>46069</v>
      </c>
      <c r="K411" s="455">
        <v>46069</v>
      </c>
      <c r="U411" s="455">
        <v>46077</v>
      </c>
    </row>
    <row r="412" spans="1:21">
      <c r="A412" t="s">
        <v>1751</v>
      </c>
      <c r="B412" t="s">
        <v>8969</v>
      </c>
      <c r="C412" t="s">
        <v>1751</v>
      </c>
      <c r="D412">
        <v>20443976</v>
      </c>
      <c r="E412" t="s">
        <v>3190</v>
      </c>
      <c r="F412" t="s">
        <v>1799</v>
      </c>
      <c r="G412" t="s">
        <v>3141</v>
      </c>
      <c r="H412" t="s">
        <v>3165</v>
      </c>
      <c r="J412" s="455">
        <v>46062</v>
      </c>
      <c r="R412" s="455">
        <v>46062</v>
      </c>
      <c r="U412" s="455">
        <v>46062</v>
      </c>
    </row>
    <row r="413" spans="1:21">
      <c r="A413" t="s">
        <v>1751</v>
      </c>
      <c r="B413" t="s">
        <v>8970</v>
      </c>
      <c r="C413" t="s">
        <v>1751</v>
      </c>
      <c r="D413">
        <v>20442136</v>
      </c>
      <c r="E413" t="s">
        <v>3128</v>
      </c>
      <c r="F413" t="s">
        <v>1782</v>
      </c>
      <c r="G413" t="s">
        <v>3143</v>
      </c>
      <c r="H413" t="s">
        <v>3515</v>
      </c>
      <c r="I413" t="s">
        <v>1831</v>
      </c>
      <c r="J413" s="455">
        <v>46059</v>
      </c>
      <c r="U413" s="455">
        <v>46059</v>
      </c>
    </row>
    <row r="414" spans="1:21">
      <c r="A414" t="s">
        <v>1751</v>
      </c>
      <c r="B414" t="s">
        <v>8971</v>
      </c>
      <c r="C414" t="s">
        <v>1751</v>
      </c>
      <c r="D414">
        <v>20441280</v>
      </c>
      <c r="E414" t="s">
        <v>3128</v>
      </c>
      <c r="F414" t="s">
        <v>1241</v>
      </c>
      <c r="G414" t="s">
        <v>3141</v>
      </c>
      <c r="H414" t="s">
        <v>1247</v>
      </c>
      <c r="J414" s="455">
        <v>46057</v>
      </c>
      <c r="U414" s="455">
        <v>46061</v>
      </c>
    </row>
    <row r="415" spans="1:21">
      <c r="A415" t="s">
        <v>1751</v>
      </c>
      <c r="B415" t="s">
        <v>8972</v>
      </c>
      <c r="C415" t="s">
        <v>1751</v>
      </c>
      <c r="D415">
        <v>20444526</v>
      </c>
      <c r="E415" t="s">
        <v>3128</v>
      </c>
      <c r="F415" t="s">
        <v>1782</v>
      </c>
      <c r="G415" t="s">
        <v>3137</v>
      </c>
      <c r="H415" t="s">
        <v>1251</v>
      </c>
      <c r="J415" s="455">
        <v>46063</v>
      </c>
      <c r="U415" s="455">
        <v>46063</v>
      </c>
    </row>
    <row r="416" spans="1:21">
      <c r="A416" t="s">
        <v>1751</v>
      </c>
      <c r="B416" t="s">
        <v>8973</v>
      </c>
      <c r="C416" t="s">
        <v>1751</v>
      </c>
      <c r="D416">
        <v>20442643</v>
      </c>
      <c r="E416" t="s">
        <v>3128</v>
      </c>
      <c r="F416" t="s">
        <v>1782</v>
      </c>
      <c r="G416" t="s">
        <v>3137</v>
      </c>
      <c r="H416" t="s">
        <v>1247</v>
      </c>
      <c r="J416" s="455">
        <v>46060</v>
      </c>
      <c r="U416" s="455">
        <v>46114</v>
      </c>
    </row>
    <row r="417" spans="1:21">
      <c r="A417" t="s">
        <v>1751</v>
      </c>
      <c r="B417" t="s">
        <v>8974</v>
      </c>
      <c r="C417" t="s">
        <v>1751</v>
      </c>
      <c r="D417">
        <v>20453904</v>
      </c>
      <c r="E417" t="s">
        <v>1897</v>
      </c>
      <c r="F417" t="s">
        <v>1912</v>
      </c>
      <c r="G417" t="s">
        <v>3134</v>
      </c>
      <c r="H417" t="s">
        <v>1251</v>
      </c>
      <c r="J417" s="455">
        <v>46073</v>
      </c>
      <c r="K417" s="455">
        <v>46073</v>
      </c>
      <c r="U417" s="455">
        <v>46081</v>
      </c>
    </row>
    <row r="418" spans="1:21">
      <c r="A418" t="s">
        <v>1751</v>
      </c>
      <c r="B418" t="s">
        <v>8974</v>
      </c>
      <c r="C418" t="s">
        <v>1751</v>
      </c>
      <c r="D418">
        <v>20451880</v>
      </c>
      <c r="E418" t="s">
        <v>3133</v>
      </c>
      <c r="F418" t="s">
        <v>8652</v>
      </c>
      <c r="G418" t="s">
        <v>3143</v>
      </c>
      <c r="H418" t="s">
        <v>1251</v>
      </c>
      <c r="J418" s="455">
        <v>46071</v>
      </c>
      <c r="K418" s="455">
        <v>46073</v>
      </c>
      <c r="R418" s="455">
        <v>46074</v>
      </c>
      <c r="U418" s="455">
        <v>46071</v>
      </c>
    </row>
    <row r="419" spans="1:21">
      <c r="A419" t="s">
        <v>1751</v>
      </c>
      <c r="B419" t="s">
        <v>8975</v>
      </c>
      <c r="C419" t="s">
        <v>1751</v>
      </c>
      <c r="D419">
        <v>20455603</v>
      </c>
      <c r="E419" t="s">
        <v>3128</v>
      </c>
      <c r="F419" t="s">
        <v>1241</v>
      </c>
      <c r="G419" t="s">
        <v>3129</v>
      </c>
      <c r="H419" t="s">
        <v>3131</v>
      </c>
      <c r="J419" s="455">
        <v>46076</v>
      </c>
      <c r="U419" s="455">
        <v>46167</v>
      </c>
    </row>
    <row r="420" spans="1:21">
      <c r="A420" t="s">
        <v>1751</v>
      </c>
      <c r="B420" t="s">
        <v>4062</v>
      </c>
      <c r="C420" t="s">
        <v>1751</v>
      </c>
      <c r="D420">
        <v>20457011</v>
      </c>
      <c r="E420" t="s">
        <v>1897</v>
      </c>
      <c r="F420" t="s">
        <v>1912</v>
      </c>
      <c r="G420" t="s">
        <v>3134</v>
      </c>
      <c r="H420" t="s">
        <v>1247</v>
      </c>
      <c r="J420" s="455">
        <v>46077</v>
      </c>
      <c r="K420" s="455">
        <v>46077</v>
      </c>
      <c r="U420" s="455">
        <v>46077</v>
      </c>
    </row>
    <row r="421" spans="1:21">
      <c r="A421" t="s">
        <v>1751</v>
      </c>
      <c r="B421" t="s">
        <v>8976</v>
      </c>
      <c r="C421" t="s">
        <v>1751</v>
      </c>
      <c r="D421">
        <v>20450764</v>
      </c>
      <c r="E421" t="s">
        <v>3128</v>
      </c>
      <c r="F421" t="s">
        <v>8652</v>
      </c>
      <c r="G421" t="s">
        <v>3143</v>
      </c>
      <c r="H421" t="s">
        <v>1248</v>
      </c>
      <c r="J421" s="455">
        <v>46070</v>
      </c>
      <c r="U421" s="455">
        <v>46070</v>
      </c>
    </row>
    <row r="422" spans="1:21">
      <c r="A422" t="s">
        <v>1751</v>
      </c>
      <c r="B422" t="s">
        <v>8977</v>
      </c>
      <c r="C422" t="s">
        <v>1751</v>
      </c>
      <c r="D422">
        <v>20455558</v>
      </c>
      <c r="E422" t="s">
        <v>3128</v>
      </c>
      <c r="F422" t="s">
        <v>1239</v>
      </c>
      <c r="G422" t="s">
        <v>3129</v>
      </c>
      <c r="H422" t="s">
        <v>1253</v>
      </c>
      <c r="J422" s="455">
        <v>46076</v>
      </c>
      <c r="U422" s="455">
        <v>46143</v>
      </c>
    </row>
    <row r="423" spans="1:21">
      <c r="A423" t="s">
        <v>1751</v>
      </c>
      <c r="B423" t="s">
        <v>8978</v>
      </c>
      <c r="C423" t="s">
        <v>1751</v>
      </c>
      <c r="D423">
        <v>20448070</v>
      </c>
      <c r="E423" t="s">
        <v>3128</v>
      </c>
      <c r="F423" t="s">
        <v>1782</v>
      </c>
      <c r="G423" t="s">
        <v>3137</v>
      </c>
      <c r="H423" t="s">
        <v>1247</v>
      </c>
      <c r="J423" s="455">
        <v>46065</v>
      </c>
      <c r="U423" s="455">
        <v>46132</v>
      </c>
    </row>
    <row r="424" spans="1:21">
      <c r="A424" t="s">
        <v>1751</v>
      </c>
      <c r="B424" t="s">
        <v>8979</v>
      </c>
      <c r="C424" t="s">
        <v>1751</v>
      </c>
      <c r="D424">
        <v>20452708</v>
      </c>
      <c r="E424" t="s">
        <v>1897</v>
      </c>
      <c r="F424" t="s">
        <v>1912</v>
      </c>
      <c r="G424" t="s">
        <v>3134</v>
      </c>
      <c r="H424" t="s">
        <v>1247</v>
      </c>
      <c r="J424" s="455">
        <v>46071</v>
      </c>
      <c r="K424" s="455">
        <v>46071</v>
      </c>
      <c r="U424" s="455">
        <v>46071</v>
      </c>
    </row>
    <row r="425" spans="1:21">
      <c r="A425" t="s">
        <v>1751</v>
      </c>
      <c r="B425" t="s">
        <v>8980</v>
      </c>
      <c r="C425" t="s">
        <v>1751</v>
      </c>
      <c r="D425">
        <v>20440228</v>
      </c>
      <c r="E425" t="s">
        <v>3128</v>
      </c>
      <c r="F425" t="s">
        <v>1238</v>
      </c>
      <c r="G425" t="s">
        <v>2009</v>
      </c>
      <c r="H425" t="s">
        <v>1251</v>
      </c>
      <c r="J425" s="455">
        <v>46056</v>
      </c>
      <c r="U425" s="455">
        <v>46090</v>
      </c>
    </row>
    <row r="426" spans="1:21">
      <c r="A426" t="s">
        <v>1751</v>
      </c>
      <c r="B426" t="s">
        <v>8981</v>
      </c>
      <c r="C426" t="s">
        <v>1751</v>
      </c>
      <c r="D426">
        <v>20444241</v>
      </c>
      <c r="E426" t="s">
        <v>3128</v>
      </c>
      <c r="F426" t="s">
        <v>1782</v>
      </c>
      <c r="G426" t="s">
        <v>3129</v>
      </c>
      <c r="H426" t="s">
        <v>1252</v>
      </c>
      <c r="J426" s="455">
        <v>46063</v>
      </c>
      <c r="U426" s="455">
        <v>46073</v>
      </c>
    </row>
    <row r="427" spans="1:21">
      <c r="A427" t="s">
        <v>1751</v>
      </c>
      <c r="B427" t="s">
        <v>8982</v>
      </c>
      <c r="C427" t="s">
        <v>1751</v>
      </c>
      <c r="D427">
        <v>20441394</v>
      </c>
      <c r="E427" t="s">
        <v>3128</v>
      </c>
      <c r="F427" t="s">
        <v>1782</v>
      </c>
      <c r="G427" t="s">
        <v>3129</v>
      </c>
      <c r="H427" t="s">
        <v>1252</v>
      </c>
      <c r="J427" s="455">
        <v>46058</v>
      </c>
      <c r="U427" s="455">
        <v>46082</v>
      </c>
    </row>
    <row r="428" spans="1:21">
      <c r="A428" t="s">
        <v>1751</v>
      </c>
      <c r="B428" t="s">
        <v>8982</v>
      </c>
      <c r="C428" t="s">
        <v>1751</v>
      </c>
      <c r="D428">
        <v>20450683</v>
      </c>
      <c r="E428" t="s">
        <v>3128</v>
      </c>
      <c r="F428" t="s">
        <v>1782</v>
      </c>
      <c r="G428" t="s">
        <v>3129</v>
      </c>
      <c r="H428" t="s">
        <v>3131</v>
      </c>
      <c r="J428" s="455">
        <v>46070</v>
      </c>
      <c r="U428" s="455">
        <v>46070</v>
      </c>
    </row>
    <row r="429" spans="1:21">
      <c r="A429" t="s">
        <v>1751</v>
      </c>
      <c r="B429" t="s">
        <v>8983</v>
      </c>
      <c r="C429" t="s">
        <v>1751</v>
      </c>
      <c r="D429">
        <v>20445944</v>
      </c>
      <c r="E429" t="s">
        <v>3128</v>
      </c>
      <c r="F429" t="s">
        <v>1782</v>
      </c>
      <c r="G429" t="s">
        <v>3129</v>
      </c>
      <c r="H429" t="s">
        <v>3131</v>
      </c>
      <c r="J429" s="455">
        <v>46064</v>
      </c>
      <c r="U429" s="455">
        <v>46064</v>
      </c>
    </row>
    <row r="430" spans="1:21">
      <c r="A430" t="s">
        <v>1751</v>
      </c>
      <c r="B430" t="s">
        <v>8984</v>
      </c>
      <c r="C430" t="s">
        <v>1751</v>
      </c>
      <c r="D430">
        <v>20447991</v>
      </c>
      <c r="E430" t="s">
        <v>3128</v>
      </c>
      <c r="F430" t="s">
        <v>1782</v>
      </c>
      <c r="G430" t="s">
        <v>3129</v>
      </c>
      <c r="H430" t="s">
        <v>3131</v>
      </c>
      <c r="J430" s="455">
        <v>46065</v>
      </c>
      <c r="U430" s="455">
        <v>46065</v>
      </c>
    </row>
    <row r="431" spans="1:21">
      <c r="A431" t="s">
        <v>1751</v>
      </c>
      <c r="B431" t="s">
        <v>8984</v>
      </c>
      <c r="C431" t="s">
        <v>1751</v>
      </c>
      <c r="D431">
        <v>20447693</v>
      </c>
      <c r="E431" t="s">
        <v>3128</v>
      </c>
      <c r="F431" t="s">
        <v>1782</v>
      </c>
      <c r="G431" t="s">
        <v>3129</v>
      </c>
      <c r="H431" t="s">
        <v>1253</v>
      </c>
      <c r="J431" s="455">
        <v>46065</v>
      </c>
      <c r="U431" s="455">
        <v>46065</v>
      </c>
    </row>
    <row r="432" spans="1:21">
      <c r="A432" t="s">
        <v>1751</v>
      </c>
      <c r="B432" t="s">
        <v>8985</v>
      </c>
      <c r="C432" t="s">
        <v>1751</v>
      </c>
      <c r="D432">
        <v>20450302</v>
      </c>
      <c r="E432" t="s">
        <v>3128</v>
      </c>
      <c r="F432" t="s">
        <v>1782</v>
      </c>
      <c r="G432" t="s">
        <v>3129</v>
      </c>
      <c r="H432" t="s">
        <v>1253</v>
      </c>
      <c r="J432" s="455">
        <v>46070</v>
      </c>
      <c r="U432" s="455">
        <v>46070</v>
      </c>
    </row>
    <row r="433" spans="1:21">
      <c r="A433" t="s">
        <v>1751</v>
      </c>
      <c r="B433" t="s">
        <v>4081</v>
      </c>
      <c r="C433" t="s">
        <v>1751</v>
      </c>
      <c r="D433">
        <v>20457134</v>
      </c>
      <c r="E433" t="s">
        <v>3128</v>
      </c>
      <c r="F433" t="s">
        <v>1782</v>
      </c>
      <c r="G433" t="s">
        <v>3129</v>
      </c>
      <c r="H433" t="s">
        <v>1252</v>
      </c>
      <c r="J433" s="455">
        <v>46078</v>
      </c>
      <c r="U433" s="455">
        <v>46081</v>
      </c>
    </row>
    <row r="434" spans="1:21">
      <c r="A434" t="s">
        <v>1751</v>
      </c>
      <c r="B434" t="s">
        <v>8986</v>
      </c>
      <c r="C434" t="s">
        <v>1751</v>
      </c>
      <c r="D434">
        <v>20458732</v>
      </c>
      <c r="E434" t="s">
        <v>3128</v>
      </c>
      <c r="F434" t="s">
        <v>1241</v>
      </c>
      <c r="G434" t="s">
        <v>3129</v>
      </c>
      <c r="H434" t="s">
        <v>1253</v>
      </c>
      <c r="J434" s="455">
        <v>46080</v>
      </c>
      <c r="U434" s="455">
        <v>46113</v>
      </c>
    </row>
    <row r="435" spans="1:21">
      <c r="A435" t="s">
        <v>1751</v>
      </c>
      <c r="B435" t="s">
        <v>8987</v>
      </c>
      <c r="C435" t="s">
        <v>1751</v>
      </c>
      <c r="D435">
        <v>20444631</v>
      </c>
      <c r="E435" t="s">
        <v>3128</v>
      </c>
      <c r="F435" t="s">
        <v>1782</v>
      </c>
      <c r="G435" t="s">
        <v>3129</v>
      </c>
      <c r="H435" t="s">
        <v>3131</v>
      </c>
      <c r="J435" s="455">
        <v>46063</v>
      </c>
      <c r="U435" s="455">
        <v>46063</v>
      </c>
    </row>
    <row r="436" spans="1:21">
      <c r="A436" t="s">
        <v>1751</v>
      </c>
      <c r="B436" t="s">
        <v>8988</v>
      </c>
      <c r="C436" t="s">
        <v>1751</v>
      </c>
      <c r="D436">
        <v>20450223</v>
      </c>
      <c r="E436" t="s">
        <v>3128</v>
      </c>
      <c r="F436" t="s">
        <v>1782</v>
      </c>
      <c r="G436" t="s">
        <v>3129</v>
      </c>
      <c r="H436" t="s">
        <v>3131</v>
      </c>
      <c r="J436" s="455">
        <v>46070</v>
      </c>
      <c r="U436" s="455">
        <v>46070</v>
      </c>
    </row>
    <row r="437" spans="1:21">
      <c r="A437" t="s">
        <v>1751</v>
      </c>
      <c r="B437" t="s">
        <v>8989</v>
      </c>
      <c r="C437" t="s">
        <v>1751</v>
      </c>
      <c r="D437">
        <v>20440025</v>
      </c>
      <c r="E437" t="s">
        <v>3128</v>
      </c>
      <c r="F437" t="s">
        <v>1782</v>
      </c>
      <c r="G437" t="s">
        <v>3129</v>
      </c>
      <c r="H437" t="s">
        <v>3131</v>
      </c>
      <c r="J437" s="455">
        <v>46056</v>
      </c>
      <c r="U437" s="455">
        <v>46058</v>
      </c>
    </row>
    <row r="438" spans="1:21">
      <c r="A438" t="s">
        <v>1751</v>
      </c>
      <c r="B438" t="s">
        <v>8990</v>
      </c>
      <c r="C438" t="s">
        <v>1751</v>
      </c>
      <c r="D438">
        <v>20456554</v>
      </c>
      <c r="E438" t="s">
        <v>3128</v>
      </c>
      <c r="F438" t="s">
        <v>1782</v>
      </c>
      <c r="G438" t="s">
        <v>3129</v>
      </c>
      <c r="H438" t="s">
        <v>1253</v>
      </c>
      <c r="J438" s="455">
        <v>46077</v>
      </c>
      <c r="U438" s="455">
        <v>46077</v>
      </c>
    </row>
    <row r="439" spans="1:21">
      <c r="A439" t="s">
        <v>1751</v>
      </c>
      <c r="B439" t="s">
        <v>8991</v>
      </c>
      <c r="C439" t="s">
        <v>1751</v>
      </c>
      <c r="D439">
        <v>20450194</v>
      </c>
      <c r="E439" t="s">
        <v>3128</v>
      </c>
      <c r="F439" t="s">
        <v>1782</v>
      </c>
      <c r="G439" t="s">
        <v>3129</v>
      </c>
      <c r="H439" t="s">
        <v>3131</v>
      </c>
      <c r="J439" s="455">
        <v>46070</v>
      </c>
      <c r="U439" s="455">
        <v>46070</v>
      </c>
    </row>
    <row r="440" spans="1:21">
      <c r="A440" t="s">
        <v>1751</v>
      </c>
      <c r="B440" t="s">
        <v>8992</v>
      </c>
      <c r="C440" t="s">
        <v>1751</v>
      </c>
      <c r="D440">
        <v>20454854</v>
      </c>
      <c r="E440" t="s">
        <v>3128</v>
      </c>
      <c r="F440" t="s">
        <v>1782</v>
      </c>
      <c r="G440" t="s">
        <v>3129</v>
      </c>
      <c r="H440" t="s">
        <v>1253</v>
      </c>
      <c r="J440" s="455">
        <v>46074</v>
      </c>
      <c r="U440" s="455">
        <v>46074</v>
      </c>
    </row>
    <row r="441" spans="1:21">
      <c r="A441" t="s">
        <v>1751</v>
      </c>
      <c r="B441" t="s">
        <v>8993</v>
      </c>
      <c r="C441" t="s">
        <v>1751</v>
      </c>
      <c r="D441">
        <v>20414549</v>
      </c>
      <c r="E441" t="s">
        <v>3190</v>
      </c>
      <c r="F441" t="s">
        <v>1782</v>
      </c>
      <c r="G441" t="s">
        <v>3129</v>
      </c>
      <c r="H441" t="s">
        <v>1252</v>
      </c>
      <c r="J441" s="455">
        <v>46020</v>
      </c>
      <c r="R441" s="455">
        <v>46055</v>
      </c>
      <c r="U441" s="455">
        <v>46020</v>
      </c>
    </row>
    <row r="442" spans="1:21">
      <c r="A442" t="s">
        <v>1751</v>
      </c>
      <c r="B442" t="s">
        <v>8994</v>
      </c>
      <c r="C442" t="s">
        <v>1751</v>
      </c>
      <c r="D442">
        <v>20438887</v>
      </c>
      <c r="E442" t="s">
        <v>3128</v>
      </c>
      <c r="F442" t="s">
        <v>1782</v>
      </c>
      <c r="G442" t="s">
        <v>3129</v>
      </c>
      <c r="H442" t="s">
        <v>3131</v>
      </c>
      <c r="J442" s="455">
        <v>46054</v>
      </c>
      <c r="U442" s="455">
        <v>46113</v>
      </c>
    </row>
    <row r="443" spans="1:21">
      <c r="A443" t="s">
        <v>1751</v>
      </c>
      <c r="B443" t="s">
        <v>8995</v>
      </c>
      <c r="C443" t="s">
        <v>1751</v>
      </c>
      <c r="D443">
        <v>20452023</v>
      </c>
      <c r="E443" t="s">
        <v>3128</v>
      </c>
      <c r="F443" t="s">
        <v>1241</v>
      </c>
      <c r="G443" t="s">
        <v>3129</v>
      </c>
      <c r="H443" t="s">
        <v>1252</v>
      </c>
      <c r="J443" s="455">
        <v>46071</v>
      </c>
      <c r="U443" s="455">
        <v>46082</v>
      </c>
    </row>
    <row r="444" spans="1:21">
      <c r="A444" t="s">
        <v>1751</v>
      </c>
      <c r="B444" t="s">
        <v>8996</v>
      </c>
      <c r="C444" t="s">
        <v>1751</v>
      </c>
      <c r="D444">
        <v>20444389</v>
      </c>
      <c r="E444" t="s">
        <v>3128</v>
      </c>
      <c r="F444" t="s">
        <v>1241</v>
      </c>
      <c r="G444" t="s">
        <v>3129</v>
      </c>
      <c r="H444" t="s">
        <v>1253</v>
      </c>
      <c r="J444" s="455">
        <v>46063</v>
      </c>
      <c r="U444" s="455">
        <v>46063</v>
      </c>
    </row>
    <row r="445" spans="1:21">
      <c r="A445" t="s">
        <v>1751</v>
      </c>
      <c r="B445" t="s">
        <v>4922</v>
      </c>
      <c r="C445" t="s">
        <v>1751</v>
      </c>
      <c r="D445">
        <v>20444338</v>
      </c>
      <c r="E445" t="s">
        <v>3128</v>
      </c>
      <c r="F445" t="s">
        <v>1782</v>
      </c>
      <c r="G445" t="s">
        <v>3129</v>
      </c>
      <c r="H445" t="s">
        <v>3131</v>
      </c>
      <c r="J445" s="455">
        <v>46063</v>
      </c>
      <c r="U445" s="455">
        <v>46063</v>
      </c>
    </row>
    <row r="446" spans="1:21">
      <c r="A446" t="s">
        <v>1751</v>
      </c>
      <c r="B446" t="s">
        <v>4923</v>
      </c>
      <c r="C446" t="s">
        <v>1751</v>
      </c>
      <c r="D446">
        <v>20443578</v>
      </c>
      <c r="E446" t="s">
        <v>3128</v>
      </c>
      <c r="F446" t="s">
        <v>1782</v>
      </c>
      <c r="G446" t="s">
        <v>3129</v>
      </c>
      <c r="H446" t="s">
        <v>3131</v>
      </c>
      <c r="J446" s="455">
        <v>46062</v>
      </c>
      <c r="U446" s="455">
        <v>46062</v>
      </c>
    </row>
    <row r="447" spans="1:21">
      <c r="A447" t="s">
        <v>1751</v>
      </c>
      <c r="B447" t="s">
        <v>8997</v>
      </c>
      <c r="C447" t="s">
        <v>1751</v>
      </c>
      <c r="D447">
        <v>20455951</v>
      </c>
      <c r="E447" t="s">
        <v>3128</v>
      </c>
      <c r="F447" t="s">
        <v>1782</v>
      </c>
      <c r="G447" t="s">
        <v>3129</v>
      </c>
      <c r="H447" t="s">
        <v>3131</v>
      </c>
      <c r="J447" s="455">
        <v>46076</v>
      </c>
      <c r="U447" s="455">
        <v>46076</v>
      </c>
    </row>
    <row r="448" spans="1:21">
      <c r="A448" t="s">
        <v>1751</v>
      </c>
      <c r="B448" t="s">
        <v>8998</v>
      </c>
      <c r="C448" t="s">
        <v>1751</v>
      </c>
      <c r="D448">
        <v>20453023</v>
      </c>
      <c r="E448" t="s">
        <v>3128</v>
      </c>
      <c r="F448" t="s">
        <v>1782</v>
      </c>
      <c r="G448" t="s">
        <v>3129</v>
      </c>
      <c r="H448" t="s">
        <v>3131</v>
      </c>
      <c r="J448" s="455">
        <v>46072</v>
      </c>
      <c r="U448" s="455">
        <v>46072</v>
      </c>
    </row>
    <row r="449" spans="1:21">
      <c r="A449" t="s">
        <v>1751</v>
      </c>
      <c r="B449" t="s">
        <v>8999</v>
      </c>
      <c r="C449" t="s">
        <v>1751</v>
      </c>
      <c r="D449">
        <v>20453025</v>
      </c>
      <c r="E449" t="s">
        <v>3128</v>
      </c>
      <c r="F449" t="s">
        <v>1241</v>
      </c>
      <c r="G449" t="s">
        <v>3129</v>
      </c>
      <c r="H449" t="s">
        <v>1252</v>
      </c>
      <c r="J449" s="455">
        <v>46072</v>
      </c>
      <c r="U449" s="455">
        <v>46082</v>
      </c>
    </row>
    <row r="450" spans="1:21">
      <c r="A450" t="s">
        <v>1751</v>
      </c>
      <c r="B450" t="s">
        <v>9000</v>
      </c>
      <c r="C450" t="s">
        <v>1751</v>
      </c>
      <c r="D450">
        <v>20450578</v>
      </c>
      <c r="E450" t="s">
        <v>3128</v>
      </c>
      <c r="F450" t="s">
        <v>1782</v>
      </c>
      <c r="G450" t="s">
        <v>3129</v>
      </c>
      <c r="H450" t="s">
        <v>3131</v>
      </c>
      <c r="J450" s="455">
        <v>46070</v>
      </c>
      <c r="U450" s="455">
        <v>46173</v>
      </c>
    </row>
    <row r="451" spans="1:21">
      <c r="A451" t="s">
        <v>1751</v>
      </c>
      <c r="B451" t="s">
        <v>9001</v>
      </c>
      <c r="C451" t="s">
        <v>1751</v>
      </c>
      <c r="D451">
        <v>20451966</v>
      </c>
      <c r="E451" t="s">
        <v>3128</v>
      </c>
      <c r="F451" t="s">
        <v>1782</v>
      </c>
      <c r="G451" t="s">
        <v>3129</v>
      </c>
      <c r="H451" t="s">
        <v>3131</v>
      </c>
      <c r="J451" s="455">
        <v>46071</v>
      </c>
      <c r="U451" s="455">
        <v>46071</v>
      </c>
    </row>
    <row r="452" spans="1:21">
      <c r="A452" t="s">
        <v>1751</v>
      </c>
      <c r="B452" t="s">
        <v>9002</v>
      </c>
      <c r="C452" t="s">
        <v>1751</v>
      </c>
      <c r="D452">
        <v>20454892</v>
      </c>
      <c r="E452" t="s">
        <v>3128</v>
      </c>
      <c r="F452" t="s">
        <v>1241</v>
      </c>
      <c r="G452" t="s">
        <v>3129</v>
      </c>
      <c r="H452" t="s">
        <v>3131</v>
      </c>
      <c r="J452" s="455">
        <v>46074</v>
      </c>
      <c r="U452" s="455">
        <v>46157</v>
      </c>
    </row>
    <row r="453" spans="1:21">
      <c r="A453" t="s">
        <v>1751</v>
      </c>
      <c r="B453" t="s">
        <v>9003</v>
      </c>
      <c r="C453" t="s">
        <v>1751</v>
      </c>
      <c r="D453">
        <v>20453026</v>
      </c>
      <c r="E453" t="s">
        <v>3128</v>
      </c>
      <c r="F453" t="s">
        <v>1782</v>
      </c>
      <c r="G453" t="s">
        <v>3129</v>
      </c>
      <c r="H453" t="s">
        <v>1253</v>
      </c>
      <c r="J453" s="455">
        <v>46072</v>
      </c>
      <c r="U453" s="455">
        <v>46094</v>
      </c>
    </row>
    <row r="454" spans="1:21">
      <c r="A454" t="s">
        <v>1751</v>
      </c>
      <c r="B454" t="s">
        <v>9004</v>
      </c>
      <c r="C454" t="s">
        <v>1751</v>
      </c>
      <c r="D454">
        <v>20439505</v>
      </c>
      <c r="E454" t="s">
        <v>3128</v>
      </c>
      <c r="F454" t="s">
        <v>1782</v>
      </c>
      <c r="G454" t="s">
        <v>3129</v>
      </c>
      <c r="H454" t="s">
        <v>3131</v>
      </c>
      <c r="J454" s="455">
        <v>46055</v>
      </c>
      <c r="U454" s="455">
        <v>46063</v>
      </c>
    </row>
    <row r="455" spans="1:21">
      <c r="A455" t="s">
        <v>1751</v>
      </c>
      <c r="B455" t="s">
        <v>9005</v>
      </c>
      <c r="C455" t="s">
        <v>1751</v>
      </c>
      <c r="D455">
        <v>20411916</v>
      </c>
      <c r="E455" t="s">
        <v>3190</v>
      </c>
      <c r="F455" t="s">
        <v>1782</v>
      </c>
      <c r="G455" t="s">
        <v>3129</v>
      </c>
      <c r="H455" t="s">
        <v>1247</v>
      </c>
      <c r="J455" s="455">
        <v>46014</v>
      </c>
      <c r="R455" s="455">
        <v>46057</v>
      </c>
      <c r="U455" s="455">
        <v>46014</v>
      </c>
    </row>
    <row r="456" spans="1:21">
      <c r="A456" t="s">
        <v>1751</v>
      </c>
      <c r="B456" t="s">
        <v>9006</v>
      </c>
      <c r="C456" t="s">
        <v>1751</v>
      </c>
      <c r="D456">
        <v>20459657</v>
      </c>
      <c r="E456" t="s">
        <v>3128</v>
      </c>
      <c r="F456" t="s">
        <v>1241</v>
      </c>
      <c r="G456" t="s">
        <v>3129</v>
      </c>
      <c r="H456" t="s">
        <v>1253</v>
      </c>
      <c r="J456" s="455">
        <v>46081</v>
      </c>
      <c r="U456" s="455">
        <v>46113</v>
      </c>
    </row>
    <row r="457" spans="1:21">
      <c r="A457" t="s">
        <v>1751</v>
      </c>
      <c r="B457" t="s">
        <v>9007</v>
      </c>
      <c r="C457" t="s">
        <v>1751</v>
      </c>
      <c r="D457">
        <v>20441105</v>
      </c>
      <c r="E457" t="s">
        <v>3128</v>
      </c>
      <c r="F457" t="s">
        <v>1782</v>
      </c>
      <c r="G457" t="s">
        <v>3129</v>
      </c>
      <c r="H457" t="s">
        <v>3131</v>
      </c>
      <c r="J457" s="455">
        <v>46057</v>
      </c>
      <c r="U457" s="455">
        <v>46057</v>
      </c>
    </row>
    <row r="458" spans="1:21">
      <c r="A458" t="s">
        <v>1751</v>
      </c>
      <c r="B458" t="s">
        <v>9008</v>
      </c>
      <c r="C458" t="s">
        <v>1751</v>
      </c>
      <c r="D458">
        <v>20457414</v>
      </c>
      <c r="E458" t="s">
        <v>3128</v>
      </c>
      <c r="F458" t="s">
        <v>1782</v>
      </c>
      <c r="G458" t="s">
        <v>3129</v>
      </c>
      <c r="H458" t="s">
        <v>1253</v>
      </c>
      <c r="J458" s="455">
        <v>46078</v>
      </c>
      <c r="U458" s="455">
        <v>46078</v>
      </c>
    </row>
    <row r="459" spans="1:21">
      <c r="A459" t="s">
        <v>1751</v>
      </c>
      <c r="B459" t="s">
        <v>4124</v>
      </c>
      <c r="C459" t="s">
        <v>1751</v>
      </c>
      <c r="D459">
        <v>20454149</v>
      </c>
      <c r="E459" t="s">
        <v>3128</v>
      </c>
      <c r="F459" t="s">
        <v>1241</v>
      </c>
      <c r="G459" t="s">
        <v>3129</v>
      </c>
      <c r="H459" t="s">
        <v>1252</v>
      </c>
      <c r="I459" t="s">
        <v>1831</v>
      </c>
      <c r="J459" s="455">
        <v>46073</v>
      </c>
      <c r="U459" s="455">
        <v>46082</v>
      </c>
    </row>
    <row r="460" spans="1:21">
      <c r="A460" t="s">
        <v>1751</v>
      </c>
      <c r="B460" t="s">
        <v>4940</v>
      </c>
      <c r="C460" t="s">
        <v>1751</v>
      </c>
      <c r="D460">
        <v>20454419</v>
      </c>
      <c r="E460" t="s">
        <v>3128</v>
      </c>
      <c r="F460" t="s">
        <v>1782</v>
      </c>
      <c r="G460" t="s">
        <v>3129</v>
      </c>
      <c r="H460" t="s">
        <v>3131</v>
      </c>
      <c r="J460" s="455">
        <v>46073</v>
      </c>
      <c r="U460" s="455">
        <v>46086</v>
      </c>
    </row>
    <row r="461" spans="1:21">
      <c r="A461" t="s">
        <v>1751</v>
      </c>
      <c r="B461" t="s">
        <v>4941</v>
      </c>
      <c r="C461" t="s">
        <v>1751</v>
      </c>
      <c r="D461">
        <v>20442293</v>
      </c>
      <c r="E461" t="s">
        <v>3128</v>
      </c>
      <c r="F461" t="s">
        <v>1241</v>
      </c>
      <c r="G461" t="s">
        <v>3129</v>
      </c>
      <c r="H461" t="s">
        <v>3131</v>
      </c>
      <c r="J461" s="455">
        <v>46059</v>
      </c>
      <c r="U461" s="455">
        <v>46088</v>
      </c>
    </row>
    <row r="462" spans="1:21">
      <c r="A462" t="s">
        <v>1751</v>
      </c>
      <c r="B462" t="s">
        <v>9009</v>
      </c>
      <c r="C462" t="s">
        <v>1751</v>
      </c>
      <c r="D462">
        <v>20459139</v>
      </c>
      <c r="E462" t="s">
        <v>3128</v>
      </c>
      <c r="F462" t="s">
        <v>1782</v>
      </c>
      <c r="G462" t="s">
        <v>3129</v>
      </c>
      <c r="H462" t="s">
        <v>1247</v>
      </c>
      <c r="J462" s="455">
        <v>46080</v>
      </c>
      <c r="U462" s="455">
        <v>46080</v>
      </c>
    </row>
    <row r="463" spans="1:21">
      <c r="A463" t="s">
        <v>1751</v>
      </c>
      <c r="B463" t="s">
        <v>4127</v>
      </c>
      <c r="C463" t="s">
        <v>1751</v>
      </c>
      <c r="D463">
        <v>20444303</v>
      </c>
      <c r="E463" t="s">
        <v>3128</v>
      </c>
      <c r="F463" t="s">
        <v>1782</v>
      </c>
      <c r="G463" t="s">
        <v>3129</v>
      </c>
      <c r="H463" t="s">
        <v>3131</v>
      </c>
      <c r="J463" s="455">
        <v>46063</v>
      </c>
      <c r="U463" s="455">
        <v>46063</v>
      </c>
    </row>
    <row r="464" spans="1:21">
      <c r="A464" t="s">
        <v>1751</v>
      </c>
      <c r="B464" t="s">
        <v>9010</v>
      </c>
      <c r="C464" t="s">
        <v>1751</v>
      </c>
      <c r="D464">
        <v>20450558</v>
      </c>
      <c r="E464" t="s">
        <v>3128</v>
      </c>
      <c r="F464" t="s">
        <v>1241</v>
      </c>
      <c r="G464" t="s">
        <v>3129</v>
      </c>
      <c r="H464" t="s">
        <v>1252</v>
      </c>
      <c r="J464" s="455">
        <v>46070</v>
      </c>
      <c r="U464" s="455">
        <v>46070</v>
      </c>
    </row>
    <row r="465" spans="1:21">
      <c r="A465" t="s">
        <v>1751</v>
      </c>
      <c r="B465" t="s">
        <v>9011</v>
      </c>
      <c r="C465" t="s">
        <v>1751</v>
      </c>
      <c r="D465">
        <v>20454081</v>
      </c>
      <c r="E465" t="s">
        <v>3128</v>
      </c>
      <c r="F465" t="s">
        <v>1241</v>
      </c>
      <c r="G465" t="s">
        <v>3129</v>
      </c>
      <c r="H465" t="s">
        <v>1252</v>
      </c>
      <c r="J465" s="455">
        <v>46073</v>
      </c>
      <c r="U465" s="455">
        <v>46094</v>
      </c>
    </row>
    <row r="466" spans="1:21">
      <c r="A466" t="s">
        <v>1751</v>
      </c>
      <c r="B466" t="s">
        <v>9012</v>
      </c>
      <c r="C466" t="s">
        <v>1751</v>
      </c>
      <c r="D466">
        <v>20454107</v>
      </c>
      <c r="E466" t="s">
        <v>3128</v>
      </c>
      <c r="F466" t="s">
        <v>1782</v>
      </c>
      <c r="G466" t="s">
        <v>3129</v>
      </c>
      <c r="H466" t="s">
        <v>3487</v>
      </c>
      <c r="J466" s="455">
        <v>46073</v>
      </c>
      <c r="U466" s="455">
        <v>46073</v>
      </c>
    </row>
    <row r="467" spans="1:21">
      <c r="A467" t="s">
        <v>1751</v>
      </c>
      <c r="B467" t="s">
        <v>5117</v>
      </c>
      <c r="C467" t="s">
        <v>1751</v>
      </c>
      <c r="D467">
        <v>20442856</v>
      </c>
      <c r="E467" t="s">
        <v>3128</v>
      </c>
      <c r="F467" t="s">
        <v>1241</v>
      </c>
      <c r="G467" t="s">
        <v>3129</v>
      </c>
      <c r="H467" t="s">
        <v>1253</v>
      </c>
      <c r="J467" s="455">
        <v>46060</v>
      </c>
      <c r="U467" s="455">
        <v>46082</v>
      </c>
    </row>
    <row r="468" spans="1:21">
      <c r="A468" t="s">
        <v>1751</v>
      </c>
      <c r="B468" t="s">
        <v>9013</v>
      </c>
      <c r="C468" t="s">
        <v>1751</v>
      </c>
      <c r="D468">
        <v>20435999</v>
      </c>
      <c r="E468" t="s">
        <v>3190</v>
      </c>
      <c r="F468" t="s">
        <v>1782</v>
      </c>
      <c r="G468" t="s">
        <v>3129</v>
      </c>
      <c r="H468" t="s">
        <v>1253</v>
      </c>
      <c r="J468" s="455">
        <v>46050</v>
      </c>
      <c r="R468" s="455">
        <v>46058</v>
      </c>
      <c r="U468" s="455">
        <v>46050</v>
      </c>
    </row>
    <row r="469" spans="1:21">
      <c r="A469" t="s">
        <v>1751</v>
      </c>
      <c r="B469" t="s">
        <v>9013</v>
      </c>
      <c r="C469" t="s">
        <v>1751</v>
      </c>
      <c r="D469">
        <v>20443769</v>
      </c>
      <c r="E469" t="s">
        <v>3128</v>
      </c>
      <c r="F469" t="s">
        <v>1782</v>
      </c>
      <c r="G469" t="s">
        <v>3129</v>
      </c>
      <c r="H469" t="s">
        <v>1252</v>
      </c>
      <c r="J469" s="455">
        <v>46062</v>
      </c>
      <c r="U469" s="455">
        <v>46062</v>
      </c>
    </row>
    <row r="470" spans="1:21">
      <c r="A470" t="s">
        <v>1751</v>
      </c>
      <c r="B470" t="s">
        <v>9014</v>
      </c>
      <c r="C470" t="s">
        <v>1751</v>
      </c>
      <c r="D470">
        <v>20440861</v>
      </c>
      <c r="E470" t="s">
        <v>3128</v>
      </c>
      <c r="F470" t="s">
        <v>1237</v>
      </c>
      <c r="G470" t="s">
        <v>3129</v>
      </c>
      <c r="H470" t="s">
        <v>3131</v>
      </c>
      <c r="J470" s="455">
        <v>46057</v>
      </c>
      <c r="U470" s="455">
        <v>46057</v>
      </c>
    </row>
    <row r="471" spans="1:21">
      <c r="A471" t="s">
        <v>1751</v>
      </c>
      <c r="B471" t="s">
        <v>9015</v>
      </c>
      <c r="C471" t="s">
        <v>1751</v>
      </c>
      <c r="D471">
        <v>20446820</v>
      </c>
      <c r="E471" t="s">
        <v>3128</v>
      </c>
      <c r="F471" t="s">
        <v>1782</v>
      </c>
      <c r="G471" t="s">
        <v>3129</v>
      </c>
      <c r="H471" t="s">
        <v>3131</v>
      </c>
      <c r="J471" s="455">
        <v>46064</v>
      </c>
      <c r="U471" s="455">
        <v>46064</v>
      </c>
    </row>
    <row r="472" spans="1:21">
      <c r="A472" t="s">
        <v>1751</v>
      </c>
      <c r="B472" t="s">
        <v>9016</v>
      </c>
      <c r="C472" t="s">
        <v>1751</v>
      </c>
      <c r="D472">
        <v>20440770</v>
      </c>
      <c r="E472" t="s">
        <v>3128</v>
      </c>
      <c r="F472" t="s">
        <v>1782</v>
      </c>
      <c r="G472" t="s">
        <v>3129</v>
      </c>
      <c r="H472" t="s">
        <v>1253</v>
      </c>
      <c r="J472" s="455">
        <v>46057</v>
      </c>
      <c r="U472" s="455">
        <v>46073</v>
      </c>
    </row>
    <row r="473" spans="1:21">
      <c r="A473" t="s">
        <v>1751</v>
      </c>
      <c r="B473" t="s">
        <v>4153</v>
      </c>
      <c r="C473" t="s">
        <v>1751</v>
      </c>
      <c r="D473">
        <v>20447726</v>
      </c>
      <c r="E473" t="s">
        <v>3128</v>
      </c>
      <c r="F473" t="s">
        <v>1782</v>
      </c>
      <c r="G473" t="s">
        <v>3129</v>
      </c>
      <c r="H473" t="s">
        <v>1253</v>
      </c>
      <c r="J473" s="455">
        <v>46065</v>
      </c>
      <c r="U473" s="455">
        <v>46065</v>
      </c>
    </row>
    <row r="474" spans="1:21">
      <c r="A474" t="s">
        <v>1751</v>
      </c>
      <c r="B474" t="s">
        <v>9017</v>
      </c>
      <c r="C474" t="s">
        <v>1751</v>
      </c>
      <c r="D474">
        <v>20440340</v>
      </c>
      <c r="E474" t="s">
        <v>3128</v>
      </c>
      <c r="F474" t="s">
        <v>1241</v>
      </c>
      <c r="G474" t="s">
        <v>3129</v>
      </c>
      <c r="H474" t="s">
        <v>3131</v>
      </c>
      <c r="J474" s="455">
        <v>46056</v>
      </c>
      <c r="U474" s="455">
        <v>46081</v>
      </c>
    </row>
    <row r="475" spans="1:21">
      <c r="A475" t="s">
        <v>1751</v>
      </c>
      <c r="B475" t="s">
        <v>9018</v>
      </c>
      <c r="C475" t="s">
        <v>1751</v>
      </c>
      <c r="D475">
        <v>20441704</v>
      </c>
      <c r="E475" t="s">
        <v>3128</v>
      </c>
      <c r="F475" t="s">
        <v>1241</v>
      </c>
      <c r="G475" t="s">
        <v>3129</v>
      </c>
      <c r="H475" t="s">
        <v>1253</v>
      </c>
      <c r="J475" s="455">
        <v>46058</v>
      </c>
      <c r="U475" s="455">
        <v>46058</v>
      </c>
    </row>
    <row r="476" spans="1:21">
      <c r="A476" t="s">
        <v>1751</v>
      </c>
      <c r="B476" t="s">
        <v>9019</v>
      </c>
      <c r="C476" t="s">
        <v>1751</v>
      </c>
      <c r="D476">
        <v>20455577</v>
      </c>
      <c r="E476" t="s">
        <v>3128</v>
      </c>
      <c r="F476" t="s">
        <v>1782</v>
      </c>
      <c r="G476" t="s">
        <v>3129</v>
      </c>
      <c r="H476" t="s">
        <v>3131</v>
      </c>
      <c r="J476" s="455">
        <v>46076</v>
      </c>
      <c r="U476" s="455">
        <v>46076</v>
      </c>
    </row>
    <row r="477" spans="1:21">
      <c r="A477" t="s">
        <v>1751</v>
      </c>
      <c r="B477" t="s">
        <v>9020</v>
      </c>
      <c r="C477" t="s">
        <v>1751</v>
      </c>
      <c r="D477">
        <v>20446580</v>
      </c>
      <c r="E477" t="s">
        <v>3128</v>
      </c>
      <c r="F477" t="s">
        <v>1782</v>
      </c>
      <c r="G477" t="s">
        <v>3129</v>
      </c>
      <c r="H477" t="s">
        <v>3131</v>
      </c>
      <c r="J477" s="455">
        <v>46064</v>
      </c>
      <c r="U477" s="455">
        <v>46064</v>
      </c>
    </row>
    <row r="478" spans="1:21">
      <c r="A478" t="s">
        <v>1751</v>
      </c>
      <c r="B478" t="s">
        <v>9021</v>
      </c>
      <c r="C478" t="s">
        <v>1751</v>
      </c>
      <c r="D478">
        <v>20456008</v>
      </c>
      <c r="E478" t="s">
        <v>3128</v>
      </c>
      <c r="F478" t="s">
        <v>1782</v>
      </c>
      <c r="G478" t="s">
        <v>3129</v>
      </c>
      <c r="H478" t="s">
        <v>3131</v>
      </c>
      <c r="J478" s="455">
        <v>46076</v>
      </c>
      <c r="U478" s="455">
        <v>46082</v>
      </c>
    </row>
    <row r="479" spans="1:21">
      <c r="A479" t="s">
        <v>1751</v>
      </c>
      <c r="B479" t="s">
        <v>9022</v>
      </c>
      <c r="C479" t="s">
        <v>1751</v>
      </c>
      <c r="D479">
        <v>20443921</v>
      </c>
      <c r="E479" t="s">
        <v>3128</v>
      </c>
      <c r="F479" t="s">
        <v>1782</v>
      </c>
      <c r="G479" t="s">
        <v>3129</v>
      </c>
      <c r="H479" t="s">
        <v>3131</v>
      </c>
      <c r="J479" s="455">
        <v>46062</v>
      </c>
      <c r="U479" s="455">
        <v>46062</v>
      </c>
    </row>
    <row r="480" spans="1:21">
      <c r="A480" t="s">
        <v>1751</v>
      </c>
      <c r="B480" t="s">
        <v>9023</v>
      </c>
      <c r="C480" t="s">
        <v>1751</v>
      </c>
      <c r="D480">
        <v>20449827</v>
      </c>
      <c r="E480" t="s">
        <v>3128</v>
      </c>
      <c r="F480" t="s">
        <v>1782</v>
      </c>
      <c r="G480" t="s">
        <v>3129</v>
      </c>
      <c r="H480" t="s">
        <v>1253</v>
      </c>
      <c r="J480" s="455">
        <v>46069</v>
      </c>
      <c r="U480" s="455">
        <v>46069</v>
      </c>
    </row>
    <row r="481" spans="1:21">
      <c r="A481" t="s">
        <v>1751</v>
      </c>
      <c r="B481" t="s">
        <v>9024</v>
      </c>
      <c r="C481" t="s">
        <v>1751</v>
      </c>
      <c r="D481">
        <v>20456479</v>
      </c>
      <c r="E481" t="s">
        <v>3128</v>
      </c>
      <c r="F481" t="s">
        <v>1782</v>
      </c>
      <c r="G481" t="s">
        <v>3129</v>
      </c>
      <c r="H481" t="s">
        <v>1253</v>
      </c>
      <c r="J481" s="455">
        <v>46077</v>
      </c>
      <c r="U481" s="455">
        <v>46077</v>
      </c>
    </row>
    <row r="482" spans="1:21">
      <c r="A482" t="s">
        <v>1751</v>
      </c>
      <c r="B482" t="s">
        <v>9025</v>
      </c>
      <c r="C482" t="s">
        <v>1751</v>
      </c>
      <c r="D482">
        <v>20453600</v>
      </c>
      <c r="E482" t="s">
        <v>3128</v>
      </c>
      <c r="F482" t="s">
        <v>1782</v>
      </c>
      <c r="G482" t="s">
        <v>3129</v>
      </c>
      <c r="H482" t="s">
        <v>3131</v>
      </c>
      <c r="J482" s="455">
        <v>46072</v>
      </c>
      <c r="U482" s="455">
        <v>46072</v>
      </c>
    </row>
    <row r="483" spans="1:21">
      <c r="A483" t="s">
        <v>1751</v>
      </c>
      <c r="B483" t="s">
        <v>9026</v>
      </c>
      <c r="C483" t="s">
        <v>1751</v>
      </c>
      <c r="D483">
        <v>20449934</v>
      </c>
      <c r="E483" t="s">
        <v>3128</v>
      </c>
      <c r="F483" t="s">
        <v>1782</v>
      </c>
      <c r="G483" t="s">
        <v>3129</v>
      </c>
      <c r="H483" t="s">
        <v>3131</v>
      </c>
      <c r="J483" s="455">
        <v>46069</v>
      </c>
      <c r="U483" s="455">
        <v>46069</v>
      </c>
    </row>
    <row r="484" spans="1:21">
      <c r="A484" t="s">
        <v>1751</v>
      </c>
      <c r="B484" t="s">
        <v>9027</v>
      </c>
      <c r="C484" t="s">
        <v>1751</v>
      </c>
      <c r="D484">
        <v>20442105</v>
      </c>
      <c r="E484" t="s">
        <v>3128</v>
      </c>
      <c r="F484" t="s">
        <v>1782</v>
      </c>
      <c r="G484" t="s">
        <v>3129</v>
      </c>
      <c r="H484" t="s">
        <v>1252</v>
      </c>
      <c r="J484" s="455">
        <v>46059</v>
      </c>
      <c r="U484" s="455">
        <v>46059</v>
      </c>
    </row>
    <row r="485" spans="1:21">
      <c r="A485" t="s">
        <v>1751</v>
      </c>
      <c r="B485" t="s">
        <v>9028</v>
      </c>
      <c r="C485" t="s">
        <v>1751</v>
      </c>
      <c r="D485">
        <v>20456615</v>
      </c>
      <c r="E485" t="s">
        <v>3128</v>
      </c>
      <c r="F485" t="s">
        <v>1782</v>
      </c>
      <c r="G485" t="s">
        <v>3129</v>
      </c>
      <c r="H485" t="s">
        <v>1253</v>
      </c>
      <c r="J485" s="455">
        <v>46077</v>
      </c>
      <c r="U485" s="455">
        <v>46081</v>
      </c>
    </row>
    <row r="486" spans="1:21">
      <c r="A486" t="s">
        <v>1751</v>
      </c>
      <c r="B486" t="s">
        <v>9029</v>
      </c>
      <c r="C486" t="s">
        <v>1751</v>
      </c>
      <c r="D486">
        <v>20440976</v>
      </c>
      <c r="E486" t="s">
        <v>3128</v>
      </c>
      <c r="F486" t="s">
        <v>1782</v>
      </c>
      <c r="G486" t="s">
        <v>3129</v>
      </c>
      <c r="H486" t="s">
        <v>1253</v>
      </c>
      <c r="J486" s="455">
        <v>46057</v>
      </c>
      <c r="U486" s="455">
        <v>46057</v>
      </c>
    </row>
    <row r="487" spans="1:21">
      <c r="A487" t="s">
        <v>1751</v>
      </c>
      <c r="B487" t="s">
        <v>9030</v>
      </c>
      <c r="C487" t="s">
        <v>1751</v>
      </c>
      <c r="D487">
        <v>20444472</v>
      </c>
      <c r="E487" t="s">
        <v>3128</v>
      </c>
      <c r="F487" t="s">
        <v>1782</v>
      </c>
      <c r="G487" t="s">
        <v>3129</v>
      </c>
      <c r="H487" t="s">
        <v>1253</v>
      </c>
      <c r="J487" s="455">
        <v>46063</v>
      </c>
      <c r="U487" s="455">
        <v>46063</v>
      </c>
    </row>
    <row r="488" spans="1:21">
      <c r="A488" t="s">
        <v>1751</v>
      </c>
      <c r="B488" t="s">
        <v>9031</v>
      </c>
      <c r="C488" t="s">
        <v>1751</v>
      </c>
      <c r="D488">
        <v>20440180</v>
      </c>
      <c r="E488" t="s">
        <v>3128</v>
      </c>
      <c r="F488" t="s">
        <v>1238</v>
      </c>
      <c r="G488" t="s">
        <v>3129</v>
      </c>
      <c r="H488" t="s">
        <v>1252</v>
      </c>
      <c r="J488" s="455">
        <v>46056</v>
      </c>
      <c r="U488" s="455">
        <v>46082</v>
      </c>
    </row>
    <row r="489" spans="1:21">
      <c r="A489" t="s">
        <v>1751</v>
      </c>
      <c r="B489" t="s">
        <v>4167</v>
      </c>
      <c r="C489" t="s">
        <v>1751</v>
      </c>
      <c r="D489">
        <v>20459018</v>
      </c>
      <c r="E489" t="s">
        <v>3128</v>
      </c>
      <c r="F489" t="s">
        <v>1241</v>
      </c>
      <c r="G489" t="s">
        <v>3129</v>
      </c>
      <c r="H489" t="s">
        <v>3131</v>
      </c>
      <c r="J489" s="455">
        <v>46080</v>
      </c>
      <c r="U489" s="455">
        <v>46113</v>
      </c>
    </row>
    <row r="490" spans="1:21">
      <c r="A490" t="s">
        <v>1751</v>
      </c>
      <c r="B490" t="s">
        <v>9032</v>
      </c>
      <c r="C490" t="s">
        <v>1751</v>
      </c>
      <c r="D490">
        <v>20446923</v>
      </c>
      <c r="E490" t="s">
        <v>3128</v>
      </c>
      <c r="F490" t="s">
        <v>1782</v>
      </c>
      <c r="G490" t="s">
        <v>3129</v>
      </c>
      <c r="H490" t="s">
        <v>1252</v>
      </c>
      <c r="J490" s="455">
        <v>46064</v>
      </c>
      <c r="U490" s="455">
        <v>46076</v>
      </c>
    </row>
    <row r="491" spans="1:21">
      <c r="A491" t="s">
        <v>1751</v>
      </c>
      <c r="B491" t="s">
        <v>9033</v>
      </c>
      <c r="C491" t="s">
        <v>1751</v>
      </c>
      <c r="D491">
        <v>20454286</v>
      </c>
      <c r="E491" t="s">
        <v>3128</v>
      </c>
      <c r="F491" t="s">
        <v>1782</v>
      </c>
      <c r="G491" t="s">
        <v>3129</v>
      </c>
      <c r="H491" t="s">
        <v>1252</v>
      </c>
      <c r="J491" s="455">
        <v>46073</v>
      </c>
      <c r="U491" s="455">
        <v>46073</v>
      </c>
    </row>
    <row r="492" spans="1:21">
      <c r="A492" t="s">
        <v>1751</v>
      </c>
      <c r="B492" t="s">
        <v>9034</v>
      </c>
      <c r="C492" t="s">
        <v>1751</v>
      </c>
      <c r="D492">
        <v>20450359</v>
      </c>
      <c r="E492" t="s">
        <v>3128</v>
      </c>
      <c r="F492" t="s">
        <v>1782</v>
      </c>
      <c r="G492" t="s">
        <v>3129</v>
      </c>
      <c r="H492" t="s">
        <v>3131</v>
      </c>
      <c r="J492" s="455">
        <v>46070</v>
      </c>
      <c r="U492" s="455">
        <v>46070</v>
      </c>
    </row>
    <row r="493" spans="1:21">
      <c r="A493" t="s">
        <v>1751</v>
      </c>
      <c r="B493" t="s">
        <v>9035</v>
      </c>
      <c r="C493" t="s">
        <v>1751</v>
      </c>
      <c r="D493">
        <v>20458652</v>
      </c>
      <c r="E493" t="s">
        <v>3128</v>
      </c>
      <c r="F493" t="s">
        <v>1782</v>
      </c>
      <c r="G493" t="s">
        <v>3129</v>
      </c>
      <c r="H493" t="s">
        <v>1253</v>
      </c>
      <c r="J493" s="455">
        <v>46080</v>
      </c>
      <c r="U493" s="455">
        <v>46080</v>
      </c>
    </row>
    <row r="494" spans="1:21">
      <c r="A494" t="s">
        <v>1751</v>
      </c>
      <c r="B494" t="s">
        <v>9036</v>
      </c>
      <c r="C494" t="s">
        <v>1751</v>
      </c>
      <c r="D494">
        <v>20440260</v>
      </c>
      <c r="E494" t="s">
        <v>3128</v>
      </c>
      <c r="F494" t="s">
        <v>9037</v>
      </c>
      <c r="G494" t="s">
        <v>3129</v>
      </c>
      <c r="H494" t="s">
        <v>3131</v>
      </c>
      <c r="J494" s="455">
        <v>46056</v>
      </c>
      <c r="U494" s="455">
        <v>46078</v>
      </c>
    </row>
    <row r="495" spans="1:21">
      <c r="A495" t="s">
        <v>1751</v>
      </c>
      <c r="B495" t="s">
        <v>9038</v>
      </c>
      <c r="C495" t="s">
        <v>1751</v>
      </c>
      <c r="D495">
        <v>20456835</v>
      </c>
      <c r="E495" t="s">
        <v>3128</v>
      </c>
      <c r="F495" t="s">
        <v>1782</v>
      </c>
      <c r="G495" t="s">
        <v>3129</v>
      </c>
      <c r="H495" t="s">
        <v>3131</v>
      </c>
      <c r="J495" s="455">
        <v>46077</v>
      </c>
      <c r="U495" s="455">
        <v>46077</v>
      </c>
    </row>
    <row r="496" spans="1:21">
      <c r="A496" t="s">
        <v>1751</v>
      </c>
      <c r="B496" t="s">
        <v>9039</v>
      </c>
      <c r="C496" t="s">
        <v>1751</v>
      </c>
      <c r="D496">
        <v>20447695</v>
      </c>
      <c r="E496" t="s">
        <v>3128</v>
      </c>
      <c r="F496" t="s">
        <v>1782</v>
      </c>
      <c r="G496" t="s">
        <v>3129</v>
      </c>
      <c r="H496" t="s">
        <v>3131</v>
      </c>
      <c r="J496" s="455">
        <v>46065</v>
      </c>
      <c r="U496" s="455">
        <v>46065</v>
      </c>
    </row>
    <row r="497" spans="1:21">
      <c r="A497" t="s">
        <v>1751</v>
      </c>
      <c r="B497" t="s">
        <v>9040</v>
      </c>
      <c r="C497" t="s">
        <v>1751</v>
      </c>
      <c r="D497">
        <v>20446843</v>
      </c>
      <c r="E497" t="s">
        <v>3128</v>
      </c>
      <c r="F497" t="s">
        <v>1782</v>
      </c>
      <c r="G497" t="s">
        <v>3129</v>
      </c>
      <c r="H497" t="s">
        <v>3131</v>
      </c>
      <c r="J497" s="455">
        <v>46064</v>
      </c>
      <c r="U497" s="455">
        <v>46064</v>
      </c>
    </row>
    <row r="498" spans="1:21">
      <c r="A498" t="s">
        <v>1751</v>
      </c>
      <c r="B498" t="s">
        <v>4174</v>
      </c>
      <c r="C498" t="s">
        <v>1751</v>
      </c>
      <c r="D498">
        <v>20441170</v>
      </c>
      <c r="E498" t="s">
        <v>3128</v>
      </c>
      <c r="F498" t="s">
        <v>1241</v>
      </c>
      <c r="G498" t="s">
        <v>3129</v>
      </c>
      <c r="H498" t="s">
        <v>1252</v>
      </c>
      <c r="J498" s="455">
        <v>46057</v>
      </c>
      <c r="U498" s="455">
        <v>46266</v>
      </c>
    </row>
    <row r="499" spans="1:21">
      <c r="A499" t="s">
        <v>1751</v>
      </c>
      <c r="B499" t="s">
        <v>9041</v>
      </c>
      <c r="C499" t="s">
        <v>1751</v>
      </c>
      <c r="D499">
        <v>20446785</v>
      </c>
      <c r="E499" t="s">
        <v>3128</v>
      </c>
      <c r="F499" t="s">
        <v>1782</v>
      </c>
      <c r="G499" t="s">
        <v>3129</v>
      </c>
      <c r="H499" t="s">
        <v>3131</v>
      </c>
      <c r="J499" s="455">
        <v>46064</v>
      </c>
      <c r="U499" s="455">
        <v>46064</v>
      </c>
    </row>
    <row r="500" spans="1:21">
      <c r="A500" t="s">
        <v>1751</v>
      </c>
      <c r="B500" t="s">
        <v>9042</v>
      </c>
      <c r="C500" t="s">
        <v>1751</v>
      </c>
      <c r="D500">
        <v>20456374</v>
      </c>
      <c r="E500" t="s">
        <v>3128</v>
      </c>
      <c r="F500" t="s">
        <v>1782</v>
      </c>
      <c r="G500" t="s">
        <v>3129</v>
      </c>
      <c r="H500" t="s">
        <v>3131</v>
      </c>
      <c r="J500" s="455">
        <v>46077</v>
      </c>
      <c r="U500" s="455">
        <v>46077</v>
      </c>
    </row>
    <row r="501" spans="1:21">
      <c r="A501" t="s">
        <v>1751</v>
      </c>
      <c r="B501" t="s">
        <v>4179</v>
      </c>
      <c r="C501" t="s">
        <v>1751</v>
      </c>
      <c r="D501">
        <v>20449931</v>
      </c>
      <c r="E501" t="s">
        <v>3128</v>
      </c>
      <c r="F501" t="s">
        <v>1782</v>
      </c>
      <c r="G501" t="s">
        <v>3129</v>
      </c>
      <c r="H501" t="s">
        <v>1252</v>
      </c>
      <c r="J501" s="455">
        <v>46069</v>
      </c>
      <c r="U501" s="455">
        <v>46069</v>
      </c>
    </row>
    <row r="502" spans="1:21">
      <c r="A502" t="s">
        <v>1751</v>
      </c>
      <c r="B502" t="s">
        <v>4179</v>
      </c>
      <c r="C502" t="s">
        <v>1751</v>
      </c>
      <c r="D502">
        <v>20449846</v>
      </c>
      <c r="E502" t="s">
        <v>3128</v>
      </c>
      <c r="F502" t="s">
        <v>1782</v>
      </c>
      <c r="G502" t="s">
        <v>3129</v>
      </c>
      <c r="H502" t="s">
        <v>3131</v>
      </c>
      <c r="J502" s="455">
        <v>46069</v>
      </c>
      <c r="U502" s="455">
        <v>46069</v>
      </c>
    </row>
    <row r="503" spans="1:21">
      <c r="A503" t="s">
        <v>1751</v>
      </c>
      <c r="B503" t="s">
        <v>4179</v>
      </c>
      <c r="C503" t="s">
        <v>1751</v>
      </c>
      <c r="D503">
        <v>20442155</v>
      </c>
      <c r="E503" t="s">
        <v>3128</v>
      </c>
      <c r="F503" t="s">
        <v>1782</v>
      </c>
      <c r="G503" t="s">
        <v>3129</v>
      </c>
      <c r="H503" t="s">
        <v>1252</v>
      </c>
      <c r="J503" s="455">
        <v>46059</v>
      </c>
      <c r="U503" s="455">
        <v>46074</v>
      </c>
    </row>
    <row r="504" spans="1:21">
      <c r="A504" t="s">
        <v>1751</v>
      </c>
      <c r="B504" t="s">
        <v>4179</v>
      </c>
      <c r="C504" t="s">
        <v>1751</v>
      </c>
      <c r="D504">
        <v>20442427</v>
      </c>
      <c r="E504" t="s">
        <v>3128</v>
      </c>
      <c r="F504" t="s">
        <v>1241</v>
      </c>
      <c r="G504" t="s">
        <v>3129</v>
      </c>
      <c r="H504" t="s">
        <v>3131</v>
      </c>
      <c r="J504" s="455">
        <v>46059</v>
      </c>
      <c r="U504" s="455">
        <v>46059</v>
      </c>
    </row>
    <row r="505" spans="1:21">
      <c r="A505" t="s">
        <v>1751</v>
      </c>
      <c r="B505" t="s">
        <v>4179</v>
      </c>
      <c r="C505" t="s">
        <v>1751</v>
      </c>
      <c r="D505">
        <v>20441438</v>
      </c>
      <c r="E505" t="s">
        <v>3128</v>
      </c>
      <c r="F505" t="s">
        <v>1239</v>
      </c>
      <c r="G505" t="s">
        <v>3129</v>
      </c>
      <c r="H505" t="s">
        <v>3131</v>
      </c>
      <c r="J505" s="455">
        <v>46058</v>
      </c>
      <c r="U505" s="455">
        <v>46058</v>
      </c>
    </row>
    <row r="506" spans="1:21">
      <c r="A506" t="s">
        <v>1751</v>
      </c>
      <c r="B506" t="s">
        <v>4179</v>
      </c>
      <c r="C506" t="s">
        <v>1751</v>
      </c>
      <c r="D506">
        <v>20412772</v>
      </c>
      <c r="E506" t="s">
        <v>3190</v>
      </c>
      <c r="F506" t="s">
        <v>1782</v>
      </c>
      <c r="G506" t="s">
        <v>3129</v>
      </c>
      <c r="H506" t="s">
        <v>1252</v>
      </c>
      <c r="J506" s="455">
        <v>46017</v>
      </c>
      <c r="R506" s="455">
        <v>46056</v>
      </c>
      <c r="U506" s="455">
        <v>46017</v>
      </c>
    </row>
    <row r="507" spans="1:21">
      <c r="A507" t="s">
        <v>1751</v>
      </c>
      <c r="B507" t="s">
        <v>4179</v>
      </c>
      <c r="C507" t="s">
        <v>1751</v>
      </c>
      <c r="D507">
        <v>20459633</v>
      </c>
      <c r="E507" t="s">
        <v>3128</v>
      </c>
      <c r="F507" t="s">
        <v>1241</v>
      </c>
      <c r="G507" t="s">
        <v>3129</v>
      </c>
      <c r="H507" t="s">
        <v>1252</v>
      </c>
      <c r="J507" s="455">
        <v>46081</v>
      </c>
      <c r="U507" s="455">
        <v>46096</v>
      </c>
    </row>
    <row r="508" spans="1:21">
      <c r="A508" t="s">
        <v>1751</v>
      </c>
      <c r="B508" t="s">
        <v>4179</v>
      </c>
      <c r="C508" t="s">
        <v>1751</v>
      </c>
      <c r="D508">
        <v>20454324</v>
      </c>
      <c r="E508" t="s">
        <v>3128</v>
      </c>
      <c r="F508" t="s">
        <v>1782</v>
      </c>
      <c r="G508" t="s">
        <v>3129</v>
      </c>
      <c r="H508" t="s">
        <v>1252</v>
      </c>
      <c r="J508" s="455">
        <v>46073</v>
      </c>
      <c r="U508" s="455">
        <v>46143</v>
      </c>
    </row>
    <row r="509" spans="1:21">
      <c r="A509" t="s">
        <v>1751</v>
      </c>
      <c r="B509" t="s">
        <v>4179</v>
      </c>
      <c r="C509" t="s">
        <v>1751</v>
      </c>
      <c r="D509">
        <v>20453628</v>
      </c>
      <c r="E509" t="s">
        <v>3128</v>
      </c>
      <c r="F509" t="s">
        <v>1782</v>
      </c>
      <c r="G509" t="s">
        <v>3129</v>
      </c>
      <c r="H509" t="s">
        <v>3131</v>
      </c>
      <c r="J509" s="455">
        <v>46072</v>
      </c>
      <c r="U509" s="455">
        <v>46072</v>
      </c>
    </row>
    <row r="510" spans="1:21">
      <c r="A510" t="s">
        <v>1751</v>
      </c>
      <c r="B510" t="s">
        <v>4179</v>
      </c>
      <c r="C510" t="s">
        <v>1751</v>
      </c>
      <c r="D510">
        <v>20450466</v>
      </c>
      <c r="E510" t="s">
        <v>3128</v>
      </c>
      <c r="F510" t="s">
        <v>1782</v>
      </c>
      <c r="G510" t="s">
        <v>3129</v>
      </c>
      <c r="H510" t="s">
        <v>3131</v>
      </c>
      <c r="J510" s="455">
        <v>46070</v>
      </c>
      <c r="U510" s="455">
        <v>46096</v>
      </c>
    </row>
    <row r="511" spans="1:21">
      <c r="A511" t="s">
        <v>1751</v>
      </c>
      <c r="B511" t="s">
        <v>4179</v>
      </c>
      <c r="C511" t="s">
        <v>1751</v>
      </c>
      <c r="D511">
        <v>20448452</v>
      </c>
      <c r="E511" t="s">
        <v>3128</v>
      </c>
      <c r="F511" t="s">
        <v>1782</v>
      </c>
      <c r="G511" t="s">
        <v>3129</v>
      </c>
      <c r="H511" t="s">
        <v>1253</v>
      </c>
      <c r="J511" s="455">
        <v>46066</v>
      </c>
      <c r="U511" s="455">
        <v>46066</v>
      </c>
    </row>
    <row r="512" spans="1:21">
      <c r="A512" t="s">
        <v>1751</v>
      </c>
      <c r="B512" t="s">
        <v>9043</v>
      </c>
      <c r="C512" t="s">
        <v>1751</v>
      </c>
      <c r="D512">
        <v>20454260</v>
      </c>
      <c r="E512" t="s">
        <v>3128</v>
      </c>
      <c r="F512" t="s">
        <v>1241</v>
      </c>
      <c r="G512" t="s">
        <v>2009</v>
      </c>
      <c r="H512" t="s">
        <v>1247</v>
      </c>
      <c r="J512" s="455">
        <v>46073</v>
      </c>
      <c r="U512" s="455">
        <v>46142</v>
      </c>
    </row>
    <row r="513" spans="1:21">
      <c r="A513" t="s">
        <v>1751</v>
      </c>
      <c r="B513" t="s">
        <v>9044</v>
      </c>
      <c r="C513" t="s">
        <v>1751</v>
      </c>
      <c r="D513">
        <v>20459406</v>
      </c>
      <c r="E513" t="s">
        <v>3128</v>
      </c>
      <c r="F513" t="s">
        <v>1782</v>
      </c>
      <c r="G513" t="s">
        <v>3129</v>
      </c>
      <c r="H513" t="s">
        <v>3131</v>
      </c>
      <c r="J513" s="455">
        <v>46081</v>
      </c>
      <c r="U513" s="455">
        <v>46081</v>
      </c>
    </row>
    <row r="514" spans="1:21">
      <c r="A514" t="s">
        <v>1751</v>
      </c>
      <c r="B514" t="s">
        <v>9045</v>
      </c>
      <c r="C514" t="s">
        <v>1751</v>
      </c>
      <c r="D514">
        <v>20447016</v>
      </c>
      <c r="E514" t="s">
        <v>3128</v>
      </c>
      <c r="F514" t="s">
        <v>1241</v>
      </c>
      <c r="G514" t="s">
        <v>3129</v>
      </c>
      <c r="H514" t="s">
        <v>1253</v>
      </c>
      <c r="J514" s="455">
        <v>46064</v>
      </c>
      <c r="U514" s="455">
        <v>46064</v>
      </c>
    </row>
    <row r="515" spans="1:21">
      <c r="A515" t="s">
        <v>1751</v>
      </c>
      <c r="B515" t="s">
        <v>9046</v>
      </c>
      <c r="C515" t="s">
        <v>1751</v>
      </c>
      <c r="D515">
        <v>20458849</v>
      </c>
      <c r="E515" t="s">
        <v>3128</v>
      </c>
      <c r="F515" t="s">
        <v>1237</v>
      </c>
      <c r="G515" t="s">
        <v>3143</v>
      </c>
      <c r="H515" t="s">
        <v>1248</v>
      </c>
      <c r="J515" s="455">
        <v>46080</v>
      </c>
      <c r="U515" s="455">
        <v>46080</v>
      </c>
    </row>
    <row r="516" spans="1:21">
      <c r="A516" t="s">
        <v>1751</v>
      </c>
      <c r="B516" t="s">
        <v>9047</v>
      </c>
      <c r="C516" t="s">
        <v>1751</v>
      </c>
      <c r="D516">
        <v>20455758</v>
      </c>
      <c r="E516" t="s">
        <v>3128</v>
      </c>
      <c r="F516" t="s">
        <v>1782</v>
      </c>
      <c r="G516" t="s">
        <v>3143</v>
      </c>
      <c r="H516" t="s">
        <v>1248</v>
      </c>
      <c r="J516" s="455">
        <v>46076</v>
      </c>
      <c r="U516" s="455">
        <v>46104</v>
      </c>
    </row>
    <row r="517" spans="1:21">
      <c r="A517" t="s">
        <v>1751</v>
      </c>
      <c r="B517" t="s">
        <v>4187</v>
      </c>
      <c r="C517" t="s">
        <v>1751</v>
      </c>
      <c r="D517">
        <v>20441372</v>
      </c>
      <c r="E517" t="s">
        <v>3128</v>
      </c>
      <c r="F517" t="s">
        <v>1782</v>
      </c>
      <c r="G517" t="s">
        <v>3141</v>
      </c>
      <c r="H517" t="s">
        <v>1247</v>
      </c>
      <c r="J517" s="455">
        <v>46058</v>
      </c>
      <c r="U517" s="455">
        <v>46068</v>
      </c>
    </row>
    <row r="518" spans="1:21">
      <c r="A518" t="s">
        <v>1751</v>
      </c>
      <c r="B518" t="s">
        <v>9048</v>
      </c>
      <c r="C518" t="s">
        <v>1751</v>
      </c>
      <c r="D518">
        <v>20454209</v>
      </c>
      <c r="E518" t="s">
        <v>1897</v>
      </c>
      <c r="F518" t="s">
        <v>1912</v>
      </c>
      <c r="G518" t="s">
        <v>3134</v>
      </c>
      <c r="H518" t="s">
        <v>1247</v>
      </c>
      <c r="J518" s="455">
        <v>46073</v>
      </c>
      <c r="K518" s="455">
        <v>46073</v>
      </c>
      <c r="U518" s="455">
        <v>46073</v>
      </c>
    </row>
    <row r="519" spans="1:21">
      <c r="A519" t="s">
        <v>1751</v>
      </c>
      <c r="B519" t="s">
        <v>9048</v>
      </c>
      <c r="C519" t="s">
        <v>1751</v>
      </c>
      <c r="D519">
        <v>20451935</v>
      </c>
      <c r="E519" t="s">
        <v>3128</v>
      </c>
      <c r="F519" t="s">
        <v>1241</v>
      </c>
      <c r="G519" t="s">
        <v>3129</v>
      </c>
      <c r="H519" t="s">
        <v>1252</v>
      </c>
      <c r="J519" s="455">
        <v>46071</v>
      </c>
      <c r="U519" s="455">
        <v>46078</v>
      </c>
    </row>
    <row r="520" spans="1:21">
      <c r="A520" t="s">
        <v>1751</v>
      </c>
      <c r="B520" t="s">
        <v>9049</v>
      </c>
      <c r="C520" t="s">
        <v>1751</v>
      </c>
      <c r="D520">
        <v>20454211</v>
      </c>
      <c r="E520" t="s">
        <v>3128</v>
      </c>
      <c r="F520" t="s">
        <v>1237</v>
      </c>
      <c r="G520" t="s">
        <v>3143</v>
      </c>
      <c r="H520" t="s">
        <v>1248</v>
      </c>
      <c r="I520" t="s">
        <v>1825</v>
      </c>
      <c r="J520" s="455">
        <v>46073</v>
      </c>
      <c r="U520" s="455">
        <v>46079</v>
      </c>
    </row>
    <row r="521" spans="1:21">
      <c r="A521" t="s">
        <v>1751</v>
      </c>
      <c r="B521" t="s">
        <v>9050</v>
      </c>
      <c r="C521" t="s">
        <v>1751</v>
      </c>
      <c r="D521">
        <v>20454551</v>
      </c>
      <c r="E521" t="s">
        <v>3128</v>
      </c>
      <c r="F521" t="s">
        <v>1782</v>
      </c>
      <c r="G521" t="s">
        <v>3141</v>
      </c>
      <c r="H521" t="s">
        <v>1247</v>
      </c>
      <c r="J521" s="455">
        <v>46073</v>
      </c>
      <c r="U521" s="455">
        <v>46091</v>
      </c>
    </row>
    <row r="522" spans="1:21">
      <c r="A522" t="s">
        <v>1751</v>
      </c>
      <c r="B522" t="s">
        <v>1792</v>
      </c>
      <c r="C522" t="s">
        <v>1751</v>
      </c>
      <c r="D522">
        <v>20448354</v>
      </c>
      <c r="E522" t="s">
        <v>1907</v>
      </c>
      <c r="F522" t="s">
        <v>1238</v>
      </c>
      <c r="G522" t="s">
        <v>2009</v>
      </c>
      <c r="H522" t="s">
        <v>1247</v>
      </c>
      <c r="I522" t="s">
        <v>1791</v>
      </c>
      <c r="J522" s="455">
        <v>46066</v>
      </c>
      <c r="K522" s="455">
        <v>46066</v>
      </c>
      <c r="L522" s="455">
        <v>46066</v>
      </c>
      <c r="U522" s="455">
        <v>46087</v>
      </c>
    </row>
    <row r="523" spans="1:21">
      <c r="A523" t="s">
        <v>1751</v>
      </c>
      <c r="B523" t="s">
        <v>1792</v>
      </c>
      <c r="C523" t="s">
        <v>1751</v>
      </c>
      <c r="D523">
        <v>20448359</v>
      </c>
      <c r="E523" t="s">
        <v>3128</v>
      </c>
      <c r="F523" t="s">
        <v>1238</v>
      </c>
      <c r="G523" t="s">
        <v>3143</v>
      </c>
      <c r="H523" t="s">
        <v>1252</v>
      </c>
      <c r="J523" s="455">
        <v>46066</v>
      </c>
      <c r="U523" s="455">
        <v>46066</v>
      </c>
    </row>
    <row r="524" spans="1:21">
      <c r="A524" t="s">
        <v>1751</v>
      </c>
      <c r="B524" t="s">
        <v>9051</v>
      </c>
      <c r="C524" t="s">
        <v>1751</v>
      </c>
      <c r="D524">
        <v>20441380</v>
      </c>
      <c r="E524" t="s">
        <v>3128</v>
      </c>
      <c r="F524" t="s">
        <v>1782</v>
      </c>
      <c r="G524" t="s">
        <v>3141</v>
      </c>
      <c r="H524" t="s">
        <v>1247</v>
      </c>
      <c r="J524" s="455">
        <v>46058</v>
      </c>
      <c r="U524" s="455">
        <v>46127</v>
      </c>
    </row>
    <row r="525" spans="1:21">
      <c r="A525" t="s">
        <v>1751</v>
      </c>
      <c r="B525" t="s">
        <v>9052</v>
      </c>
      <c r="C525" t="s">
        <v>1751</v>
      </c>
      <c r="D525">
        <v>20454855</v>
      </c>
      <c r="E525" t="s">
        <v>3128</v>
      </c>
      <c r="F525" t="s">
        <v>1239</v>
      </c>
      <c r="G525" t="s">
        <v>3143</v>
      </c>
      <c r="H525" t="s">
        <v>1248</v>
      </c>
      <c r="J525" s="455">
        <v>46074</v>
      </c>
      <c r="U525" s="455">
        <v>46074</v>
      </c>
    </row>
    <row r="526" spans="1:21">
      <c r="A526" t="s">
        <v>1751</v>
      </c>
      <c r="B526" t="s">
        <v>4200</v>
      </c>
      <c r="C526" t="s">
        <v>1751</v>
      </c>
      <c r="D526">
        <v>20440412</v>
      </c>
      <c r="E526" t="s">
        <v>1897</v>
      </c>
      <c r="F526" t="s">
        <v>1238</v>
      </c>
      <c r="G526" t="s">
        <v>2009</v>
      </c>
      <c r="H526" t="s">
        <v>1248</v>
      </c>
      <c r="I526" t="s">
        <v>1559</v>
      </c>
      <c r="J526" s="455">
        <v>46056</v>
      </c>
      <c r="K526" s="455">
        <v>46056</v>
      </c>
      <c r="U526" s="455">
        <v>46081</v>
      </c>
    </row>
    <row r="527" spans="1:21">
      <c r="A527" t="s">
        <v>1751</v>
      </c>
      <c r="B527" t="s">
        <v>1918</v>
      </c>
      <c r="C527" t="s">
        <v>1751</v>
      </c>
      <c r="D527">
        <v>20453249</v>
      </c>
      <c r="E527" t="s">
        <v>1907</v>
      </c>
      <c r="F527" t="s">
        <v>1239</v>
      </c>
      <c r="G527" t="s">
        <v>3134</v>
      </c>
      <c r="H527" t="s">
        <v>1249</v>
      </c>
      <c r="I527" t="s">
        <v>1917</v>
      </c>
      <c r="J527" s="455">
        <v>46072</v>
      </c>
      <c r="K527" s="455">
        <v>46072</v>
      </c>
      <c r="L527" s="455">
        <v>46072</v>
      </c>
      <c r="U527" s="455">
        <v>46086</v>
      </c>
    </row>
    <row r="528" spans="1:21">
      <c r="A528" t="s">
        <v>1751</v>
      </c>
      <c r="B528" t="s">
        <v>9053</v>
      </c>
      <c r="C528" t="s">
        <v>1751</v>
      </c>
      <c r="D528">
        <v>20452419</v>
      </c>
      <c r="E528" t="s">
        <v>1907</v>
      </c>
      <c r="F528" t="s">
        <v>8652</v>
      </c>
      <c r="G528" t="s">
        <v>3143</v>
      </c>
      <c r="H528" t="s">
        <v>1249</v>
      </c>
      <c r="I528" t="s">
        <v>2388</v>
      </c>
      <c r="J528" s="455">
        <v>46071</v>
      </c>
      <c r="K528" s="455">
        <v>46073</v>
      </c>
      <c r="L528" s="455">
        <v>46073</v>
      </c>
      <c r="U528" s="455">
        <v>46081</v>
      </c>
    </row>
    <row r="529" spans="1:21">
      <c r="A529" t="s">
        <v>1751</v>
      </c>
      <c r="B529" t="s">
        <v>9054</v>
      </c>
      <c r="C529" t="s">
        <v>1751</v>
      </c>
      <c r="D529">
        <v>20450711</v>
      </c>
      <c r="E529" t="s">
        <v>3128</v>
      </c>
      <c r="F529" t="s">
        <v>1238</v>
      </c>
      <c r="G529" t="s">
        <v>3143</v>
      </c>
      <c r="H529" t="s">
        <v>1252</v>
      </c>
      <c r="J529" s="455">
        <v>46070</v>
      </c>
      <c r="U529" s="455">
        <v>46070</v>
      </c>
    </row>
    <row r="530" spans="1:21">
      <c r="A530" t="s">
        <v>1751</v>
      </c>
      <c r="B530" t="s">
        <v>9054</v>
      </c>
      <c r="C530" t="s">
        <v>1751</v>
      </c>
      <c r="D530">
        <v>20450277</v>
      </c>
      <c r="E530" t="s">
        <v>3128</v>
      </c>
      <c r="F530" t="s">
        <v>1782</v>
      </c>
      <c r="G530" t="s">
        <v>3129</v>
      </c>
      <c r="H530" t="s">
        <v>3131</v>
      </c>
      <c r="J530" s="455">
        <v>46070</v>
      </c>
      <c r="U530" s="455">
        <v>46080</v>
      </c>
    </row>
    <row r="531" spans="1:21">
      <c r="A531" t="s">
        <v>1751</v>
      </c>
      <c r="B531" t="s">
        <v>9055</v>
      </c>
      <c r="C531" t="s">
        <v>1751</v>
      </c>
      <c r="D531">
        <v>20453601</v>
      </c>
      <c r="E531" t="s">
        <v>1897</v>
      </c>
      <c r="F531" t="s">
        <v>1912</v>
      </c>
      <c r="G531" t="s">
        <v>3134</v>
      </c>
      <c r="H531" t="s">
        <v>1247</v>
      </c>
      <c r="J531" s="455">
        <v>46072</v>
      </c>
      <c r="K531" s="455">
        <v>46072</v>
      </c>
      <c r="U531" s="455">
        <v>46072</v>
      </c>
    </row>
    <row r="532" spans="1:21">
      <c r="A532" t="s">
        <v>1751</v>
      </c>
      <c r="B532" t="s">
        <v>9056</v>
      </c>
      <c r="C532" t="s">
        <v>1751</v>
      </c>
      <c r="D532">
        <v>20442786</v>
      </c>
      <c r="E532" t="s">
        <v>3128</v>
      </c>
      <c r="F532" t="s">
        <v>1241</v>
      </c>
      <c r="G532" t="s">
        <v>3143</v>
      </c>
      <c r="H532" t="s">
        <v>1252</v>
      </c>
      <c r="J532" s="455">
        <v>46060</v>
      </c>
      <c r="U532" s="455">
        <v>46235</v>
      </c>
    </row>
    <row r="533" spans="1:21">
      <c r="A533" t="s">
        <v>1751</v>
      </c>
      <c r="B533" t="s">
        <v>9057</v>
      </c>
      <c r="C533" t="s">
        <v>1751</v>
      </c>
      <c r="D533">
        <v>20459601</v>
      </c>
      <c r="E533" t="s">
        <v>3128</v>
      </c>
      <c r="F533" t="s">
        <v>1782</v>
      </c>
      <c r="G533" t="s">
        <v>3129</v>
      </c>
      <c r="H533" t="s">
        <v>3131</v>
      </c>
      <c r="J533" s="455">
        <v>46081</v>
      </c>
      <c r="U533" s="455">
        <v>46081</v>
      </c>
    </row>
    <row r="534" spans="1:21">
      <c r="A534" t="s">
        <v>1751</v>
      </c>
      <c r="B534" t="s">
        <v>1909</v>
      </c>
      <c r="C534" t="s">
        <v>1751</v>
      </c>
      <c r="D534">
        <v>20443508</v>
      </c>
      <c r="E534" t="s">
        <v>1897</v>
      </c>
      <c r="F534" t="s">
        <v>1782</v>
      </c>
      <c r="G534" t="s">
        <v>3129</v>
      </c>
      <c r="H534" t="s">
        <v>1252</v>
      </c>
      <c r="I534" t="s">
        <v>1908</v>
      </c>
      <c r="J534" s="455">
        <v>46062</v>
      </c>
      <c r="K534" s="455">
        <v>46062</v>
      </c>
      <c r="U534" s="455">
        <v>46088</v>
      </c>
    </row>
    <row r="535" spans="1:21">
      <c r="A535" t="s">
        <v>1751</v>
      </c>
      <c r="B535" t="s">
        <v>9058</v>
      </c>
      <c r="C535" t="s">
        <v>1751</v>
      </c>
      <c r="D535">
        <v>20450207</v>
      </c>
      <c r="E535" t="s">
        <v>3128</v>
      </c>
      <c r="F535" t="s">
        <v>1782</v>
      </c>
      <c r="G535" t="s">
        <v>3129</v>
      </c>
      <c r="H535" t="s">
        <v>1247</v>
      </c>
      <c r="J535" s="455">
        <v>46070</v>
      </c>
      <c r="U535" s="455">
        <v>46257</v>
      </c>
    </row>
    <row r="536" spans="1:21">
      <c r="A536" t="s">
        <v>1751</v>
      </c>
      <c r="B536" t="s">
        <v>9059</v>
      </c>
      <c r="C536" t="s">
        <v>1751</v>
      </c>
      <c r="D536">
        <v>20448753</v>
      </c>
      <c r="E536" t="s">
        <v>3128</v>
      </c>
      <c r="F536" t="s">
        <v>1782</v>
      </c>
      <c r="G536" t="s">
        <v>2009</v>
      </c>
      <c r="H536" t="s">
        <v>1247</v>
      </c>
      <c r="J536" s="455">
        <v>46066</v>
      </c>
      <c r="U536" s="455">
        <v>46081</v>
      </c>
    </row>
    <row r="537" spans="1:21">
      <c r="A537" t="s">
        <v>1751</v>
      </c>
      <c r="B537" t="s">
        <v>9060</v>
      </c>
      <c r="C537" t="s">
        <v>1751</v>
      </c>
      <c r="D537">
        <v>20453655</v>
      </c>
      <c r="E537" t="s">
        <v>3128</v>
      </c>
      <c r="F537" t="s">
        <v>1782</v>
      </c>
      <c r="G537" t="s">
        <v>3141</v>
      </c>
      <c r="H537" t="s">
        <v>1247</v>
      </c>
      <c r="J537" s="455">
        <v>46072</v>
      </c>
      <c r="U537" s="455">
        <v>46211</v>
      </c>
    </row>
    <row r="538" spans="1:21">
      <c r="A538" t="s">
        <v>1751</v>
      </c>
      <c r="B538" t="s">
        <v>9061</v>
      </c>
      <c r="C538" t="s">
        <v>1751</v>
      </c>
      <c r="D538">
        <v>20448865</v>
      </c>
      <c r="E538" t="s">
        <v>3128</v>
      </c>
      <c r="F538" t="s">
        <v>1782</v>
      </c>
      <c r="G538" t="s">
        <v>2009</v>
      </c>
      <c r="H538" t="s">
        <v>1247</v>
      </c>
      <c r="J538" s="455">
        <v>46067</v>
      </c>
      <c r="U538" s="455">
        <v>46084</v>
      </c>
    </row>
    <row r="539" spans="1:21">
      <c r="A539" t="s">
        <v>1751</v>
      </c>
      <c r="B539" t="s">
        <v>9062</v>
      </c>
      <c r="C539" t="s">
        <v>1751</v>
      </c>
      <c r="D539">
        <v>20437530</v>
      </c>
      <c r="E539" t="s">
        <v>3133</v>
      </c>
      <c r="F539" t="s">
        <v>1237</v>
      </c>
      <c r="G539" t="s">
        <v>3134</v>
      </c>
      <c r="H539" t="s">
        <v>1247</v>
      </c>
      <c r="I539" t="s">
        <v>1943</v>
      </c>
      <c r="J539" s="455">
        <v>46052</v>
      </c>
      <c r="K539" s="455">
        <v>46052</v>
      </c>
      <c r="L539" s="455">
        <v>46052</v>
      </c>
      <c r="R539" s="455">
        <v>46070</v>
      </c>
      <c r="U539" s="455">
        <v>46069</v>
      </c>
    </row>
    <row r="540" spans="1:21">
      <c r="A540" t="s">
        <v>1751</v>
      </c>
      <c r="B540" t="s">
        <v>9062</v>
      </c>
      <c r="C540" t="s">
        <v>1751</v>
      </c>
      <c r="D540">
        <v>20436335</v>
      </c>
      <c r="E540" t="s">
        <v>3133</v>
      </c>
      <c r="F540" t="s">
        <v>1237</v>
      </c>
      <c r="G540" t="s">
        <v>3129</v>
      </c>
      <c r="H540" t="s">
        <v>1252</v>
      </c>
      <c r="I540" t="s">
        <v>1935</v>
      </c>
      <c r="J540" s="455">
        <v>46050</v>
      </c>
      <c r="K540" s="455">
        <v>46052</v>
      </c>
      <c r="L540" s="455">
        <v>46052</v>
      </c>
      <c r="S540" s="455">
        <v>46065</v>
      </c>
      <c r="U540" s="455">
        <v>46069</v>
      </c>
    </row>
    <row r="541" spans="1:21">
      <c r="A541" t="s">
        <v>1751</v>
      </c>
      <c r="B541" t="s">
        <v>9063</v>
      </c>
      <c r="C541" t="s">
        <v>1751</v>
      </c>
      <c r="D541">
        <v>20444597</v>
      </c>
      <c r="E541" t="s">
        <v>3128</v>
      </c>
      <c r="F541" t="s">
        <v>1241</v>
      </c>
      <c r="G541" t="s">
        <v>2009</v>
      </c>
      <c r="H541" t="s">
        <v>1247</v>
      </c>
      <c r="J541" s="455">
        <v>46063</v>
      </c>
      <c r="U541" s="455">
        <v>46327</v>
      </c>
    </row>
    <row r="542" spans="1:21">
      <c r="A542" t="s">
        <v>1751</v>
      </c>
      <c r="B542" t="s">
        <v>9064</v>
      </c>
      <c r="C542" t="s">
        <v>1751</v>
      </c>
      <c r="D542">
        <v>20414286</v>
      </c>
      <c r="E542" t="s">
        <v>3190</v>
      </c>
      <c r="F542" t="s">
        <v>1782</v>
      </c>
      <c r="G542" t="s">
        <v>3141</v>
      </c>
      <c r="H542" t="s">
        <v>3220</v>
      </c>
      <c r="J542" s="455">
        <v>46020</v>
      </c>
      <c r="R542" s="455">
        <v>46055</v>
      </c>
      <c r="U542" s="455">
        <v>46020</v>
      </c>
    </row>
    <row r="543" spans="1:21">
      <c r="A543" t="s">
        <v>1751</v>
      </c>
      <c r="B543" t="s">
        <v>9065</v>
      </c>
      <c r="C543" t="s">
        <v>1751</v>
      </c>
      <c r="D543">
        <v>20448685</v>
      </c>
      <c r="E543" t="s">
        <v>3128</v>
      </c>
      <c r="F543" t="s">
        <v>1782</v>
      </c>
      <c r="G543" t="s">
        <v>3141</v>
      </c>
      <c r="H543" t="s">
        <v>1247</v>
      </c>
      <c r="J543" s="455">
        <v>46066</v>
      </c>
      <c r="U543" s="455">
        <v>46296</v>
      </c>
    </row>
    <row r="544" spans="1:21">
      <c r="A544" t="s">
        <v>1751</v>
      </c>
      <c r="B544" t="s">
        <v>9066</v>
      </c>
      <c r="C544" t="s">
        <v>1751</v>
      </c>
      <c r="D544">
        <v>20445911</v>
      </c>
      <c r="E544" t="s">
        <v>3128</v>
      </c>
      <c r="F544" t="s">
        <v>1241</v>
      </c>
      <c r="G544" t="s">
        <v>2009</v>
      </c>
      <c r="H544" t="s">
        <v>1247</v>
      </c>
      <c r="J544" s="455">
        <v>46064</v>
      </c>
      <c r="U544" s="455">
        <v>46101</v>
      </c>
    </row>
    <row r="545" spans="1:21">
      <c r="A545" t="s">
        <v>1751</v>
      </c>
      <c r="B545" t="s">
        <v>9067</v>
      </c>
      <c r="C545" t="s">
        <v>1751</v>
      </c>
      <c r="D545">
        <v>20441366</v>
      </c>
      <c r="E545" t="s">
        <v>1907</v>
      </c>
      <c r="F545" t="s">
        <v>1237</v>
      </c>
      <c r="G545" t="s">
        <v>3134</v>
      </c>
      <c r="H545" t="s">
        <v>1247</v>
      </c>
      <c r="I545" t="s">
        <v>1223</v>
      </c>
      <c r="J545" s="455">
        <v>46058</v>
      </c>
      <c r="K545" s="455">
        <v>46058</v>
      </c>
      <c r="L545" s="455">
        <v>46058</v>
      </c>
      <c r="U545" s="455">
        <v>46088</v>
      </c>
    </row>
    <row r="546" spans="1:21">
      <c r="A546" t="s">
        <v>1751</v>
      </c>
      <c r="B546" t="s">
        <v>9068</v>
      </c>
      <c r="C546" t="s">
        <v>1751</v>
      </c>
      <c r="D546">
        <v>20455030</v>
      </c>
      <c r="E546" t="s">
        <v>3128</v>
      </c>
      <c r="F546" t="s">
        <v>1782</v>
      </c>
      <c r="G546" t="s">
        <v>3141</v>
      </c>
      <c r="H546" t="s">
        <v>1247</v>
      </c>
      <c r="J546" s="455">
        <v>46074</v>
      </c>
      <c r="U546" s="455">
        <v>46106</v>
      </c>
    </row>
    <row r="547" spans="1:21">
      <c r="A547" t="s">
        <v>1751</v>
      </c>
      <c r="B547" t="s">
        <v>7043</v>
      </c>
      <c r="C547" t="s">
        <v>1751</v>
      </c>
      <c r="D547">
        <v>20432306</v>
      </c>
      <c r="E547" t="s">
        <v>3142</v>
      </c>
      <c r="F547" t="s">
        <v>1237</v>
      </c>
      <c r="G547" t="s">
        <v>3134</v>
      </c>
      <c r="H547" t="s">
        <v>9069</v>
      </c>
      <c r="I547" t="s">
        <v>7042</v>
      </c>
      <c r="J547" s="455">
        <v>46044</v>
      </c>
      <c r="K547" s="455">
        <v>46044</v>
      </c>
      <c r="L547" s="455">
        <v>46044</v>
      </c>
      <c r="M547" s="455">
        <v>46058</v>
      </c>
      <c r="N547" s="455">
        <v>46059</v>
      </c>
      <c r="O547" s="455">
        <v>46059</v>
      </c>
      <c r="P547" s="455">
        <v>46059</v>
      </c>
      <c r="Q547" s="455">
        <v>46059</v>
      </c>
      <c r="U547" s="455">
        <v>46060</v>
      </c>
    </row>
    <row r="548" spans="1:21">
      <c r="A548" t="s">
        <v>1751</v>
      </c>
      <c r="B548" t="s">
        <v>4249</v>
      </c>
      <c r="C548" t="s">
        <v>1751</v>
      </c>
      <c r="D548">
        <v>20458281</v>
      </c>
      <c r="E548" t="s">
        <v>3128</v>
      </c>
      <c r="F548" t="s">
        <v>1239</v>
      </c>
      <c r="G548" t="s">
        <v>3143</v>
      </c>
      <c r="H548" t="s">
        <v>1252</v>
      </c>
      <c r="J548" s="455">
        <v>46079</v>
      </c>
      <c r="U548" s="455">
        <v>46079</v>
      </c>
    </row>
    <row r="549" spans="1:21">
      <c r="A549" t="s">
        <v>1751</v>
      </c>
      <c r="B549" t="s">
        <v>5016</v>
      </c>
      <c r="C549" t="s">
        <v>1751</v>
      </c>
      <c r="D549">
        <v>20423935</v>
      </c>
      <c r="E549" t="s">
        <v>3142</v>
      </c>
      <c r="F549" t="s">
        <v>1238</v>
      </c>
      <c r="G549" t="s">
        <v>3134</v>
      </c>
      <c r="H549" t="s">
        <v>1247</v>
      </c>
      <c r="I549" t="s">
        <v>7138</v>
      </c>
      <c r="J549" s="455">
        <v>46035</v>
      </c>
      <c r="K549" s="455">
        <v>46035</v>
      </c>
      <c r="L549" s="455">
        <v>46037</v>
      </c>
      <c r="M549" s="455">
        <v>46052</v>
      </c>
      <c r="N549" s="455">
        <v>46052</v>
      </c>
      <c r="P549" s="455">
        <v>46053</v>
      </c>
      <c r="Q549" s="455">
        <v>46054</v>
      </c>
      <c r="U549" s="455">
        <v>46083</v>
      </c>
    </row>
    <row r="550" spans="1:21">
      <c r="A550" t="s">
        <v>1751</v>
      </c>
      <c r="B550" t="s">
        <v>7118</v>
      </c>
      <c r="C550" t="s">
        <v>1751</v>
      </c>
      <c r="D550">
        <v>20441630</v>
      </c>
      <c r="E550" t="s">
        <v>1907</v>
      </c>
      <c r="F550" t="s">
        <v>1238</v>
      </c>
      <c r="G550" t="s">
        <v>3129</v>
      </c>
      <c r="H550" t="s">
        <v>1253</v>
      </c>
      <c r="I550" t="s">
        <v>7091</v>
      </c>
      <c r="J550" s="455">
        <v>46058</v>
      </c>
      <c r="K550" s="455">
        <v>46059</v>
      </c>
      <c r="L550" s="455">
        <v>46062</v>
      </c>
      <c r="U550" s="455">
        <v>46088</v>
      </c>
    </row>
    <row r="551" spans="1:21">
      <c r="A551" t="s">
        <v>1751</v>
      </c>
      <c r="B551" t="s">
        <v>7118</v>
      </c>
      <c r="C551" t="s">
        <v>1751</v>
      </c>
      <c r="D551">
        <v>20442431</v>
      </c>
      <c r="E551" t="s">
        <v>3133</v>
      </c>
      <c r="F551" t="s">
        <v>1782</v>
      </c>
      <c r="G551" t="s">
        <v>3134</v>
      </c>
      <c r="H551" t="s">
        <v>1253</v>
      </c>
      <c r="I551" t="s">
        <v>7107</v>
      </c>
      <c r="J551" s="455">
        <v>46059</v>
      </c>
      <c r="K551" s="455">
        <v>46059</v>
      </c>
      <c r="L551" s="455">
        <v>46066</v>
      </c>
      <c r="R551" s="455">
        <v>46070</v>
      </c>
      <c r="U551" s="455">
        <v>46081</v>
      </c>
    </row>
    <row r="552" spans="1:21">
      <c r="A552" t="s">
        <v>1751</v>
      </c>
      <c r="B552" t="s">
        <v>9070</v>
      </c>
      <c r="C552" t="s">
        <v>1751</v>
      </c>
      <c r="D552">
        <v>20444194</v>
      </c>
      <c r="E552" t="s">
        <v>3128</v>
      </c>
      <c r="F552" t="s">
        <v>1241</v>
      </c>
      <c r="G552" t="s">
        <v>2009</v>
      </c>
      <c r="H552" t="s">
        <v>1247</v>
      </c>
      <c r="J552" s="455">
        <v>46063</v>
      </c>
      <c r="U552" s="455">
        <v>46072</v>
      </c>
    </row>
    <row r="553" spans="1:21">
      <c r="A553" t="s">
        <v>1751</v>
      </c>
      <c r="B553" t="s">
        <v>9071</v>
      </c>
      <c r="C553" t="s">
        <v>1751</v>
      </c>
      <c r="D553">
        <v>20446002</v>
      </c>
      <c r="E553" t="s">
        <v>3128</v>
      </c>
      <c r="F553" t="s">
        <v>1241</v>
      </c>
      <c r="G553" t="s">
        <v>3129</v>
      </c>
      <c r="H553" t="s">
        <v>1253</v>
      </c>
      <c r="I553" t="s">
        <v>1925</v>
      </c>
      <c r="J553" s="455">
        <v>46064</v>
      </c>
      <c r="U553" s="455">
        <v>46065</v>
      </c>
    </row>
    <row r="554" spans="1:21">
      <c r="A554" t="s">
        <v>1751</v>
      </c>
      <c r="B554" t="s">
        <v>9072</v>
      </c>
      <c r="C554" t="s">
        <v>1751</v>
      </c>
      <c r="D554">
        <v>20446362</v>
      </c>
      <c r="E554" t="s">
        <v>3128</v>
      </c>
      <c r="F554" t="s">
        <v>1241</v>
      </c>
      <c r="G554" t="s">
        <v>3129</v>
      </c>
      <c r="H554" t="s">
        <v>1247</v>
      </c>
      <c r="J554" s="455">
        <v>46064</v>
      </c>
      <c r="U554" s="455">
        <v>46124</v>
      </c>
    </row>
    <row r="555" spans="1:21">
      <c r="A555" t="s">
        <v>1751</v>
      </c>
      <c r="B555" t="s">
        <v>1926</v>
      </c>
      <c r="C555" t="s">
        <v>1751</v>
      </c>
      <c r="D555">
        <v>20458554</v>
      </c>
      <c r="E555" t="s">
        <v>1907</v>
      </c>
      <c r="F555" t="s">
        <v>1237</v>
      </c>
      <c r="G555" t="s">
        <v>3134</v>
      </c>
      <c r="H555" t="s">
        <v>1248</v>
      </c>
      <c r="I555" t="s">
        <v>1925</v>
      </c>
      <c r="J555" s="455">
        <v>46079</v>
      </c>
      <c r="K555" s="455">
        <v>46079</v>
      </c>
      <c r="L555" s="455">
        <v>46079</v>
      </c>
      <c r="U555" s="455">
        <v>46094</v>
      </c>
    </row>
    <row r="556" spans="1:21">
      <c r="A556" t="s">
        <v>1751</v>
      </c>
      <c r="B556" t="s">
        <v>1926</v>
      </c>
      <c r="C556" t="s">
        <v>1751</v>
      </c>
      <c r="D556">
        <v>20457272</v>
      </c>
      <c r="E556" t="s">
        <v>3128</v>
      </c>
      <c r="F556" t="s">
        <v>1242</v>
      </c>
      <c r="G556" t="s">
        <v>3143</v>
      </c>
      <c r="H556" t="s">
        <v>1248</v>
      </c>
      <c r="J556" s="455">
        <v>46078</v>
      </c>
      <c r="U556" s="455">
        <v>46078</v>
      </c>
    </row>
    <row r="557" spans="1:21">
      <c r="A557" t="s">
        <v>1751</v>
      </c>
      <c r="B557" t="s">
        <v>9073</v>
      </c>
      <c r="C557" t="s">
        <v>1751</v>
      </c>
      <c r="D557">
        <v>20452600</v>
      </c>
      <c r="E557" t="s">
        <v>3128</v>
      </c>
      <c r="F557" t="s">
        <v>1241</v>
      </c>
      <c r="G557" t="s">
        <v>3137</v>
      </c>
      <c r="H557" t="s">
        <v>1251</v>
      </c>
      <c r="J557" s="455">
        <v>46071</v>
      </c>
      <c r="U557" s="455">
        <v>46071</v>
      </c>
    </row>
    <row r="558" spans="1:21">
      <c r="A558" t="s">
        <v>1751</v>
      </c>
      <c r="B558" t="s">
        <v>9074</v>
      </c>
      <c r="C558" t="s">
        <v>1751</v>
      </c>
      <c r="D558">
        <v>20443263</v>
      </c>
      <c r="E558" t="s">
        <v>3128</v>
      </c>
      <c r="F558" t="s">
        <v>1782</v>
      </c>
      <c r="G558" t="s">
        <v>3141</v>
      </c>
      <c r="H558" t="s">
        <v>1247</v>
      </c>
      <c r="J558" s="455">
        <v>46061</v>
      </c>
      <c r="U558" s="455">
        <v>46143</v>
      </c>
    </row>
    <row r="559" spans="1:21">
      <c r="A559" t="s">
        <v>1751</v>
      </c>
      <c r="B559" t="s">
        <v>9075</v>
      </c>
      <c r="C559" t="s">
        <v>1751</v>
      </c>
      <c r="D559">
        <v>20447944</v>
      </c>
      <c r="E559" t="s">
        <v>3133</v>
      </c>
      <c r="F559" t="s">
        <v>1237</v>
      </c>
      <c r="G559" t="s">
        <v>3134</v>
      </c>
      <c r="H559" t="s">
        <v>1247</v>
      </c>
      <c r="I559" t="s">
        <v>1965</v>
      </c>
      <c r="J559" s="455">
        <v>46065</v>
      </c>
      <c r="K559" s="455">
        <v>46065</v>
      </c>
      <c r="L559" s="455">
        <v>46066</v>
      </c>
      <c r="R559" s="455">
        <v>46079</v>
      </c>
      <c r="U559" s="455">
        <v>46080</v>
      </c>
    </row>
    <row r="560" spans="1:21">
      <c r="A560" t="s">
        <v>1751</v>
      </c>
      <c r="B560" t="s">
        <v>9076</v>
      </c>
      <c r="C560" t="s">
        <v>1751</v>
      </c>
      <c r="D560">
        <v>20443599</v>
      </c>
      <c r="E560" t="s">
        <v>3128</v>
      </c>
      <c r="F560" t="s">
        <v>1782</v>
      </c>
      <c r="G560" t="s">
        <v>3129</v>
      </c>
      <c r="H560" t="s">
        <v>1252</v>
      </c>
      <c r="J560" s="455">
        <v>46062</v>
      </c>
      <c r="U560" s="455">
        <v>46076</v>
      </c>
    </row>
    <row r="561" spans="1:21">
      <c r="A561" t="s">
        <v>1751</v>
      </c>
      <c r="B561" t="s">
        <v>9077</v>
      </c>
      <c r="C561" t="s">
        <v>1751</v>
      </c>
      <c r="D561">
        <v>20442975</v>
      </c>
      <c r="E561" t="s">
        <v>3190</v>
      </c>
      <c r="F561" t="s">
        <v>1237</v>
      </c>
      <c r="G561" t="s">
        <v>3143</v>
      </c>
      <c r="H561" t="s">
        <v>1248</v>
      </c>
      <c r="I561" t="s">
        <v>1831</v>
      </c>
      <c r="J561" s="455">
        <v>46060</v>
      </c>
      <c r="R561" s="455">
        <v>46060</v>
      </c>
      <c r="U561" s="455">
        <v>46080</v>
      </c>
    </row>
    <row r="562" spans="1:21">
      <c r="A562" t="s">
        <v>1751</v>
      </c>
      <c r="B562" t="s">
        <v>9078</v>
      </c>
      <c r="C562" t="s">
        <v>1751</v>
      </c>
      <c r="D562">
        <v>20456345</v>
      </c>
      <c r="E562" t="s">
        <v>1901</v>
      </c>
      <c r="F562" t="s">
        <v>1238</v>
      </c>
      <c r="G562" t="s">
        <v>3129</v>
      </c>
      <c r="H562" t="s">
        <v>1252</v>
      </c>
      <c r="I562" t="s">
        <v>1805</v>
      </c>
      <c r="J562" s="455">
        <v>46077</v>
      </c>
      <c r="K562" s="455">
        <v>46077</v>
      </c>
      <c r="L562" s="455">
        <v>46077</v>
      </c>
      <c r="U562" s="455">
        <v>46088</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FFE3F-2D48-47AC-A55C-4E3A75E569CB}">
  <sheetPr>
    <tabColor rgb="FFC00000"/>
  </sheetPr>
  <dimension ref="A1:U632"/>
  <sheetViews>
    <sheetView workbookViewId="0">
      <selection activeCell="E19" sqref="E19"/>
    </sheetView>
  </sheetViews>
  <sheetFormatPr defaultRowHeight="14.4"/>
  <sheetData>
    <row r="1" spans="1:21">
      <c r="A1" t="s">
        <v>3117</v>
      </c>
      <c r="B1" t="s">
        <v>1761</v>
      </c>
      <c r="C1" t="s">
        <v>2301</v>
      </c>
      <c r="D1" t="s">
        <v>3118</v>
      </c>
      <c r="E1" t="s">
        <v>929</v>
      </c>
      <c r="F1" t="s">
        <v>1233</v>
      </c>
      <c r="G1" t="s">
        <v>3119</v>
      </c>
      <c r="H1" t="s">
        <v>1216</v>
      </c>
      <c r="I1" t="s">
        <v>1760</v>
      </c>
      <c r="J1" t="s">
        <v>3120</v>
      </c>
      <c r="K1" t="s">
        <v>3121</v>
      </c>
      <c r="L1" t="s">
        <v>2292</v>
      </c>
      <c r="M1" t="s">
        <v>2296</v>
      </c>
      <c r="N1" t="s">
        <v>3122</v>
      </c>
      <c r="O1" t="s">
        <v>3123</v>
      </c>
      <c r="P1" t="s">
        <v>2298</v>
      </c>
      <c r="Q1" t="s">
        <v>2300</v>
      </c>
      <c r="R1" t="s">
        <v>3124</v>
      </c>
      <c r="S1" t="s">
        <v>3125</v>
      </c>
      <c r="T1" t="s">
        <v>3126</v>
      </c>
      <c r="U1" t="s">
        <v>2383</v>
      </c>
    </row>
    <row r="2" spans="1:21">
      <c r="A2" t="s">
        <v>1751</v>
      </c>
      <c r="B2" t="s">
        <v>9079</v>
      </c>
      <c r="C2" t="s">
        <v>1751</v>
      </c>
      <c r="D2">
        <v>20464585</v>
      </c>
      <c r="E2" t="s">
        <v>3128</v>
      </c>
      <c r="F2" t="s">
        <v>1782</v>
      </c>
      <c r="G2" t="s">
        <v>3141</v>
      </c>
      <c r="H2" t="s">
        <v>1247</v>
      </c>
      <c r="J2" s="455">
        <v>46088</v>
      </c>
      <c r="U2" s="455">
        <v>46116</v>
      </c>
    </row>
    <row r="3" spans="1:21">
      <c r="A3" t="s">
        <v>1751</v>
      </c>
      <c r="B3" t="s">
        <v>8646</v>
      </c>
      <c r="C3" t="s">
        <v>1751</v>
      </c>
      <c r="D3">
        <v>20456656</v>
      </c>
      <c r="E3" t="s">
        <v>3190</v>
      </c>
      <c r="F3" t="s">
        <v>1237</v>
      </c>
      <c r="G3" t="s">
        <v>3143</v>
      </c>
      <c r="H3" t="s">
        <v>1251</v>
      </c>
      <c r="J3" s="455">
        <v>46077</v>
      </c>
      <c r="R3" s="455">
        <v>46083</v>
      </c>
      <c r="U3" s="455">
        <v>46081</v>
      </c>
    </row>
    <row r="4" spans="1:21">
      <c r="A4" t="s">
        <v>1751</v>
      </c>
      <c r="B4" t="s">
        <v>8647</v>
      </c>
      <c r="C4" t="s">
        <v>1751</v>
      </c>
      <c r="D4">
        <v>20452401</v>
      </c>
      <c r="E4" t="s">
        <v>3133</v>
      </c>
      <c r="F4" t="s">
        <v>1912</v>
      </c>
      <c r="G4" t="s">
        <v>3134</v>
      </c>
      <c r="H4" t="s">
        <v>1247</v>
      </c>
      <c r="I4" t="s">
        <v>1963</v>
      </c>
      <c r="J4" s="455">
        <v>46071</v>
      </c>
      <c r="K4" s="455">
        <v>46071</v>
      </c>
      <c r="L4" s="455">
        <v>46077</v>
      </c>
      <c r="M4" s="455">
        <v>46085</v>
      </c>
      <c r="R4" s="455">
        <v>46085</v>
      </c>
      <c r="U4" s="455">
        <v>46083</v>
      </c>
    </row>
    <row r="5" spans="1:21">
      <c r="A5" t="s">
        <v>1751</v>
      </c>
      <c r="B5" t="s">
        <v>9080</v>
      </c>
      <c r="C5" t="s">
        <v>1751</v>
      </c>
      <c r="D5">
        <v>20479012</v>
      </c>
      <c r="E5" t="s">
        <v>3128</v>
      </c>
      <c r="F5" t="s">
        <v>1237</v>
      </c>
      <c r="G5" t="s">
        <v>3134</v>
      </c>
      <c r="H5" t="s">
        <v>1252</v>
      </c>
      <c r="I5" t="s">
        <v>3277</v>
      </c>
      <c r="J5" s="455">
        <v>46105</v>
      </c>
      <c r="U5" s="455">
        <v>46106</v>
      </c>
    </row>
    <row r="6" spans="1:21">
      <c r="A6" t="s">
        <v>1751</v>
      </c>
      <c r="B6" t="s">
        <v>9081</v>
      </c>
      <c r="C6" t="s">
        <v>1751</v>
      </c>
      <c r="D6">
        <v>20473648</v>
      </c>
      <c r="E6" t="s">
        <v>3128</v>
      </c>
      <c r="F6" t="s">
        <v>1782</v>
      </c>
      <c r="G6" t="s">
        <v>3134</v>
      </c>
      <c r="H6" t="s">
        <v>1252</v>
      </c>
      <c r="J6" s="455">
        <v>46098</v>
      </c>
      <c r="U6" s="455">
        <v>46111</v>
      </c>
    </row>
    <row r="7" spans="1:21">
      <c r="A7" t="s">
        <v>1751</v>
      </c>
      <c r="B7" t="s">
        <v>9082</v>
      </c>
      <c r="C7" t="s">
        <v>1751</v>
      </c>
      <c r="D7">
        <v>20463771</v>
      </c>
      <c r="E7" t="s">
        <v>3128</v>
      </c>
      <c r="F7" t="s">
        <v>1782</v>
      </c>
      <c r="G7" t="s">
        <v>3129</v>
      </c>
      <c r="H7" t="s">
        <v>1253</v>
      </c>
      <c r="J7" s="455">
        <v>46087</v>
      </c>
      <c r="U7" s="455">
        <v>46088</v>
      </c>
    </row>
    <row r="8" spans="1:21">
      <c r="A8" t="s">
        <v>1751</v>
      </c>
      <c r="B8" t="s">
        <v>9083</v>
      </c>
      <c r="C8" t="s">
        <v>1751</v>
      </c>
      <c r="D8">
        <v>20471142</v>
      </c>
      <c r="E8" t="s">
        <v>3128</v>
      </c>
      <c r="F8" t="s">
        <v>1782</v>
      </c>
      <c r="G8" t="s">
        <v>3134</v>
      </c>
      <c r="H8" t="s">
        <v>1252</v>
      </c>
      <c r="J8" s="455">
        <v>46094</v>
      </c>
      <c r="U8" s="455">
        <v>46113</v>
      </c>
    </row>
    <row r="9" spans="1:21">
      <c r="A9" t="s">
        <v>1751</v>
      </c>
      <c r="B9" t="s">
        <v>9084</v>
      </c>
      <c r="C9" t="s">
        <v>1751</v>
      </c>
      <c r="D9">
        <v>20482039</v>
      </c>
      <c r="E9" t="s">
        <v>3128</v>
      </c>
      <c r="F9" t="s">
        <v>1782</v>
      </c>
      <c r="G9" t="s">
        <v>3141</v>
      </c>
      <c r="H9" t="s">
        <v>1248</v>
      </c>
      <c r="J9" s="455">
        <v>46109</v>
      </c>
      <c r="U9" s="455">
        <v>46109</v>
      </c>
    </row>
    <row r="10" spans="1:21">
      <c r="A10" t="s">
        <v>1751</v>
      </c>
      <c r="B10" t="s">
        <v>9085</v>
      </c>
      <c r="C10" t="s">
        <v>1751</v>
      </c>
      <c r="D10">
        <v>20476492</v>
      </c>
      <c r="E10" t="s">
        <v>3128</v>
      </c>
      <c r="F10" t="s">
        <v>1782</v>
      </c>
      <c r="G10" t="s">
        <v>3134</v>
      </c>
      <c r="H10" t="s">
        <v>1252</v>
      </c>
      <c r="J10" s="455">
        <v>46101</v>
      </c>
      <c r="U10" s="455">
        <v>46101</v>
      </c>
    </row>
    <row r="11" spans="1:21">
      <c r="A11" t="s">
        <v>1751</v>
      </c>
      <c r="B11" t="s">
        <v>9086</v>
      </c>
      <c r="C11" t="s">
        <v>1751</v>
      </c>
      <c r="D11">
        <v>20483723</v>
      </c>
      <c r="E11" t="s">
        <v>1897</v>
      </c>
      <c r="F11" t="s">
        <v>1912</v>
      </c>
      <c r="G11" t="s">
        <v>3134</v>
      </c>
      <c r="H11" t="s">
        <v>1252</v>
      </c>
      <c r="J11" s="455">
        <v>46111</v>
      </c>
      <c r="K11" s="455">
        <v>46111</v>
      </c>
      <c r="U11" s="455">
        <v>46111</v>
      </c>
    </row>
    <row r="12" spans="1:21">
      <c r="A12" t="s">
        <v>1751</v>
      </c>
      <c r="B12" t="s">
        <v>9086</v>
      </c>
      <c r="C12" t="s">
        <v>1751</v>
      </c>
      <c r="D12">
        <v>20478007</v>
      </c>
      <c r="E12" t="s">
        <v>1897</v>
      </c>
      <c r="F12" t="s">
        <v>1241</v>
      </c>
      <c r="G12" t="s">
        <v>3134</v>
      </c>
      <c r="H12" t="s">
        <v>1252</v>
      </c>
      <c r="J12" s="455">
        <v>46103</v>
      </c>
      <c r="K12" s="455">
        <v>46111</v>
      </c>
      <c r="U12" s="455">
        <v>46164</v>
      </c>
    </row>
    <row r="13" spans="1:21">
      <c r="A13" t="s">
        <v>1751</v>
      </c>
      <c r="B13" t="s">
        <v>1837</v>
      </c>
      <c r="C13" t="s">
        <v>1751</v>
      </c>
      <c r="D13">
        <v>20443684</v>
      </c>
      <c r="E13" t="s">
        <v>1907</v>
      </c>
      <c r="F13" t="s">
        <v>1237</v>
      </c>
      <c r="G13" t="s">
        <v>3143</v>
      </c>
      <c r="H13" t="s">
        <v>1248</v>
      </c>
      <c r="I13" t="s">
        <v>1537</v>
      </c>
      <c r="J13" s="455">
        <v>46062</v>
      </c>
      <c r="K13" s="455">
        <v>46090</v>
      </c>
      <c r="L13" s="455">
        <v>46104</v>
      </c>
      <c r="U13" s="455">
        <v>46123</v>
      </c>
    </row>
    <row r="14" spans="1:21">
      <c r="A14" t="s">
        <v>1751</v>
      </c>
      <c r="B14" t="s">
        <v>9087</v>
      </c>
      <c r="C14" t="s">
        <v>1751</v>
      </c>
      <c r="D14">
        <v>20476050</v>
      </c>
      <c r="E14" t="s">
        <v>3128</v>
      </c>
      <c r="F14" t="s">
        <v>1241</v>
      </c>
      <c r="G14" t="s">
        <v>3134</v>
      </c>
      <c r="H14" t="s">
        <v>1252</v>
      </c>
      <c r="J14" s="455">
        <v>46100</v>
      </c>
      <c r="U14" s="455">
        <v>46193</v>
      </c>
    </row>
    <row r="15" spans="1:21">
      <c r="A15" t="s">
        <v>1751</v>
      </c>
      <c r="B15" t="s">
        <v>9088</v>
      </c>
      <c r="C15" t="s">
        <v>1751</v>
      </c>
      <c r="D15">
        <v>20473092</v>
      </c>
      <c r="E15" t="s">
        <v>3128</v>
      </c>
      <c r="F15" t="s">
        <v>1241</v>
      </c>
      <c r="G15" t="s">
        <v>3134</v>
      </c>
      <c r="H15" t="s">
        <v>1252</v>
      </c>
      <c r="J15" s="455">
        <v>46098</v>
      </c>
      <c r="U15" s="455">
        <v>46172</v>
      </c>
    </row>
    <row r="16" spans="1:21">
      <c r="A16" t="s">
        <v>1751</v>
      </c>
      <c r="B16" t="s">
        <v>9089</v>
      </c>
      <c r="C16" t="s">
        <v>1751</v>
      </c>
      <c r="D16">
        <v>20471521</v>
      </c>
      <c r="E16" t="s">
        <v>3128</v>
      </c>
      <c r="F16" t="s">
        <v>1241</v>
      </c>
      <c r="G16" t="s">
        <v>3143</v>
      </c>
      <c r="H16" t="s">
        <v>1252</v>
      </c>
      <c r="I16" t="s">
        <v>1952</v>
      </c>
      <c r="J16" s="455">
        <v>46095</v>
      </c>
      <c r="U16" s="455">
        <v>46095</v>
      </c>
    </row>
    <row r="17" spans="1:21">
      <c r="A17" t="s">
        <v>1751</v>
      </c>
      <c r="B17" t="s">
        <v>7096</v>
      </c>
      <c r="C17" t="s">
        <v>1751</v>
      </c>
      <c r="D17">
        <v>20456466</v>
      </c>
      <c r="E17" t="s">
        <v>3142</v>
      </c>
      <c r="F17" t="s">
        <v>1237</v>
      </c>
      <c r="G17" t="s">
        <v>3134</v>
      </c>
      <c r="H17" t="s">
        <v>1247</v>
      </c>
      <c r="I17" t="s">
        <v>7095</v>
      </c>
      <c r="J17" s="455">
        <v>46077</v>
      </c>
      <c r="K17" s="455">
        <v>46077</v>
      </c>
      <c r="L17" s="455">
        <v>46077</v>
      </c>
      <c r="M17" s="455">
        <v>46091</v>
      </c>
      <c r="N17" s="455">
        <v>46091</v>
      </c>
      <c r="P17" s="455">
        <v>46096</v>
      </c>
      <c r="Q17" s="455">
        <v>46097</v>
      </c>
      <c r="U17" s="455">
        <v>46097</v>
      </c>
    </row>
    <row r="18" spans="1:21">
      <c r="A18" t="s">
        <v>1751</v>
      </c>
      <c r="B18" t="s">
        <v>9090</v>
      </c>
      <c r="C18" t="s">
        <v>1751</v>
      </c>
      <c r="D18">
        <v>20461150</v>
      </c>
      <c r="E18" t="s">
        <v>3128</v>
      </c>
      <c r="F18" t="s">
        <v>1782</v>
      </c>
      <c r="G18" t="s">
        <v>3141</v>
      </c>
      <c r="H18" t="s">
        <v>1247</v>
      </c>
      <c r="J18" s="455">
        <v>46084</v>
      </c>
      <c r="U18" s="455">
        <v>46164</v>
      </c>
    </row>
    <row r="19" spans="1:21">
      <c r="A19" t="s">
        <v>1751</v>
      </c>
      <c r="B19" t="s">
        <v>7129</v>
      </c>
      <c r="C19" t="s">
        <v>1751</v>
      </c>
      <c r="D19">
        <v>20453791</v>
      </c>
      <c r="E19" t="s">
        <v>3142</v>
      </c>
      <c r="F19" t="s">
        <v>1238</v>
      </c>
      <c r="G19" t="s">
        <v>3134</v>
      </c>
      <c r="H19" t="s">
        <v>1251</v>
      </c>
      <c r="I19" t="s">
        <v>7128</v>
      </c>
      <c r="J19" s="455">
        <v>46072</v>
      </c>
      <c r="K19" s="455">
        <v>46072</v>
      </c>
      <c r="L19" s="455">
        <v>46072</v>
      </c>
      <c r="M19" s="455">
        <v>46080</v>
      </c>
      <c r="N19" s="455">
        <v>46080</v>
      </c>
      <c r="O19" s="455">
        <v>46083</v>
      </c>
      <c r="P19" s="455">
        <v>46083</v>
      </c>
      <c r="Q19" s="455">
        <v>46083</v>
      </c>
      <c r="U19" s="455">
        <v>46083</v>
      </c>
    </row>
    <row r="20" spans="1:21">
      <c r="A20" t="s">
        <v>1751</v>
      </c>
      <c r="B20" t="s">
        <v>8665</v>
      </c>
      <c r="C20" t="s">
        <v>1751</v>
      </c>
      <c r="D20">
        <v>20436771</v>
      </c>
      <c r="E20" t="s">
        <v>3133</v>
      </c>
      <c r="F20" t="s">
        <v>1782</v>
      </c>
      <c r="G20" t="s">
        <v>2009</v>
      </c>
      <c r="H20" t="s">
        <v>1251</v>
      </c>
      <c r="J20" s="455">
        <v>46051</v>
      </c>
      <c r="K20" s="455">
        <v>46062</v>
      </c>
      <c r="R20" s="455">
        <v>46092</v>
      </c>
      <c r="U20" s="455">
        <v>46085</v>
      </c>
    </row>
    <row r="21" spans="1:21">
      <c r="A21" t="s">
        <v>1751</v>
      </c>
      <c r="B21" t="s">
        <v>9091</v>
      </c>
      <c r="C21" t="s">
        <v>1751</v>
      </c>
      <c r="D21">
        <v>20460984</v>
      </c>
      <c r="E21" t="s">
        <v>3128</v>
      </c>
      <c r="F21" t="s">
        <v>1782</v>
      </c>
      <c r="G21" t="s">
        <v>3141</v>
      </c>
      <c r="H21" t="s">
        <v>1247</v>
      </c>
      <c r="J21" s="455">
        <v>46083</v>
      </c>
      <c r="U21" s="455">
        <v>46084</v>
      </c>
    </row>
    <row r="22" spans="1:21">
      <c r="A22" t="s">
        <v>1751</v>
      </c>
      <c r="B22" t="s">
        <v>9092</v>
      </c>
      <c r="C22" t="s">
        <v>1751</v>
      </c>
      <c r="D22">
        <v>20475570</v>
      </c>
      <c r="E22" t="s">
        <v>3128</v>
      </c>
      <c r="F22" t="s">
        <v>1782</v>
      </c>
      <c r="G22" t="s">
        <v>3134</v>
      </c>
      <c r="H22" t="s">
        <v>1252</v>
      </c>
      <c r="J22" s="455">
        <v>46100</v>
      </c>
      <c r="U22" s="455">
        <v>46103</v>
      </c>
    </row>
    <row r="23" spans="1:21">
      <c r="A23" t="s">
        <v>1751</v>
      </c>
      <c r="B23" t="s">
        <v>8666</v>
      </c>
      <c r="C23" t="s">
        <v>1751</v>
      </c>
      <c r="D23">
        <v>20444109</v>
      </c>
      <c r="E23" t="s">
        <v>3133</v>
      </c>
      <c r="F23" t="s">
        <v>1237</v>
      </c>
      <c r="G23" t="s">
        <v>3134</v>
      </c>
      <c r="H23" t="s">
        <v>1247</v>
      </c>
      <c r="I23" t="s">
        <v>1961</v>
      </c>
      <c r="J23" s="455">
        <v>46062</v>
      </c>
      <c r="K23" s="455">
        <v>46062</v>
      </c>
      <c r="L23" s="455">
        <v>46062</v>
      </c>
      <c r="R23" s="455">
        <v>46085</v>
      </c>
      <c r="U23" s="455">
        <v>46087</v>
      </c>
    </row>
    <row r="24" spans="1:21">
      <c r="A24" t="s">
        <v>1751</v>
      </c>
      <c r="B24" t="s">
        <v>9093</v>
      </c>
      <c r="C24" t="s">
        <v>1751</v>
      </c>
      <c r="D24">
        <v>20480689</v>
      </c>
      <c r="E24" t="s">
        <v>1897</v>
      </c>
      <c r="F24" t="s">
        <v>1782</v>
      </c>
      <c r="G24" t="s">
        <v>3129</v>
      </c>
      <c r="H24" t="s">
        <v>3131</v>
      </c>
      <c r="I24" t="s">
        <v>1952</v>
      </c>
      <c r="J24" s="455">
        <v>46107</v>
      </c>
      <c r="K24" s="455">
        <v>46107</v>
      </c>
      <c r="U24" s="455">
        <v>46137</v>
      </c>
    </row>
    <row r="25" spans="1:21">
      <c r="A25" t="s">
        <v>1751</v>
      </c>
      <c r="B25" t="s">
        <v>9094</v>
      </c>
      <c r="C25" t="s">
        <v>1751</v>
      </c>
      <c r="D25">
        <v>20477365</v>
      </c>
      <c r="E25" t="s">
        <v>3128</v>
      </c>
      <c r="F25" t="s">
        <v>1238</v>
      </c>
      <c r="G25" t="s">
        <v>3143</v>
      </c>
      <c r="H25" t="s">
        <v>1252</v>
      </c>
      <c r="I25" t="s">
        <v>1947</v>
      </c>
      <c r="J25" s="455">
        <v>46102</v>
      </c>
      <c r="U25" s="455">
        <v>46136</v>
      </c>
    </row>
    <row r="26" spans="1:21">
      <c r="A26" t="s">
        <v>1751</v>
      </c>
      <c r="B26" t="s">
        <v>9095</v>
      </c>
      <c r="C26" t="s">
        <v>1751</v>
      </c>
      <c r="D26">
        <v>20471764</v>
      </c>
      <c r="E26" t="s">
        <v>3128</v>
      </c>
      <c r="F26" t="s">
        <v>1241</v>
      </c>
      <c r="G26" t="s">
        <v>3134</v>
      </c>
      <c r="H26" t="s">
        <v>1252</v>
      </c>
      <c r="J26" s="455">
        <v>46095</v>
      </c>
      <c r="U26" s="455">
        <v>46113</v>
      </c>
    </row>
    <row r="27" spans="1:21">
      <c r="A27" t="s">
        <v>1751</v>
      </c>
      <c r="B27" t="s">
        <v>9096</v>
      </c>
      <c r="C27" t="s">
        <v>1751</v>
      </c>
      <c r="D27">
        <v>20475336</v>
      </c>
      <c r="E27" t="s">
        <v>3128</v>
      </c>
      <c r="F27" t="s">
        <v>1241</v>
      </c>
      <c r="G27" t="s">
        <v>3134</v>
      </c>
      <c r="H27" t="s">
        <v>1252</v>
      </c>
      <c r="J27" s="455">
        <v>46099</v>
      </c>
      <c r="U27" s="455">
        <v>46113</v>
      </c>
    </row>
    <row r="28" spans="1:21">
      <c r="A28" t="s">
        <v>1751</v>
      </c>
      <c r="B28" t="s">
        <v>7092</v>
      </c>
      <c r="C28" t="s">
        <v>1751</v>
      </c>
      <c r="D28">
        <v>20469139</v>
      </c>
      <c r="E28" t="s">
        <v>3142</v>
      </c>
      <c r="F28" t="s">
        <v>1241</v>
      </c>
      <c r="G28" t="s">
        <v>3143</v>
      </c>
      <c r="H28" t="s">
        <v>1251</v>
      </c>
      <c r="I28" t="s">
        <v>7091</v>
      </c>
      <c r="J28" s="455">
        <v>46093</v>
      </c>
      <c r="K28" s="455">
        <v>46093</v>
      </c>
      <c r="L28" s="455">
        <v>46093</v>
      </c>
      <c r="M28" s="455">
        <v>46094</v>
      </c>
      <c r="N28" s="455">
        <v>46094</v>
      </c>
      <c r="P28" s="455">
        <v>46094</v>
      </c>
      <c r="Q28" s="455">
        <v>46094</v>
      </c>
      <c r="U28" s="455">
        <v>46095</v>
      </c>
    </row>
    <row r="29" spans="1:21">
      <c r="A29" t="s">
        <v>1751</v>
      </c>
      <c r="B29" t="s">
        <v>9097</v>
      </c>
      <c r="C29" t="s">
        <v>1751</v>
      </c>
      <c r="D29">
        <v>20462534</v>
      </c>
      <c r="E29" t="s">
        <v>3128</v>
      </c>
      <c r="F29" t="s">
        <v>1241</v>
      </c>
      <c r="G29" t="s">
        <v>3129</v>
      </c>
      <c r="H29" t="s">
        <v>1252</v>
      </c>
      <c r="J29" s="455">
        <v>46085</v>
      </c>
      <c r="U29" s="455">
        <v>46085</v>
      </c>
    </row>
    <row r="30" spans="1:21">
      <c r="A30" t="s">
        <v>1751</v>
      </c>
      <c r="B30" t="s">
        <v>9098</v>
      </c>
      <c r="C30" t="s">
        <v>1751</v>
      </c>
      <c r="D30">
        <v>20481504</v>
      </c>
      <c r="E30" t="s">
        <v>3128</v>
      </c>
      <c r="F30" t="s">
        <v>1241</v>
      </c>
      <c r="G30" t="s">
        <v>3129</v>
      </c>
      <c r="H30" t="s">
        <v>3131</v>
      </c>
      <c r="I30" t="s">
        <v>1952</v>
      </c>
      <c r="J30" s="455">
        <v>46108</v>
      </c>
      <c r="U30" s="455">
        <v>46116</v>
      </c>
    </row>
    <row r="31" spans="1:21">
      <c r="A31" t="s">
        <v>1751</v>
      </c>
      <c r="B31" t="s">
        <v>9099</v>
      </c>
      <c r="C31" t="s">
        <v>1751</v>
      </c>
      <c r="D31">
        <v>20482962</v>
      </c>
      <c r="E31" t="s">
        <v>1907</v>
      </c>
      <c r="F31" t="s">
        <v>1799</v>
      </c>
      <c r="G31" t="s">
        <v>3134</v>
      </c>
      <c r="H31" t="s">
        <v>3487</v>
      </c>
      <c r="I31" t="s">
        <v>1967</v>
      </c>
      <c r="J31" s="455">
        <v>46111</v>
      </c>
      <c r="K31" s="455">
        <v>46111</v>
      </c>
      <c r="L31" s="455">
        <v>46111</v>
      </c>
      <c r="U31" s="455">
        <v>46118</v>
      </c>
    </row>
    <row r="32" spans="1:21">
      <c r="A32" t="s">
        <v>1751</v>
      </c>
      <c r="B32" t="s">
        <v>1103</v>
      </c>
      <c r="C32" t="s">
        <v>1751</v>
      </c>
      <c r="D32">
        <v>20433726</v>
      </c>
      <c r="E32" t="s">
        <v>3142</v>
      </c>
      <c r="F32" t="s">
        <v>1239</v>
      </c>
      <c r="G32" t="s">
        <v>3134</v>
      </c>
      <c r="H32" t="s">
        <v>1249</v>
      </c>
      <c r="I32" t="s">
        <v>1218</v>
      </c>
      <c r="J32" s="455">
        <v>46045</v>
      </c>
      <c r="K32" s="455">
        <v>46045</v>
      </c>
      <c r="L32" s="455">
        <v>46045</v>
      </c>
      <c r="M32" s="455">
        <v>46090</v>
      </c>
      <c r="N32" s="455">
        <v>46091</v>
      </c>
      <c r="P32" s="455">
        <v>46092</v>
      </c>
      <c r="Q32" s="455">
        <v>46092</v>
      </c>
      <c r="U32" s="455">
        <v>46092</v>
      </c>
    </row>
    <row r="33" spans="1:21">
      <c r="A33" t="s">
        <v>1751</v>
      </c>
      <c r="B33" t="s">
        <v>9100</v>
      </c>
      <c r="C33" t="s">
        <v>1751</v>
      </c>
      <c r="D33">
        <v>20416203</v>
      </c>
      <c r="E33" t="s">
        <v>3133</v>
      </c>
      <c r="F33" t="s">
        <v>1237</v>
      </c>
      <c r="G33" t="s">
        <v>3134</v>
      </c>
      <c r="H33" t="s">
        <v>1247</v>
      </c>
      <c r="I33" t="s">
        <v>1218</v>
      </c>
      <c r="J33" s="455">
        <v>46023</v>
      </c>
      <c r="K33" s="455">
        <v>46023</v>
      </c>
      <c r="R33" s="455">
        <v>46091</v>
      </c>
      <c r="U33" s="455">
        <v>46031</v>
      </c>
    </row>
    <row r="34" spans="1:21">
      <c r="A34" t="s">
        <v>1751</v>
      </c>
      <c r="B34" t="s">
        <v>9101</v>
      </c>
      <c r="C34" t="s">
        <v>1751</v>
      </c>
      <c r="D34">
        <v>20471770</v>
      </c>
      <c r="E34" t="s">
        <v>3128</v>
      </c>
      <c r="F34" t="s">
        <v>1241</v>
      </c>
      <c r="G34" t="s">
        <v>3134</v>
      </c>
      <c r="H34" t="s">
        <v>1252</v>
      </c>
      <c r="J34" s="455">
        <v>46095</v>
      </c>
      <c r="U34" s="455">
        <v>46115</v>
      </c>
    </row>
    <row r="35" spans="1:21">
      <c r="A35" t="s">
        <v>1751</v>
      </c>
      <c r="B35" t="s">
        <v>9102</v>
      </c>
      <c r="C35" t="s">
        <v>1751</v>
      </c>
      <c r="D35">
        <v>20460250</v>
      </c>
      <c r="E35" t="s">
        <v>3128</v>
      </c>
      <c r="F35" t="s">
        <v>1241</v>
      </c>
      <c r="G35" t="s">
        <v>3137</v>
      </c>
      <c r="H35" t="s">
        <v>1247</v>
      </c>
      <c r="J35" s="455">
        <v>46083</v>
      </c>
      <c r="U35" s="455">
        <v>46083</v>
      </c>
    </row>
    <row r="36" spans="1:21">
      <c r="A36" t="s">
        <v>1751</v>
      </c>
      <c r="B36" t="s">
        <v>3204</v>
      </c>
      <c r="C36" t="s">
        <v>1751</v>
      </c>
      <c r="D36">
        <v>20460669</v>
      </c>
      <c r="E36" t="s">
        <v>1897</v>
      </c>
      <c r="F36" t="s">
        <v>1242</v>
      </c>
      <c r="G36" t="s">
        <v>3143</v>
      </c>
      <c r="H36" t="s">
        <v>1248</v>
      </c>
      <c r="I36" t="s">
        <v>1564</v>
      </c>
      <c r="J36" s="455">
        <v>46083</v>
      </c>
      <c r="K36" s="455">
        <v>46083</v>
      </c>
      <c r="U36" s="455">
        <v>46095</v>
      </c>
    </row>
    <row r="37" spans="1:21">
      <c r="A37" t="s">
        <v>1751</v>
      </c>
      <c r="B37" t="s">
        <v>8678</v>
      </c>
      <c r="C37" t="s">
        <v>1751</v>
      </c>
      <c r="D37">
        <v>20464224</v>
      </c>
      <c r="E37" t="s">
        <v>3133</v>
      </c>
      <c r="F37" t="s">
        <v>1243</v>
      </c>
      <c r="G37" t="s">
        <v>3134</v>
      </c>
      <c r="H37" t="s">
        <v>1247</v>
      </c>
      <c r="I37" t="s">
        <v>3055</v>
      </c>
      <c r="J37" s="455">
        <v>46088</v>
      </c>
      <c r="K37" s="455">
        <v>46088</v>
      </c>
      <c r="L37" s="455">
        <v>46091</v>
      </c>
      <c r="R37" s="455">
        <v>46100</v>
      </c>
      <c r="U37" s="455">
        <v>46101</v>
      </c>
    </row>
    <row r="38" spans="1:21">
      <c r="A38" t="s">
        <v>1751</v>
      </c>
      <c r="B38" t="s">
        <v>9103</v>
      </c>
      <c r="C38" t="s">
        <v>1751</v>
      </c>
      <c r="D38">
        <v>20471388</v>
      </c>
      <c r="E38" t="s">
        <v>1897</v>
      </c>
      <c r="F38" t="s">
        <v>1912</v>
      </c>
      <c r="G38" t="s">
        <v>3134</v>
      </c>
      <c r="H38" t="s">
        <v>1247</v>
      </c>
      <c r="J38" s="455">
        <v>46095</v>
      </c>
      <c r="K38" s="455">
        <v>46095</v>
      </c>
      <c r="U38" s="455">
        <v>46095</v>
      </c>
    </row>
    <row r="39" spans="1:21">
      <c r="A39" t="s">
        <v>1751</v>
      </c>
      <c r="B39" t="s">
        <v>9104</v>
      </c>
      <c r="C39" t="s">
        <v>1751</v>
      </c>
      <c r="D39">
        <v>20478175</v>
      </c>
      <c r="E39" t="s">
        <v>3128</v>
      </c>
      <c r="F39" t="s">
        <v>1237</v>
      </c>
      <c r="G39" t="s">
        <v>2009</v>
      </c>
      <c r="H39" t="s">
        <v>1248</v>
      </c>
      <c r="J39" s="455">
        <v>46104</v>
      </c>
      <c r="U39" s="455">
        <v>46114</v>
      </c>
    </row>
    <row r="40" spans="1:21">
      <c r="A40" t="s">
        <v>1751</v>
      </c>
      <c r="B40" t="s">
        <v>9105</v>
      </c>
      <c r="C40" t="s">
        <v>1751</v>
      </c>
      <c r="D40">
        <v>20465759</v>
      </c>
      <c r="E40" t="s">
        <v>3128</v>
      </c>
      <c r="F40" t="s">
        <v>1782</v>
      </c>
      <c r="G40" t="s">
        <v>3141</v>
      </c>
      <c r="H40" t="s">
        <v>1247</v>
      </c>
      <c r="J40" s="455">
        <v>46090</v>
      </c>
      <c r="U40" s="455">
        <v>46234</v>
      </c>
    </row>
    <row r="41" spans="1:21">
      <c r="A41" t="s">
        <v>1751</v>
      </c>
      <c r="B41" t="s">
        <v>9106</v>
      </c>
      <c r="C41" t="s">
        <v>1751</v>
      </c>
      <c r="D41">
        <v>20477569</v>
      </c>
      <c r="E41" t="s">
        <v>3128</v>
      </c>
      <c r="F41" t="s">
        <v>1782</v>
      </c>
      <c r="G41" t="s">
        <v>3134</v>
      </c>
      <c r="H41" t="s">
        <v>1252</v>
      </c>
      <c r="J41" s="455">
        <v>46102</v>
      </c>
      <c r="U41" s="455">
        <v>46174</v>
      </c>
    </row>
    <row r="42" spans="1:21">
      <c r="A42" t="s">
        <v>1751</v>
      </c>
      <c r="B42" t="s">
        <v>9107</v>
      </c>
      <c r="C42" t="s">
        <v>1751</v>
      </c>
      <c r="D42">
        <v>20468502</v>
      </c>
      <c r="E42" t="s">
        <v>3190</v>
      </c>
      <c r="F42" t="s">
        <v>1239</v>
      </c>
      <c r="G42" t="s">
        <v>3137</v>
      </c>
      <c r="H42" t="s">
        <v>1251</v>
      </c>
      <c r="J42" s="455">
        <v>46092</v>
      </c>
      <c r="R42" s="455">
        <v>46094</v>
      </c>
      <c r="U42" s="455">
        <v>46102</v>
      </c>
    </row>
    <row r="43" spans="1:21">
      <c r="A43" t="s">
        <v>1751</v>
      </c>
      <c r="B43" t="s">
        <v>9108</v>
      </c>
      <c r="C43" t="s">
        <v>1751</v>
      </c>
      <c r="D43">
        <v>20481796</v>
      </c>
      <c r="E43" t="s">
        <v>3128</v>
      </c>
      <c r="F43" t="s">
        <v>1782</v>
      </c>
      <c r="G43" t="s">
        <v>3134</v>
      </c>
      <c r="H43" t="s">
        <v>1252</v>
      </c>
      <c r="J43" s="455">
        <v>46108</v>
      </c>
      <c r="U43" s="455">
        <v>46142</v>
      </c>
    </row>
    <row r="44" spans="1:21">
      <c r="A44" t="s">
        <v>1751</v>
      </c>
      <c r="B44" t="s">
        <v>6421</v>
      </c>
      <c r="C44" t="s">
        <v>1751</v>
      </c>
      <c r="D44">
        <v>20458274</v>
      </c>
      <c r="E44" t="s">
        <v>3142</v>
      </c>
      <c r="F44" t="s">
        <v>1912</v>
      </c>
      <c r="G44" t="s">
        <v>3134</v>
      </c>
      <c r="H44" t="s">
        <v>1247</v>
      </c>
      <c r="I44" t="s">
        <v>6064</v>
      </c>
      <c r="J44" s="455">
        <v>46079</v>
      </c>
      <c r="K44" s="455">
        <v>46079</v>
      </c>
      <c r="L44" s="455">
        <v>46080</v>
      </c>
      <c r="M44" s="455">
        <v>46080</v>
      </c>
      <c r="N44" s="455">
        <v>46080</v>
      </c>
      <c r="P44" s="455">
        <v>46080</v>
      </c>
      <c r="Q44" s="455">
        <v>46083</v>
      </c>
      <c r="U44" s="455">
        <v>46088</v>
      </c>
    </row>
    <row r="45" spans="1:21">
      <c r="A45" t="s">
        <v>1751</v>
      </c>
      <c r="B45" t="s">
        <v>9109</v>
      </c>
      <c r="C45" t="s">
        <v>1751</v>
      </c>
      <c r="D45">
        <v>20482600</v>
      </c>
      <c r="E45" t="s">
        <v>3128</v>
      </c>
      <c r="F45" t="s">
        <v>1799</v>
      </c>
      <c r="G45" t="s">
        <v>3134</v>
      </c>
      <c r="H45" t="s">
        <v>1252</v>
      </c>
      <c r="J45" s="455">
        <v>46110</v>
      </c>
      <c r="U45" s="455">
        <v>46144</v>
      </c>
    </row>
    <row r="46" spans="1:21">
      <c r="A46" t="s">
        <v>1751</v>
      </c>
      <c r="B46" t="s">
        <v>9110</v>
      </c>
      <c r="C46" t="s">
        <v>1751</v>
      </c>
      <c r="D46">
        <v>20470626</v>
      </c>
      <c r="E46" t="s">
        <v>3128</v>
      </c>
      <c r="F46" t="s">
        <v>1241</v>
      </c>
      <c r="G46" t="s">
        <v>3134</v>
      </c>
      <c r="H46" t="s">
        <v>1252</v>
      </c>
      <c r="J46" s="455">
        <v>46094</v>
      </c>
      <c r="U46" s="455">
        <v>46158</v>
      </c>
    </row>
    <row r="47" spans="1:21">
      <c r="A47" t="s">
        <v>1751</v>
      </c>
      <c r="B47" t="s">
        <v>9111</v>
      </c>
      <c r="C47" t="s">
        <v>1751</v>
      </c>
      <c r="D47">
        <v>20477501</v>
      </c>
      <c r="E47" t="s">
        <v>3128</v>
      </c>
      <c r="F47" t="s">
        <v>1782</v>
      </c>
      <c r="G47" t="s">
        <v>3134</v>
      </c>
      <c r="H47" t="s">
        <v>1252</v>
      </c>
      <c r="J47" s="455">
        <v>46102</v>
      </c>
      <c r="U47" s="455">
        <v>46104</v>
      </c>
    </row>
    <row r="48" spans="1:21">
      <c r="A48" t="s">
        <v>1751</v>
      </c>
      <c r="B48" t="s">
        <v>9111</v>
      </c>
      <c r="C48" t="s">
        <v>1751</v>
      </c>
      <c r="D48">
        <v>20477522</v>
      </c>
      <c r="E48" t="s">
        <v>1897</v>
      </c>
      <c r="F48" t="s">
        <v>1912</v>
      </c>
      <c r="G48" t="s">
        <v>3134</v>
      </c>
      <c r="H48" t="s">
        <v>1247</v>
      </c>
      <c r="J48" s="455">
        <v>46102</v>
      </c>
      <c r="K48" s="455">
        <v>46102</v>
      </c>
      <c r="U48" s="455">
        <v>46132</v>
      </c>
    </row>
    <row r="49" spans="1:21">
      <c r="A49" t="s">
        <v>1751</v>
      </c>
      <c r="B49" t="s">
        <v>9112</v>
      </c>
      <c r="C49" t="s">
        <v>1751</v>
      </c>
      <c r="D49">
        <v>20469092</v>
      </c>
      <c r="E49" t="s">
        <v>3133</v>
      </c>
      <c r="F49" t="s">
        <v>1242</v>
      </c>
      <c r="G49" t="s">
        <v>3134</v>
      </c>
      <c r="H49" t="s">
        <v>1247</v>
      </c>
      <c r="I49" t="s">
        <v>6610</v>
      </c>
      <c r="J49" s="455">
        <v>46093</v>
      </c>
      <c r="K49" s="455">
        <v>46093</v>
      </c>
      <c r="L49" s="455">
        <v>46093</v>
      </c>
      <c r="R49" s="455">
        <v>46100</v>
      </c>
      <c r="U49" s="455">
        <v>46102</v>
      </c>
    </row>
    <row r="50" spans="1:21">
      <c r="A50" t="s">
        <v>1751</v>
      </c>
      <c r="B50" t="s">
        <v>9112</v>
      </c>
      <c r="C50" t="s">
        <v>1751</v>
      </c>
      <c r="D50">
        <v>20463886</v>
      </c>
      <c r="E50" t="s">
        <v>3190</v>
      </c>
      <c r="F50" t="s">
        <v>1241</v>
      </c>
      <c r="G50" t="s">
        <v>3129</v>
      </c>
      <c r="H50" t="s">
        <v>3131</v>
      </c>
      <c r="I50" t="s">
        <v>6610</v>
      </c>
      <c r="J50" s="455">
        <v>46087</v>
      </c>
      <c r="R50" s="455">
        <v>46095</v>
      </c>
      <c r="U50" s="455">
        <v>46091</v>
      </c>
    </row>
    <row r="51" spans="1:21">
      <c r="A51" t="s">
        <v>1751</v>
      </c>
      <c r="B51" t="s">
        <v>9112</v>
      </c>
      <c r="C51" t="s">
        <v>1751</v>
      </c>
      <c r="D51">
        <v>20468407</v>
      </c>
      <c r="E51" t="s">
        <v>1897</v>
      </c>
      <c r="F51" t="s">
        <v>1242</v>
      </c>
      <c r="G51" t="s">
        <v>3134</v>
      </c>
      <c r="H51" t="s">
        <v>1250</v>
      </c>
      <c r="J51" s="455">
        <v>46092</v>
      </c>
      <c r="K51" s="455">
        <v>46092</v>
      </c>
      <c r="U51" s="455">
        <v>46092</v>
      </c>
    </row>
    <row r="52" spans="1:21">
      <c r="A52" t="s">
        <v>1751</v>
      </c>
      <c r="B52" t="s">
        <v>1934</v>
      </c>
      <c r="C52" t="s">
        <v>1751</v>
      </c>
      <c r="D52">
        <v>20460773</v>
      </c>
      <c r="E52" t="s">
        <v>1897</v>
      </c>
      <c r="F52" t="s">
        <v>1242</v>
      </c>
      <c r="G52" t="s">
        <v>3143</v>
      </c>
      <c r="H52" t="s">
        <v>1248</v>
      </c>
      <c r="I52" t="s">
        <v>1933</v>
      </c>
      <c r="J52" s="455">
        <v>46083</v>
      </c>
      <c r="K52" s="455">
        <v>46083</v>
      </c>
      <c r="U52" s="455">
        <v>46101</v>
      </c>
    </row>
    <row r="53" spans="1:21">
      <c r="A53" t="s">
        <v>1751</v>
      </c>
      <c r="B53" t="s">
        <v>8686</v>
      </c>
      <c r="C53" t="s">
        <v>1751</v>
      </c>
      <c r="D53">
        <v>20451183</v>
      </c>
      <c r="E53" t="s">
        <v>3133</v>
      </c>
      <c r="F53" t="s">
        <v>1237</v>
      </c>
      <c r="G53" t="s">
        <v>3134</v>
      </c>
      <c r="H53" t="s">
        <v>1249</v>
      </c>
      <c r="I53" t="s">
        <v>1519</v>
      </c>
      <c r="J53" s="455">
        <v>46071</v>
      </c>
      <c r="K53" s="455">
        <v>46071</v>
      </c>
      <c r="L53" s="455">
        <v>46071</v>
      </c>
      <c r="R53" s="455">
        <v>46091</v>
      </c>
      <c r="U53" s="455">
        <v>46092</v>
      </c>
    </row>
    <row r="54" spans="1:21">
      <c r="A54" t="s">
        <v>1751</v>
      </c>
      <c r="B54" t="s">
        <v>9113</v>
      </c>
      <c r="C54" t="s">
        <v>1751</v>
      </c>
      <c r="D54">
        <v>20464177</v>
      </c>
      <c r="E54" t="s">
        <v>1897</v>
      </c>
      <c r="F54" t="s">
        <v>1912</v>
      </c>
      <c r="G54" t="s">
        <v>3134</v>
      </c>
      <c r="H54" t="s">
        <v>1247</v>
      </c>
      <c r="I54" t="s">
        <v>1963</v>
      </c>
      <c r="J54" s="455">
        <v>46088</v>
      </c>
      <c r="K54" s="455">
        <v>46088</v>
      </c>
      <c r="U54" s="455">
        <v>46090</v>
      </c>
    </row>
    <row r="55" spans="1:21">
      <c r="A55" t="s">
        <v>1751</v>
      </c>
      <c r="B55" t="s">
        <v>9114</v>
      </c>
      <c r="C55" t="s">
        <v>1751</v>
      </c>
      <c r="D55">
        <v>20465182</v>
      </c>
      <c r="E55" t="s">
        <v>3128</v>
      </c>
      <c r="F55" t="s">
        <v>1241</v>
      </c>
      <c r="G55" t="s">
        <v>2009</v>
      </c>
      <c r="H55" t="s">
        <v>1251</v>
      </c>
      <c r="J55" s="455">
        <v>46090</v>
      </c>
      <c r="U55" s="455">
        <v>46090</v>
      </c>
    </row>
    <row r="56" spans="1:21">
      <c r="A56" t="s">
        <v>1751</v>
      </c>
      <c r="B56" t="s">
        <v>9115</v>
      </c>
      <c r="C56" t="s">
        <v>1751</v>
      </c>
      <c r="D56">
        <v>20473471</v>
      </c>
      <c r="E56" t="s">
        <v>3128</v>
      </c>
      <c r="F56" t="s">
        <v>1241</v>
      </c>
      <c r="G56" t="s">
        <v>3134</v>
      </c>
      <c r="H56" t="s">
        <v>1252</v>
      </c>
      <c r="J56" s="455">
        <v>46098</v>
      </c>
      <c r="U56" s="455">
        <v>46158</v>
      </c>
    </row>
    <row r="57" spans="1:21">
      <c r="A57" t="s">
        <v>1751</v>
      </c>
      <c r="B57" t="s">
        <v>8692</v>
      </c>
      <c r="C57" t="s">
        <v>1751</v>
      </c>
      <c r="D57">
        <v>20457839</v>
      </c>
      <c r="E57" t="s">
        <v>3133</v>
      </c>
      <c r="F57" t="s">
        <v>1243</v>
      </c>
      <c r="G57" t="s">
        <v>3134</v>
      </c>
      <c r="H57" t="s">
        <v>1247</v>
      </c>
      <c r="I57" t="s">
        <v>1967</v>
      </c>
      <c r="J57" s="455">
        <v>46079</v>
      </c>
      <c r="K57" s="455">
        <v>46079</v>
      </c>
      <c r="L57" s="455">
        <v>46079</v>
      </c>
      <c r="R57" s="455">
        <v>46087</v>
      </c>
      <c r="U57" s="455">
        <v>46091</v>
      </c>
    </row>
    <row r="58" spans="1:21">
      <c r="A58" t="s">
        <v>1751</v>
      </c>
      <c r="B58" t="s">
        <v>9116</v>
      </c>
      <c r="C58" t="s">
        <v>1751</v>
      </c>
      <c r="D58">
        <v>20471056</v>
      </c>
      <c r="E58" t="s">
        <v>3128</v>
      </c>
      <c r="F58" t="s">
        <v>1782</v>
      </c>
      <c r="G58" t="s">
        <v>3134</v>
      </c>
      <c r="H58" t="s">
        <v>1252</v>
      </c>
      <c r="J58" s="455">
        <v>46094</v>
      </c>
      <c r="U58" s="455">
        <v>46143</v>
      </c>
    </row>
    <row r="59" spans="1:21">
      <c r="A59" t="s">
        <v>1751</v>
      </c>
      <c r="B59" t="s">
        <v>9117</v>
      </c>
      <c r="C59" t="s">
        <v>1751</v>
      </c>
      <c r="D59">
        <v>20461217</v>
      </c>
      <c r="E59" t="s">
        <v>3133</v>
      </c>
      <c r="F59" t="s">
        <v>1243</v>
      </c>
      <c r="G59" t="s">
        <v>3134</v>
      </c>
      <c r="H59" t="s">
        <v>1248</v>
      </c>
      <c r="I59" t="s">
        <v>5883</v>
      </c>
      <c r="J59" s="455">
        <v>46084</v>
      </c>
      <c r="K59" s="455">
        <v>46084</v>
      </c>
      <c r="L59" s="455">
        <v>46084</v>
      </c>
      <c r="R59" s="455">
        <v>46086</v>
      </c>
      <c r="U59" s="455">
        <v>46088</v>
      </c>
    </row>
    <row r="60" spans="1:21">
      <c r="A60" t="s">
        <v>1751</v>
      </c>
      <c r="B60" t="s">
        <v>1835</v>
      </c>
      <c r="C60" t="s">
        <v>1751</v>
      </c>
      <c r="D60">
        <v>20478010</v>
      </c>
      <c r="E60" t="s">
        <v>3133</v>
      </c>
      <c r="F60" t="s">
        <v>1237</v>
      </c>
      <c r="G60" t="s">
        <v>3134</v>
      </c>
      <c r="H60" t="s">
        <v>1247</v>
      </c>
      <c r="I60" t="s">
        <v>1834</v>
      </c>
      <c r="J60" s="455">
        <v>46103</v>
      </c>
      <c r="K60" s="455">
        <v>46103</v>
      </c>
      <c r="L60" s="455">
        <v>46103</v>
      </c>
      <c r="M60" s="455">
        <v>46106</v>
      </c>
      <c r="R60" s="455">
        <v>46108</v>
      </c>
      <c r="U60" s="455">
        <v>46118</v>
      </c>
    </row>
    <row r="61" spans="1:21">
      <c r="A61" t="s">
        <v>1751</v>
      </c>
      <c r="B61" t="s">
        <v>1835</v>
      </c>
      <c r="C61" t="s">
        <v>1751</v>
      </c>
      <c r="D61">
        <v>20474721</v>
      </c>
      <c r="E61" t="s">
        <v>3133</v>
      </c>
      <c r="F61" t="s">
        <v>1782</v>
      </c>
      <c r="G61" t="s">
        <v>3134</v>
      </c>
      <c r="H61" t="s">
        <v>1252</v>
      </c>
      <c r="I61" t="s">
        <v>1963</v>
      </c>
      <c r="J61" s="455">
        <v>46099</v>
      </c>
      <c r="K61" s="455">
        <v>46103</v>
      </c>
      <c r="R61" s="455">
        <v>46107</v>
      </c>
      <c r="U61" s="455">
        <v>46113</v>
      </c>
    </row>
    <row r="62" spans="1:21">
      <c r="A62" t="s">
        <v>1751</v>
      </c>
      <c r="B62" t="s">
        <v>9118</v>
      </c>
      <c r="C62" t="s">
        <v>1751</v>
      </c>
      <c r="D62">
        <v>20472384</v>
      </c>
      <c r="E62" t="s">
        <v>3133</v>
      </c>
      <c r="F62" t="s">
        <v>1243</v>
      </c>
      <c r="G62" t="s">
        <v>3134</v>
      </c>
      <c r="H62" t="s">
        <v>1247</v>
      </c>
      <c r="I62" t="s">
        <v>2186</v>
      </c>
      <c r="J62" s="455">
        <v>46097</v>
      </c>
      <c r="K62" s="455">
        <v>46097</v>
      </c>
      <c r="L62" s="455">
        <v>46097</v>
      </c>
      <c r="R62" s="455">
        <v>46100</v>
      </c>
      <c r="U62" s="455">
        <v>46101</v>
      </c>
    </row>
    <row r="63" spans="1:21">
      <c r="A63" t="s">
        <v>1751</v>
      </c>
      <c r="B63" t="s">
        <v>9119</v>
      </c>
      <c r="C63" t="s">
        <v>1751</v>
      </c>
      <c r="D63">
        <v>20463746</v>
      </c>
      <c r="E63" t="s">
        <v>3128</v>
      </c>
      <c r="F63" t="s">
        <v>1241</v>
      </c>
      <c r="G63" t="s">
        <v>2009</v>
      </c>
      <c r="H63" t="s">
        <v>1248</v>
      </c>
      <c r="J63" s="455">
        <v>46087</v>
      </c>
      <c r="U63" s="455">
        <v>46087</v>
      </c>
    </row>
    <row r="64" spans="1:21">
      <c r="A64" t="s">
        <v>1751</v>
      </c>
      <c r="B64" t="s">
        <v>8693</v>
      </c>
      <c r="C64" t="s">
        <v>1751</v>
      </c>
      <c r="D64">
        <v>20456772</v>
      </c>
      <c r="E64" t="s">
        <v>3133</v>
      </c>
      <c r="F64" t="s">
        <v>1237</v>
      </c>
      <c r="G64" t="s">
        <v>3134</v>
      </c>
      <c r="H64" t="s">
        <v>1251</v>
      </c>
      <c r="I64" t="s">
        <v>7107</v>
      </c>
      <c r="J64" s="455">
        <v>46077</v>
      </c>
      <c r="K64" s="455">
        <v>46077</v>
      </c>
      <c r="L64" s="455">
        <v>46090</v>
      </c>
      <c r="R64" s="455">
        <v>46097</v>
      </c>
      <c r="U64" s="455">
        <v>46127</v>
      </c>
    </row>
    <row r="65" spans="1:21">
      <c r="A65" t="s">
        <v>1751</v>
      </c>
      <c r="B65" t="s">
        <v>9120</v>
      </c>
      <c r="C65" t="s">
        <v>1751</v>
      </c>
      <c r="D65">
        <v>20460761</v>
      </c>
      <c r="E65" t="s">
        <v>3128</v>
      </c>
      <c r="F65" t="s">
        <v>1782</v>
      </c>
      <c r="G65" t="s">
        <v>3129</v>
      </c>
      <c r="H65" t="s">
        <v>1253</v>
      </c>
      <c r="J65" s="455">
        <v>46083</v>
      </c>
      <c r="U65" s="455">
        <v>46083</v>
      </c>
    </row>
    <row r="66" spans="1:21">
      <c r="A66" t="s">
        <v>1751</v>
      </c>
      <c r="B66" t="s">
        <v>9121</v>
      </c>
      <c r="C66" t="s">
        <v>1751</v>
      </c>
      <c r="D66">
        <v>20470720</v>
      </c>
      <c r="E66" t="s">
        <v>3133</v>
      </c>
      <c r="F66" t="s">
        <v>1799</v>
      </c>
      <c r="G66" t="s">
        <v>3134</v>
      </c>
      <c r="H66" t="s">
        <v>1247</v>
      </c>
      <c r="I66" t="s">
        <v>1967</v>
      </c>
      <c r="J66" s="455">
        <v>46094</v>
      </c>
      <c r="K66" s="455">
        <v>46094</v>
      </c>
      <c r="L66" s="455">
        <v>46094</v>
      </c>
      <c r="M66" s="455">
        <v>46098</v>
      </c>
      <c r="R66" s="455">
        <v>46098</v>
      </c>
      <c r="U66" s="455">
        <v>46094</v>
      </c>
    </row>
    <row r="67" spans="1:21">
      <c r="A67" t="s">
        <v>1751</v>
      </c>
      <c r="B67" t="s">
        <v>9122</v>
      </c>
      <c r="C67" t="s">
        <v>1751</v>
      </c>
      <c r="D67">
        <v>20479076</v>
      </c>
      <c r="E67" t="s">
        <v>1907</v>
      </c>
      <c r="F67" t="s">
        <v>1237</v>
      </c>
      <c r="G67" t="s">
        <v>3134</v>
      </c>
      <c r="H67" t="s">
        <v>1250</v>
      </c>
      <c r="I67" t="s">
        <v>1947</v>
      </c>
      <c r="J67" s="455">
        <v>46105</v>
      </c>
      <c r="K67" s="455">
        <v>46105</v>
      </c>
      <c r="L67" s="455">
        <v>46105</v>
      </c>
      <c r="U67" s="455">
        <v>46116</v>
      </c>
    </row>
    <row r="68" spans="1:21">
      <c r="A68" t="s">
        <v>1751</v>
      </c>
      <c r="B68" t="s">
        <v>9123</v>
      </c>
      <c r="C68" t="s">
        <v>1751</v>
      </c>
      <c r="D68">
        <v>20472682</v>
      </c>
      <c r="E68" t="s">
        <v>3128</v>
      </c>
      <c r="F68" t="s">
        <v>1799</v>
      </c>
      <c r="G68" t="s">
        <v>3143</v>
      </c>
      <c r="H68" t="s">
        <v>1248</v>
      </c>
      <c r="J68" s="455">
        <v>46097</v>
      </c>
      <c r="U68" s="455">
        <v>46113</v>
      </c>
    </row>
    <row r="69" spans="1:21">
      <c r="A69" t="s">
        <v>1751</v>
      </c>
      <c r="B69" t="s">
        <v>9124</v>
      </c>
      <c r="C69" t="s">
        <v>1751</v>
      </c>
      <c r="D69">
        <v>20470524</v>
      </c>
      <c r="E69" t="s">
        <v>3128</v>
      </c>
      <c r="F69" t="s">
        <v>1782</v>
      </c>
      <c r="G69" t="s">
        <v>3134</v>
      </c>
      <c r="H69" t="s">
        <v>1252</v>
      </c>
      <c r="J69" s="455">
        <v>46093</v>
      </c>
      <c r="U69" s="455">
        <v>46147</v>
      </c>
    </row>
    <row r="70" spans="1:21">
      <c r="A70" t="s">
        <v>1751</v>
      </c>
      <c r="B70" t="s">
        <v>9125</v>
      </c>
      <c r="C70" t="s">
        <v>1751</v>
      </c>
      <c r="D70">
        <v>20465889</v>
      </c>
      <c r="E70" t="s">
        <v>3128</v>
      </c>
      <c r="F70" t="s">
        <v>1782</v>
      </c>
      <c r="G70" t="s">
        <v>3141</v>
      </c>
      <c r="H70" t="s">
        <v>1247</v>
      </c>
      <c r="J70" s="455">
        <v>46091</v>
      </c>
      <c r="U70" s="455">
        <v>46092</v>
      </c>
    </row>
    <row r="71" spans="1:21">
      <c r="A71" t="s">
        <v>1751</v>
      </c>
      <c r="B71" t="s">
        <v>9126</v>
      </c>
      <c r="C71" t="s">
        <v>1751</v>
      </c>
      <c r="D71">
        <v>20481365</v>
      </c>
      <c r="E71" t="s">
        <v>3133</v>
      </c>
      <c r="F71" t="s">
        <v>1239</v>
      </c>
      <c r="G71" t="s">
        <v>3143</v>
      </c>
      <c r="H71" t="s">
        <v>1248</v>
      </c>
      <c r="I71" t="s">
        <v>1538</v>
      </c>
      <c r="J71" s="455">
        <v>46108</v>
      </c>
      <c r="K71" s="455">
        <v>46109</v>
      </c>
      <c r="L71" s="455">
        <v>46109</v>
      </c>
      <c r="S71" s="455">
        <v>46109</v>
      </c>
      <c r="U71" s="455">
        <v>46137</v>
      </c>
    </row>
    <row r="72" spans="1:21">
      <c r="A72" t="s">
        <v>1751</v>
      </c>
      <c r="B72" t="s">
        <v>9127</v>
      </c>
      <c r="C72" t="s">
        <v>1751</v>
      </c>
      <c r="D72">
        <v>20468588</v>
      </c>
      <c r="E72" t="s">
        <v>3128</v>
      </c>
      <c r="F72" t="s">
        <v>1782</v>
      </c>
      <c r="G72" t="s">
        <v>3137</v>
      </c>
      <c r="H72" t="s">
        <v>1247</v>
      </c>
      <c r="J72" s="455">
        <v>46092</v>
      </c>
      <c r="U72" s="455">
        <v>46134</v>
      </c>
    </row>
    <row r="73" spans="1:21">
      <c r="A73" t="s">
        <v>1751</v>
      </c>
      <c r="B73" t="s">
        <v>1944</v>
      </c>
      <c r="C73" t="s">
        <v>1751</v>
      </c>
      <c r="D73">
        <v>20468485</v>
      </c>
      <c r="E73" t="s">
        <v>1897</v>
      </c>
      <c r="F73" t="s">
        <v>1241</v>
      </c>
      <c r="G73" t="s">
        <v>3134</v>
      </c>
      <c r="H73" t="s">
        <v>1247</v>
      </c>
      <c r="I73" t="s">
        <v>1943</v>
      </c>
      <c r="J73" s="455">
        <v>46092</v>
      </c>
      <c r="K73" s="455">
        <v>46092</v>
      </c>
      <c r="U73" s="455">
        <v>46092</v>
      </c>
    </row>
    <row r="74" spans="1:21">
      <c r="A74" t="s">
        <v>1751</v>
      </c>
      <c r="B74" t="s">
        <v>8698</v>
      </c>
      <c r="C74" t="s">
        <v>1751</v>
      </c>
      <c r="D74">
        <v>20458765</v>
      </c>
      <c r="E74" t="s">
        <v>3133</v>
      </c>
      <c r="F74" t="s">
        <v>1243</v>
      </c>
      <c r="G74" t="s">
        <v>3134</v>
      </c>
      <c r="H74" t="s">
        <v>1247</v>
      </c>
      <c r="I74" t="s">
        <v>1808</v>
      </c>
      <c r="J74" s="455">
        <v>46080</v>
      </c>
      <c r="K74" s="455">
        <v>46080</v>
      </c>
      <c r="L74" s="455">
        <v>46082</v>
      </c>
      <c r="R74" s="455">
        <v>46090</v>
      </c>
      <c r="U74" s="455">
        <v>46093</v>
      </c>
    </row>
    <row r="75" spans="1:21">
      <c r="A75" t="s">
        <v>1751</v>
      </c>
      <c r="B75" t="s">
        <v>3261</v>
      </c>
      <c r="C75" t="s">
        <v>1751</v>
      </c>
      <c r="D75">
        <v>20480667</v>
      </c>
      <c r="E75" t="s">
        <v>3128</v>
      </c>
      <c r="F75" t="s">
        <v>1782</v>
      </c>
      <c r="G75" t="s">
        <v>3137</v>
      </c>
      <c r="H75" t="s">
        <v>1251</v>
      </c>
      <c r="J75" s="455">
        <v>46107</v>
      </c>
      <c r="U75" s="455">
        <v>46107</v>
      </c>
    </row>
    <row r="76" spans="1:21">
      <c r="A76" t="s">
        <v>1751</v>
      </c>
      <c r="B76" t="s">
        <v>9128</v>
      </c>
      <c r="C76" t="s">
        <v>1751</v>
      </c>
      <c r="D76">
        <v>20472919</v>
      </c>
      <c r="E76" t="s">
        <v>3128</v>
      </c>
      <c r="F76" t="s">
        <v>1782</v>
      </c>
      <c r="G76" t="s">
        <v>3134</v>
      </c>
      <c r="H76" t="s">
        <v>1252</v>
      </c>
      <c r="J76" s="455">
        <v>46097</v>
      </c>
      <c r="U76" s="455">
        <v>46098</v>
      </c>
    </row>
    <row r="77" spans="1:21">
      <c r="A77" t="s">
        <v>1751</v>
      </c>
      <c r="B77" t="s">
        <v>9129</v>
      </c>
      <c r="C77" t="s">
        <v>1751</v>
      </c>
      <c r="D77">
        <v>20477345</v>
      </c>
      <c r="E77" t="s">
        <v>3128</v>
      </c>
      <c r="F77" t="s">
        <v>1239</v>
      </c>
      <c r="G77" t="s">
        <v>3143</v>
      </c>
      <c r="H77" t="s">
        <v>1251</v>
      </c>
      <c r="J77" s="455">
        <v>46102</v>
      </c>
      <c r="U77" s="455">
        <v>46102</v>
      </c>
    </row>
    <row r="78" spans="1:21">
      <c r="A78" t="s">
        <v>1751</v>
      </c>
      <c r="B78" t="s">
        <v>3276</v>
      </c>
      <c r="C78" t="s">
        <v>1751</v>
      </c>
      <c r="D78">
        <v>20483523</v>
      </c>
      <c r="E78" t="s">
        <v>1897</v>
      </c>
      <c r="F78" t="s">
        <v>1241</v>
      </c>
      <c r="G78" t="s">
        <v>2009</v>
      </c>
      <c r="H78" t="s">
        <v>1248</v>
      </c>
      <c r="I78" t="s">
        <v>3277</v>
      </c>
      <c r="J78" s="455">
        <v>46111</v>
      </c>
      <c r="K78" s="455">
        <v>46111</v>
      </c>
      <c r="U78" s="455">
        <v>46130</v>
      </c>
    </row>
    <row r="79" spans="1:21">
      <c r="A79" t="s">
        <v>1751</v>
      </c>
      <c r="B79" t="s">
        <v>3276</v>
      </c>
      <c r="C79" t="s">
        <v>1751</v>
      </c>
      <c r="D79">
        <v>20483527</v>
      </c>
      <c r="E79" t="s">
        <v>3133</v>
      </c>
      <c r="F79" t="s">
        <v>1912</v>
      </c>
      <c r="G79" t="s">
        <v>3134</v>
      </c>
      <c r="H79" t="s">
        <v>1248</v>
      </c>
      <c r="J79" s="455">
        <v>46111</v>
      </c>
      <c r="K79" s="455">
        <v>46111</v>
      </c>
      <c r="R79" s="455">
        <v>46112</v>
      </c>
      <c r="U79" s="455">
        <v>46111</v>
      </c>
    </row>
    <row r="80" spans="1:21">
      <c r="A80" t="s">
        <v>1751</v>
      </c>
      <c r="B80" t="s">
        <v>3276</v>
      </c>
      <c r="C80" t="s">
        <v>1751</v>
      </c>
      <c r="D80">
        <v>20483526</v>
      </c>
      <c r="E80" t="s">
        <v>3133</v>
      </c>
      <c r="F80" t="s">
        <v>1912</v>
      </c>
      <c r="G80" t="s">
        <v>3134</v>
      </c>
      <c r="H80" t="s">
        <v>1248</v>
      </c>
      <c r="J80" s="455">
        <v>46111</v>
      </c>
      <c r="K80" s="455">
        <v>46111</v>
      </c>
      <c r="R80" s="455">
        <v>46112</v>
      </c>
      <c r="U80" s="455">
        <v>46111</v>
      </c>
    </row>
    <row r="81" spans="1:21">
      <c r="A81" t="s">
        <v>1751</v>
      </c>
      <c r="B81" t="s">
        <v>9130</v>
      </c>
      <c r="C81" t="s">
        <v>1751</v>
      </c>
      <c r="D81">
        <v>20468599</v>
      </c>
      <c r="E81" t="s">
        <v>3190</v>
      </c>
      <c r="F81" t="s">
        <v>1241</v>
      </c>
      <c r="G81" t="s">
        <v>3143</v>
      </c>
      <c r="H81" t="s">
        <v>1248</v>
      </c>
      <c r="I81" t="s">
        <v>1831</v>
      </c>
      <c r="J81" s="455">
        <v>46092</v>
      </c>
      <c r="R81" s="455">
        <v>46095</v>
      </c>
      <c r="U81" s="455">
        <v>46142</v>
      </c>
    </row>
    <row r="82" spans="1:21">
      <c r="A82" t="s">
        <v>1751</v>
      </c>
      <c r="B82" t="s">
        <v>9131</v>
      </c>
      <c r="C82" t="s">
        <v>1751</v>
      </c>
      <c r="D82">
        <v>20471486</v>
      </c>
      <c r="E82" t="s">
        <v>3133</v>
      </c>
      <c r="F82" t="s">
        <v>1238</v>
      </c>
      <c r="G82" t="s">
        <v>3134</v>
      </c>
      <c r="H82" t="s">
        <v>1247</v>
      </c>
      <c r="I82" t="s">
        <v>1825</v>
      </c>
      <c r="J82" s="455">
        <v>46095</v>
      </c>
      <c r="K82" s="455">
        <v>46095</v>
      </c>
      <c r="L82" s="455">
        <v>46095</v>
      </c>
      <c r="R82" s="455">
        <v>46098</v>
      </c>
      <c r="U82" s="455">
        <v>46102</v>
      </c>
    </row>
    <row r="83" spans="1:21">
      <c r="A83" t="s">
        <v>1751</v>
      </c>
      <c r="B83" t="s">
        <v>9131</v>
      </c>
      <c r="C83" t="s">
        <v>1751</v>
      </c>
      <c r="D83">
        <v>20471215</v>
      </c>
      <c r="E83" t="s">
        <v>3128</v>
      </c>
      <c r="F83" t="s">
        <v>1241</v>
      </c>
      <c r="G83" t="s">
        <v>3137</v>
      </c>
      <c r="H83" t="s">
        <v>1247</v>
      </c>
      <c r="J83" s="455">
        <v>46094</v>
      </c>
      <c r="U83" s="455">
        <v>46094</v>
      </c>
    </row>
    <row r="84" spans="1:21">
      <c r="A84" t="s">
        <v>1751</v>
      </c>
      <c r="B84" t="s">
        <v>9132</v>
      </c>
      <c r="C84" t="s">
        <v>1751</v>
      </c>
      <c r="D84">
        <v>20460807</v>
      </c>
      <c r="E84" t="s">
        <v>3128</v>
      </c>
      <c r="F84" t="s">
        <v>1782</v>
      </c>
      <c r="G84" t="s">
        <v>3141</v>
      </c>
      <c r="H84" t="s">
        <v>4333</v>
      </c>
      <c r="J84" s="455">
        <v>46083</v>
      </c>
      <c r="U84" s="455">
        <v>46083</v>
      </c>
    </row>
    <row r="85" spans="1:21">
      <c r="A85" t="s">
        <v>1751</v>
      </c>
      <c r="B85" t="s">
        <v>9133</v>
      </c>
      <c r="C85" t="s">
        <v>1751</v>
      </c>
      <c r="D85">
        <v>20471601</v>
      </c>
      <c r="E85" t="s">
        <v>3128</v>
      </c>
      <c r="F85" t="s">
        <v>1238</v>
      </c>
      <c r="G85" t="s">
        <v>3143</v>
      </c>
      <c r="H85" t="s">
        <v>1248</v>
      </c>
      <c r="J85" s="455">
        <v>46095</v>
      </c>
      <c r="U85" s="455">
        <v>46095</v>
      </c>
    </row>
    <row r="86" spans="1:21">
      <c r="A86" t="s">
        <v>1751</v>
      </c>
      <c r="B86" t="s">
        <v>9134</v>
      </c>
      <c r="C86" t="s">
        <v>1751</v>
      </c>
      <c r="D86">
        <v>20469110</v>
      </c>
      <c r="E86" t="s">
        <v>3128</v>
      </c>
      <c r="F86" t="s">
        <v>1782</v>
      </c>
      <c r="G86" t="s">
        <v>3143</v>
      </c>
      <c r="H86" t="s">
        <v>1248</v>
      </c>
      <c r="I86" t="s">
        <v>1796</v>
      </c>
      <c r="J86" s="455">
        <v>46093</v>
      </c>
      <c r="U86" s="455">
        <v>46093</v>
      </c>
    </row>
    <row r="87" spans="1:21">
      <c r="A87" t="s">
        <v>1751</v>
      </c>
      <c r="B87" t="s">
        <v>9135</v>
      </c>
      <c r="C87" t="s">
        <v>1751</v>
      </c>
      <c r="D87">
        <v>20463037</v>
      </c>
      <c r="E87" t="s">
        <v>3128</v>
      </c>
      <c r="F87" t="s">
        <v>1239</v>
      </c>
      <c r="G87" t="s">
        <v>3143</v>
      </c>
      <c r="H87" t="s">
        <v>1252</v>
      </c>
      <c r="J87" s="455">
        <v>46086</v>
      </c>
      <c r="U87" s="455">
        <v>46157</v>
      </c>
    </row>
    <row r="88" spans="1:21">
      <c r="A88" t="s">
        <v>1751</v>
      </c>
      <c r="B88" t="s">
        <v>2447</v>
      </c>
      <c r="C88" t="s">
        <v>1751</v>
      </c>
      <c r="D88">
        <v>20445913</v>
      </c>
      <c r="E88" t="s">
        <v>3142</v>
      </c>
      <c r="F88" t="s">
        <v>1238</v>
      </c>
      <c r="G88" t="s">
        <v>3134</v>
      </c>
      <c r="H88" t="s">
        <v>1247</v>
      </c>
      <c r="I88" t="s">
        <v>2446</v>
      </c>
      <c r="J88" s="455">
        <v>46064</v>
      </c>
      <c r="K88" s="455">
        <v>46064</v>
      </c>
      <c r="L88" s="455">
        <v>46064</v>
      </c>
      <c r="M88" s="455">
        <v>46077</v>
      </c>
      <c r="N88" s="455">
        <v>46083</v>
      </c>
      <c r="P88" s="455">
        <v>46083</v>
      </c>
      <c r="Q88" s="455">
        <v>46084</v>
      </c>
      <c r="U88" s="455">
        <v>46087</v>
      </c>
    </row>
    <row r="89" spans="1:21">
      <c r="A89" t="s">
        <v>1751</v>
      </c>
      <c r="B89" t="s">
        <v>8704</v>
      </c>
      <c r="C89" t="s">
        <v>1751</v>
      </c>
      <c r="D89">
        <v>20454340</v>
      </c>
      <c r="E89" t="s">
        <v>3133</v>
      </c>
      <c r="F89" t="s">
        <v>1237</v>
      </c>
      <c r="G89" t="s">
        <v>3134</v>
      </c>
      <c r="H89" t="s">
        <v>1250</v>
      </c>
      <c r="I89" t="s">
        <v>1796</v>
      </c>
      <c r="J89" s="455">
        <v>46073</v>
      </c>
      <c r="K89" s="455">
        <v>46073</v>
      </c>
      <c r="L89" s="455">
        <v>46077</v>
      </c>
      <c r="S89" s="455">
        <v>46086</v>
      </c>
      <c r="U89" s="455">
        <v>46087</v>
      </c>
    </row>
    <row r="90" spans="1:21">
      <c r="A90" t="s">
        <v>1751</v>
      </c>
      <c r="B90" t="s">
        <v>8704</v>
      </c>
      <c r="C90" t="s">
        <v>1751</v>
      </c>
      <c r="D90">
        <v>20462127</v>
      </c>
      <c r="E90" t="s">
        <v>3190</v>
      </c>
      <c r="F90" t="s">
        <v>1241</v>
      </c>
      <c r="G90" t="s">
        <v>3134</v>
      </c>
      <c r="H90" t="s">
        <v>1250</v>
      </c>
      <c r="I90" t="s">
        <v>1965</v>
      </c>
      <c r="J90" s="455">
        <v>46085</v>
      </c>
      <c r="K90" s="455">
        <v>46085</v>
      </c>
      <c r="R90" s="455">
        <v>46086</v>
      </c>
      <c r="U90" s="455">
        <v>46087</v>
      </c>
    </row>
    <row r="91" spans="1:21">
      <c r="A91" t="s">
        <v>1751</v>
      </c>
      <c r="B91" t="s">
        <v>9136</v>
      </c>
      <c r="C91" t="s">
        <v>1751</v>
      </c>
      <c r="D91">
        <v>20483263</v>
      </c>
      <c r="E91" t="s">
        <v>3128</v>
      </c>
      <c r="F91" t="s">
        <v>1237</v>
      </c>
      <c r="G91" t="s">
        <v>3134</v>
      </c>
      <c r="H91" t="s">
        <v>1252</v>
      </c>
      <c r="I91" t="s">
        <v>5773</v>
      </c>
      <c r="J91" s="455">
        <v>46111</v>
      </c>
      <c r="U91" s="455">
        <v>46116</v>
      </c>
    </row>
    <row r="92" spans="1:21">
      <c r="A92" t="s">
        <v>1751</v>
      </c>
      <c r="B92" t="s">
        <v>9137</v>
      </c>
      <c r="C92" t="s">
        <v>1751</v>
      </c>
      <c r="D92">
        <v>20415217</v>
      </c>
      <c r="E92" t="s">
        <v>3133</v>
      </c>
      <c r="F92" t="s">
        <v>1799</v>
      </c>
      <c r="G92" t="s">
        <v>3134</v>
      </c>
      <c r="H92" t="s">
        <v>1248</v>
      </c>
      <c r="I92" t="s">
        <v>4273</v>
      </c>
      <c r="J92" s="455">
        <v>46021</v>
      </c>
      <c r="K92" s="455">
        <v>46021</v>
      </c>
      <c r="R92" s="455">
        <v>46092</v>
      </c>
      <c r="U92" s="455">
        <v>46031</v>
      </c>
    </row>
    <row r="93" spans="1:21">
      <c r="A93" t="s">
        <v>1751</v>
      </c>
      <c r="B93" t="s">
        <v>9138</v>
      </c>
      <c r="C93" t="s">
        <v>1751</v>
      </c>
      <c r="D93">
        <v>20475862</v>
      </c>
      <c r="E93" t="s">
        <v>3128</v>
      </c>
      <c r="F93" t="s">
        <v>1237</v>
      </c>
      <c r="G93" t="s">
        <v>3143</v>
      </c>
      <c r="H93" t="s">
        <v>1252</v>
      </c>
      <c r="I93" t="s">
        <v>1931</v>
      </c>
      <c r="J93" s="455">
        <v>46100</v>
      </c>
      <c r="U93" s="455">
        <v>46115</v>
      </c>
    </row>
    <row r="94" spans="1:21">
      <c r="A94" t="s">
        <v>1751</v>
      </c>
      <c r="B94" t="s">
        <v>9139</v>
      </c>
      <c r="C94" t="s">
        <v>1751</v>
      </c>
      <c r="D94">
        <v>20478117</v>
      </c>
      <c r="E94" t="s">
        <v>3128</v>
      </c>
      <c r="F94" t="s">
        <v>1782</v>
      </c>
      <c r="G94" t="s">
        <v>3134</v>
      </c>
      <c r="H94" t="s">
        <v>1252</v>
      </c>
      <c r="J94" s="455">
        <v>46104</v>
      </c>
      <c r="U94" s="455">
        <v>46115</v>
      </c>
    </row>
    <row r="95" spans="1:21">
      <c r="A95" t="s">
        <v>1751</v>
      </c>
      <c r="B95" t="s">
        <v>2430</v>
      </c>
      <c r="C95" t="s">
        <v>1751</v>
      </c>
      <c r="D95">
        <v>20459649</v>
      </c>
      <c r="E95" t="s">
        <v>3142</v>
      </c>
      <c r="F95" t="s">
        <v>1238</v>
      </c>
      <c r="G95" t="s">
        <v>3134</v>
      </c>
      <c r="H95" t="s">
        <v>1247</v>
      </c>
      <c r="I95" t="s">
        <v>2429</v>
      </c>
      <c r="J95" s="455">
        <v>46081</v>
      </c>
      <c r="K95" s="455">
        <v>46081</v>
      </c>
      <c r="L95" s="455">
        <v>46081</v>
      </c>
      <c r="M95" s="455">
        <v>46097</v>
      </c>
      <c r="N95" s="455">
        <v>46097</v>
      </c>
      <c r="P95" s="455">
        <v>46097</v>
      </c>
      <c r="Q95" s="455">
        <v>46097</v>
      </c>
      <c r="T95" s="455">
        <v>46090</v>
      </c>
      <c r="U95" s="455">
        <v>46095</v>
      </c>
    </row>
    <row r="96" spans="1:21">
      <c r="A96" t="s">
        <v>1751</v>
      </c>
      <c r="B96" t="s">
        <v>2430</v>
      </c>
      <c r="C96" t="s">
        <v>1751</v>
      </c>
      <c r="D96">
        <v>20429522</v>
      </c>
      <c r="E96" t="s">
        <v>3133</v>
      </c>
      <c r="F96" t="s">
        <v>1238</v>
      </c>
      <c r="G96" t="s">
        <v>3143</v>
      </c>
      <c r="H96" t="s">
        <v>1248</v>
      </c>
      <c r="J96" s="455">
        <v>46039</v>
      </c>
      <c r="K96" s="455">
        <v>46081</v>
      </c>
      <c r="R96" s="455">
        <v>46092</v>
      </c>
      <c r="U96" s="455">
        <v>46053</v>
      </c>
    </row>
    <row r="97" spans="1:21">
      <c r="A97" t="s">
        <v>1751</v>
      </c>
      <c r="B97" t="s">
        <v>9140</v>
      </c>
      <c r="C97" t="s">
        <v>1751</v>
      </c>
      <c r="D97">
        <v>20462532</v>
      </c>
      <c r="E97" t="s">
        <v>3133</v>
      </c>
      <c r="F97" t="s">
        <v>1238</v>
      </c>
      <c r="G97" t="s">
        <v>3134</v>
      </c>
      <c r="H97" t="s">
        <v>1247</v>
      </c>
      <c r="I97" t="s">
        <v>3703</v>
      </c>
      <c r="J97" s="455">
        <v>46085</v>
      </c>
      <c r="K97" s="455">
        <v>46085</v>
      </c>
      <c r="R97" s="455">
        <v>46091</v>
      </c>
      <c r="U97" s="455">
        <v>46109</v>
      </c>
    </row>
    <row r="98" spans="1:21">
      <c r="A98" t="s">
        <v>1751</v>
      </c>
      <c r="B98" t="s">
        <v>3308</v>
      </c>
      <c r="C98" t="s">
        <v>1751</v>
      </c>
      <c r="D98">
        <v>20479241</v>
      </c>
      <c r="E98" t="s">
        <v>1897</v>
      </c>
      <c r="F98" t="s">
        <v>1799</v>
      </c>
      <c r="G98" t="s">
        <v>3134</v>
      </c>
      <c r="H98" t="s">
        <v>1247</v>
      </c>
      <c r="I98" t="s">
        <v>3303</v>
      </c>
      <c r="J98" s="455">
        <v>46105</v>
      </c>
      <c r="K98" s="455">
        <v>46105</v>
      </c>
      <c r="U98" s="455">
        <v>46122</v>
      </c>
    </row>
    <row r="99" spans="1:21">
      <c r="A99" t="s">
        <v>1751</v>
      </c>
      <c r="B99" t="s">
        <v>3308</v>
      </c>
      <c r="C99" t="s">
        <v>1751</v>
      </c>
      <c r="D99">
        <v>20476764</v>
      </c>
      <c r="E99" t="s">
        <v>3128</v>
      </c>
      <c r="F99" t="s">
        <v>1237</v>
      </c>
      <c r="G99" t="s">
        <v>3143</v>
      </c>
      <c r="H99" t="s">
        <v>1252</v>
      </c>
      <c r="I99" t="s">
        <v>1825</v>
      </c>
      <c r="J99" s="455">
        <v>46101</v>
      </c>
      <c r="U99" s="455">
        <v>46107</v>
      </c>
    </row>
    <row r="100" spans="1:21">
      <c r="A100" t="s">
        <v>1751</v>
      </c>
      <c r="B100" t="s">
        <v>3310</v>
      </c>
      <c r="C100" t="s">
        <v>1751</v>
      </c>
      <c r="D100">
        <v>20482205</v>
      </c>
      <c r="E100" t="s">
        <v>3128</v>
      </c>
      <c r="F100" t="s">
        <v>1782</v>
      </c>
      <c r="G100" t="s">
        <v>3129</v>
      </c>
      <c r="H100" t="s">
        <v>1252</v>
      </c>
      <c r="I100" t="s">
        <v>1952</v>
      </c>
      <c r="J100" s="455">
        <v>46109</v>
      </c>
      <c r="U100" s="455">
        <v>46115</v>
      </c>
    </row>
    <row r="101" spans="1:21">
      <c r="A101" t="s">
        <v>1751</v>
      </c>
      <c r="B101" t="s">
        <v>9141</v>
      </c>
      <c r="C101" t="s">
        <v>1751</v>
      </c>
      <c r="D101">
        <v>20471390</v>
      </c>
      <c r="E101" t="s">
        <v>3128</v>
      </c>
      <c r="F101" t="s">
        <v>1241</v>
      </c>
      <c r="G101" t="s">
        <v>3143</v>
      </c>
      <c r="H101" t="s">
        <v>1248</v>
      </c>
      <c r="I101" t="s">
        <v>2388</v>
      </c>
      <c r="J101" s="455">
        <v>46095</v>
      </c>
      <c r="U101" s="455">
        <v>46116</v>
      </c>
    </row>
    <row r="102" spans="1:21">
      <c r="A102" t="s">
        <v>1751</v>
      </c>
      <c r="B102" t="s">
        <v>9142</v>
      </c>
      <c r="C102" t="s">
        <v>1751</v>
      </c>
      <c r="D102">
        <v>20473359</v>
      </c>
      <c r="E102" t="s">
        <v>3190</v>
      </c>
      <c r="F102" t="s">
        <v>1239</v>
      </c>
      <c r="G102" t="s">
        <v>3143</v>
      </c>
      <c r="H102" t="s">
        <v>1251</v>
      </c>
      <c r="J102" s="455">
        <v>46098</v>
      </c>
      <c r="R102" s="455">
        <v>46102</v>
      </c>
      <c r="U102" s="455">
        <v>46143</v>
      </c>
    </row>
    <row r="103" spans="1:21">
      <c r="A103" t="s">
        <v>1751</v>
      </c>
      <c r="B103" t="s">
        <v>9143</v>
      </c>
      <c r="C103" t="s">
        <v>1751</v>
      </c>
      <c r="D103">
        <v>20480378</v>
      </c>
      <c r="E103" t="s">
        <v>3128</v>
      </c>
      <c r="F103" t="s">
        <v>1782</v>
      </c>
      <c r="G103" t="s">
        <v>3134</v>
      </c>
      <c r="H103" t="s">
        <v>1252</v>
      </c>
      <c r="J103" s="455">
        <v>46106</v>
      </c>
      <c r="U103" s="455">
        <v>46183</v>
      </c>
    </row>
    <row r="104" spans="1:21">
      <c r="A104" t="s">
        <v>1751</v>
      </c>
      <c r="B104" t="s">
        <v>2504</v>
      </c>
      <c r="C104" t="s">
        <v>1751</v>
      </c>
      <c r="D104">
        <v>20464435</v>
      </c>
      <c r="E104" t="s">
        <v>3128</v>
      </c>
      <c r="F104" t="s">
        <v>1782</v>
      </c>
      <c r="G104" t="s">
        <v>3141</v>
      </c>
      <c r="H104" t="s">
        <v>1247</v>
      </c>
      <c r="J104" s="455">
        <v>46088</v>
      </c>
      <c r="U104" s="455">
        <v>46088</v>
      </c>
    </row>
    <row r="105" spans="1:21">
      <c r="A105" t="s">
        <v>1751</v>
      </c>
      <c r="B105" t="s">
        <v>9144</v>
      </c>
      <c r="C105" t="s">
        <v>1751</v>
      </c>
      <c r="D105">
        <v>20462067</v>
      </c>
      <c r="E105" t="s">
        <v>3128</v>
      </c>
      <c r="F105" t="s">
        <v>1241</v>
      </c>
      <c r="G105" t="s">
        <v>3137</v>
      </c>
      <c r="H105" t="s">
        <v>4333</v>
      </c>
      <c r="J105" s="455">
        <v>46085</v>
      </c>
      <c r="U105" s="455">
        <v>46085</v>
      </c>
    </row>
    <row r="106" spans="1:21">
      <c r="A106" t="s">
        <v>1751</v>
      </c>
      <c r="B106" t="s">
        <v>9145</v>
      </c>
      <c r="C106" t="s">
        <v>1751</v>
      </c>
      <c r="D106">
        <v>20476333</v>
      </c>
      <c r="E106" t="s">
        <v>3128</v>
      </c>
      <c r="F106" t="s">
        <v>1238</v>
      </c>
      <c r="G106" t="s">
        <v>3134</v>
      </c>
      <c r="H106" t="s">
        <v>1252</v>
      </c>
      <c r="I106" t="s">
        <v>5773</v>
      </c>
      <c r="J106" s="455">
        <v>46100</v>
      </c>
      <c r="U106" s="455">
        <v>46113</v>
      </c>
    </row>
    <row r="107" spans="1:21">
      <c r="A107" t="s">
        <v>1751</v>
      </c>
      <c r="B107" t="s">
        <v>9146</v>
      </c>
      <c r="C107" t="s">
        <v>1751</v>
      </c>
      <c r="D107">
        <v>20479253</v>
      </c>
      <c r="E107" t="s">
        <v>3128</v>
      </c>
      <c r="F107" t="s">
        <v>1239</v>
      </c>
      <c r="G107" t="s">
        <v>3143</v>
      </c>
      <c r="H107" t="s">
        <v>1248</v>
      </c>
      <c r="I107" t="s">
        <v>2478</v>
      </c>
      <c r="J107" s="455">
        <v>46105</v>
      </c>
      <c r="U107" s="455">
        <v>46105</v>
      </c>
    </row>
    <row r="108" spans="1:21">
      <c r="A108" t="s">
        <v>1751</v>
      </c>
      <c r="B108" t="s">
        <v>9147</v>
      </c>
      <c r="C108" t="s">
        <v>1751</v>
      </c>
      <c r="D108">
        <v>20471670</v>
      </c>
      <c r="E108" t="s">
        <v>3128</v>
      </c>
      <c r="F108" t="s">
        <v>1782</v>
      </c>
      <c r="G108" t="s">
        <v>3134</v>
      </c>
      <c r="H108" t="s">
        <v>1252</v>
      </c>
      <c r="J108" s="455">
        <v>46095</v>
      </c>
      <c r="U108" s="455">
        <v>46155</v>
      </c>
    </row>
    <row r="109" spans="1:21">
      <c r="A109" t="s">
        <v>1751</v>
      </c>
      <c r="B109" t="s">
        <v>3347</v>
      </c>
      <c r="C109" t="s">
        <v>1751</v>
      </c>
      <c r="D109">
        <v>20479132</v>
      </c>
      <c r="E109" t="s">
        <v>1897</v>
      </c>
      <c r="F109" t="s">
        <v>1241</v>
      </c>
      <c r="G109" t="s">
        <v>3134</v>
      </c>
      <c r="H109" t="s">
        <v>1247</v>
      </c>
      <c r="J109" s="455">
        <v>46105</v>
      </c>
      <c r="K109" s="455">
        <v>46105</v>
      </c>
      <c r="U109" s="455">
        <v>46108</v>
      </c>
    </row>
    <row r="110" spans="1:21">
      <c r="A110" t="s">
        <v>1751</v>
      </c>
      <c r="B110" t="s">
        <v>3347</v>
      </c>
      <c r="C110" t="s">
        <v>1751</v>
      </c>
      <c r="D110">
        <v>20478783</v>
      </c>
      <c r="E110" t="s">
        <v>3133</v>
      </c>
      <c r="F110" t="s">
        <v>1782</v>
      </c>
      <c r="G110" t="s">
        <v>3137</v>
      </c>
      <c r="H110" t="s">
        <v>3220</v>
      </c>
      <c r="I110" t="s">
        <v>1952</v>
      </c>
      <c r="J110" s="455">
        <v>46105</v>
      </c>
      <c r="K110" s="455">
        <v>46105</v>
      </c>
      <c r="L110" s="455">
        <v>46105</v>
      </c>
      <c r="R110" s="455">
        <v>46106</v>
      </c>
      <c r="U110" s="455">
        <v>46108</v>
      </c>
    </row>
    <row r="111" spans="1:21">
      <c r="A111" t="s">
        <v>1751</v>
      </c>
      <c r="B111" t="s">
        <v>9148</v>
      </c>
      <c r="C111" t="s">
        <v>1751</v>
      </c>
      <c r="D111">
        <v>20482294</v>
      </c>
      <c r="E111" t="s">
        <v>3128</v>
      </c>
      <c r="F111" t="s">
        <v>1782</v>
      </c>
      <c r="G111" t="s">
        <v>3134</v>
      </c>
      <c r="H111" t="s">
        <v>1252</v>
      </c>
      <c r="J111" s="455">
        <v>46109</v>
      </c>
      <c r="U111" s="455">
        <v>46143</v>
      </c>
    </row>
    <row r="112" spans="1:21">
      <c r="A112" t="s">
        <v>1751</v>
      </c>
      <c r="B112" t="s">
        <v>9149</v>
      </c>
      <c r="C112" t="s">
        <v>1751</v>
      </c>
      <c r="D112">
        <v>20479869</v>
      </c>
      <c r="E112" t="s">
        <v>3128</v>
      </c>
      <c r="F112" t="s">
        <v>1782</v>
      </c>
      <c r="G112" t="s">
        <v>3141</v>
      </c>
      <c r="H112" t="s">
        <v>1252</v>
      </c>
      <c r="J112" s="455">
        <v>46106</v>
      </c>
      <c r="U112" s="455">
        <v>46171</v>
      </c>
    </row>
    <row r="113" spans="1:21">
      <c r="A113" t="s">
        <v>1751</v>
      </c>
      <c r="B113" t="s">
        <v>9150</v>
      </c>
      <c r="C113" t="s">
        <v>1751</v>
      </c>
      <c r="D113">
        <v>20471511</v>
      </c>
      <c r="E113" t="s">
        <v>1897</v>
      </c>
      <c r="F113" t="s">
        <v>1912</v>
      </c>
      <c r="G113" t="s">
        <v>3134</v>
      </c>
      <c r="H113" t="s">
        <v>1247</v>
      </c>
      <c r="J113" s="455">
        <v>46095</v>
      </c>
      <c r="K113" s="455">
        <v>46095</v>
      </c>
      <c r="U113" s="455">
        <v>46095</v>
      </c>
    </row>
    <row r="114" spans="1:21">
      <c r="A114" t="s">
        <v>1751</v>
      </c>
      <c r="B114" t="s">
        <v>9151</v>
      </c>
      <c r="C114" t="s">
        <v>1751</v>
      </c>
      <c r="D114">
        <v>20475789</v>
      </c>
      <c r="E114" t="s">
        <v>3128</v>
      </c>
      <c r="F114" t="s">
        <v>1239</v>
      </c>
      <c r="G114" t="s">
        <v>3143</v>
      </c>
      <c r="H114" t="s">
        <v>1252</v>
      </c>
      <c r="I114" t="s">
        <v>1831</v>
      </c>
      <c r="J114" s="455">
        <v>46100</v>
      </c>
      <c r="U114" s="455">
        <v>46109</v>
      </c>
    </row>
    <row r="115" spans="1:21">
      <c r="A115" t="s">
        <v>1751</v>
      </c>
      <c r="B115" t="s">
        <v>9152</v>
      </c>
      <c r="C115" t="s">
        <v>1751</v>
      </c>
      <c r="D115">
        <v>20467005</v>
      </c>
      <c r="E115" t="s">
        <v>3128</v>
      </c>
      <c r="F115" t="s">
        <v>1782</v>
      </c>
      <c r="G115" t="s">
        <v>3137</v>
      </c>
      <c r="H115" t="s">
        <v>1251</v>
      </c>
      <c r="J115" s="455">
        <v>46091</v>
      </c>
      <c r="U115" s="455">
        <v>46091</v>
      </c>
    </row>
    <row r="116" spans="1:21">
      <c r="A116" t="s">
        <v>1751</v>
      </c>
      <c r="B116" t="s">
        <v>9153</v>
      </c>
      <c r="C116" t="s">
        <v>1751</v>
      </c>
      <c r="D116">
        <v>20477690</v>
      </c>
      <c r="E116" t="s">
        <v>3128</v>
      </c>
      <c r="F116" t="s">
        <v>1241</v>
      </c>
      <c r="G116" t="s">
        <v>3134</v>
      </c>
      <c r="H116" t="s">
        <v>1252</v>
      </c>
      <c r="J116" s="455">
        <v>46103</v>
      </c>
      <c r="U116" s="455">
        <v>46112</v>
      </c>
    </row>
    <row r="117" spans="1:21">
      <c r="A117" t="s">
        <v>1751</v>
      </c>
      <c r="B117" t="s">
        <v>9154</v>
      </c>
      <c r="C117" t="s">
        <v>1751</v>
      </c>
      <c r="D117">
        <v>20476209</v>
      </c>
      <c r="E117" t="s">
        <v>3128</v>
      </c>
      <c r="F117" t="s">
        <v>1239</v>
      </c>
      <c r="G117" t="s">
        <v>3129</v>
      </c>
      <c r="H117" t="s">
        <v>1252</v>
      </c>
      <c r="J117" s="455">
        <v>46100</v>
      </c>
      <c r="U117" s="455">
        <v>46130</v>
      </c>
    </row>
    <row r="118" spans="1:21">
      <c r="A118" t="s">
        <v>1751</v>
      </c>
      <c r="B118" t="s">
        <v>9155</v>
      </c>
      <c r="C118" t="s">
        <v>1751</v>
      </c>
      <c r="D118">
        <v>20474153</v>
      </c>
      <c r="E118" t="s">
        <v>3128</v>
      </c>
      <c r="F118" t="s">
        <v>1782</v>
      </c>
      <c r="G118" t="s">
        <v>3134</v>
      </c>
      <c r="H118" t="s">
        <v>1252</v>
      </c>
      <c r="J118" s="455">
        <v>46098</v>
      </c>
      <c r="U118" s="455">
        <v>46099</v>
      </c>
    </row>
    <row r="119" spans="1:21">
      <c r="A119" t="s">
        <v>1751</v>
      </c>
      <c r="B119" t="s">
        <v>9156</v>
      </c>
      <c r="C119" t="s">
        <v>1751</v>
      </c>
      <c r="D119">
        <v>20482663</v>
      </c>
      <c r="E119" t="s">
        <v>3128</v>
      </c>
      <c r="F119" t="s">
        <v>1782</v>
      </c>
      <c r="G119" t="s">
        <v>3137</v>
      </c>
      <c r="H119" t="s">
        <v>1252</v>
      </c>
      <c r="J119" s="455">
        <v>46110</v>
      </c>
      <c r="U119" s="455">
        <v>46110</v>
      </c>
    </row>
    <row r="120" spans="1:21">
      <c r="A120" t="s">
        <v>1751</v>
      </c>
      <c r="B120" t="s">
        <v>9157</v>
      </c>
      <c r="C120" t="s">
        <v>1751</v>
      </c>
      <c r="D120">
        <v>20482879</v>
      </c>
      <c r="E120" t="s">
        <v>3128</v>
      </c>
      <c r="F120" t="s">
        <v>1241</v>
      </c>
      <c r="G120" t="s">
        <v>3134</v>
      </c>
      <c r="H120" t="s">
        <v>1252</v>
      </c>
      <c r="J120" s="455">
        <v>46111</v>
      </c>
      <c r="U120" s="455">
        <v>46141</v>
      </c>
    </row>
    <row r="121" spans="1:21">
      <c r="A121" t="s">
        <v>1751</v>
      </c>
      <c r="B121" t="s">
        <v>9158</v>
      </c>
      <c r="C121" t="s">
        <v>1751</v>
      </c>
      <c r="D121">
        <v>20481035</v>
      </c>
      <c r="E121" t="s">
        <v>3128</v>
      </c>
      <c r="F121" t="s">
        <v>1782</v>
      </c>
      <c r="G121" t="s">
        <v>3134</v>
      </c>
      <c r="H121" t="s">
        <v>1252</v>
      </c>
      <c r="J121" s="455">
        <v>46107</v>
      </c>
      <c r="U121" s="455">
        <v>46143</v>
      </c>
    </row>
    <row r="122" spans="1:21">
      <c r="A122" t="s">
        <v>1751</v>
      </c>
      <c r="B122" t="s">
        <v>9159</v>
      </c>
      <c r="C122" t="s">
        <v>1751</v>
      </c>
      <c r="D122">
        <v>20472496</v>
      </c>
      <c r="E122" t="s">
        <v>3128</v>
      </c>
      <c r="F122" t="s">
        <v>1241</v>
      </c>
      <c r="G122" t="s">
        <v>3134</v>
      </c>
      <c r="H122" t="s">
        <v>1252</v>
      </c>
      <c r="J122" s="455">
        <v>46097</v>
      </c>
      <c r="U122" s="455">
        <v>46115</v>
      </c>
    </row>
    <row r="123" spans="1:21">
      <c r="A123" t="s">
        <v>1751</v>
      </c>
      <c r="B123" t="s">
        <v>9160</v>
      </c>
      <c r="C123" t="s">
        <v>1751</v>
      </c>
      <c r="D123">
        <v>20461856</v>
      </c>
      <c r="E123" t="s">
        <v>3128</v>
      </c>
      <c r="F123" t="s">
        <v>1242</v>
      </c>
      <c r="G123" t="s">
        <v>3137</v>
      </c>
      <c r="H123" t="s">
        <v>3220</v>
      </c>
      <c r="J123" s="455">
        <v>46084</v>
      </c>
      <c r="U123" s="455">
        <v>46084</v>
      </c>
    </row>
    <row r="124" spans="1:21">
      <c r="A124" t="s">
        <v>1751</v>
      </c>
      <c r="B124" t="s">
        <v>9161</v>
      </c>
      <c r="C124" t="s">
        <v>1751</v>
      </c>
      <c r="D124">
        <v>20460782</v>
      </c>
      <c r="E124" t="s">
        <v>3128</v>
      </c>
      <c r="F124" t="s">
        <v>1242</v>
      </c>
      <c r="G124" t="s">
        <v>3143</v>
      </c>
      <c r="H124" t="s">
        <v>1247</v>
      </c>
      <c r="J124" s="455">
        <v>46083</v>
      </c>
      <c r="U124" s="455">
        <v>46083</v>
      </c>
    </row>
    <row r="125" spans="1:21">
      <c r="A125" t="s">
        <v>1751</v>
      </c>
      <c r="B125" t="s">
        <v>9162</v>
      </c>
      <c r="C125" t="s">
        <v>1751</v>
      </c>
      <c r="D125">
        <v>20468430</v>
      </c>
      <c r="E125" t="s">
        <v>3128</v>
      </c>
      <c r="F125" t="s">
        <v>1238</v>
      </c>
      <c r="G125" t="s">
        <v>3143</v>
      </c>
      <c r="H125" t="s">
        <v>1251</v>
      </c>
      <c r="J125" s="455">
        <v>46092</v>
      </c>
      <c r="U125" s="455">
        <v>46092</v>
      </c>
    </row>
    <row r="126" spans="1:21">
      <c r="A126" t="s">
        <v>1751</v>
      </c>
      <c r="B126" t="s">
        <v>1960</v>
      </c>
      <c r="C126" t="s">
        <v>1751</v>
      </c>
      <c r="D126">
        <v>20475799</v>
      </c>
      <c r="E126" t="s">
        <v>1897</v>
      </c>
      <c r="F126" t="s">
        <v>1241</v>
      </c>
      <c r="G126" t="s">
        <v>3134</v>
      </c>
      <c r="H126" t="s">
        <v>1247</v>
      </c>
      <c r="I126" t="s">
        <v>1564</v>
      </c>
      <c r="J126" s="455">
        <v>46100</v>
      </c>
      <c r="K126" s="455">
        <v>46100</v>
      </c>
      <c r="U126" s="455">
        <v>46100</v>
      </c>
    </row>
    <row r="127" spans="1:21">
      <c r="A127" t="s">
        <v>1751</v>
      </c>
      <c r="B127" t="s">
        <v>9163</v>
      </c>
      <c r="C127" t="s">
        <v>1751</v>
      </c>
      <c r="D127">
        <v>20481251</v>
      </c>
      <c r="E127" t="s">
        <v>3128</v>
      </c>
      <c r="F127" t="s">
        <v>1782</v>
      </c>
      <c r="G127" t="s">
        <v>3134</v>
      </c>
      <c r="H127" t="s">
        <v>1252</v>
      </c>
      <c r="J127" s="455">
        <v>46108</v>
      </c>
      <c r="U127" s="455">
        <v>46126</v>
      </c>
    </row>
    <row r="128" spans="1:21">
      <c r="A128" t="s">
        <v>1751</v>
      </c>
      <c r="B128" t="s">
        <v>2573</v>
      </c>
      <c r="C128" t="s">
        <v>1751</v>
      </c>
      <c r="D128">
        <v>20468719</v>
      </c>
      <c r="E128" t="s">
        <v>3142</v>
      </c>
      <c r="F128" t="s">
        <v>1243</v>
      </c>
      <c r="G128" t="s">
        <v>2009</v>
      </c>
      <c r="H128" t="s">
        <v>1248</v>
      </c>
      <c r="I128" t="s">
        <v>2572</v>
      </c>
      <c r="J128" s="455">
        <v>46092</v>
      </c>
      <c r="K128" s="455">
        <v>46092</v>
      </c>
      <c r="L128" s="455">
        <v>46093</v>
      </c>
      <c r="M128" s="455">
        <v>46099</v>
      </c>
      <c r="N128" s="455">
        <v>46099</v>
      </c>
      <c r="P128" s="455">
        <v>46099</v>
      </c>
      <c r="Q128" s="455">
        <v>46099</v>
      </c>
      <c r="U128" s="455">
        <v>46099</v>
      </c>
    </row>
    <row r="129" spans="1:21">
      <c r="A129" t="s">
        <v>1751</v>
      </c>
      <c r="B129" t="s">
        <v>2573</v>
      </c>
      <c r="C129" t="s">
        <v>1751</v>
      </c>
      <c r="D129">
        <v>20468722</v>
      </c>
      <c r="E129" t="s">
        <v>3133</v>
      </c>
      <c r="F129" t="s">
        <v>1799</v>
      </c>
      <c r="G129" t="s">
        <v>3134</v>
      </c>
      <c r="H129" t="s">
        <v>1247</v>
      </c>
      <c r="J129" s="455">
        <v>46092</v>
      </c>
      <c r="K129" s="455">
        <v>46092</v>
      </c>
      <c r="R129" s="455">
        <v>46093</v>
      </c>
      <c r="U129" s="455">
        <v>46092</v>
      </c>
    </row>
    <row r="130" spans="1:21">
      <c r="A130" t="s">
        <v>1751</v>
      </c>
      <c r="B130" t="s">
        <v>9164</v>
      </c>
      <c r="C130" t="s">
        <v>1751</v>
      </c>
      <c r="D130">
        <v>20481680</v>
      </c>
      <c r="E130" t="s">
        <v>3128</v>
      </c>
      <c r="F130" t="s">
        <v>1241</v>
      </c>
      <c r="G130" t="s">
        <v>3137</v>
      </c>
      <c r="H130" t="s">
        <v>1252</v>
      </c>
      <c r="I130" t="s">
        <v>1952</v>
      </c>
      <c r="J130" s="455">
        <v>46108</v>
      </c>
      <c r="U130" s="455">
        <v>46108</v>
      </c>
    </row>
    <row r="131" spans="1:21">
      <c r="A131" t="s">
        <v>1751</v>
      </c>
      <c r="B131" t="s">
        <v>9165</v>
      </c>
      <c r="C131" t="s">
        <v>1751</v>
      </c>
      <c r="D131">
        <v>20471917</v>
      </c>
      <c r="E131" t="s">
        <v>3128</v>
      </c>
      <c r="F131" t="s">
        <v>1241</v>
      </c>
      <c r="G131" t="s">
        <v>3134</v>
      </c>
      <c r="H131" t="s">
        <v>1252</v>
      </c>
      <c r="J131" s="455">
        <v>46096</v>
      </c>
      <c r="U131" s="455">
        <v>46113</v>
      </c>
    </row>
    <row r="132" spans="1:21">
      <c r="A132" t="s">
        <v>1751</v>
      </c>
      <c r="B132" t="s">
        <v>9166</v>
      </c>
      <c r="C132" t="s">
        <v>1751</v>
      </c>
      <c r="D132">
        <v>20483473</v>
      </c>
      <c r="E132" t="s">
        <v>3128</v>
      </c>
      <c r="F132" t="s">
        <v>1241</v>
      </c>
      <c r="G132" t="s">
        <v>3134</v>
      </c>
      <c r="H132" t="s">
        <v>1252</v>
      </c>
      <c r="J132" s="455">
        <v>46111</v>
      </c>
      <c r="U132" s="455">
        <v>46143</v>
      </c>
    </row>
    <row r="133" spans="1:21">
      <c r="A133" t="s">
        <v>1751</v>
      </c>
      <c r="B133" t="s">
        <v>9167</v>
      </c>
      <c r="C133" t="s">
        <v>1751</v>
      </c>
      <c r="D133">
        <v>20475081</v>
      </c>
      <c r="E133" t="s">
        <v>3128</v>
      </c>
      <c r="F133" t="s">
        <v>1241</v>
      </c>
      <c r="G133" t="s">
        <v>3134</v>
      </c>
      <c r="H133" t="s">
        <v>1252</v>
      </c>
      <c r="J133" s="455">
        <v>46099</v>
      </c>
      <c r="U133" s="455">
        <v>46100</v>
      </c>
    </row>
    <row r="134" spans="1:21">
      <c r="A134" t="s">
        <v>1751</v>
      </c>
      <c r="B134" t="s">
        <v>9168</v>
      </c>
      <c r="C134" t="s">
        <v>1751</v>
      </c>
      <c r="D134">
        <v>20470283</v>
      </c>
      <c r="E134" t="s">
        <v>1897</v>
      </c>
      <c r="F134" t="s">
        <v>1239</v>
      </c>
      <c r="G134" t="s">
        <v>3143</v>
      </c>
      <c r="H134" t="s">
        <v>3358</v>
      </c>
      <c r="I134" t="s">
        <v>3277</v>
      </c>
      <c r="J134" s="455">
        <v>46093</v>
      </c>
      <c r="K134" s="455">
        <v>46093</v>
      </c>
      <c r="U134" s="455">
        <v>46116</v>
      </c>
    </row>
    <row r="135" spans="1:21">
      <c r="A135" t="s">
        <v>1751</v>
      </c>
      <c r="B135" t="s">
        <v>9169</v>
      </c>
      <c r="C135" t="s">
        <v>1751</v>
      </c>
      <c r="D135">
        <v>20477555</v>
      </c>
      <c r="E135" t="s">
        <v>1897</v>
      </c>
      <c r="F135" t="s">
        <v>1242</v>
      </c>
      <c r="G135" t="s">
        <v>3134</v>
      </c>
      <c r="H135" t="s">
        <v>1247</v>
      </c>
      <c r="J135" s="455">
        <v>46102</v>
      </c>
      <c r="K135" s="455">
        <v>46102</v>
      </c>
      <c r="U135" s="455">
        <v>46102</v>
      </c>
    </row>
    <row r="136" spans="1:21">
      <c r="A136" t="s">
        <v>1751</v>
      </c>
      <c r="B136" t="s">
        <v>9169</v>
      </c>
      <c r="C136" t="s">
        <v>1751</v>
      </c>
      <c r="D136">
        <v>20477531</v>
      </c>
      <c r="E136" t="s">
        <v>1897</v>
      </c>
      <c r="F136" t="s">
        <v>1241</v>
      </c>
      <c r="G136" t="s">
        <v>3134</v>
      </c>
      <c r="H136" t="s">
        <v>1247</v>
      </c>
      <c r="J136" s="455">
        <v>46102</v>
      </c>
      <c r="K136" s="455">
        <v>46102</v>
      </c>
      <c r="U136" s="455">
        <v>46132</v>
      </c>
    </row>
    <row r="137" spans="1:21">
      <c r="A137" t="s">
        <v>1751</v>
      </c>
      <c r="B137" t="s">
        <v>9170</v>
      </c>
      <c r="C137" t="s">
        <v>1751</v>
      </c>
      <c r="D137">
        <v>20479459</v>
      </c>
      <c r="E137" t="s">
        <v>3128</v>
      </c>
      <c r="F137" t="s">
        <v>1241</v>
      </c>
      <c r="G137" t="s">
        <v>3134</v>
      </c>
      <c r="H137" t="s">
        <v>1252</v>
      </c>
      <c r="J137" s="455">
        <v>46105</v>
      </c>
      <c r="U137" s="455">
        <v>46113</v>
      </c>
    </row>
    <row r="138" spans="1:21">
      <c r="A138" t="s">
        <v>1751</v>
      </c>
      <c r="B138" t="s">
        <v>2490</v>
      </c>
      <c r="C138" t="s">
        <v>1751</v>
      </c>
      <c r="D138">
        <v>20481273</v>
      </c>
      <c r="E138" t="s">
        <v>1907</v>
      </c>
      <c r="F138" t="s">
        <v>1243</v>
      </c>
      <c r="G138" t="s">
        <v>3134</v>
      </c>
      <c r="H138" t="s">
        <v>1247</v>
      </c>
      <c r="I138" t="s">
        <v>3552</v>
      </c>
      <c r="J138" s="455">
        <v>46108</v>
      </c>
      <c r="K138" s="455">
        <v>46108</v>
      </c>
      <c r="L138" s="455">
        <v>46108</v>
      </c>
      <c r="U138" s="455">
        <v>46121</v>
      </c>
    </row>
    <row r="139" spans="1:21">
      <c r="A139" t="s">
        <v>1751</v>
      </c>
      <c r="B139" t="s">
        <v>2490</v>
      </c>
      <c r="C139" t="s">
        <v>1751</v>
      </c>
      <c r="D139">
        <v>20481272</v>
      </c>
      <c r="E139" t="s">
        <v>1897</v>
      </c>
      <c r="F139" t="s">
        <v>1243</v>
      </c>
      <c r="G139" t="s">
        <v>3134</v>
      </c>
      <c r="H139" t="s">
        <v>1247</v>
      </c>
      <c r="J139" s="455">
        <v>46108</v>
      </c>
      <c r="K139" s="455">
        <v>46108</v>
      </c>
      <c r="U139" s="455">
        <v>46108</v>
      </c>
    </row>
    <row r="140" spans="1:21">
      <c r="A140" t="s">
        <v>1751</v>
      </c>
      <c r="B140" t="s">
        <v>9171</v>
      </c>
      <c r="C140" t="s">
        <v>1751</v>
      </c>
      <c r="D140">
        <v>20460410</v>
      </c>
      <c r="E140" t="s">
        <v>3128</v>
      </c>
      <c r="F140" t="s">
        <v>1239</v>
      </c>
      <c r="G140" t="s">
        <v>3129</v>
      </c>
      <c r="H140" t="s">
        <v>1250</v>
      </c>
      <c r="J140" s="455">
        <v>46083</v>
      </c>
      <c r="U140" s="455">
        <v>46083</v>
      </c>
    </row>
    <row r="141" spans="1:21">
      <c r="A141" t="s">
        <v>1751</v>
      </c>
      <c r="B141" t="s">
        <v>9172</v>
      </c>
      <c r="C141" t="s">
        <v>1751</v>
      </c>
      <c r="D141">
        <v>20460417</v>
      </c>
      <c r="E141" t="s">
        <v>3133</v>
      </c>
      <c r="F141" t="s">
        <v>1912</v>
      </c>
      <c r="G141" t="s">
        <v>3134</v>
      </c>
      <c r="H141" t="s">
        <v>1250</v>
      </c>
      <c r="I141" t="s">
        <v>1818</v>
      </c>
      <c r="J141" s="455">
        <v>46083</v>
      </c>
      <c r="K141" s="455">
        <v>46083</v>
      </c>
      <c r="R141" s="455">
        <v>46085</v>
      </c>
      <c r="U141" s="455">
        <v>46083</v>
      </c>
    </row>
    <row r="142" spans="1:21">
      <c r="A142" t="s">
        <v>1751</v>
      </c>
      <c r="B142" t="s">
        <v>8722</v>
      </c>
      <c r="C142" t="s">
        <v>1751</v>
      </c>
      <c r="D142">
        <v>20456717</v>
      </c>
      <c r="E142" t="s">
        <v>3133</v>
      </c>
      <c r="F142" t="s">
        <v>1239</v>
      </c>
      <c r="G142" t="s">
        <v>3143</v>
      </c>
      <c r="H142" t="s">
        <v>1252</v>
      </c>
      <c r="I142" t="s">
        <v>1952</v>
      </c>
      <c r="J142" s="455">
        <v>46077</v>
      </c>
      <c r="K142" s="455">
        <v>46085</v>
      </c>
      <c r="L142" s="455">
        <v>46085</v>
      </c>
      <c r="R142" s="455">
        <v>46087</v>
      </c>
      <c r="U142" s="455">
        <v>46104</v>
      </c>
    </row>
    <row r="143" spans="1:21">
      <c r="A143" t="s">
        <v>1751</v>
      </c>
      <c r="B143" t="s">
        <v>8722</v>
      </c>
      <c r="C143" t="s">
        <v>1751</v>
      </c>
      <c r="D143">
        <v>20462359</v>
      </c>
      <c r="E143" t="s">
        <v>3190</v>
      </c>
      <c r="F143" t="s">
        <v>1912</v>
      </c>
      <c r="G143" t="s">
        <v>3134</v>
      </c>
      <c r="H143" t="s">
        <v>1252</v>
      </c>
      <c r="J143" s="455">
        <v>46085</v>
      </c>
      <c r="K143" s="455">
        <v>46085</v>
      </c>
      <c r="R143" s="455">
        <v>46086</v>
      </c>
      <c r="U143" s="455">
        <v>46085</v>
      </c>
    </row>
    <row r="144" spans="1:21">
      <c r="A144" t="s">
        <v>1751</v>
      </c>
      <c r="B144" t="s">
        <v>8727</v>
      </c>
      <c r="C144" t="s">
        <v>1751</v>
      </c>
      <c r="D144">
        <v>20439903</v>
      </c>
      <c r="E144" t="s">
        <v>3133</v>
      </c>
      <c r="F144" t="s">
        <v>1239</v>
      </c>
      <c r="G144" t="s">
        <v>2009</v>
      </c>
      <c r="H144" t="s">
        <v>3165</v>
      </c>
      <c r="J144" s="455">
        <v>46055</v>
      </c>
      <c r="K144" s="455">
        <v>46062</v>
      </c>
      <c r="R144" s="455">
        <v>46092</v>
      </c>
      <c r="U144" s="455">
        <v>46078</v>
      </c>
    </row>
    <row r="145" spans="1:21">
      <c r="A145" t="s">
        <v>1751</v>
      </c>
      <c r="B145" t="s">
        <v>9173</v>
      </c>
      <c r="C145" t="s">
        <v>1751</v>
      </c>
      <c r="D145">
        <v>20469503</v>
      </c>
      <c r="E145" t="s">
        <v>3128</v>
      </c>
      <c r="F145" t="s">
        <v>1782</v>
      </c>
      <c r="G145" t="s">
        <v>3141</v>
      </c>
      <c r="H145" t="s">
        <v>1252</v>
      </c>
      <c r="J145" s="455">
        <v>46093</v>
      </c>
      <c r="U145" s="455">
        <v>46093</v>
      </c>
    </row>
    <row r="146" spans="1:21">
      <c r="A146" t="s">
        <v>1751</v>
      </c>
      <c r="B146" t="s">
        <v>3414</v>
      </c>
      <c r="C146" t="s">
        <v>1751</v>
      </c>
      <c r="D146">
        <v>20476008</v>
      </c>
      <c r="E146" t="s">
        <v>1897</v>
      </c>
      <c r="F146" t="s">
        <v>1241</v>
      </c>
      <c r="G146" t="s">
        <v>3134</v>
      </c>
      <c r="H146" t="s">
        <v>1247</v>
      </c>
      <c r="J146" s="455">
        <v>46100</v>
      </c>
      <c r="K146" s="455">
        <v>46100</v>
      </c>
      <c r="U146" s="455">
        <v>46104</v>
      </c>
    </row>
    <row r="147" spans="1:21">
      <c r="A147" t="s">
        <v>1751</v>
      </c>
      <c r="B147" t="s">
        <v>3420</v>
      </c>
      <c r="C147" t="s">
        <v>1751</v>
      </c>
      <c r="D147">
        <v>20468532</v>
      </c>
      <c r="E147" t="s">
        <v>3128</v>
      </c>
      <c r="F147" t="s">
        <v>1782</v>
      </c>
      <c r="G147" t="s">
        <v>3141</v>
      </c>
      <c r="H147" t="s">
        <v>1247</v>
      </c>
      <c r="J147" s="455">
        <v>46092</v>
      </c>
      <c r="U147" s="455">
        <v>46115</v>
      </c>
    </row>
    <row r="148" spans="1:21">
      <c r="A148" t="s">
        <v>1751</v>
      </c>
      <c r="B148" t="s">
        <v>9174</v>
      </c>
      <c r="C148" t="s">
        <v>1751</v>
      </c>
      <c r="D148">
        <v>20478553</v>
      </c>
      <c r="E148" t="s">
        <v>1897</v>
      </c>
      <c r="F148" t="s">
        <v>1242</v>
      </c>
      <c r="G148" t="s">
        <v>3134</v>
      </c>
      <c r="H148" t="s">
        <v>1249</v>
      </c>
      <c r="J148" s="455">
        <v>46104</v>
      </c>
      <c r="K148" s="455">
        <v>46104</v>
      </c>
      <c r="U148" s="455">
        <v>46113</v>
      </c>
    </row>
    <row r="149" spans="1:21">
      <c r="A149" t="s">
        <v>1751</v>
      </c>
      <c r="B149" t="s">
        <v>1932</v>
      </c>
      <c r="C149" t="s">
        <v>1751</v>
      </c>
      <c r="D149">
        <v>20461789</v>
      </c>
      <c r="E149" t="s">
        <v>1897</v>
      </c>
      <c r="F149" t="s">
        <v>1239</v>
      </c>
      <c r="G149" t="s">
        <v>3134</v>
      </c>
      <c r="H149" t="s">
        <v>1249</v>
      </c>
      <c r="J149" s="455">
        <v>46084</v>
      </c>
      <c r="K149" s="455">
        <v>46084</v>
      </c>
      <c r="U149" s="455">
        <v>46113</v>
      </c>
    </row>
    <row r="150" spans="1:21">
      <c r="A150" t="s">
        <v>1751</v>
      </c>
      <c r="B150" t="s">
        <v>1932</v>
      </c>
      <c r="C150" t="s">
        <v>1751</v>
      </c>
      <c r="D150">
        <v>20459589</v>
      </c>
      <c r="E150" t="s">
        <v>1907</v>
      </c>
      <c r="F150" t="s">
        <v>1238</v>
      </c>
      <c r="G150" t="s">
        <v>3143</v>
      </c>
      <c r="H150" t="s">
        <v>1249</v>
      </c>
      <c r="I150" t="s">
        <v>1931</v>
      </c>
      <c r="J150" s="455">
        <v>46081</v>
      </c>
      <c r="K150" s="455">
        <v>46085</v>
      </c>
      <c r="L150" s="455">
        <v>46097</v>
      </c>
      <c r="O150" s="455">
        <v>46113</v>
      </c>
      <c r="U150" s="455">
        <v>46113</v>
      </c>
    </row>
    <row r="151" spans="1:21">
      <c r="A151" t="s">
        <v>1751</v>
      </c>
      <c r="B151" t="s">
        <v>9175</v>
      </c>
      <c r="C151" t="s">
        <v>1751</v>
      </c>
      <c r="D151">
        <v>20461164</v>
      </c>
      <c r="E151" t="s">
        <v>1897</v>
      </c>
      <c r="F151" t="s">
        <v>1239</v>
      </c>
      <c r="G151" t="s">
        <v>3143</v>
      </c>
      <c r="H151" t="s">
        <v>1249</v>
      </c>
      <c r="J151" s="455">
        <v>46084</v>
      </c>
      <c r="K151" s="455">
        <v>46085</v>
      </c>
      <c r="U151" s="455">
        <v>46119</v>
      </c>
    </row>
    <row r="152" spans="1:21">
      <c r="A152" t="s">
        <v>1751</v>
      </c>
      <c r="B152" t="s">
        <v>9176</v>
      </c>
      <c r="C152" t="s">
        <v>1751</v>
      </c>
      <c r="D152">
        <v>20465434</v>
      </c>
      <c r="E152" t="s">
        <v>3128</v>
      </c>
      <c r="F152" t="s">
        <v>1782</v>
      </c>
      <c r="G152" t="s">
        <v>3129</v>
      </c>
      <c r="H152" t="s">
        <v>1247</v>
      </c>
      <c r="J152" s="455">
        <v>46090</v>
      </c>
      <c r="U152" s="455">
        <v>46090</v>
      </c>
    </row>
    <row r="153" spans="1:21">
      <c r="A153" t="s">
        <v>1751</v>
      </c>
      <c r="B153" t="s">
        <v>8734</v>
      </c>
      <c r="C153" t="s">
        <v>1751</v>
      </c>
      <c r="D153">
        <v>20450749</v>
      </c>
      <c r="E153" t="s">
        <v>3133</v>
      </c>
      <c r="F153" t="s">
        <v>1799</v>
      </c>
      <c r="G153" t="s">
        <v>3143</v>
      </c>
      <c r="H153" t="s">
        <v>1248</v>
      </c>
      <c r="I153" t="s">
        <v>2127</v>
      </c>
      <c r="J153" s="455">
        <v>46070</v>
      </c>
      <c r="K153" s="455">
        <v>46070</v>
      </c>
      <c r="L153" s="455">
        <v>46070</v>
      </c>
      <c r="S153" s="455">
        <v>46088</v>
      </c>
      <c r="U153" s="455">
        <v>46101</v>
      </c>
    </row>
    <row r="154" spans="1:21">
      <c r="A154" t="s">
        <v>1751</v>
      </c>
      <c r="B154" t="s">
        <v>9177</v>
      </c>
      <c r="C154" t="s">
        <v>1751</v>
      </c>
      <c r="D154">
        <v>20478670</v>
      </c>
      <c r="E154" t="s">
        <v>3128</v>
      </c>
      <c r="F154" t="s">
        <v>1241</v>
      </c>
      <c r="G154" t="s">
        <v>3134</v>
      </c>
      <c r="H154" t="s">
        <v>1252</v>
      </c>
      <c r="J154" s="455">
        <v>46104</v>
      </c>
      <c r="U154" s="455">
        <v>46142</v>
      </c>
    </row>
    <row r="155" spans="1:21">
      <c r="A155" t="s">
        <v>1751</v>
      </c>
      <c r="B155" t="s">
        <v>7106</v>
      </c>
      <c r="C155" t="s">
        <v>1751</v>
      </c>
      <c r="D155">
        <v>20471399</v>
      </c>
      <c r="E155" t="s">
        <v>3142</v>
      </c>
      <c r="F155" t="s">
        <v>1239</v>
      </c>
      <c r="G155" t="s">
        <v>3143</v>
      </c>
      <c r="H155" t="s">
        <v>1248</v>
      </c>
      <c r="I155" t="s">
        <v>1555</v>
      </c>
      <c r="J155" s="455">
        <v>46095</v>
      </c>
      <c r="K155" s="455">
        <v>46095</v>
      </c>
      <c r="L155" s="455">
        <v>46095</v>
      </c>
      <c r="M155" s="455">
        <v>46104</v>
      </c>
      <c r="N155" s="455">
        <v>46104</v>
      </c>
      <c r="O155" s="455">
        <v>46104</v>
      </c>
      <c r="P155" s="455">
        <v>46104</v>
      </c>
      <c r="Q155" s="455">
        <v>46105</v>
      </c>
      <c r="U155" s="455">
        <v>46104</v>
      </c>
    </row>
    <row r="156" spans="1:21">
      <c r="A156" t="s">
        <v>1751</v>
      </c>
      <c r="B156" t="s">
        <v>9178</v>
      </c>
      <c r="C156" t="s">
        <v>1751</v>
      </c>
      <c r="D156">
        <v>20483421</v>
      </c>
      <c r="E156" t="s">
        <v>3128</v>
      </c>
      <c r="F156" t="s">
        <v>1241</v>
      </c>
      <c r="G156" t="s">
        <v>3134</v>
      </c>
      <c r="H156" t="s">
        <v>1252</v>
      </c>
      <c r="J156" s="455">
        <v>46111</v>
      </c>
      <c r="U156" s="455">
        <v>46127</v>
      </c>
    </row>
    <row r="157" spans="1:21">
      <c r="A157" t="s">
        <v>1751</v>
      </c>
      <c r="B157" t="s">
        <v>8737</v>
      </c>
      <c r="C157" t="s">
        <v>1751</v>
      </c>
      <c r="D157">
        <v>20442016</v>
      </c>
      <c r="E157" t="s">
        <v>3133</v>
      </c>
      <c r="F157" t="s">
        <v>1237</v>
      </c>
      <c r="G157" t="s">
        <v>3134</v>
      </c>
      <c r="H157" t="s">
        <v>1247</v>
      </c>
      <c r="I157" t="s">
        <v>7024</v>
      </c>
      <c r="J157" s="455">
        <v>46059</v>
      </c>
      <c r="K157" s="455">
        <v>46059</v>
      </c>
      <c r="L157" s="455">
        <v>46059</v>
      </c>
      <c r="R157" s="455">
        <v>46087</v>
      </c>
      <c r="U157" s="455">
        <v>46093</v>
      </c>
    </row>
    <row r="158" spans="1:21">
      <c r="A158" t="s">
        <v>1751</v>
      </c>
      <c r="B158" t="s">
        <v>1826</v>
      </c>
      <c r="C158" t="s">
        <v>1751</v>
      </c>
      <c r="D158">
        <v>20473449</v>
      </c>
      <c r="E158" t="s">
        <v>3142</v>
      </c>
      <c r="F158" t="s">
        <v>1242</v>
      </c>
      <c r="G158" t="s">
        <v>3129</v>
      </c>
      <c r="H158" t="s">
        <v>3515</v>
      </c>
      <c r="I158" t="s">
        <v>1825</v>
      </c>
      <c r="J158" s="455">
        <v>46098</v>
      </c>
      <c r="K158" s="455">
        <v>46098</v>
      </c>
      <c r="L158" s="455">
        <v>46098</v>
      </c>
      <c r="M158" s="455">
        <v>46104</v>
      </c>
      <c r="N158" s="455">
        <v>46105</v>
      </c>
      <c r="P158" s="455">
        <v>46108</v>
      </c>
      <c r="Q158" s="455">
        <v>46108</v>
      </c>
      <c r="U158" s="455">
        <v>46113</v>
      </c>
    </row>
    <row r="159" spans="1:21">
      <c r="A159" t="s">
        <v>1751</v>
      </c>
      <c r="B159" t="s">
        <v>1826</v>
      </c>
      <c r="C159" t="s">
        <v>1751</v>
      </c>
      <c r="D159">
        <v>20473734</v>
      </c>
      <c r="E159" t="s">
        <v>3133</v>
      </c>
      <c r="F159" t="s">
        <v>1799</v>
      </c>
      <c r="G159" t="s">
        <v>3134</v>
      </c>
      <c r="H159" t="s">
        <v>1247</v>
      </c>
      <c r="J159" s="455">
        <v>46098</v>
      </c>
      <c r="K159" s="455">
        <v>46098</v>
      </c>
      <c r="R159" s="455">
        <v>46100</v>
      </c>
      <c r="U159" s="455">
        <v>46098</v>
      </c>
    </row>
    <row r="160" spans="1:21">
      <c r="A160" t="s">
        <v>1751</v>
      </c>
      <c r="B160" t="s">
        <v>9179</v>
      </c>
      <c r="C160" t="s">
        <v>1751</v>
      </c>
      <c r="D160">
        <v>20473234</v>
      </c>
      <c r="E160" t="s">
        <v>3133</v>
      </c>
      <c r="F160" t="s">
        <v>1241</v>
      </c>
      <c r="G160" t="s">
        <v>3134</v>
      </c>
      <c r="H160" t="s">
        <v>1247</v>
      </c>
      <c r="J160" s="455">
        <v>46098</v>
      </c>
      <c r="K160" s="455">
        <v>46098</v>
      </c>
      <c r="R160" s="455">
        <v>46100</v>
      </c>
      <c r="U160" s="455">
        <v>46104</v>
      </c>
    </row>
    <row r="161" spans="1:21">
      <c r="A161" t="s">
        <v>1751</v>
      </c>
      <c r="B161" t="s">
        <v>9180</v>
      </c>
      <c r="C161" t="s">
        <v>1751</v>
      </c>
      <c r="D161">
        <v>20475525</v>
      </c>
      <c r="E161" t="s">
        <v>3128</v>
      </c>
      <c r="F161" t="s">
        <v>1782</v>
      </c>
      <c r="G161" t="s">
        <v>3143</v>
      </c>
      <c r="H161" t="s">
        <v>1247</v>
      </c>
      <c r="J161" s="455">
        <v>46099</v>
      </c>
      <c r="U161" s="455">
        <v>46179</v>
      </c>
    </row>
    <row r="162" spans="1:21">
      <c r="A162" t="s">
        <v>1751</v>
      </c>
      <c r="B162" t="s">
        <v>9181</v>
      </c>
      <c r="C162" t="s">
        <v>1751</v>
      </c>
      <c r="D162">
        <v>20471340</v>
      </c>
      <c r="E162" t="s">
        <v>3128</v>
      </c>
      <c r="F162" t="s">
        <v>1782</v>
      </c>
      <c r="G162" t="s">
        <v>3134</v>
      </c>
      <c r="H162" t="s">
        <v>1252</v>
      </c>
      <c r="J162" s="455">
        <v>46095</v>
      </c>
      <c r="U162" s="455">
        <v>46096</v>
      </c>
    </row>
    <row r="163" spans="1:21">
      <c r="A163" t="s">
        <v>1751</v>
      </c>
      <c r="B163" t="s">
        <v>9182</v>
      </c>
      <c r="C163" t="s">
        <v>1751</v>
      </c>
      <c r="D163">
        <v>20481245</v>
      </c>
      <c r="E163" t="s">
        <v>1897</v>
      </c>
      <c r="F163" t="s">
        <v>1912</v>
      </c>
      <c r="G163" t="s">
        <v>3134</v>
      </c>
      <c r="H163" t="s">
        <v>3515</v>
      </c>
      <c r="J163" s="455">
        <v>46108</v>
      </c>
      <c r="K163" s="455">
        <v>46108</v>
      </c>
      <c r="U163" s="455">
        <v>46109</v>
      </c>
    </row>
    <row r="164" spans="1:21">
      <c r="A164" t="s">
        <v>1751</v>
      </c>
      <c r="B164" t="s">
        <v>9182</v>
      </c>
      <c r="C164" t="s">
        <v>1751</v>
      </c>
      <c r="D164">
        <v>20480768</v>
      </c>
      <c r="E164" t="s">
        <v>3128</v>
      </c>
      <c r="F164" t="s">
        <v>1782</v>
      </c>
      <c r="G164" t="s">
        <v>3143</v>
      </c>
      <c r="H164" t="s">
        <v>3220</v>
      </c>
      <c r="J164" s="455">
        <v>46107</v>
      </c>
      <c r="U164" s="455">
        <v>46107</v>
      </c>
    </row>
    <row r="165" spans="1:21">
      <c r="A165" t="s">
        <v>1751</v>
      </c>
      <c r="B165" t="s">
        <v>9183</v>
      </c>
      <c r="C165" t="s">
        <v>1751</v>
      </c>
      <c r="D165">
        <v>20480388</v>
      </c>
      <c r="E165" t="s">
        <v>1907</v>
      </c>
      <c r="F165" t="s">
        <v>1243</v>
      </c>
      <c r="G165" t="s">
        <v>3134</v>
      </c>
      <c r="H165" t="s">
        <v>1247</v>
      </c>
      <c r="I165" t="s">
        <v>1532</v>
      </c>
      <c r="J165" s="455">
        <v>46106</v>
      </c>
      <c r="K165" s="455">
        <v>46106</v>
      </c>
      <c r="L165" s="455">
        <v>46106</v>
      </c>
      <c r="U165" s="455">
        <v>46113</v>
      </c>
    </row>
    <row r="166" spans="1:21">
      <c r="A166" t="s">
        <v>1751</v>
      </c>
      <c r="B166" t="s">
        <v>8748</v>
      </c>
      <c r="C166" t="s">
        <v>1751</v>
      </c>
      <c r="D166">
        <v>20456021</v>
      </c>
      <c r="E166" t="s">
        <v>3133</v>
      </c>
      <c r="F166" t="s">
        <v>1239</v>
      </c>
      <c r="G166" t="s">
        <v>3134</v>
      </c>
      <c r="H166" t="s">
        <v>1247</v>
      </c>
      <c r="I166" t="s">
        <v>1963</v>
      </c>
      <c r="J166" s="455">
        <v>46076</v>
      </c>
      <c r="K166" s="455">
        <v>46076</v>
      </c>
      <c r="R166" s="455">
        <v>46091</v>
      </c>
      <c r="U166" s="455">
        <v>46076</v>
      </c>
    </row>
    <row r="167" spans="1:21">
      <c r="A167" t="s">
        <v>1751</v>
      </c>
      <c r="B167" t="s">
        <v>9184</v>
      </c>
      <c r="C167" t="s">
        <v>1751</v>
      </c>
      <c r="D167">
        <v>20472099</v>
      </c>
      <c r="E167" t="s">
        <v>1897</v>
      </c>
      <c r="F167" t="s">
        <v>1912</v>
      </c>
      <c r="G167" t="s">
        <v>3134</v>
      </c>
      <c r="H167" t="s">
        <v>1247</v>
      </c>
      <c r="I167" t="s">
        <v>2615</v>
      </c>
      <c r="J167" s="455">
        <v>46096</v>
      </c>
      <c r="K167" s="455">
        <v>46096</v>
      </c>
      <c r="U167" s="455">
        <v>46098</v>
      </c>
    </row>
    <row r="168" spans="1:21">
      <c r="A168" t="s">
        <v>1751</v>
      </c>
      <c r="B168" t="s">
        <v>9185</v>
      </c>
      <c r="C168" t="s">
        <v>1751</v>
      </c>
      <c r="D168">
        <v>20471482</v>
      </c>
      <c r="E168" t="s">
        <v>3128</v>
      </c>
      <c r="F168" t="s">
        <v>1241</v>
      </c>
      <c r="G168" t="s">
        <v>3143</v>
      </c>
      <c r="H168" t="s">
        <v>1250</v>
      </c>
      <c r="I168" t="s">
        <v>1931</v>
      </c>
      <c r="J168" s="455">
        <v>46095</v>
      </c>
      <c r="U168" s="455">
        <v>46167</v>
      </c>
    </row>
    <row r="169" spans="1:21">
      <c r="A169" t="s">
        <v>1751</v>
      </c>
      <c r="B169" t="s">
        <v>9186</v>
      </c>
      <c r="C169" t="s">
        <v>1751</v>
      </c>
      <c r="D169">
        <v>20470659</v>
      </c>
      <c r="E169" t="s">
        <v>3128</v>
      </c>
      <c r="F169" t="s">
        <v>1782</v>
      </c>
      <c r="G169" t="s">
        <v>3134</v>
      </c>
      <c r="H169" t="s">
        <v>1252</v>
      </c>
      <c r="J169" s="455">
        <v>46094</v>
      </c>
      <c r="U169" s="455">
        <v>46156</v>
      </c>
    </row>
    <row r="170" spans="1:21">
      <c r="A170" t="s">
        <v>1751</v>
      </c>
      <c r="B170" t="s">
        <v>9187</v>
      </c>
      <c r="C170" t="s">
        <v>1751</v>
      </c>
      <c r="D170">
        <v>20464819</v>
      </c>
      <c r="E170" t="s">
        <v>1897</v>
      </c>
      <c r="F170" t="s">
        <v>1782</v>
      </c>
      <c r="G170" t="s">
        <v>3134</v>
      </c>
      <c r="H170" t="s">
        <v>1247</v>
      </c>
      <c r="I170" t="s">
        <v>1834</v>
      </c>
      <c r="J170" s="455">
        <v>46089</v>
      </c>
      <c r="K170" s="455">
        <v>46089</v>
      </c>
      <c r="U170" s="455">
        <v>46090</v>
      </c>
    </row>
    <row r="171" spans="1:21">
      <c r="A171" t="s">
        <v>1751</v>
      </c>
      <c r="B171" t="s">
        <v>9188</v>
      </c>
      <c r="C171" t="s">
        <v>1751</v>
      </c>
      <c r="D171">
        <v>20461706</v>
      </c>
      <c r="E171" t="s">
        <v>3128</v>
      </c>
      <c r="F171" t="s">
        <v>1782</v>
      </c>
      <c r="G171" t="s">
        <v>3141</v>
      </c>
      <c r="H171" t="s">
        <v>1247</v>
      </c>
      <c r="J171" s="455">
        <v>46084</v>
      </c>
      <c r="U171" s="455">
        <v>46084</v>
      </c>
    </row>
    <row r="172" spans="1:21">
      <c r="A172" t="s">
        <v>1751</v>
      </c>
      <c r="B172" t="s">
        <v>1959</v>
      </c>
      <c r="C172" t="s">
        <v>1751</v>
      </c>
      <c r="D172">
        <v>20475518</v>
      </c>
      <c r="E172" t="s">
        <v>1897</v>
      </c>
      <c r="F172" t="s">
        <v>1241</v>
      </c>
      <c r="G172" t="s">
        <v>3134</v>
      </c>
      <c r="H172" t="s">
        <v>1247</v>
      </c>
      <c r="I172" t="s">
        <v>1958</v>
      </c>
      <c r="J172" s="455">
        <v>46099</v>
      </c>
      <c r="K172" s="455">
        <v>46099</v>
      </c>
      <c r="U172" s="455">
        <v>46157</v>
      </c>
    </row>
    <row r="173" spans="1:21">
      <c r="A173" t="s">
        <v>1751</v>
      </c>
      <c r="B173" t="s">
        <v>8757</v>
      </c>
      <c r="C173" t="s">
        <v>1751</v>
      </c>
      <c r="D173">
        <v>20444500</v>
      </c>
      <c r="E173" t="s">
        <v>3133</v>
      </c>
      <c r="F173" t="s">
        <v>8652</v>
      </c>
      <c r="G173" t="s">
        <v>3134</v>
      </c>
      <c r="H173" t="s">
        <v>1247</v>
      </c>
      <c r="I173" t="s">
        <v>1811</v>
      </c>
      <c r="J173" s="455">
        <v>46063</v>
      </c>
      <c r="K173" s="455">
        <v>46063</v>
      </c>
      <c r="L173" s="455">
        <v>46063</v>
      </c>
      <c r="R173" s="455">
        <v>46091</v>
      </c>
      <c r="U173" s="455">
        <v>46095</v>
      </c>
    </row>
    <row r="174" spans="1:21">
      <c r="A174" t="s">
        <v>1751</v>
      </c>
      <c r="B174" t="s">
        <v>9189</v>
      </c>
      <c r="C174" t="s">
        <v>1751</v>
      </c>
      <c r="D174">
        <v>20472880</v>
      </c>
      <c r="E174" t="s">
        <v>1897</v>
      </c>
      <c r="F174" t="s">
        <v>1782</v>
      </c>
      <c r="G174" t="s">
        <v>3134</v>
      </c>
      <c r="H174" t="s">
        <v>1247</v>
      </c>
      <c r="I174" t="s">
        <v>1952</v>
      </c>
      <c r="J174" s="455">
        <v>46097</v>
      </c>
      <c r="K174" s="455">
        <v>46097</v>
      </c>
      <c r="U174" s="455">
        <v>46102</v>
      </c>
    </row>
    <row r="175" spans="1:21">
      <c r="A175" t="s">
        <v>1751</v>
      </c>
      <c r="B175" t="s">
        <v>9190</v>
      </c>
      <c r="C175" t="s">
        <v>1751</v>
      </c>
      <c r="D175">
        <v>20472619</v>
      </c>
      <c r="E175" t="s">
        <v>3128</v>
      </c>
      <c r="F175" t="s">
        <v>1782</v>
      </c>
      <c r="G175" t="s">
        <v>3143</v>
      </c>
      <c r="H175" t="s">
        <v>1252</v>
      </c>
      <c r="I175" t="s">
        <v>2478</v>
      </c>
      <c r="J175" s="455">
        <v>46097</v>
      </c>
      <c r="U175" s="455">
        <v>46097</v>
      </c>
    </row>
    <row r="176" spans="1:21">
      <c r="A176" t="s">
        <v>1751</v>
      </c>
      <c r="B176" t="s">
        <v>9191</v>
      </c>
      <c r="C176" t="s">
        <v>1751</v>
      </c>
      <c r="D176">
        <v>20466094</v>
      </c>
      <c r="E176" t="s">
        <v>3128</v>
      </c>
      <c r="F176" t="s">
        <v>1782</v>
      </c>
      <c r="G176" t="s">
        <v>3129</v>
      </c>
      <c r="H176" t="s">
        <v>1252</v>
      </c>
      <c r="J176" s="455">
        <v>46091</v>
      </c>
      <c r="U176" s="455">
        <v>46091</v>
      </c>
    </row>
    <row r="177" spans="1:21">
      <c r="A177" t="s">
        <v>1751</v>
      </c>
      <c r="B177" t="s">
        <v>9192</v>
      </c>
      <c r="C177" t="s">
        <v>1751</v>
      </c>
      <c r="D177">
        <v>20482359</v>
      </c>
      <c r="E177" t="s">
        <v>1897</v>
      </c>
      <c r="F177" t="s">
        <v>1912</v>
      </c>
      <c r="G177" t="s">
        <v>3134</v>
      </c>
      <c r="H177" t="s">
        <v>1247</v>
      </c>
      <c r="I177" t="s">
        <v>5984</v>
      </c>
      <c r="J177" s="455">
        <v>46109</v>
      </c>
      <c r="K177" s="455">
        <v>46109</v>
      </c>
      <c r="U177" s="455">
        <v>46109</v>
      </c>
    </row>
    <row r="178" spans="1:21">
      <c r="A178" t="s">
        <v>1751</v>
      </c>
      <c r="B178" t="s">
        <v>9193</v>
      </c>
      <c r="C178" t="s">
        <v>1751</v>
      </c>
      <c r="D178">
        <v>20481537</v>
      </c>
      <c r="E178" t="s">
        <v>3128</v>
      </c>
      <c r="F178" t="s">
        <v>1782</v>
      </c>
      <c r="G178" t="s">
        <v>3141</v>
      </c>
      <c r="H178" t="s">
        <v>1252</v>
      </c>
      <c r="J178" s="455">
        <v>46108</v>
      </c>
      <c r="U178" s="455">
        <v>46335</v>
      </c>
    </row>
    <row r="179" spans="1:21">
      <c r="A179" t="s">
        <v>1751</v>
      </c>
      <c r="B179" t="s">
        <v>9194</v>
      </c>
      <c r="C179" t="s">
        <v>1751</v>
      </c>
      <c r="D179">
        <v>20481751</v>
      </c>
      <c r="E179" t="s">
        <v>1907</v>
      </c>
      <c r="F179" t="s">
        <v>1243</v>
      </c>
      <c r="G179" t="s">
        <v>3134</v>
      </c>
      <c r="H179" t="s">
        <v>1251</v>
      </c>
      <c r="I179" t="s">
        <v>1808</v>
      </c>
      <c r="J179" s="455">
        <v>46108</v>
      </c>
      <c r="K179" s="455">
        <v>46108</v>
      </c>
      <c r="L179" s="455">
        <v>46108</v>
      </c>
      <c r="U179" s="455">
        <v>46136</v>
      </c>
    </row>
    <row r="180" spans="1:21">
      <c r="A180" t="s">
        <v>1751</v>
      </c>
      <c r="B180" t="s">
        <v>1964</v>
      </c>
      <c r="C180" t="s">
        <v>1751</v>
      </c>
      <c r="D180">
        <v>20476635</v>
      </c>
      <c r="E180" t="s">
        <v>3128</v>
      </c>
      <c r="F180" t="s">
        <v>1782</v>
      </c>
      <c r="G180" t="s">
        <v>3134</v>
      </c>
      <c r="H180" t="s">
        <v>1252</v>
      </c>
      <c r="J180" s="455">
        <v>46101</v>
      </c>
      <c r="U180" s="455">
        <v>46102</v>
      </c>
    </row>
    <row r="181" spans="1:21">
      <c r="A181" t="s">
        <v>1751</v>
      </c>
      <c r="B181" t="s">
        <v>1964</v>
      </c>
      <c r="C181" t="s">
        <v>1751</v>
      </c>
      <c r="D181">
        <v>20476677</v>
      </c>
      <c r="E181" t="s">
        <v>1897</v>
      </c>
      <c r="F181" t="s">
        <v>1241</v>
      </c>
      <c r="G181" t="s">
        <v>3134</v>
      </c>
      <c r="H181" t="s">
        <v>1247</v>
      </c>
      <c r="I181" t="s">
        <v>1963</v>
      </c>
      <c r="J181" s="455">
        <v>46101</v>
      </c>
      <c r="K181" s="455">
        <v>46101</v>
      </c>
      <c r="U181" s="455">
        <v>46101</v>
      </c>
    </row>
    <row r="182" spans="1:21">
      <c r="A182" t="s">
        <v>1751</v>
      </c>
      <c r="B182" t="s">
        <v>9195</v>
      </c>
      <c r="C182" t="s">
        <v>1751</v>
      </c>
      <c r="D182">
        <v>20472341</v>
      </c>
      <c r="E182" t="s">
        <v>3190</v>
      </c>
      <c r="F182" t="s">
        <v>1238</v>
      </c>
      <c r="G182" t="s">
        <v>3143</v>
      </c>
      <c r="H182" t="s">
        <v>1248</v>
      </c>
      <c r="J182" s="455">
        <v>46097</v>
      </c>
      <c r="R182" s="455">
        <v>46097</v>
      </c>
      <c r="U182" s="455">
        <v>46097</v>
      </c>
    </row>
    <row r="183" spans="1:21">
      <c r="A183" t="s">
        <v>1751</v>
      </c>
      <c r="B183" t="s">
        <v>9196</v>
      </c>
      <c r="C183" t="s">
        <v>1751</v>
      </c>
      <c r="D183">
        <v>20463232</v>
      </c>
      <c r="E183" t="s">
        <v>3133</v>
      </c>
      <c r="F183" t="s">
        <v>1241</v>
      </c>
      <c r="G183" t="s">
        <v>3143</v>
      </c>
      <c r="H183" t="s">
        <v>1249</v>
      </c>
      <c r="I183" t="s">
        <v>1831</v>
      </c>
      <c r="J183" s="455">
        <v>46086</v>
      </c>
      <c r="K183" s="455">
        <v>46093</v>
      </c>
      <c r="L183" s="455">
        <v>46100</v>
      </c>
      <c r="S183" s="455">
        <v>46101</v>
      </c>
      <c r="U183" s="455">
        <v>46105</v>
      </c>
    </row>
    <row r="184" spans="1:21">
      <c r="A184" t="s">
        <v>1751</v>
      </c>
      <c r="B184" t="s">
        <v>9197</v>
      </c>
      <c r="C184" t="s">
        <v>1751</v>
      </c>
      <c r="D184">
        <v>20482211</v>
      </c>
      <c r="E184" t="s">
        <v>3128</v>
      </c>
      <c r="F184" t="s">
        <v>1782</v>
      </c>
      <c r="G184" t="s">
        <v>3141</v>
      </c>
      <c r="H184" t="s">
        <v>1248</v>
      </c>
      <c r="J184" s="455">
        <v>46109</v>
      </c>
      <c r="U184" s="455">
        <v>46241</v>
      </c>
    </row>
    <row r="185" spans="1:21">
      <c r="A185" t="s">
        <v>1751</v>
      </c>
      <c r="B185" t="s">
        <v>9198</v>
      </c>
      <c r="C185" t="s">
        <v>1751</v>
      </c>
      <c r="D185">
        <v>20468652</v>
      </c>
      <c r="E185" t="s">
        <v>3128</v>
      </c>
      <c r="F185" t="s">
        <v>1782</v>
      </c>
      <c r="G185" t="s">
        <v>3137</v>
      </c>
      <c r="H185" t="s">
        <v>1247</v>
      </c>
      <c r="J185" s="455">
        <v>46092</v>
      </c>
      <c r="U185" s="455">
        <v>46092</v>
      </c>
    </row>
    <row r="186" spans="1:21">
      <c r="A186" t="s">
        <v>1751</v>
      </c>
      <c r="B186" t="s">
        <v>9199</v>
      </c>
      <c r="C186" t="s">
        <v>1751</v>
      </c>
      <c r="D186">
        <v>20480280</v>
      </c>
      <c r="E186" t="s">
        <v>1897</v>
      </c>
      <c r="F186" t="s">
        <v>1912</v>
      </c>
      <c r="G186" t="s">
        <v>3134</v>
      </c>
      <c r="H186" t="s">
        <v>1249</v>
      </c>
      <c r="J186" s="455">
        <v>46106</v>
      </c>
      <c r="K186" s="455">
        <v>46106</v>
      </c>
      <c r="U186" s="455">
        <v>46106</v>
      </c>
    </row>
    <row r="187" spans="1:21">
      <c r="A187" t="s">
        <v>1751</v>
      </c>
      <c r="B187" t="s">
        <v>1966</v>
      </c>
      <c r="C187" t="s">
        <v>1751</v>
      </c>
      <c r="D187">
        <v>20476730</v>
      </c>
      <c r="E187" t="s">
        <v>1907</v>
      </c>
      <c r="F187" t="s">
        <v>1237</v>
      </c>
      <c r="G187" t="s">
        <v>3134</v>
      </c>
      <c r="H187" t="s">
        <v>1247</v>
      </c>
      <c r="I187" t="s">
        <v>2134</v>
      </c>
      <c r="J187" s="455">
        <v>46101</v>
      </c>
      <c r="K187" s="455">
        <v>46101</v>
      </c>
      <c r="L187" s="455">
        <v>46111</v>
      </c>
      <c r="U187" s="455">
        <v>46111</v>
      </c>
    </row>
    <row r="188" spans="1:21">
      <c r="A188" t="s">
        <v>1751</v>
      </c>
      <c r="B188" t="s">
        <v>9200</v>
      </c>
      <c r="C188" t="s">
        <v>1751</v>
      </c>
      <c r="D188">
        <v>20479122</v>
      </c>
      <c r="E188" t="s">
        <v>3128</v>
      </c>
      <c r="F188" t="s">
        <v>1782</v>
      </c>
      <c r="G188" t="s">
        <v>3129</v>
      </c>
      <c r="H188" t="s">
        <v>1252</v>
      </c>
      <c r="J188" s="455">
        <v>46105</v>
      </c>
      <c r="U188" s="455">
        <v>46105</v>
      </c>
    </row>
    <row r="189" spans="1:21">
      <c r="A189" t="s">
        <v>1751</v>
      </c>
      <c r="B189" t="s">
        <v>9201</v>
      </c>
      <c r="C189" t="s">
        <v>1751</v>
      </c>
      <c r="D189">
        <v>20471667</v>
      </c>
      <c r="E189" t="s">
        <v>3128</v>
      </c>
      <c r="F189" t="s">
        <v>1782</v>
      </c>
      <c r="G189" t="s">
        <v>3134</v>
      </c>
      <c r="H189" t="s">
        <v>1252</v>
      </c>
      <c r="J189" s="455">
        <v>46095</v>
      </c>
      <c r="U189" s="455">
        <v>46155</v>
      </c>
    </row>
    <row r="190" spans="1:21">
      <c r="A190" t="s">
        <v>1751</v>
      </c>
      <c r="B190" t="s">
        <v>9202</v>
      </c>
      <c r="C190" t="s">
        <v>1751</v>
      </c>
      <c r="D190">
        <v>20475768</v>
      </c>
      <c r="E190" t="s">
        <v>3128</v>
      </c>
      <c r="F190" t="s">
        <v>1238</v>
      </c>
      <c r="G190" t="s">
        <v>3129</v>
      </c>
      <c r="H190" t="s">
        <v>3131</v>
      </c>
      <c r="I190" t="s">
        <v>2137</v>
      </c>
      <c r="J190" s="455">
        <v>46100</v>
      </c>
      <c r="U190" s="455">
        <v>46143</v>
      </c>
    </row>
    <row r="191" spans="1:21">
      <c r="A191" t="s">
        <v>1751</v>
      </c>
      <c r="B191" t="s">
        <v>9203</v>
      </c>
      <c r="C191" t="s">
        <v>1751</v>
      </c>
      <c r="D191">
        <v>20475261</v>
      </c>
      <c r="E191" t="s">
        <v>3128</v>
      </c>
      <c r="F191" t="s">
        <v>1241</v>
      </c>
      <c r="G191" t="s">
        <v>3134</v>
      </c>
      <c r="H191" t="s">
        <v>1252</v>
      </c>
      <c r="J191" s="455">
        <v>46099</v>
      </c>
      <c r="U191" s="455">
        <v>46158</v>
      </c>
    </row>
    <row r="192" spans="1:21">
      <c r="A192" t="s">
        <v>1751</v>
      </c>
      <c r="B192" t="s">
        <v>9204</v>
      </c>
      <c r="C192" t="s">
        <v>1751</v>
      </c>
      <c r="D192">
        <v>20479649</v>
      </c>
      <c r="E192" t="s">
        <v>3128</v>
      </c>
      <c r="F192" t="s">
        <v>1241</v>
      </c>
      <c r="G192" t="s">
        <v>3134</v>
      </c>
      <c r="H192" t="s">
        <v>1252</v>
      </c>
      <c r="J192" s="455">
        <v>46106</v>
      </c>
      <c r="U192" s="455">
        <v>46108</v>
      </c>
    </row>
    <row r="193" spans="1:21">
      <c r="A193" t="s">
        <v>1751</v>
      </c>
      <c r="B193" t="s">
        <v>9205</v>
      </c>
      <c r="C193" t="s">
        <v>1751</v>
      </c>
      <c r="D193">
        <v>20478665</v>
      </c>
      <c r="E193" t="s">
        <v>3128</v>
      </c>
      <c r="F193" t="s">
        <v>1241</v>
      </c>
      <c r="G193" t="s">
        <v>3134</v>
      </c>
      <c r="H193" t="s">
        <v>1252</v>
      </c>
      <c r="J193" s="455">
        <v>46104</v>
      </c>
      <c r="U193" s="455">
        <v>46113</v>
      </c>
    </row>
    <row r="194" spans="1:21">
      <c r="A194" t="s">
        <v>1751</v>
      </c>
      <c r="B194" t="s">
        <v>4517</v>
      </c>
      <c r="C194" t="s">
        <v>1751</v>
      </c>
      <c r="D194">
        <v>20460516</v>
      </c>
      <c r="E194" t="s">
        <v>3142</v>
      </c>
      <c r="F194" t="s">
        <v>1237</v>
      </c>
      <c r="G194" t="s">
        <v>3134</v>
      </c>
      <c r="H194" t="s">
        <v>1247</v>
      </c>
      <c r="I194" t="s">
        <v>6431</v>
      </c>
      <c r="J194" s="455">
        <v>46083</v>
      </c>
      <c r="K194" s="455">
        <v>46083</v>
      </c>
      <c r="L194" s="455">
        <v>46083</v>
      </c>
      <c r="M194" s="455">
        <v>46091</v>
      </c>
      <c r="N194" s="455">
        <v>46091</v>
      </c>
      <c r="P194" s="455">
        <v>46091</v>
      </c>
      <c r="Q194" s="455">
        <v>46097</v>
      </c>
      <c r="U194" s="455">
        <v>46097</v>
      </c>
    </row>
    <row r="195" spans="1:21">
      <c r="A195" t="s">
        <v>1751</v>
      </c>
      <c r="B195" t="s">
        <v>4517</v>
      </c>
      <c r="C195" t="s">
        <v>1751</v>
      </c>
      <c r="D195">
        <v>20461181</v>
      </c>
      <c r="E195" t="s">
        <v>3133</v>
      </c>
      <c r="F195" t="s">
        <v>1782</v>
      </c>
      <c r="G195" t="s">
        <v>3129</v>
      </c>
      <c r="H195" t="s">
        <v>3131</v>
      </c>
      <c r="I195" t="s">
        <v>1537</v>
      </c>
      <c r="J195" s="455">
        <v>46084</v>
      </c>
      <c r="K195" s="455">
        <v>46086</v>
      </c>
      <c r="L195" s="455">
        <v>46086</v>
      </c>
      <c r="R195" s="455">
        <v>46091</v>
      </c>
      <c r="U195" s="455">
        <v>46094</v>
      </c>
    </row>
    <row r="196" spans="1:21">
      <c r="A196" t="s">
        <v>1751</v>
      </c>
      <c r="B196" t="s">
        <v>1955</v>
      </c>
      <c r="C196" t="s">
        <v>1751</v>
      </c>
      <c r="D196">
        <v>20473012</v>
      </c>
      <c r="E196" t="s">
        <v>1897</v>
      </c>
      <c r="F196" t="s">
        <v>1241</v>
      </c>
      <c r="G196" t="s">
        <v>3134</v>
      </c>
      <c r="H196" t="s">
        <v>1252</v>
      </c>
      <c r="I196" t="s">
        <v>1954</v>
      </c>
      <c r="J196" s="455">
        <v>46098</v>
      </c>
      <c r="K196" s="455">
        <v>46098</v>
      </c>
      <c r="U196" s="455">
        <v>46107</v>
      </c>
    </row>
    <row r="197" spans="1:21">
      <c r="A197" t="s">
        <v>1751</v>
      </c>
      <c r="B197" t="s">
        <v>1955</v>
      </c>
      <c r="C197" t="s">
        <v>1751</v>
      </c>
      <c r="D197">
        <v>20473014</v>
      </c>
      <c r="E197" t="s">
        <v>3133</v>
      </c>
      <c r="F197" t="s">
        <v>1239</v>
      </c>
      <c r="G197" t="s">
        <v>3134</v>
      </c>
      <c r="H197" t="s">
        <v>1247</v>
      </c>
      <c r="J197" s="455">
        <v>46098</v>
      </c>
      <c r="K197" s="455">
        <v>46098</v>
      </c>
      <c r="R197" s="455">
        <v>46100</v>
      </c>
      <c r="U197" s="455">
        <v>46098</v>
      </c>
    </row>
    <row r="198" spans="1:21">
      <c r="A198" t="s">
        <v>1751</v>
      </c>
      <c r="B198" t="s">
        <v>9206</v>
      </c>
      <c r="C198" t="s">
        <v>1751</v>
      </c>
      <c r="D198">
        <v>20472652</v>
      </c>
      <c r="E198" t="s">
        <v>3128</v>
      </c>
      <c r="F198" t="s">
        <v>1782</v>
      </c>
      <c r="G198" t="s">
        <v>3134</v>
      </c>
      <c r="H198" t="s">
        <v>1252</v>
      </c>
      <c r="J198" s="455">
        <v>46097</v>
      </c>
      <c r="U198" s="455">
        <v>46100</v>
      </c>
    </row>
    <row r="199" spans="1:21">
      <c r="A199" t="s">
        <v>1751</v>
      </c>
      <c r="B199" t="s">
        <v>8774</v>
      </c>
      <c r="C199" t="s">
        <v>1751</v>
      </c>
      <c r="D199">
        <v>20455525</v>
      </c>
      <c r="E199" t="s">
        <v>3133</v>
      </c>
      <c r="F199" t="s">
        <v>1237</v>
      </c>
      <c r="G199" t="s">
        <v>3134</v>
      </c>
      <c r="H199" t="s">
        <v>1247</v>
      </c>
      <c r="I199" t="s">
        <v>1230</v>
      </c>
      <c r="J199" s="455">
        <v>46076</v>
      </c>
      <c r="K199" s="455">
        <v>46076</v>
      </c>
      <c r="L199" s="455">
        <v>46076</v>
      </c>
      <c r="R199" s="455">
        <v>46083</v>
      </c>
      <c r="U199" s="455">
        <v>46084</v>
      </c>
    </row>
    <row r="200" spans="1:21">
      <c r="A200" t="s">
        <v>1751</v>
      </c>
      <c r="B200" t="s">
        <v>9207</v>
      </c>
      <c r="C200" t="s">
        <v>1751</v>
      </c>
      <c r="D200">
        <v>20476034</v>
      </c>
      <c r="E200" t="s">
        <v>3128</v>
      </c>
      <c r="F200" t="s">
        <v>1782</v>
      </c>
      <c r="G200" t="s">
        <v>3134</v>
      </c>
      <c r="H200" t="s">
        <v>1252</v>
      </c>
      <c r="J200" s="455">
        <v>46100</v>
      </c>
      <c r="U200" s="455">
        <v>46174</v>
      </c>
    </row>
    <row r="201" spans="1:21">
      <c r="A201" t="s">
        <v>1751</v>
      </c>
      <c r="B201" t="s">
        <v>9208</v>
      </c>
      <c r="C201" t="s">
        <v>1751</v>
      </c>
      <c r="D201">
        <v>20478845</v>
      </c>
      <c r="E201" t="s">
        <v>3128</v>
      </c>
      <c r="F201" t="s">
        <v>1782</v>
      </c>
      <c r="G201" t="s">
        <v>3134</v>
      </c>
      <c r="H201" t="s">
        <v>1252</v>
      </c>
      <c r="J201" s="455">
        <v>46105</v>
      </c>
      <c r="U201" s="455">
        <v>46174</v>
      </c>
    </row>
    <row r="202" spans="1:21">
      <c r="A202" t="s">
        <v>1751</v>
      </c>
      <c r="B202" t="s">
        <v>9209</v>
      </c>
      <c r="C202" t="s">
        <v>1751</v>
      </c>
      <c r="D202">
        <v>20472080</v>
      </c>
      <c r="E202" t="s">
        <v>1897</v>
      </c>
      <c r="F202" t="s">
        <v>1912</v>
      </c>
      <c r="G202" t="s">
        <v>3134</v>
      </c>
      <c r="H202" t="s">
        <v>1247</v>
      </c>
      <c r="J202" s="455">
        <v>46096</v>
      </c>
      <c r="K202" s="455">
        <v>46096</v>
      </c>
      <c r="U202" s="455">
        <v>46096</v>
      </c>
    </row>
    <row r="203" spans="1:21">
      <c r="A203" t="s">
        <v>1751</v>
      </c>
      <c r="B203" t="s">
        <v>9209</v>
      </c>
      <c r="C203" t="s">
        <v>1751</v>
      </c>
      <c r="D203">
        <v>20468659</v>
      </c>
      <c r="E203" t="s">
        <v>3133</v>
      </c>
      <c r="F203" t="s">
        <v>1799</v>
      </c>
      <c r="G203" t="s">
        <v>3134</v>
      </c>
      <c r="H203" t="s">
        <v>1247</v>
      </c>
      <c r="J203" s="455">
        <v>46092</v>
      </c>
      <c r="K203" s="455">
        <v>46092</v>
      </c>
      <c r="R203" s="455">
        <v>46093</v>
      </c>
      <c r="U203" s="455">
        <v>46092</v>
      </c>
    </row>
    <row r="204" spans="1:21">
      <c r="A204" t="s">
        <v>1751</v>
      </c>
      <c r="B204" t="s">
        <v>9210</v>
      </c>
      <c r="C204" t="s">
        <v>1751</v>
      </c>
      <c r="D204">
        <v>20468653</v>
      </c>
      <c r="E204" t="s">
        <v>3133</v>
      </c>
      <c r="F204" t="s">
        <v>1242</v>
      </c>
      <c r="G204" t="s">
        <v>3143</v>
      </c>
      <c r="H204" t="s">
        <v>1248</v>
      </c>
      <c r="I204" t="s">
        <v>1952</v>
      </c>
      <c r="J204" s="455">
        <v>46092</v>
      </c>
      <c r="K204" s="455">
        <v>46093</v>
      </c>
      <c r="L204" s="455">
        <v>46096</v>
      </c>
      <c r="R204" s="455">
        <v>46099</v>
      </c>
      <c r="U204" s="455">
        <v>46099</v>
      </c>
    </row>
    <row r="205" spans="1:21">
      <c r="A205" t="s">
        <v>1751</v>
      </c>
      <c r="B205" t="s">
        <v>9210</v>
      </c>
      <c r="C205" t="s">
        <v>1751</v>
      </c>
      <c r="D205">
        <v>20474271</v>
      </c>
      <c r="E205" t="s">
        <v>3190</v>
      </c>
      <c r="F205" t="s">
        <v>1799</v>
      </c>
      <c r="G205" t="s">
        <v>3134</v>
      </c>
      <c r="H205" t="s">
        <v>1248</v>
      </c>
      <c r="I205" t="s">
        <v>1952</v>
      </c>
      <c r="J205" s="455">
        <v>46099</v>
      </c>
      <c r="K205" s="455">
        <v>46099</v>
      </c>
      <c r="R205" s="455">
        <v>46100</v>
      </c>
      <c r="U205" s="455">
        <v>46099</v>
      </c>
    </row>
    <row r="206" spans="1:21">
      <c r="A206" t="s">
        <v>1751</v>
      </c>
      <c r="B206" t="s">
        <v>9211</v>
      </c>
      <c r="C206" t="s">
        <v>1751</v>
      </c>
      <c r="D206">
        <v>20482271</v>
      </c>
      <c r="E206" t="s">
        <v>3190</v>
      </c>
      <c r="F206" t="s">
        <v>1782</v>
      </c>
      <c r="G206" t="s">
        <v>3129</v>
      </c>
      <c r="H206" t="s">
        <v>3131</v>
      </c>
      <c r="J206" s="455">
        <v>46109</v>
      </c>
      <c r="R206" s="455">
        <v>46112</v>
      </c>
      <c r="U206" s="455">
        <v>46109</v>
      </c>
    </row>
    <row r="207" spans="1:21">
      <c r="A207" t="s">
        <v>1751</v>
      </c>
      <c r="B207" t="s">
        <v>9212</v>
      </c>
      <c r="C207" t="s">
        <v>1751</v>
      </c>
      <c r="D207">
        <v>20461408</v>
      </c>
      <c r="E207" t="s">
        <v>3190</v>
      </c>
      <c r="F207" t="s">
        <v>1237</v>
      </c>
      <c r="G207" t="s">
        <v>3129</v>
      </c>
      <c r="H207" t="s">
        <v>3131</v>
      </c>
      <c r="J207" s="455">
        <v>46084</v>
      </c>
      <c r="K207" s="455">
        <v>46090</v>
      </c>
      <c r="R207" s="455">
        <v>46095</v>
      </c>
      <c r="U207" s="455">
        <v>46101</v>
      </c>
    </row>
    <row r="208" spans="1:21">
      <c r="A208" t="s">
        <v>1751</v>
      </c>
      <c r="B208" t="s">
        <v>9212</v>
      </c>
      <c r="C208" t="s">
        <v>1751</v>
      </c>
      <c r="D208">
        <v>20465744</v>
      </c>
      <c r="E208" t="s">
        <v>3133</v>
      </c>
      <c r="F208" t="s">
        <v>1799</v>
      </c>
      <c r="G208" t="s">
        <v>3134</v>
      </c>
      <c r="H208" t="s">
        <v>1247</v>
      </c>
      <c r="I208" t="s">
        <v>1831</v>
      </c>
      <c r="J208" s="455">
        <v>46090</v>
      </c>
      <c r="K208" s="455">
        <v>46090</v>
      </c>
      <c r="L208" s="455">
        <v>46092</v>
      </c>
      <c r="M208" s="455">
        <v>46098</v>
      </c>
      <c r="R208" s="455">
        <v>46098</v>
      </c>
      <c r="U208" s="455">
        <v>46101</v>
      </c>
    </row>
    <row r="209" spans="1:21">
      <c r="A209" t="s">
        <v>1751</v>
      </c>
      <c r="B209" t="s">
        <v>9212</v>
      </c>
      <c r="C209" t="s">
        <v>1751</v>
      </c>
      <c r="D209">
        <v>20465743</v>
      </c>
      <c r="E209" t="s">
        <v>3133</v>
      </c>
      <c r="F209" t="s">
        <v>1912</v>
      </c>
      <c r="G209" t="s">
        <v>3134</v>
      </c>
      <c r="H209" t="s">
        <v>1247</v>
      </c>
      <c r="J209" s="455">
        <v>46090</v>
      </c>
      <c r="K209" s="455">
        <v>46090</v>
      </c>
      <c r="R209" s="455">
        <v>46091</v>
      </c>
      <c r="U209" s="455">
        <v>46090</v>
      </c>
    </row>
    <row r="210" spans="1:21">
      <c r="A210" t="s">
        <v>1751</v>
      </c>
      <c r="B210" t="s">
        <v>1946</v>
      </c>
      <c r="C210" t="s">
        <v>1751</v>
      </c>
      <c r="D210">
        <v>20470630</v>
      </c>
      <c r="E210" t="s">
        <v>1897</v>
      </c>
      <c r="F210" t="s">
        <v>1241</v>
      </c>
      <c r="G210" t="s">
        <v>3134</v>
      </c>
      <c r="H210" t="s">
        <v>1250</v>
      </c>
      <c r="I210" t="s">
        <v>1945</v>
      </c>
      <c r="J210" s="455">
        <v>46094</v>
      </c>
      <c r="K210" s="455">
        <v>46094</v>
      </c>
      <c r="U210" s="455">
        <v>46112</v>
      </c>
    </row>
    <row r="211" spans="1:21">
      <c r="A211" t="s">
        <v>1751</v>
      </c>
      <c r="B211" t="s">
        <v>8779</v>
      </c>
      <c r="C211" t="s">
        <v>1751</v>
      </c>
      <c r="D211">
        <v>20459588</v>
      </c>
      <c r="E211" t="s">
        <v>3133</v>
      </c>
      <c r="F211" t="s">
        <v>1243</v>
      </c>
      <c r="G211" t="s">
        <v>3134</v>
      </c>
      <c r="H211" t="s">
        <v>1247</v>
      </c>
      <c r="I211" t="s">
        <v>5773</v>
      </c>
      <c r="J211" s="455">
        <v>46081</v>
      </c>
      <c r="K211" s="455">
        <v>46081</v>
      </c>
      <c r="L211" s="455">
        <v>46085</v>
      </c>
      <c r="R211" s="455">
        <v>46092</v>
      </c>
      <c r="U211" s="455">
        <v>46095</v>
      </c>
    </row>
    <row r="212" spans="1:21">
      <c r="A212" t="s">
        <v>1751</v>
      </c>
      <c r="B212" t="s">
        <v>9213</v>
      </c>
      <c r="C212" t="s">
        <v>1751</v>
      </c>
      <c r="D212">
        <v>20460334</v>
      </c>
      <c r="E212" t="s">
        <v>3133</v>
      </c>
      <c r="F212" t="s">
        <v>1243</v>
      </c>
      <c r="G212" t="s">
        <v>3134</v>
      </c>
      <c r="H212" t="s">
        <v>1250</v>
      </c>
      <c r="I212" t="s">
        <v>3179</v>
      </c>
      <c r="J212" s="455">
        <v>46083</v>
      </c>
      <c r="K212" s="455">
        <v>46083</v>
      </c>
      <c r="L212" s="455">
        <v>46083</v>
      </c>
      <c r="R212" s="455">
        <v>46089</v>
      </c>
      <c r="U212" s="455">
        <v>46091</v>
      </c>
    </row>
    <row r="213" spans="1:21">
      <c r="A213" t="s">
        <v>1751</v>
      </c>
      <c r="B213" t="s">
        <v>1817</v>
      </c>
      <c r="C213" t="s">
        <v>1751</v>
      </c>
      <c r="D213">
        <v>20471783</v>
      </c>
      <c r="E213" t="s">
        <v>3133</v>
      </c>
      <c r="F213" t="s">
        <v>1237</v>
      </c>
      <c r="G213" t="s">
        <v>3134</v>
      </c>
      <c r="H213" t="s">
        <v>1247</v>
      </c>
      <c r="I213" t="s">
        <v>1546</v>
      </c>
      <c r="J213" s="455">
        <v>46096</v>
      </c>
      <c r="K213" s="455">
        <v>46096</v>
      </c>
      <c r="L213" s="455">
        <v>46096</v>
      </c>
      <c r="R213" s="455">
        <v>46107</v>
      </c>
      <c r="U213" s="455">
        <v>46108</v>
      </c>
    </row>
    <row r="214" spans="1:21">
      <c r="A214" t="s">
        <v>1751</v>
      </c>
      <c r="B214" t="s">
        <v>9214</v>
      </c>
      <c r="C214" t="s">
        <v>1751</v>
      </c>
      <c r="D214">
        <v>20484035</v>
      </c>
      <c r="E214" t="s">
        <v>3128</v>
      </c>
      <c r="F214" t="s">
        <v>1241</v>
      </c>
      <c r="G214" t="s">
        <v>3137</v>
      </c>
      <c r="H214" t="s">
        <v>1940</v>
      </c>
      <c r="J214" s="455">
        <v>46112</v>
      </c>
      <c r="U214" s="455">
        <v>46112</v>
      </c>
    </row>
    <row r="215" spans="1:21">
      <c r="A215" t="s">
        <v>1751</v>
      </c>
      <c r="B215" t="s">
        <v>9215</v>
      </c>
      <c r="C215" t="s">
        <v>1751</v>
      </c>
      <c r="D215">
        <v>20481392</v>
      </c>
      <c r="E215" t="s">
        <v>3128</v>
      </c>
      <c r="F215" t="s">
        <v>1782</v>
      </c>
      <c r="G215" t="s">
        <v>3134</v>
      </c>
      <c r="H215" t="s">
        <v>1252</v>
      </c>
      <c r="J215" s="455">
        <v>46108</v>
      </c>
      <c r="U215" s="455">
        <v>46113</v>
      </c>
    </row>
    <row r="216" spans="1:21">
      <c r="A216" t="s">
        <v>1751</v>
      </c>
      <c r="B216" t="s">
        <v>9216</v>
      </c>
      <c r="C216" t="s">
        <v>1751</v>
      </c>
      <c r="D216">
        <v>20472400</v>
      </c>
      <c r="E216" t="s">
        <v>3128</v>
      </c>
      <c r="F216" t="s">
        <v>1241</v>
      </c>
      <c r="G216" t="s">
        <v>3143</v>
      </c>
      <c r="H216" t="s">
        <v>1248</v>
      </c>
      <c r="I216" t="s">
        <v>1952</v>
      </c>
      <c r="J216" s="455">
        <v>46097</v>
      </c>
      <c r="U216" s="455">
        <v>46203</v>
      </c>
    </row>
    <row r="217" spans="1:21">
      <c r="A217" t="s">
        <v>1751</v>
      </c>
      <c r="B217" t="s">
        <v>8782</v>
      </c>
      <c r="C217" t="s">
        <v>1751</v>
      </c>
      <c r="D217">
        <v>20444302</v>
      </c>
      <c r="E217" t="s">
        <v>3133</v>
      </c>
      <c r="F217" t="s">
        <v>1912</v>
      </c>
      <c r="G217" t="s">
        <v>3134</v>
      </c>
      <c r="H217" t="s">
        <v>1247</v>
      </c>
      <c r="I217" t="s">
        <v>1557</v>
      </c>
      <c r="J217" s="455">
        <v>46063</v>
      </c>
      <c r="K217" s="455">
        <v>46063</v>
      </c>
      <c r="L217" s="455">
        <v>46063</v>
      </c>
      <c r="R217" s="455">
        <v>46085</v>
      </c>
      <c r="U217" s="455">
        <v>46126</v>
      </c>
    </row>
    <row r="218" spans="1:21">
      <c r="A218" t="s">
        <v>1751</v>
      </c>
      <c r="B218" t="s">
        <v>8782</v>
      </c>
      <c r="C218" t="s">
        <v>1751</v>
      </c>
      <c r="D218">
        <v>20444029</v>
      </c>
      <c r="E218" t="s">
        <v>1907</v>
      </c>
      <c r="F218" t="s">
        <v>1239</v>
      </c>
      <c r="G218" t="s">
        <v>3141</v>
      </c>
      <c r="H218" t="s">
        <v>1247</v>
      </c>
      <c r="I218" t="s">
        <v>3288</v>
      </c>
      <c r="J218" s="455">
        <v>46062</v>
      </c>
      <c r="K218" s="455">
        <v>46064</v>
      </c>
      <c r="L218" s="455">
        <v>46065</v>
      </c>
      <c r="M218" s="455">
        <v>46098</v>
      </c>
      <c r="N218" s="455">
        <v>46098</v>
      </c>
      <c r="O218" s="455">
        <v>46098</v>
      </c>
      <c r="P218" s="455">
        <v>46098</v>
      </c>
      <c r="Q218" s="455">
        <v>46098</v>
      </c>
      <c r="U218" s="455">
        <v>46116</v>
      </c>
    </row>
    <row r="219" spans="1:21">
      <c r="A219" t="s">
        <v>1751</v>
      </c>
      <c r="B219" t="s">
        <v>4536</v>
      </c>
      <c r="C219" t="s">
        <v>1751</v>
      </c>
      <c r="D219">
        <v>20481785</v>
      </c>
      <c r="E219" t="s">
        <v>3128</v>
      </c>
      <c r="F219" t="s">
        <v>1782</v>
      </c>
      <c r="G219" t="s">
        <v>3134</v>
      </c>
      <c r="H219" t="s">
        <v>1252</v>
      </c>
      <c r="J219" s="455">
        <v>46108</v>
      </c>
      <c r="U219" s="455">
        <v>46169</v>
      </c>
    </row>
    <row r="220" spans="1:21">
      <c r="A220" t="s">
        <v>1751</v>
      </c>
      <c r="B220" t="s">
        <v>9217</v>
      </c>
      <c r="C220" t="s">
        <v>1751</v>
      </c>
      <c r="D220">
        <v>20478291</v>
      </c>
      <c r="E220" t="s">
        <v>3128</v>
      </c>
      <c r="F220" t="s">
        <v>1782</v>
      </c>
      <c r="G220" t="s">
        <v>3129</v>
      </c>
      <c r="H220" t="s">
        <v>3131</v>
      </c>
      <c r="I220" t="s">
        <v>1952</v>
      </c>
      <c r="J220" s="455">
        <v>46104</v>
      </c>
      <c r="U220" s="455">
        <v>46204</v>
      </c>
    </row>
    <row r="221" spans="1:21">
      <c r="A221" t="s">
        <v>1751</v>
      </c>
      <c r="B221" t="s">
        <v>1970</v>
      </c>
      <c r="C221" t="s">
        <v>1751</v>
      </c>
      <c r="D221">
        <v>20478380</v>
      </c>
      <c r="E221" t="s">
        <v>1897</v>
      </c>
      <c r="F221" t="s">
        <v>1241</v>
      </c>
      <c r="G221" t="s">
        <v>3143</v>
      </c>
      <c r="H221" t="s">
        <v>1252</v>
      </c>
      <c r="I221" t="s">
        <v>1969</v>
      </c>
      <c r="J221" s="455">
        <v>46104</v>
      </c>
      <c r="K221" s="455">
        <v>46104</v>
      </c>
      <c r="U221" s="455">
        <v>46164</v>
      </c>
    </row>
    <row r="222" spans="1:21">
      <c r="A222" t="s">
        <v>1751</v>
      </c>
      <c r="B222" t="s">
        <v>1953</v>
      </c>
      <c r="C222" t="s">
        <v>1751</v>
      </c>
      <c r="D222">
        <v>20472349</v>
      </c>
      <c r="E222" t="s">
        <v>1907</v>
      </c>
      <c r="F222" t="s">
        <v>1799</v>
      </c>
      <c r="G222" t="s">
        <v>3143</v>
      </c>
      <c r="H222" t="s">
        <v>1252</v>
      </c>
      <c r="I222" t="s">
        <v>1965</v>
      </c>
      <c r="J222" s="455">
        <v>46097</v>
      </c>
      <c r="K222" s="455">
        <v>46104</v>
      </c>
      <c r="L222" s="455">
        <v>46110</v>
      </c>
      <c r="U222" s="455">
        <v>46113</v>
      </c>
    </row>
    <row r="223" spans="1:21">
      <c r="A223" t="s">
        <v>1751</v>
      </c>
      <c r="B223" t="s">
        <v>1953</v>
      </c>
      <c r="C223" t="s">
        <v>1751</v>
      </c>
      <c r="D223">
        <v>20472727</v>
      </c>
      <c r="E223" t="s">
        <v>3133</v>
      </c>
      <c r="F223" t="s">
        <v>1799</v>
      </c>
      <c r="G223" t="s">
        <v>3134</v>
      </c>
      <c r="H223" t="s">
        <v>1247</v>
      </c>
      <c r="I223" t="s">
        <v>1938</v>
      </c>
      <c r="J223" s="455">
        <v>46097</v>
      </c>
      <c r="K223" s="455">
        <v>46097</v>
      </c>
      <c r="R223" s="455">
        <v>46104</v>
      </c>
      <c r="U223" s="455">
        <v>46097</v>
      </c>
    </row>
    <row r="224" spans="1:21">
      <c r="A224" t="s">
        <v>1751</v>
      </c>
      <c r="B224" t="s">
        <v>9218</v>
      </c>
      <c r="C224" t="s">
        <v>1751</v>
      </c>
      <c r="D224">
        <v>20473515</v>
      </c>
      <c r="E224" t="s">
        <v>3190</v>
      </c>
      <c r="F224" t="s">
        <v>1782</v>
      </c>
      <c r="G224" t="s">
        <v>3134</v>
      </c>
      <c r="H224" t="s">
        <v>1252</v>
      </c>
      <c r="J224" s="455">
        <v>46098</v>
      </c>
      <c r="R224" s="455">
        <v>46099</v>
      </c>
      <c r="U224" s="455">
        <v>46105</v>
      </c>
    </row>
    <row r="225" spans="1:21">
      <c r="A225" t="s">
        <v>1751</v>
      </c>
      <c r="B225" t="s">
        <v>9219</v>
      </c>
      <c r="C225" t="s">
        <v>1751</v>
      </c>
      <c r="D225">
        <v>20462211</v>
      </c>
      <c r="E225" t="s">
        <v>3128</v>
      </c>
      <c r="F225" t="s">
        <v>1237</v>
      </c>
      <c r="G225" t="s">
        <v>2009</v>
      </c>
      <c r="H225" t="s">
        <v>1251</v>
      </c>
      <c r="J225" s="455">
        <v>46085</v>
      </c>
      <c r="U225" s="455">
        <v>46085</v>
      </c>
    </row>
    <row r="226" spans="1:21">
      <c r="A226" t="s">
        <v>1751</v>
      </c>
      <c r="B226" t="s">
        <v>9220</v>
      </c>
      <c r="C226" t="s">
        <v>1751</v>
      </c>
      <c r="D226">
        <v>20460751</v>
      </c>
      <c r="E226" t="s">
        <v>3128</v>
      </c>
      <c r="F226" t="s">
        <v>1241</v>
      </c>
      <c r="G226" t="s">
        <v>3129</v>
      </c>
      <c r="H226" t="s">
        <v>1252</v>
      </c>
      <c r="J226" s="455">
        <v>46083</v>
      </c>
      <c r="U226" s="455">
        <v>46083</v>
      </c>
    </row>
    <row r="227" spans="1:21">
      <c r="A227" t="s">
        <v>1751</v>
      </c>
      <c r="B227" t="s">
        <v>7109</v>
      </c>
      <c r="C227" t="s">
        <v>1751</v>
      </c>
      <c r="D227">
        <v>20471078</v>
      </c>
      <c r="E227" t="s">
        <v>3133</v>
      </c>
      <c r="F227" t="s">
        <v>1238</v>
      </c>
      <c r="G227" t="s">
        <v>2009</v>
      </c>
      <c r="H227" t="s">
        <v>1247</v>
      </c>
      <c r="I227" t="s">
        <v>1791</v>
      </c>
      <c r="J227" s="455">
        <v>46094</v>
      </c>
      <c r="K227" s="455">
        <v>46094</v>
      </c>
      <c r="L227" s="455">
        <v>46094</v>
      </c>
      <c r="R227" s="455">
        <v>46099</v>
      </c>
      <c r="U227" s="455">
        <v>46097</v>
      </c>
    </row>
    <row r="228" spans="1:21">
      <c r="A228" t="s">
        <v>1751</v>
      </c>
      <c r="B228" t="s">
        <v>7109</v>
      </c>
      <c r="C228" t="s">
        <v>1751</v>
      </c>
      <c r="D228">
        <v>20472844</v>
      </c>
      <c r="E228" t="s">
        <v>3142</v>
      </c>
      <c r="F228" t="s">
        <v>1238</v>
      </c>
      <c r="G228" t="s">
        <v>3143</v>
      </c>
      <c r="H228" t="s">
        <v>1252</v>
      </c>
      <c r="I228" t="s">
        <v>1791</v>
      </c>
      <c r="J228" s="455">
        <v>46066</v>
      </c>
      <c r="K228" s="455">
        <v>46097</v>
      </c>
      <c r="L228" s="455">
        <v>46105</v>
      </c>
      <c r="M228" s="455">
        <v>46106</v>
      </c>
      <c r="N228" s="455">
        <v>46106</v>
      </c>
      <c r="O228" s="455">
        <v>46106</v>
      </c>
      <c r="P228" s="455">
        <v>46106</v>
      </c>
      <c r="Q228" s="455">
        <v>46106</v>
      </c>
      <c r="U228" s="455">
        <v>46106</v>
      </c>
    </row>
    <row r="229" spans="1:21">
      <c r="A229" t="s">
        <v>1751</v>
      </c>
      <c r="B229" t="s">
        <v>7109</v>
      </c>
      <c r="C229" t="s">
        <v>1751</v>
      </c>
      <c r="D229">
        <v>20448431</v>
      </c>
      <c r="E229" t="s">
        <v>1897</v>
      </c>
      <c r="F229" t="s">
        <v>1241</v>
      </c>
      <c r="G229" t="s">
        <v>3134</v>
      </c>
      <c r="H229" t="s">
        <v>1252</v>
      </c>
      <c r="I229" t="s">
        <v>1780</v>
      </c>
      <c r="J229" s="455">
        <v>46066</v>
      </c>
      <c r="K229" s="455">
        <v>46066</v>
      </c>
      <c r="T229" s="455">
        <v>46087</v>
      </c>
      <c r="U229" s="455">
        <v>46066</v>
      </c>
    </row>
    <row r="230" spans="1:21">
      <c r="A230" t="s">
        <v>1751</v>
      </c>
      <c r="B230" t="s">
        <v>8784</v>
      </c>
      <c r="C230" t="s">
        <v>1751</v>
      </c>
      <c r="D230">
        <v>20462896</v>
      </c>
      <c r="E230" t="s">
        <v>3133</v>
      </c>
      <c r="F230" t="s">
        <v>1912</v>
      </c>
      <c r="G230" t="s">
        <v>3134</v>
      </c>
      <c r="H230" t="s">
        <v>1247</v>
      </c>
      <c r="I230" t="s">
        <v>1941</v>
      </c>
      <c r="J230" s="455">
        <v>46086</v>
      </c>
      <c r="K230" s="455">
        <v>46086</v>
      </c>
      <c r="R230" s="455">
        <v>46090</v>
      </c>
      <c r="U230" s="455">
        <v>46086</v>
      </c>
    </row>
    <row r="231" spans="1:21">
      <c r="A231" t="s">
        <v>1751</v>
      </c>
      <c r="B231" t="s">
        <v>8784</v>
      </c>
      <c r="C231" t="s">
        <v>1751</v>
      </c>
      <c r="D231">
        <v>20462907</v>
      </c>
      <c r="E231" t="s">
        <v>3133</v>
      </c>
      <c r="F231" t="s">
        <v>1243</v>
      </c>
      <c r="G231" t="s">
        <v>3134</v>
      </c>
      <c r="H231" t="s">
        <v>1247</v>
      </c>
      <c r="I231" t="s">
        <v>1827</v>
      </c>
      <c r="J231" s="455">
        <v>46086</v>
      </c>
      <c r="K231" s="455">
        <v>46086</v>
      </c>
      <c r="L231" s="455">
        <v>46087</v>
      </c>
      <c r="R231" s="455">
        <v>46100</v>
      </c>
      <c r="U231" s="455">
        <v>46099</v>
      </c>
    </row>
    <row r="232" spans="1:21">
      <c r="A232" t="s">
        <v>1751</v>
      </c>
      <c r="B232" t="s">
        <v>6544</v>
      </c>
      <c r="C232" t="s">
        <v>1751</v>
      </c>
      <c r="D232">
        <v>20461090</v>
      </c>
      <c r="E232" t="s">
        <v>1897</v>
      </c>
      <c r="F232" t="s">
        <v>1241</v>
      </c>
      <c r="G232" t="s">
        <v>3134</v>
      </c>
      <c r="H232" t="s">
        <v>1247</v>
      </c>
      <c r="J232" s="455">
        <v>46084</v>
      </c>
      <c r="K232" s="455">
        <v>46084</v>
      </c>
      <c r="U232" s="455">
        <v>46084</v>
      </c>
    </row>
    <row r="233" spans="1:21">
      <c r="A233" t="s">
        <v>1751</v>
      </c>
      <c r="B233" t="s">
        <v>7134</v>
      </c>
      <c r="C233" t="s">
        <v>1751</v>
      </c>
      <c r="D233">
        <v>20447882</v>
      </c>
      <c r="E233" t="s">
        <v>3142</v>
      </c>
      <c r="F233" t="s">
        <v>1237</v>
      </c>
      <c r="G233" t="s">
        <v>3137</v>
      </c>
      <c r="H233" t="s">
        <v>1247</v>
      </c>
      <c r="I233" t="s">
        <v>7133</v>
      </c>
      <c r="J233" s="455">
        <v>46065</v>
      </c>
      <c r="K233" s="455">
        <v>46075</v>
      </c>
      <c r="L233" s="455">
        <v>46075</v>
      </c>
      <c r="M233" s="455">
        <v>46084</v>
      </c>
      <c r="N233" s="455">
        <v>46085</v>
      </c>
      <c r="P233" s="455">
        <v>46091</v>
      </c>
      <c r="Q233" s="455">
        <v>46091</v>
      </c>
      <c r="U233" s="455">
        <v>46094</v>
      </c>
    </row>
    <row r="234" spans="1:21">
      <c r="A234" t="s">
        <v>1751</v>
      </c>
      <c r="B234" t="s">
        <v>9221</v>
      </c>
      <c r="C234" t="s">
        <v>1751</v>
      </c>
      <c r="D234">
        <v>20460526</v>
      </c>
      <c r="E234" t="s">
        <v>3128</v>
      </c>
      <c r="F234" t="s">
        <v>1782</v>
      </c>
      <c r="G234" t="s">
        <v>3141</v>
      </c>
      <c r="H234" t="s">
        <v>1247</v>
      </c>
      <c r="J234" s="455">
        <v>46083</v>
      </c>
      <c r="U234" s="455">
        <v>46116</v>
      </c>
    </row>
    <row r="235" spans="1:21">
      <c r="A235" t="s">
        <v>1751</v>
      </c>
      <c r="B235" t="s">
        <v>1914</v>
      </c>
      <c r="C235" t="s">
        <v>1751</v>
      </c>
      <c r="D235">
        <v>20449577</v>
      </c>
      <c r="E235" t="s">
        <v>3190</v>
      </c>
      <c r="F235" t="s">
        <v>1799</v>
      </c>
      <c r="G235" t="s">
        <v>3134</v>
      </c>
      <c r="H235" t="s">
        <v>1247</v>
      </c>
      <c r="I235" t="s">
        <v>1913</v>
      </c>
      <c r="J235" s="455">
        <v>46068</v>
      </c>
      <c r="K235" s="455">
        <v>46068</v>
      </c>
      <c r="R235" s="455">
        <v>46085</v>
      </c>
      <c r="U235" s="455">
        <v>46069</v>
      </c>
    </row>
    <row r="236" spans="1:21">
      <c r="A236" t="s">
        <v>1751</v>
      </c>
      <c r="B236" t="s">
        <v>9222</v>
      </c>
      <c r="C236" t="s">
        <v>1751</v>
      </c>
      <c r="D236">
        <v>20479316</v>
      </c>
      <c r="E236" t="s">
        <v>3128</v>
      </c>
      <c r="F236" t="s">
        <v>1782</v>
      </c>
      <c r="G236" t="s">
        <v>3134</v>
      </c>
      <c r="H236" t="s">
        <v>1252</v>
      </c>
      <c r="J236" s="455">
        <v>46105</v>
      </c>
      <c r="U236" s="455">
        <v>46113</v>
      </c>
    </row>
    <row r="237" spans="1:21">
      <c r="A237" t="s">
        <v>1751</v>
      </c>
      <c r="B237" t="s">
        <v>3567</v>
      </c>
      <c r="C237" t="s">
        <v>1751</v>
      </c>
      <c r="D237">
        <v>20479935</v>
      </c>
      <c r="E237" t="s">
        <v>1897</v>
      </c>
      <c r="F237" t="s">
        <v>1241</v>
      </c>
      <c r="G237" t="s">
        <v>3134</v>
      </c>
      <c r="H237" t="s">
        <v>1247</v>
      </c>
      <c r="I237" t="s">
        <v>1559</v>
      </c>
      <c r="J237" s="455">
        <v>46106</v>
      </c>
      <c r="K237" s="455">
        <v>46106</v>
      </c>
      <c r="U237" s="455">
        <v>46106</v>
      </c>
    </row>
    <row r="238" spans="1:21">
      <c r="A238" t="s">
        <v>1751</v>
      </c>
      <c r="B238" t="s">
        <v>9223</v>
      </c>
      <c r="C238" t="s">
        <v>1751</v>
      </c>
      <c r="D238">
        <v>20480495</v>
      </c>
      <c r="E238" t="s">
        <v>3128</v>
      </c>
      <c r="F238" t="s">
        <v>1237</v>
      </c>
      <c r="G238" t="s">
        <v>3134</v>
      </c>
      <c r="H238" t="s">
        <v>1252</v>
      </c>
      <c r="I238" t="s">
        <v>1831</v>
      </c>
      <c r="J238" s="455">
        <v>46107</v>
      </c>
      <c r="U238" s="455">
        <v>46447</v>
      </c>
    </row>
    <row r="239" spans="1:21">
      <c r="A239" t="s">
        <v>1751</v>
      </c>
      <c r="B239" t="s">
        <v>9224</v>
      </c>
      <c r="C239" t="s">
        <v>1751</v>
      </c>
      <c r="D239">
        <v>20476234</v>
      </c>
      <c r="E239" t="s">
        <v>3128</v>
      </c>
      <c r="F239" t="s">
        <v>1799</v>
      </c>
      <c r="G239" t="s">
        <v>3129</v>
      </c>
      <c r="H239" t="s">
        <v>3131</v>
      </c>
      <c r="J239" s="455">
        <v>46100</v>
      </c>
      <c r="U239" s="455">
        <v>46116</v>
      </c>
    </row>
    <row r="240" spans="1:21">
      <c r="A240" t="s">
        <v>1751</v>
      </c>
      <c r="B240" t="s">
        <v>9225</v>
      </c>
      <c r="C240" t="s">
        <v>1751</v>
      </c>
      <c r="D240">
        <v>20480409</v>
      </c>
      <c r="E240" t="s">
        <v>3128</v>
      </c>
      <c r="F240" t="s">
        <v>1241</v>
      </c>
      <c r="G240" t="s">
        <v>3134</v>
      </c>
      <c r="H240" t="s">
        <v>1252</v>
      </c>
      <c r="J240" s="455">
        <v>46107</v>
      </c>
      <c r="U240" s="455">
        <v>46108</v>
      </c>
    </row>
    <row r="241" spans="1:21">
      <c r="A241" t="s">
        <v>1751</v>
      </c>
      <c r="B241" t="s">
        <v>9226</v>
      </c>
      <c r="C241" t="s">
        <v>1751</v>
      </c>
      <c r="D241">
        <v>20478793</v>
      </c>
      <c r="E241" t="s">
        <v>3128</v>
      </c>
      <c r="F241" t="s">
        <v>1782</v>
      </c>
      <c r="G241" t="s">
        <v>3134</v>
      </c>
      <c r="H241" t="s">
        <v>1252</v>
      </c>
      <c r="J241" s="455">
        <v>46105</v>
      </c>
      <c r="U241" s="455">
        <v>46113</v>
      </c>
    </row>
    <row r="242" spans="1:21">
      <c r="A242" t="s">
        <v>1751</v>
      </c>
      <c r="B242" t="s">
        <v>9227</v>
      </c>
      <c r="C242" t="s">
        <v>1751</v>
      </c>
      <c r="D242">
        <v>20472068</v>
      </c>
      <c r="E242" t="s">
        <v>3128</v>
      </c>
      <c r="F242" t="s">
        <v>1241</v>
      </c>
      <c r="G242" t="s">
        <v>3141</v>
      </c>
      <c r="H242" t="s">
        <v>1247</v>
      </c>
      <c r="J242" s="455">
        <v>46096</v>
      </c>
      <c r="U242" s="455">
        <v>46113</v>
      </c>
    </row>
    <row r="243" spans="1:21">
      <c r="A243" t="s">
        <v>1751</v>
      </c>
      <c r="B243" t="s">
        <v>9228</v>
      </c>
      <c r="C243" t="s">
        <v>1751</v>
      </c>
      <c r="D243">
        <v>20479321</v>
      </c>
      <c r="E243" t="s">
        <v>3128</v>
      </c>
      <c r="F243" t="s">
        <v>1241</v>
      </c>
      <c r="G243" t="s">
        <v>3141</v>
      </c>
      <c r="H243" t="s">
        <v>1248</v>
      </c>
      <c r="J243" s="455">
        <v>46105</v>
      </c>
      <c r="U243" s="455">
        <v>46105</v>
      </c>
    </row>
    <row r="244" spans="1:21">
      <c r="A244" t="s">
        <v>1751</v>
      </c>
      <c r="B244" t="s">
        <v>3573</v>
      </c>
      <c r="C244" t="s">
        <v>1751</v>
      </c>
      <c r="D244">
        <v>20461497</v>
      </c>
      <c r="E244" t="s">
        <v>3128</v>
      </c>
      <c r="F244" t="s">
        <v>1782</v>
      </c>
      <c r="G244" t="s">
        <v>3141</v>
      </c>
      <c r="H244" t="s">
        <v>1248</v>
      </c>
      <c r="J244" s="455">
        <v>46084</v>
      </c>
      <c r="U244" s="455">
        <v>46115</v>
      </c>
    </row>
    <row r="245" spans="1:21">
      <c r="A245" t="s">
        <v>1751</v>
      </c>
      <c r="B245" t="s">
        <v>4561</v>
      </c>
      <c r="C245" t="s">
        <v>1751</v>
      </c>
      <c r="D245">
        <v>20480119</v>
      </c>
      <c r="E245" t="s">
        <v>3128</v>
      </c>
      <c r="F245" t="s">
        <v>1782</v>
      </c>
      <c r="G245" t="s">
        <v>3134</v>
      </c>
      <c r="H245" t="s">
        <v>1252</v>
      </c>
      <c r="J245" s="455">
        <v>46106</v>
      </c>
      <c r="U245" s="455">
        <v>46143</v>
      </c>
    </row>
    <row r="246" spans="1:21">
      <c r="A246" t="s">
        <v>1751</v>
      </c>
      <c r="B246" t="s">
        <v>3581</v>
      </c>
      <c r="C246" t="s">
        <v>1751</v>
      </c>
      <c r="D246">
        <v>20484587</v>
      </c>
      <c r="E246" t="s">
        <v>1897</v>
      </c>
      <c r="F246" t="s">
        <v>1912</v>
      </c>
      <c r="G246" t="s">
        <v>3134</v>
      </c>
      <c r="H246" t="s">
        <v>1247</v>
      </c>
      <c r="I246" t="s">
        <v>3582</v>
      </c>
      <c r="J246" s="455">
        <v>46112</v>
      </c>
      <c r="K246" s="455">
        <v>46112</v>
      </c>
      <c r="U246" s="455">
        <v>46118</v>
      </c>
    </row>
    <row r="247" spans="1:21">
      <c r="A247" t="s">
        <v>1751</v>
      </c>
      <c r="B247" t="s">
        <v>9229</v>
      </c>
      <c r="C247" t="s">
        <v>1751</v>
      </c>
      <c r="D247">
        <v>20465460</v>
      </c>
      <c r="E247" t="s">
        <v>3128</v>
      </c>
      <c r="F247" t="s">
        <v>1241</v>
      </c>
      <c r="G247" t="s">
        <v>3129</v>
      </c>
      <c r="H247" t="s">
        <v>1252</v>
      </c>
      <c r="J247" s="455">
        <v>46090</v>
      </c>
      <c r="U247" s="455">
        <v>46090</v>
      </c>
    </row>
    <row r="248" spans="1:21">
      <c r="A248" t="s">
        <v>1751</v>
      </c>
      <c r="B248" t="s">
        <v>1148</v>
      </c>
      <c r="C248" t="s">
        <v>1751</v>
      </c>
      <c r="D248">
        <v>20448080</v>
      </c>
      <c r="E248" t="s">
        <v>3142</v>
      </c>
      <c r="F248" t="s">
        <v>1238</v>
      </c>
      <c r="G248" t="s">
        <v>3141</v>
      </c>
      <c r="H248" t="s">
        <v>1251</v>
      </c>
      <c r="I248" t="s">
        <v>1225</v>
      </c>
      <c r="J248" s="455">
        <v>46065</v>
      </c>
      <c r="K248" s="455">
        <v>46069</v>
      </c>
      <c r="L248" s="455">
        <v>46069</v>
      </c>
      <c r="M248" s="455">
        <v>46087</v>
      </c>
      <c r="N248" s="455">
        <v>46087</v>
      </c>
      <c r="P248" s="455">
        <v>46087</v>
      </c>
      <c r="Q248" s="455">
        <v>46087</v>
      </c>
      <c r="U248" s="455">
        <v>46087</v>
      </c>
    </row>
    <row r="249" spans="1:21">
      <c r="A249" t="s">
        <v>1751</v>
      </c>
      <c r="B249" t="s">
        <v>9230</v>
      </c>
      <c r="C249" t="s">
        <v>1751</v>
      </c>
      <c r="D249">
        <v>20482315</v>
      </c>
      <c r="E249" t="s">
        <v>1897</v>
      </c>
      <c r="F249" t="s">
        <v>1912</v>
      </c>
      <c r="G249" t="s">
        <v>3134</v>
      </c>
      <c r="H249" t="s">
        <v>1247</v>
      </c>
      <c r="I249" t="s">
        <v>3055</v>
      </c>
      <c r="J249" s="455">
        <v>46109</v>
      </c>
      <c r="K249" s="455">
        <v>46109</v>
      </c>
      <c r="U249" s="455">
        <v>46109</v>
      </c>
    </row>
    <row r="250" spans="1:21">
      <c r="A250" t="s">
        <v>1751</v>
      </c>
      <c r="B250" t="s">
        <v>7185</v>
      </c>
      <c r="C250" t="s">
        <v>1751</v>
      </c>
      <c r="D250">
        <v>20448762</v>
      </c>
      <c r="E250" t="s">
        <v>3190</v>
      </c>
      <c r="F250" t="s">
        <v>1241</v>
      </c>
      <c r="G250" t="s">
        <v>3134</v>
      </c>
      <c r="H250" t="s">
        <v>1250</v>
      </c>
      <c r="I250" t="s">
        <v>1950</v>
      </c>
      <c r="J250" s="455">
        <v>46066</v>
      </c>
      <c r="K250" s="455">
        <v>46066</v>
      </c>
      <c r="R250" s="455">
        <v>46085</v>
      </c>
      <c r="U250" s="455">
        <v>46083</v>
      </c>
    </row>
    <row r="251" spans="1:21">
      <c r="A251" t="s">
        <v>1751</v>
      </c>
      <c r="B251" t="s">
        <v>7185</v>
      </c>
      <c r="C251" t="s">
        <v>1751</v>
      </c>
      <c r="D251">
        <v>20463894</v>
      </c>
      <c r="E251" t="s">
        <v>3190</v>
      </c>
      <c r="F251" t="s">
        <v>1241</v>
      </c>
      <c r="G251" t="s">
        <v>2009</v>
      </c>
      <c r="H251" t="s">
        <v>1250</v>
      </c>
      <c r="J251" s="455">
        <v>46087</v>
      </c>
      <c r="K251" s="455">
        <v>46087</v>
      </c>
      <c r="R251" s="455">
        <v>46090</v>
      </c>
      <c r="U251" s="455">
        <v>46087</v>
      </c>
    </row>
    <row r="252" spans="1:21">
      <c r="A252" t="s">
        <v>1751</v>
      </c>
      <c r="B252" t="s">
        <v>7185</v>
      </c>
      <c r="C252" t="s">
        <v>1751</v>
      </c>
      <c r="D252">
        <v>20448736</v>
      </c>
      <c r="E252" t="s">
        <v>3142</v>
      </c>
      <c r="F252" t="s">
        <v>1237</v>
      </c>
      <c r="G252" t="s">
        <v>3134</v>
      </c>
      <c r="H252" t="s">
        <v>1250</v>
      </c>
      <c r="I252" t="s">
        <v>3752</v>
      </c>
      <c r="J252" s="455">
        <v>46066</v>
      </c>
      <c r="K252" s="455">
        <v>46066</v>
      </c>
      <c r="L252" s="455">
        <v>46066</v>
      </c>
      <c r="M252" s="455">
        <v>46087</v>
      </c>
      <c r="N252" s="455">
        <v>46087</v>
      </c>
      <c r="P252" s="455">
        <v>46087</v>
      </c>
      <c r="Q252" s="455">
        <v>46088</v>
      </c>
      <c r="U252" s="455">
        <v>46101</v>
      </c>
    </row>
    <row r="253" spans="1:21">
      <c r="A253" t="s">
        <v>1751</v>
      </c>
      <c r="B253" t="s">
        <v>9231</v>
      </c>
      <c r="C253" t="s">
        <v>1751</v>
      </c>
      <c r="D253">
        <v>20464167</v>
      </c>
      <c r="E253" t="s">
        <v>3128</v>
      </c>
      <c r="F253" t="s">
        <v>1782</v>
      </c>
      <c r="G253" t="s">
        <v>3141</v>
      </c>
      <c r="H253" t="s">
        <v>1247</v>
      </c>
      <c r="J253" s="455">
        <v>46088</v>
      </c>
      <c r="U253" s="455">
        <v>46100</v>
      </c>
    </row>
    <row r="254" spans="1:21">
      <c r="A254" t="s">
        <v>1751</v>
      </c>
      <c r="B254" t="s">
        <v>9232</v>
      </c>
      <c r="C254" t="s">
        <v>1751</v>
      </c>
      <c r="D254">
        <v>20462994</v>
      </c>
      <c r="E254" t="s">
        <v>3128</v>
      </c>
      <c r="F254" t="s">
        <v>1239</v>
      </c>
      <c r="G254" t="s">
        <v>3143</v>
      </c>
      <c r="H254" t="s">
        <v>1251</v>
      </c>
      <c r="J254" s="455">
        <v>46086</v>
      </c>
      <c r="U254" s="455">
        <v>46095</v>
      </c>
    </row>
    <row r="255" spans="1:21">
      <c r="A255" t="s">
        <v>1751</v>
      </c>
      <c r="B255" t="s">
        <v>9233</v>
      </c>
      <c r="C255" t="s">
        <v>1751</v>
      </c>
      <c r="D255">
        <v>20462879</v>
      </c>
      <c r="E255" t="s">
        <v>3128</v>
      </c>
      <c r="F255" t="s">
        <v>1242</v>
      </c>
      <c r="G255" t="s">
        <v>3143</v>
      </c>
      <c r="H255" t="s">
        <v>1248</v>
      </c>
      <c r="J255" s="455">
        <v>46086</v>
      </c>
      <c r="U255" s="455">
        <v>46086</v>
      </c>
    </row>
    <row r="256" spans="1:21">
      <c r="A256" t="s">
        <v>1751</v>
      </c>
      <c r="B256" t="s">
        <v>9234</v>
      </c>
      <c r="C256" t="s">
        <v>1751</v>
      </c>
      <c r="D256">
        <v>20477258</v>
      </c>
      <c r="E256" t="s">
        <v>3128</v>
      </c>
      <c r="F256" t="s">
        <v>1782</v>
      </c>
      <c r="G256" t="s">
        <v>3134</v>
      </c>
      <c r="H256" t="s">
        <v>1252</v>
      </c>
      <c r="J256" s="455">
        <v>46102</v>
      </c>
      <c r="U256" s="455">
        <v>46103</v>
      </c>
    </row>
    <row r="257" spans="1:21">
      <c r="A257" t="s">
        <v>1751</v>
      </c>
      <c r="B257" t="s">
        <v>9235</v>
      </c>
      <c r="C257" t="s">
        <v>1751</v>
      </c>
      <c r="D257">
        <v>20471065</v>
      </c>
      <c r="E257" t="s">
        <v>3133</v>
      </c>
      <c r="F257" t="s">
        <v>1799</v>
      </c>
      <c r="G257" t="s">
        <v>3134</v>
      </c>
      <c r="H257" t="s">
        <v>1247</v>
      </c>
      <c r="I257" t="s">
        <v>2134</v>
      </c>
      <c r="J257" s="455">
        <v>46094</v>
      </c>
      <c r="K257" s="455">
        <v>46094</v>
      </c>
      <c r="R257" s="455">
        <v>46094</v>
      </c>
      <c r="U257" s="455">
        <v>46094</v>
      </c>
    </row>
    <row r="258" spans="1:21">
      <c r="A258" t="s">
        <v>1751</v>
      </c>
      <c r="B258" t="s">
        <v>9235</v>
      </c>
      <c r="C258" t="s">
        <v>1751</v>
      </c>
      <c r="D258">
        <v>20471064</v>
      </c>
      <c r="E258" t="s">
        <v>3133</v>
      </c>
      <c r="F258" t="s">
        <v>1912</v>
      </c>
      <c r="G258" t="s">
        <v>3134</v>
      </c>
      <c r="H258" t="s">
        <v>1247</v>
      </c>
      <c r="J258" s="455">
        <v>46094</v>
      </c>
      <c r="K258" s="455">
        <v>46094</v>
      </c>
      <c r="R258" s="455">
        <v>46094</v>
      </c>
      <c r="U258" s="455">
        <v>46094</v>
      </c>
    </row>
    <row r="259" spans="1:21">
      <c r="A259" t="s">
        <v>1751</v>
      </c>
      <c r="B259" t="s">
        <v>9235</v>
      </c>
      <c r="C259" t="s">
        <v>1751</v>
      </c>
      <c r="D259">
        <v>20470884</v>
      </c>
      <c r="E259" t="s">
        <v>3128</v>
      </c>
      <c r="F259" t="s">
        <v>1782</v>
      </c>
      <c r="G259" t="s">
        <v>3134</v>
      </c>
      <c r="H259" t="s">
        <v>1252</v>
      </c>
      <c r="J259" s="455">
        <v>46094</v>
      </c>
      <c r="U259" s="455">
        <v>46098</v>
      </c>
    </row>
    <row r="260" spans="1:21">
      <c r="A260" t="s">
        <v>1751</v>
      </c>
      <c r="B260" t="s">
        <v>8803</v>
      </c>
      <c r="C260" t="s">
        <v>1751</v>
      </c>
      <c r="D260">
        <v>20456988</v>
      </c>
      <c r="E260" t="s">
        <v>3133</v>
      </c>
      <c r="F260" t="s">
        <v>1912</v>
      </c>
      <c r="G260" t="s">
        <v>3134</v>
      </c>
      <c r="H260" t="s">
        <v>3515</v>
      </c>
      <c r="I260" t="s">
        <v>3202</v>
      </c>
      <c r="J260" s="455">
        <v>46077</v>
      </c>
      <c r="K260" s="455">
        <v>46077</v>
      </c>
      <c r="R260" s="455">
        <v>46085</v>
      </c>
      <c r="U260" s="455">
        <v>46081</v>
      </c>
    </row>
    <row r="261" spans="1:21">
      <c r="A261" t="s">
        <v>1751</v>
      </c>
      <c r="B261" t="s">
        <v>9236</v>
      </c>
      <c r="C261" t="s">
        <v>1751</v>
      </c>
      <c r="D261">
        <v>20481613</v>
      </c>
      <c r="E261" t="s">
        <v>3128</v>
      </c>
      <c r="F261" t="s">
        <v>1782</v>
      </c>
      <c r="G261" t="s">
        <v>3134</v>
      </c>
      <c r="H261" t="s">
        <v>1252</v>
      </c>
      <c r="J261" s="455">
        <v>46108</v>
      </c>
      <c r="U261" s="455">
        <v>46142</v>
      </c>
    </row>
    <row r="262" spans="1:21">
      <c r="A262" t="s">
        <v>1751</v>
      </c>
      <c r="B262" t="s">
        <v>1107</v>
      </c>
      <c r="C262" t="s">
        <v>1751</v>
      </c>
      <c r="D262">
        <v>20467150</v>
      </c>
      <c r="E262" t="s">
        <v>4600</v>
      </c>
      <c r="F262" t="s">
        <v>1243</v>
      </c>
      <c r="G262" t="s">
        <v>3134</v>
      </c>
      <c r="H262" t="s">
        <v>1248</v>
      </c>
      <c r="I262" t="s">
        <v>1573</v>
      </c>
      <c r="J262" s="455">
        <v>46092</v>
      </c>
      <c r="K262" s="455">
        <v>46092</v>
      </c>
      <c r="L262" s="455">
        <v>46097</v>
      </c>
      <c r="M262" s="455">
        <v>46106</v>
      </c>
      <c r="N262" s="455">
        <v>46106</v>
      </c>
      <c r="O262" s="455">
        <v>46111</v>
      </c>
      <c r="U262" s="455">
        <v>46122</v>
      </c>
    </row>
    <row r="263" spans="1:21">
      <c r="A263" t="s">
        <v>1751</v>
      </c>
      <c r="B263" t="s">
        <v>9237</v>
      </c>
      <c r="C263" t="s">
        <v>1751</v>
      </c>
      <c r="D263">
        <v>20465560</v>
      </c>
      <c r="E263" t="s">
        <v>3133</v>
      </c>
      <c r="F263" t="s">
        <v>1239</v>
      </c>
      <c r="G263" t="s">
        <v>3129</v>
      </c>
      <c r="H263" t="s">
        <v>1252</v>
      </c>
      <c r="I263" t="s">
        <v>1831</v>
      </c>
      <c r="J263" s="455">
        <v>46090</v>
      </c>
      <c r="K263" s="455">
        <v>46090</v>
      </c>
      <c r="L263" s="455">
        <v>46090</v>
      </c>
      <c r="S263" s="455">
        <v>46091</v>
      </c>
      <c r="U263" s="455">
        <v>46107</v>
      </c>
    </row>
    <row r="264" spans="1:21">
      <c r="A264" t="s">
        <v>1751</v>
      </c>
      <c r="B264" t="s">
        <v>9238</v>
      </c>
      <c r="C264" t="s">
        <v>1751</v>
      </c>
      <c r="D264">
        <v>20482050</v>
      </c>
      <c r="E264" t="s">
        <v>1907</v>
      </c>
      <c r="F264" t="s">
        <v>1238</v>
      </c>
      <c r="G264" t="s">
        <v>3134</v>
      </c>
      <c r="H264" t="s">
        <v>1247</v>
      </c>
      <c r="I264" t="s">
        <v>1917</v>
      </c>
      <c r="J264" s="455">
        <v>46109</v>
      </c>
      <c r="K264" s="455">
        <v>46109</v>
      </c>
      <c r="L264" s="455">
        <v>46109</v>
      </c>
      <c r="U264" s="455">
        <v>46112</v>
      </c>
    </row>
    <row r="265" spans="1:21">
      <c r="A265" t="s">
        <v>1751</v>
      </c>
      <c r="B265" t="s">
        <v>9239</v>
      </c>
      <c r="C265" t="s">
        <v>1751</v>
      </c>
      <c r="D265">
        <v>20478492</v>
      </c>
      <c r="E265" t="s">
        <v>3128</v>
      </c>
      <c r="F265" t="s">
        <v>1241</v>
      </c>
      <c r="G265" t="s">
        <v>3129</v>
      </c>
      <c r="H265" t="s">
        <v>3131</v>
      </c>
      <c r="J265" s="455">
        <v>46104</v>
      </c>
      <c r="U265" s="455">
        <v>46266</v>
      </c>
    </row>
    <row r="266" spans="1:21">
      <c r="A266" t="s">
        <v>1751</v>
      </c>
      <c r="B266" t="s">
        <v>9240</v>
      </c>
      <c r="C266" t="s">
        <v>1751</v>
      </c>
      <c r="D266">
        <v>20483062</v>
      </c>
      <c r="E266" t="s">
        <v>3128</v>
      </c>
      <c r="F266" t="s">
        <v>1782</v>
      </c>
      <c r="G266" t="s">
        <v>3143</v>
      </c>
      <c r="H266" t="s">
        <v>1248</v>
      </c>
      <c r="I266" t="s">
        <v>1952</v>
      </c>
      <c r="J266" s="455">
        <v>46111</v>
      </c>
      <c r="U266" s="455">
        <v>46136</v>
      </c>
    </row>
    <row r="267" spans="1:21">
      <c r="A267" t="s">
        <v>1751</v>
      </c>
      <c r="B267" t="s">
        <v>9241</v>
      </c>
      <c r="C267" t="s">
        <v>1751</v>
      </c>
      <c r="D267">
        <v>20483770</v>
      </c>
      <c r="E267" t="s">
        <v>3128</v>
      </c>
      <c r="F267" t="s">
        <v>1241</v>
      </c>
      <c r="G267" t="s">
        <v>3134</v>
      </c>
      <c r="H267" t="s">
        <v>1252</v>
      </c>
      <c r="J267" s="455">
        <v>46112</v>
      </c>
      <c r="U267" s="455">
        <v>46142</v>
      </c>
    </row>
    <row r="268" spans="1:21">
      <c r="A268" t="s">
        <v>1751</v>
      </c>
      <c r="B268" t="s">
        <v>7025</v>
      </c>
      <c r="C268" t="s">
        <v>1751</v>
      </c>
      <c r="D268">
        <v>20443912</v>
      </c>
      <c r="E268" t="s">
        <v>1907</v>
      </c>
      <c r="F268" t="s">
        <v>1237</v>
      </c>
      <c r="G268" t="s">
        <v>3143</v>
      </c>
      <c r="H268" t="s">
        <v>1251</v>
      </c>
      <c r="I268" t="s">
        <v>1574</v>
      </c>
      <c r="J268" s="455">
        <v>46062</v>
      </c>
      <c r="K268" s="455">
        <v>46109</v>
      </c>
      <c r="L268" s="455">
        <v>46111</v>
      </c>
      <c r="O268" s="455">
        <v>46129</v>
      </c>
      <c r="U268" s="455">
        <v>46143</v>
      </c>
    </row>
    <row r="269" spans="1:21">
      <c r="A269" t="s">
        <v>1751</v>
      </c>
      <c r="B269" t="s">
        <v>7025</v>
      </c>
      <c r="C269" t="s">
        <v>1751</v>
      </c>
      <c r="D269">
        <v>20482148</v>
      </c>
      <c r="E269" t="s">
        <v>1897</v>
      </c>
      <c r="F269" t="s">
        <v>1237</v>
      </c>
      <c r="G269" t="s">
        <v>3134</v>
      </c>
      <c r="H269" t="s">
        <v>1250</v>
      </c>
      <c r="I269" t="s">
        <v>1574</v>
      </c>
      <c r="J269" s="455">
        <v>46109</v>
      </c>
      <c r="K269" s="455">
        <v>46109</v>
      </c>
      <c r="U269" s="455">
        <v>46143</v>
      </c>
    </row>
    <row r="270" spans="1:21">
      <c r="A270" t="s">
        <v>1751</v>
      </c>
      <c r="B270" t="s">
        <v>8814</v>
      </c>
      <c r="C270" t="s">
        <v>1751</v>
      </c>
      <c r="D270">
        <v>20442171</v>
      </c>
      <c r="E270" t="s">
        <v>3133</v>
      </c>
      <c r="F270" t="s">
        <v>1799</v>
      </c>
      <c r="G270" t="s">
        <v>3134</v>
      </c>
      <c r="H270" t="s">
        <v>1247</v>
      </c>
      <c r="J270" s="455">
        <v>46059</v>
      </c>
      <c r="K270" s="455">
        <v>46059</v>
      </c>
      <c r="R270" s="455">
        <v>46091</v>
      </c>
      <c r="U270" s="455">
        <v>46064</v>
      </c>
    </row>
    <row r="271" spans="1:21">
      <c r="A271" t="s">
        <v>1751</v>
      </c>
      <c r="B271" t="s">
        <v>8814</v>
      </c>
      <c r="C271" t="s">
        <v>1751</v>
      </c>
      <c r="D271">
        <v>20441302</v>
      </c>
      <c r="E271" t="s">
        <v>3133</v>
      </c>
      <c r="F271" t="s">
        <v>1237</v>
      </c>
      <c r="G271" t="s">
        <v>3143</v>
      </c>
      <c r="H271" t="s">
        <v>4333</v>
      </c>
      <c r="J271" s="455">
        <v>46057</v>
      </c>
      <c r="K271" s="455">
        <v>46059</v>
      </c>
      <c r="R271" s="455">
        <v>46091</v>
      </c>
      <c r="U271" s="455">
        <v>46064</v>
      </c>
    </row>
    <row r="272" spans="1:21">
      <c r="A272" t="s">
        <v>1751</v>
      </c>
      <c r="B272" t="s">
        <v>2133</v>
      </c>
      <c r="C272" t="s">
        <v>1751</v>
      </c>
      <c r="D272">
        <v>20424361</v>
      </c>
      <c r="E272" t="s">
        <v>3133</v>
      </c>
      <c r="F272" t="s">
        <v>1238</v>
      </c>
      <c r="G272" t="s">
        <v>3141</v>
      </c>
      <c r="H272" t="s">
        <v>3542</v>
      </c>
      <c r="I272" t="s">
        <v>2134</v>
      </c>
      <c r="J272" s="455">
        <v>46035</v>
      </c>
      <c r="K272" s="455">
        <v>46035</v>
      </c>
      <c r="R272" s="455">
        <v>46086</v>
      </c>
      <c r="U272" s="455">
        <v>46035</v>
      </c>
    </row>
    <row r="273" spans="1:21">
      <c r="A273" t="s">
        <v>1751</v>
      </c>
      <c r="B273" t="s">
        <v>3632</v>
      </c>
      <c r="C273" t="s">
        <v>1751</v>
      </c>
      <c r="D273">
        <v>20480147</v>
      </c>
      <c r="E273" t="s">
        <v>1907</v>
      </c>
      <c r="F273" t="s">
        <v>1243</v>
      </c>
      <c r="G273" t="s">
        <v>3134</v>
      </c>
      <c r="H273" t="s">
        <v>1247</v>
      </c>
      <c r="I273" t="s">
        <v>3262</v>
      </c>
      <c r="J273" s="455">
        <v>46106</v>
      </c>
      <c r="K273" s="455">
        <v>46106</v>
      </c>
      <c r="L273" s="455">
        <v>46106</v>
      </c>
      <c r="U273" s="455">
        <v>46127</v>
      </c>
    </row>
    <row r="274" spans="1:21">
      <c r="A274" t="s">
        <v>1751</v>
      </c>
      <c r="B274" t="s">
        <v>9242</v>
      </c>
      <c r="C274" t="s">
        <v>1751</v>
      </c>
      <c r="D274">
        <v>20475459</v>
      </c>
      <c r="E274" t="s">
        <v>3128</v>
      </c>
      <c r="F274" t="s">
        <v>1241</v>
      </c>
      <c r="G274" t="s">
        <v>3134</v>
      </c>
      <c r="H274" t="s">
        <v>1252</v>
      </c>
      <c r="J274" s="455">
        <v>46099</v>
      </c>
      <c r="U274" s="455">
        <v>46100</v>
      </c>
    </row>
    <row r="275" spans="1:21">
      <c r="A275" t="s">
        <v>1751</v>
      </c>
      <c r="B275" t="s">
        <v>9243</v>
      </c>
      <c r="C275" t="s">
        <v>1751</v>
      </c>
      <c r="D275">
        <v>20479712</v>
      </c>
      <c r="E275" t="s">
        <v>3128</v>
      </c>
      <c r="F275" t="s">
        <v>1782</v>
      </c>
      <c r="G275" t="s">
        <v>3134</v>
      </c>
      <c r="H275" t="s">
        <v>1252</v>
      </c>
      <c r="J275" s="455">
        <v>46106</v>
      </c>
      <c r="U275" s="455">
        <v>46409</v>
      </c>
    </row>
    <row r="276" spans="1:21">
      <c r="A276" t="s">
        <v>1751</v>
      </c>
      <c r="B276" t="s">
        <v>9244</v>
      </c>
      <c r="C276" t="s">
        <v>1751</v>
      </c>
      <c r="D276">
        <v>20475396</v>
      </c>
      <c r="E276" t="s">
        <v>3128</v>
      </c>
      <c r="F276" t="s">
        <v>1241</v>
      </c>
      <c r="G276" t="s">
        <v>3141</v>
      </c>
      <c r="H276" t="s">
        <v>1251</v>
      </c>
      <c r="J276" s="455">
        <v>46099</v>
      </c>
      <c r="U276" s="455">
        <v>46157</v>
      </c>
    </row>
    <row r="277" spans="1:21">
      <c r="A277" t="s">
        <v>1751</v>
      </c>
      <c r="B277" t="s">
        <v>9245</v>
      </c>
      <c r="C277" t="s">
        <v>1751</v>
      </c>
      <c r="D277">
        <v>20465900</v>
      </c>
      <c r="E277" t="s">
        <v>3128</v>
      </c>
      <c r="F277" t="s">
        <v>1782</v>
      </c>
      <c r="G277" t="s">
        <v>3141</v>
      </c>
      <c r="H277" t="s">
        <v>1247</v>
      </c>
      <c r="J277" s="455">
        <v>46091</v>
      </c>
      <c r="U277" s="455">
        <v>46091</v>
      </c>
    </row>
    <row r="278" spans="1:21">
      <c r="A278" t="s">
        <v>1751</v>
      </c>
      <c r="B278" t="s">
        <v>9246</v>
      </c>
      <c r="C278" t="s">
        <v>1751</v>
      </c>
      <c r="D278">
        <v>20477550</v>
      </c>
      <c r="E278" t="s">
        <v>3128</v>
      </c>
      <c r="F278" t="s">
        <v>1782</v>
      </c>
      <c r="G278" t="s">
        <v>3134</v>
      </c>
      <c r="H278" t="s">
        <v>1252</v>
      </c>
      <c r="J278" s="455">
        <v>46102</v>
      </c>
      <c r="U278" s="455">
        <v>46133</v>
      </c>
    </row>
    <row r="279" spans="1:21">
      <c r="A279" t="s">
        <v>1751</v>
      </c>
      <c r="B279" t="s">
        <v>1949</v>
      </c>
      <c r="C279" t="s">
        <v>1751</v>
      </c>
      <c r="D279">
        <v>20471501</v>
      </c>
      <c r="E279" t="s">
        <v>1897</v>
      </c>
      <c r="F279" t="s">
        <v>1241</v>
      </c>
      <c r="G279" t="s">
        <v>3143</v>
      </c>
      <c r="H279" t="s">
        <v>1249</v>
      </c>
      <c r="I279" t="s">
        <v>1559</v>
      </c>
      <c r="J279" s="455">
        <v>46095</v>
      </c>
      <c r="K279" s="455">
        <v>46095</v>
      </c>
      <c r="U279" s="455">
        <v>46095</v>
      </c>
    </row>
    <row r="280" spans="1:21">
      <c r="A280" t="s">
        <v>1751</v>
      </c>
      <c r="B280" t="s">
        <v>1949</v>
      </c>
      <c r="C280" t="s">
        <v>1751</v>
      </c>
      <c r="D280">
        <v>20471688</v>
      </c>
      <c r="E280" t="s">
        <v>1897</v>
      </c>
      <c r="F280" t="s">
        <v>1242</v>
      </c>
      <c r="G280" t="s">
        <v>3134</v>
      </c>
      <c r="H280" t="s">
        <v>1249</v>
      </c>
      <c r="I280" t="s">
        <v>1559</v>
      </c>
      <c r="J280" s="455">
        <v>46095</v>
      </c>
      <c r="K280" s="455">
        <v>46095</v>
      </c>
      <c r="U280" s="455">
        <v>46116</v>
      </c>
    </row>
    <row r="281" spans="1:21">
      <c r="A281" t="s">
        <v>1751</v>
      </c>
      <c r="B281" t="s">
        <v>9247</v>
      </c>
      <c r="C281" t="s">
        <v>1751</v>
      </c>
      <c r="D281">
        <v>20477765</v>
      </c>
      <c r="E281" t="s">
        <v>3128</v>
      </c>
      <c r="F281" t="s">
        <v>1782</v>
      </c>
      <c r="G281" t="s">
        <v>3134</v>
      </c>
      <c r="H281" t="s">
        <v>1252</v>
      </c>
      <c r="J281" s="455">
        <v>46103</v>
      </c>
      <c r="U281" s="455">
        <v>46115</v>
      </c>
    </row>
    <row r="282" spans="1:21">
      <c r="A282" t="s">
        <v>1751</v>
      </c>
      <c r="B282" t="s">
        <v>9248</v>
      </c>
      <c r="C282" t="s">
        <v>1751</v>
      </c>
      <c r="D282">
        <v>20476419</v>
      </c>
      <c r="E282" t="s">
        <v>3128</v>
      </c>
      <c r="F282" t="s">
        <v>1241</v>
      </c>
      <c r="G282" t="s">
        <v>3134</v>
      </c>
      <c r="H282" t="s">
        <v>1252</v>
      </c>
      <c r="J282" s="455">
        <v>46100</v>
      </c>
      <c r="U282" s="455">
        <v>46189</v>
      </c>
    </row>
    <row r="283" spans="1:21">
      <c r="A283" t="s">
        <v>1751</v>
      </c>
      <c r="B283" t="s">
        <v>3649</v>
      </c>
      <c r="C283" t="s">
        <v>1751</v>
      </c>
      <c r="D283">
        <v>20483575</v>
      </c>
      <c r="E283" t="s">
        <v>3128</v>
      </c>
      <c r="F283" t="s">
        <v>1782</v>
      </c>
      <c r="G283" t="s">
        <v>3129</v>
      </c>
      <c r="H283" t="s">
        <v>1252</v>
      </c>
      <c r="J283" s="455">
        <v>46111</v>
      </c>
      <c r="U283" s="455">
        <v>46113</v>
      </c>
    </row>
    <row r="284" spans="1:21">
      <c r="A284" t="s">
        <v>1751</v>
      </c>
      <c r="B284" t="s">
        <v>9249</v>
      </c>
      <c r="C284" t="s">
        <v>1751</v>
      </c>
      <c r="D284">
        <v>20482233</v>
      </c>
      <c r="E284" t="s">
        <v>1897</v>
      </c>
      <c r="F284" t="s">
        <v>1912</v>
      </c>
      <c r="G284" t="s">
        <v>3134</v>
      </c>
      <c r="H284" t="s">
        <v>1247</v>
      </c>
      <c r="I284" t="s">
        <v>6618</v>
      </c>
      <c r="J284" s="455">
        <v>46109</v>
      </c>
      <c r="K284" s="455">
        <v>46109</v>
      </c>
      <c r="U284" s="455">
        <v>46160</v>
      </c>
    </row>
    <row r="285" spans="1:21">
      <c r="A285" t="s">
        <v>1751</v>
      </c>
      <c r="B285" t="s">
        <v>9250</v>
      </c>
      <c r="C285" t="s">
        <v>1751</v>
      </c>
      <c r="D285">
        <v>20477898</v>
      </c>
      <c r="E285" t="s">
        <v>3128</v>
      </c>
      <c r="F285" t="s">
        <v>1782</v>
      </c>
      <c r="G285" t="s">
        <v>3134</v>
      </c>
      <c r="H285" t="s">
        <v>1252</v>
      </c>
      <c r="J285" s="455">
        <v>46103</v>
      </c>
      <c r="U285" s="455">
        <v>46108</v>
      </c>
    </row>
    <row r="286" spans="1:21">
      <c r="A286" t="s">
        <v>1751</v>
      </c>
      <c r="B286" t="s">
        <v>9251</v>
      </c>
      <c r="C286" t="s">
        <v>1751</v>
      </c>
      <c r="D286">
        <v>20414491</v>
      </c>
      <c r="E286" t="s">
        <v>1897</v>
      </c>
      <c r="F286" t="s">
        <v>1243</v>
      </c>
      <c r="G286" t="s">
        <v>3129</v>
      </c>
      <c r="H286" t="s">
        <v>1253</v>
      </c>
      <c r="J286" s="455">
        <v>46020</v>
      </c>
      <c r="K286" s="455">
        <v>46086</v>
      </c>
      <c r="U286" s="455">
        <v>46160</v>
      </c>
    </row>
    <row r="287" spans="1:21">
      <c r="A287" t="s">
        <v>1751</v>
      </c>
      <c r="B287" t="s">
        <v>9251</v>
      </c>
      <c r="C287" t="s">
        <v>1751</v>
      </c>
      <c r="D287">
        <v>20461800</v>
      </c>
      <c r="E287" t="s">
        <v>1907</v>
      </c>
      <c r="F287" t="s">
        <v>1243</v>
      </c>
      <c r="G287" t="s">
        <v>3134</v>
      </c>
      <c r="H287" t="s">
        <v>1247</v>
      </c>
      <c r="I287" t="s">
        <v>3872</v>
      </c>
      <c r="J287" s="455">
        <v>46084</v>
      </c>
      <c r="K287" s="455">
        <v>46084</v>
      </c>
      <c r="L287" s="455">
        <v>46084</v>
      </c>
      <c r="U287" s="455">
        <v>46160</v>
      </c>
    </row>
    <row r="288" spans="1:21">
      <c r="A288" t="s">
        <v>1751</v>
      </c>
      <c r="B288" t="s">
        <v>9252</v>
      </c>
      <c r="C288" t="s">
        <v>1751</v>
      </c>
      <c r="D288">
        <v>20465305</v>
      </c>
      <c r="E288" t="s">
        <v>1897</v>
      </c>
      <c r="F288" t="s">
        <v>1799</v>
      </c>
      <c r="G288" t="s">
        <v>3134</v>
      </c>
      <c r="H288" t="s">
        <v>1248</v>
      </c>
      <c r="I288" t="s">
        <v>1818</v>
      </c>
      <c r="J288" s="455">
        <v>46090</v>
      </c>
      <c r="K288" s="455">
        <v>46090</v>
      </c>
      <c r="U288" s="455">
        <v>46090</v>
      </c>
    </row>
    <row r="289" spans="1:21">
      <c r="A289" t="s">
        <v>1751</v>
      </c>
      <c r="B289" t="s">
        <v>9253</v>
      </c>
      <c r="C289" t="s">
        <v>1751</v>
      </c>
      <c r="D289">
        <v>20482388</v>
      </c>
      <c r="E289" t="s">
        <v>3128</v>
      </c>
      <c r="F289" t="s">
        <v>1782</v>
      </c>
      <c r="G289" t="s">
        <v>3134</v>
      </c>
      <c r="H289" t="s">
        <v>1252</v>
      </c>
      <c r="J289" s="455">
        <v>46109</v>
      </c>
      <c r="U289" s="455">
        <v>46143</v>
      </c>
    </row>
    <row r="290" spans="1:21">
      <c r="A290" t="s">
        <v>1751</v>
      </c>
      <c r="B290" t="s">
        <v>9254</v>
      </c>
      <c r="C290" t="s">
        <v>1751</v>
      </c>
      <c r="D290">
        <v>20466156</v>
      </c>
      <c r="E290" t="s">
        <v>3128</v>
      </c>
      <c r="F290" t="s">
        <v>1782</v>
      </c>
      <c r="G290" t="s">
        <v>3137</v>
      </c>
      <c r="H290" t="s">
        <v>1247</v>
      </c>
      <c r="J290" s="455">
        <v>46091</v>
      </c>
      <c r="U290" s="455">
        <v>46095</v>
      </c>
    </row>
    <row r="291" spans="1:21">
      <c r="A291" t="s">
        <v>1751</v>
      </c>
      <c r="B291" t="s">
        <v>9255</v>
      </c>
      <c r="C291" t="s">
        <v>1751</v>
      </c>
      <c r="D291">
        <v>20470438</v>
      </c>
      <c r="E291" t="s">
        <v>1897</v>
      </c>
      <c r="F291" t="s">
        <v>1782</v>
      </c>
      <c r="G291" t="s">
        <v>3134</v>
      </c>
      <c r="H291" t="s">
        <v>1252</v>
      </c>
      <c r="J291" s="455">
        <v>46093</v>
      </c>
      <c r="K291" s="455">
        <v>46093</v>
      </c>
      <c r="U291" s="455">
        <v>46095</v>
      </c>
    </row>
    <row r="292" spans="1:21">
      <c r="A292" t="s">
        <v>1751</v>
      </c>
      <c r="B292" t="s">
        <v>9256</v>
      </c>
      <c r="C292" t="s">
        <v>1751</v>
      </c>
      <c r="D292">
        <v>20462421</v>
      </c>
      <c r="E292" t="s">
        <v>3190</v>
      </c>
      <c r="F292" t="s">
        <v>1242</v>
      </c>
      <c r="G292" t="s">
        <v>3129</v>
      </c>
      <c r="H292" t="s">
        <v>1253</v>
      </c>
      <c r="J292" s="455">
        <v>46085</v>
      </c>
      <c r="R292" s="455">
        <v>46087</v>
      </c>
      <c r="U292" s="455">
        <v>46087</v>
      </c>
    </row>
    <row r="293" spans="1:21">
      <c r="A293" t="s">
        <v>1751</v>
      </c>
      <c r="B293" t="s">
        <v>9257</v>
      </c>
      <c r="C293" t="s">
        <v>1751</v>
      </c>
      <c r="D293">
        <v>20480916</v>
      </c>
      <c r="E293" t="s">
        <v>3128</v>
      </c>
      <c r="F293" t="s">
        <v>1782</v>
      </c>
      <c r="G293" t="s">
        <v>3129</v>
      </c>
      <c r="H293" t="s">
        <v>1252</v>
      </c>
      <c r="J293" s="455">
        <v>46107</v>
      </c>
      <c r="U293" s="455">
        <v>46107</v>
      </c>
    </row>
    <row r="294" spans="1:21">
      <c r="A294" t="s">
        <v>1751</v>
      </c>
      <c r="B294" t="s">
        <v>9258</v>
      </c>
      <c r="C294" t="s">
        <v>1751</v>
      </c>
      <c r="D294">
        <v>20481005</v>
      </c>
      <c r="E294" t="s">
        <v>1897</v>
      </c>
      <c r="F294" t="s">
        <v>1912</v>
      </c>
      <c r="G294" t="s">
        <v>3134</v>
      </c>
      <c r="H294" t="s">
        <v>1252</v>
      </c>
      <c r="J294" s="455">
        <v>46107</v>
      </c>
      <c r="K294" s="455">
        <v>46107</v>
      </c>
      <c r="U294" s="455">
        <v>46107</v>
      </c>
    </row>
    <row r="295" spans="1:21">
      <c r="A295" t="s">
        <v>1751</v>
      </c>
      <c r="B295" t="s">
        <v>9259</v>
      </c>
      <c r="C295" t="s">
        <v>1751</v>
      </c>
      <c r="D295">
        <v>20475240</v>
      </c>
      <c r="E295" t="s">
        <v>3128</v>
      </c>
      <c r="F295" t="s">
        <v>1241</v>
      </c>
      <c r="G295" t="s">
        <v>3143</v>
      </c>
      <c r="H295" t="s">
        <v>1252</v>
      </c>
      <c r="I295" t="s">
        <v>1831</v>
      </c>
      <c r="J295" s="455">
        <v>46099</v>
      </c>
      <c r="U295" s="455">
        <v>46099</v>
      </c>
    </row>
    <row r="296" spans="1:21">
      <c r="A296" t="s">
        <v>1751</v>
      </c>
      <c r="B296" t="s">
        <v>9260</v>
      </c>
      <c r="C296" t="s">
        <v>1751</v>
      </c>
      <c r="D296">
        <v>20471679</v>
      </c>
      <c r="E296" t="s">
        <v>3128</v>
      </c>
      <c r="F296" t="s">
        <v>1782</v>
      </c>
      <c r="G296" t="s">
        <v>3134</v>
      </c>
      <c r="H296" t="s">
        <v>1252</v>
      </c>
      <c r="J296" s="455">
        <v>46095</v>
      </c>
      <c r="U296" s="455">
        <v>46097</v>
      </c>
    </row>
    <row r="297" spans="1:21">
      <c r="A297" t="s">
        <v>1751</v>
      </c>
      <c r="B297" t="s">
        <v>9260</v>
      </c>
      <c r="C297" t="s">
        <v>1751</v>
      </c>
      <c r="D297">
        <v>20478889</v>
      </c>
      <c r="E297" t="s">
        <v>3128</v>
      </c>
      <c r="F297" t="s">
        <v>1241</v>
      </c>
      <c r="G297" t="s">
        <v>3134</v>
      </c>
      <c r="H297" t="s">
        <v>1252</v>
      </c>
      <c r="J297" s="455">
        <v>46105</v>
      </c>
      <c r="U297" s="455">
        <v>46165</v>
      </c>
    </row>
    <row r="298" spans="1:21">
      <c r="A298" t="s">
        <v>1751</v>
      </c>
      <c r="B298" t="s">
        <v>9261</v>
      </c>
      <c r="C298" t="s">
        <v>1751</v>
      </c>
      <c r="D298">
        <v>20464379</v>
      </c>
      <c r="E298" t="s">
        <v>3128</v>
      </c>
      <c r="F298" t="s">
        <v>1241</v>
      </c>
      <c r="G298" t="s">
        <v>3143</v>
      </c>
      <c r="H298" t="s">
        <v>1247</v>
      </c>
      <c r="I298" t="s">
        <v>1952</v>
      </c>
      <c r="J298" s="455">
        <v>46088</v>
      </c>
      <c r="U298" s="455">
        <v>46095</v>
      </c>
    </row>
    <row r="299" spans="1:21">
      <c r="A299" t="s">
        <v>1751</v>
      </c>
      <c r="B299" t="s">
        <v>3672</v>
      </c>
      <c r="C299" t="s">
        <v>1751</v>
      </c>
      <c r="D299">
        <v>20480963</v>
      </c>
      <c r="E299" t="s">
        <v>3128</v>
      </c>
      <c r="F299" t="s">
        <v>1241</v>
      </c>
      <c r="G299" t="s">
        <v>3134</v>
      </c>
      <c r="H299" t="s">
        <v>1252</v>
      </c>
      <c r="J299" s="455">
        <v>46107</v>
      </c>
      <c r="U299" s="455">
        <v>46138</v>
      </c>
    </row>
    <row r="300" spans="1:21">
      <c r="A300" t="s">
        <v>1751</v>
      </c>
      <c r="B300" t="s">
        <v>3672</v>
      </c>
      <c r="C300" t="s">
        <v>1751</v>
      </c>
      <c r="D300">
        <v>20482609</v>
      </c>
      <c r="E300" t="s">
        <v>3128</v>
      </c>
      <c r="F300" t="s">
        <v>1782</v>
      </c>
      <c r="G300" t="s">
        <v>3134</v>
      </c>
      <c r="H300" t="s">
        <v>1252</v>
      </c>
      <c r="J300" s="455">
        <v>46110</v>
      </c>
      <c r="U300" s="455">
        <v>46141</v>
      </c>
    </row>
    <row r="301" spans="1:21">
      <c r="A301" t="s">
        <v>1751</v>
      </c>
      <c r="B301" t="s">
        <v>9262</v>
      </c>
      <c r="C301" t="s">
        <v>1751</v>
      </c>
      <c r="D301">
        <v>20472828</v>
      </c>
      <c r="E301" t="s">
        <v>3128</v>
      </c>
      <c r="F301" t="s">
        <v>1782</v>
      </c>
      <c r="G301" t="s">
        <v>3134</v>
      </c>
      <c r="H301" t="s">
        <v>1252</v>
      </c>
      <c r="J301" s="455">
        <v>46097</v>
      </c>
      <c r="U301" s="455">
        <v>46140</v>
      </c>
    </row>
    <row r="302" spans="1:21">
      <c r="A302" t="s">
        <v>1751</v>
      </c>
      <c r="B302" t="s">
        <v>9263</v>
      </c>
      <c r="C302" t="s">
        <v>1751</v>
      </c>
      <c r="D302">
        <v>20477959</v>
      </c>
      <c r="E302" t="s">
        <v>3128</v>
      </c>
      <c r="F302" t="s">
        <v>1782</v>
      </c>
      <c r="G302" t="s">
        <v>3134</v>
      </c>
      <c r="H302" t="s">
        <v>1252</v>
      </c>
      <c r="J302" s="455">
        <v>46103</v>
      </c>
      <c r="U302" s="455">
        <v>46164</v>
      </c>
    </row>
    <row r="303" spans="1:21">
      <c r="A303" t="s">
        <v>1751</v>
      </c>
      <c r="B303" t="s">
        <v>1788</v>
      </c>
      <c r="C303" t="s">
        <v>1751</v>
      </c>
      <c r="D303">
        <v>20461703</v>
      </c>
      <c r="E303" t="s">
        <v>2008</v>
      </c>
      <c r="F303" t="s">
        <v>1243</v>
      </c>
      <c r="G303" t="s">
        <v>3134</v>
      </c>
      <c r="H303" t="s">
        <v>1247</v>
      </c>
      <c r="I303" t="s">
        <v>1541</v>
      </c>
      <c r="J303" s="455">
        <v>46084</v>
      </c>
      <c r="K303" s="455">
        <v>46084</v>
      </c>
      <c r="L303" s="455">
        <v>46085</v>
      </c>
      <c r="M303" s="455">
        <v>46099</v>
      </c>
      <c r="N303" s="455">
        <v>46099</v>
      </c>
      <c r="P303" s="455">
        <v>46109</v>
      </c>
      <c r="Q303" s="455">
        <v>46109</v>
      </c>
      <c r="U303" s="455">
        <v>46115</v>
      </c>
    </row>
    <row r="304" spans="1:21">
      <c r="A304" t="s">
        <v>1751</v>
      </c>
      <c r="B304" t="s">
        <v>3677</v>
      </c>
      <c r="C304" t="s">
        <v>1751</v>
      </c>
      <c r="D304">
        <v>20473412</v>
      </c>
      <c r="E304" t="s">
        <v>1897</v>
      </c>
      <c r="F304" t="s">
        <v>1799</v>
      </c>
      <c r="G304" t="s">
        <v>3134</v>
      </c>
      <c r="H304" t="s">
        <v>1247</v>
      </c>
      <c r="J304" s="455">
        <v>46098</v>
      </c>
      <c r="K304" s="455">
        <v>46098</v>
      </c>
      <c r="U304" s="455">
        <v>46098</v>
      </c>
    </row>
    <row r="305" spans="1:21">
      <c r="A305" t="s">
        <v>1751</v>
      </c>
      <c r="B305" t="s">
        <v>9264</v>
      </c>
      <c r="C305" t="s">
        <v>1751</v>
      </c>
      <c r="D305">
        <v>20481220</v>
      </c>
      <c r="E305" t="s">
        <v>3128</v>
      </c>
      <c r="F305" t="s">
        <v>1782</v>
      </c>
      <c r="G305" t="s">
        <v>3129</v>
      </c>
      <c r="H305" t="s">
        <v>1253</v>
      </c>
      <c r="J305" s="455">
        <v>46108</v>
      </c>
      <c r="U305" s="455">
        <v>46113</v>
      </c>
    </row>
    <row r="306" spans="1:21">
      <c r="A306" t="s">
        <v>1751</v>
      </c>
      <c r="B306" t="s">
        <v>9265</v>
      </c>
      <c r="C306" t="s">
        <v>1751</v>
      </c>
      <c r="D306">
        <v>20474349</v>
      </c>
      <c r="E306" t="s">
        <v>3128</v>
      </c>
      <c r="F306" t="s">
        <v>1241</v>
      </c>
      <c r="G306" t="s">
        <v>3129</v>
      </c>
      <c r="H306" t="s">
        <v>1252</v>
      </c>
      <c r="J306" s="455">
        <v>46099</v>
      </c>
      <c r="U306" s="455">
        <v>46142</v>
      </c>
    </row>
    <row r="307" spans="1:21">
      <c r="A307" t="s">
        <v>1751</v>
      </c>
      <c r="B307" t="s">
        <v>9266</v>
      </c>
      <c r="C307" t="s">
        <v>1751</v>
      </c>
      <c r="D307">
        <v>20472597</v>
      </c>
      <c r="E307" t="s">
        <v>3128</v>
      </c>
      <c r="F307" t="s">
        <v>1782</v>
      </c>
      <c r="G307" t="s">
        <v>3134</v>
      </c>
      <c r="H307" t="s">
        <v>1252</v>
      </c>
      <c r="J307" s="455">
        <v>46097</v>
      </c>
      <c r="U307" s="455">
        <v>46113</v>
      </c>
    </row>
    <row r="308" spans="1:21">
      <c r="A308" t="s">
        <v>1751</v>
      </c>
      <c r="B308" t="s">
        <v>8830</v>
      </c>
      <c r="C308" t="s">
        <v>1751</v>
      </c>
      <c r="D308">
        <v>20439987</v>
      </c>
      <c r="E308" t="s">
        <v>3133</v>
      </c>
      <c r="F308" t="s">
        <v>1238</v>
      </c>
      <c r="G308" t="s">
        <v>3134</v>
      </c>
      <c r="H308" t="s">
        <v>1247</v>
      </c>
      <c r="I308" t="s">
        <v>1220</v>
      </c>
      <c r="J308" s="455">
        <v>46056</v>
      </c>
      <c r="K308" s="455">
        <v>46056</v>
      </c>
      <c r="L308" s="455">
        <v>46056</v>
      </c>
      <c r="M308" s="455">
        <v>46079</v>
      </c>
      <c r="R308" s="455">
        <v>46083</v>
      </c>
      <c r="U308" s="455">
        <v>46087</v>
      </c>
    </row>
    <row r="309" spans="1:21">
      <c r="A309" t="s">
        <v>1751</v>
      </c>
      <c r="B309" t="s">
        <v>9267</v>
      </c>
      <c r="C309" t="s">
        <v>1751</v>
      </c>
      <c r="D309">
        <v>20476808</v>
      </c>
      <c r="E309" t="s">
        <v>3128</v>
      </c>
      <c r="F309" t="s">
        <v>1241</v>
      </c>
      <c r="G309" t="s">
        <v>3134</v>
      </c>
      <c r="H309" t="s">
        <v>1252</v>
      </c>
      <c r="J309" s="455">
        <v>46101</v>
      </c>
      <c r="U309" s="455">
        <v>46146</v>
      </c>
    </row>
    <row r="310" spans="1:21">
      <c r="A310" t="s">
        <v>1751</v>
      </c>
      <c r="B310" t="s">
        <v>9268</v>
      </c>
      <c r="C310" t="s">
        <v>1751</v>
      </c>
      <c r="D310">
        <v>20484177</v>
      </c>
      <c r="E310" t="s">
        <v>3128</v>
      </c>
      <c r="F310" t="s">
        <v>1241</v>
      </c>
      <c r="G310" t="s">
        <v>3141</v>
      </c>
      <c r="H310" t="s">
        <v>1251</v>
      </c>
      <c r="J310" s="455">
        <v>46112</v>
      </c>
      <c r="U310" s="455">
        <v>46112</v>
      </c>
    </row>
    <row r="311" spans="1:21">
      <c r="A311" t="s">
        <v>1751</v>
      </c>
      <c r="B311" t="s">
        <v>9269</v>
      </c>
      <c r="C311" t="s">
        <v>1751</v>
      </c>
      <c r="D311">
        <v>20481773</v>
      </c>
      <c r="E311" t="s">
        <v>3128</v>
      </c>
      <c r="F311" t="s">
        <v>1782</v>
      </c>
      <c r="G311" t="s">
        <v>3134</v>
      </c>
      <c r="H311" t="s">
        <v>1252</v>
      </c>
      <c r="J311" s="455">
        <v>46108</v>
      </c>
      <c r="U311" s="455">
        <v>46132</v>
      </c>
    </row>
    <row r="312" spans="1:21">
      <c r="A312" t="s">
        <v>1751</v>
      </c>
      <c r="B312" t="s">
        <v>9270</v>
      </c>
      <c r="C312" t="s">
        <v>1751</v>
      </c>
      <c r="D312">
        <v>20476493</v>
      </c>
      <c r="E312" t="s">
        <v>3128</v>
      </c>
      <c r="F312" t="s">
        <v>1782</v>
      </c>
      <c r="G312" t="s">
        <v>3137</v>
      </c>
      <c r="H312" t="s">
        <v>1247</v>
      </c>
      <c r="J312" s="455">
        <v>46101</v>
      </c>
      <c r="U312" s="455">
        <v>46101</v>
      </c>
    </row>
    <row r="313" spans="1:21">
      <c r="A313" t="s">
        <v>1751</v>
      </c>
      <c r="B313" t="s">
        <v>1936</v>
      </c>
      <c r="C313" t="s">
        <v>1751</v>
      </c>
      <c r="D313">
        <v>20460821</v>
      </c>
      <c r="E313" t="s">
        <v>1897</v>
      </c>
      <c r="F313" t="s">
        <v>1241</v>
      </c>
      <c r="G313" t="s">
        <v>3134</v>
      </c>
      <c r="H313" t="s">
        <v>1247</v>
      </c>
      <c r="I313" t="s">
        <v>1935</v>
      </c>
      <c r="J313" s="455">
        <v>46083</v>
      </c>
      <c r="K313" s="455">
        <v>46083</v>
      </c>
      <c r="U313" s="455">
        <v>46088</v>
      </c>
    </row>
    <row r="314" spans="1:21">
      <c r="A314" t="s">
        <v>1751</v>
      </c>
      <c r="B314" t="s">
        <v>8837</v>
      </c>
      <c r="C314" t="s">
        <v>1751</v>
      </c>
      <c r="D314">
        <v>20448370</v>
      </c>
      <c r="E314" t="s">
        <v>3190</v>
      </c>
      <c r="F314" t="s">
        <v>1242</v>
      </c>
      <c r="G314" t="s">
        <v>3134</v>
      </c>
      <c r="H314" t="s">
        <v>1251</v>
      </c>
      <c r="I314" t="s">
        <v>1524</v>
      </c>
      <c r="J314" s="455">
        <v>46066</v>
      </c>
      <c r="K314" s="455">
        <v>46066</v>
      </c>
      <c r="R314" s="455">
        <v>46108</v>
      </c>
      <c r="U314" s="455">
        <v>46081</v>
      </c>
    </row>
    <row r="315" spans="1:21">
      <c r="A315" t="s">
        <v>1751</v>
      </c>
      <c r="B315" t="s">
        <v>9271</v>
      </c>
      <c r="C315" t="s">
        <v>1751</v>
      </c>
      <c r="D315">
        <v>20459957</v>
      </c>
      <c r="E315" t="s">
        <v>3128</v>
      </c>
      <c r="F315" t="s">
        <v>1241</v>
      </c>
      <c r="G315" t="s">
        <v>3137</v>
      </c>
      <c r="H315" t="s">
        <v>1247</v>
      </c>
      <c r="J315" s="455">
        <v>46082</v>
      </c>
      <c r="U315" s="455">
        <v>46143</v>
      </c>
    </row>
    <row r="316" spans="1:21">
      <c r="A316" t="s">
        <v>1751</v>
      </c>
      <c r="B316" t="s">
        <v>9272</v>
      </c>
      <c r="C316" t="s">
        <v>1751</v>
      </c>
      <c r="D316">
        <v>20480961</v>
      </c>
      <c r="E316" t="s">
        <v>1897</v>
      </c>
      <c r="F316" t="s">
        <v>1912</v>
      </c>
      <c r="G316" t="s">
        <v>3134</v>
      </c>
      <c r="H316" t="s">
        <v>1251</v>
      </c>
      <c r="I316" t="s">
        <v>5773</v>
      </c>
      <c r="J316" s="455">
        <v>46107</v>
      </c>
      <c r="K316" s="455">
        <v>46107</v>
      </c>
      <c r="U316" s="455">
        <v>46107</v>
      </c>
    </row>
    <row r="317" spans="1:21">
      <c r="A317" t="s">
        <v>1751</v>
      </c>
      <c r="B317" t="s">
        <v>9272</v>
      </c>
      <c r="C317" t="s">
        <v>1751</v>
      </c>
      <c r="D317">
        <v>20480162</v>
      </c>
      <c r="E317" t="s">
        <v>3190</v>
      </c>
      <c r="F317" t="s">
        <v>1237</v>
      </c>
      <c r="G317" t="s">
        <v>3143</v>
      </c>
      <c r="H317" t="s">
        <v>1248</v>
      </c>
      <c r="I317" t="s">
        <v>2134</v>
      </c>
      <c r="J317" s="455">
        <v>46106</v>
      </c>
      <c r="R317" s="455">
        <v>46109</v>
      </c>
      <c r="U317" s="455">
        <v>46113</v>
      </c>
    </row>
    <row r="318" spans="1:21">
      <c r="A318" t="s">
        <v>1751</v>
      </c>
      <c r="B318" t="s">
        <v>7108</v>
      </c>
      <c r="C318" t="s">
        <v>1751</v>
      </c>
      <c r="D318">
        <v>20476202</v>
      </c>
      <c r="E318" t="s">
        <v>1907</v>
      </c>
      <c r="F318" t="s">
        <v>1238</v>
      </c>
      <c r="G318" t="s">
        <v>3134</v>
      </c>
      <c r="H318" t="s">
        <v>1247</v>
      </c>
      <c r="I318" t="s">
        <v>7107</v>
      </c>
      <c r="J318" s="455">
        <v>46100</v>
      </c>
      <c r="K318" s="455">
        <v>46100</v>
      </c>
      <c r="L318" s="455">
        <v>46107</v>
      </c>
      <c r="O318" s="455">
        <v>46129</v>
      </c>
      <c r="U318" s="455">
        <v>46119</v>
      </c>
    </row>
    <row r="319" spans="1:21">
      <c r="A319" t="s">
        <v>1751</v>
      </c>
      <c r="B319" t="s">
        <v>9273</v>
      </c>
      <c r="C319" t="s">
        <v>1751</v>
      </c>
      <c r="D319">
        <v>20464126</v>
      </c>
      <c r="E319" t="s">
        <v>1897</v>
      </c>
      <c r="F319" t="s">
        <v>1799</v>
      </c>
      <c r="G319" t="s">
        <v>3134</v>
      </c>
      <c r="H319" t="s">
        <v>1249</v>
      </c>
      <c r="J319" s="455">
        <v>46087</v>
      </c>
      <c r="K319" s="455">
        <v>46087</v>
      </c>
      <c r="U319" s="455">
        <v>46087</v>
      </c>
    </row>
    <row r="320" spans="1:21">
      <c r="A320" t="s">
        <v>1751</v>
      </c>
      <c r="B320" t="s">
        <v>9274</v>
      </c>
      <c r="C320" t="s">
        <v>1751</v>
      </c>
      <c r="D320">
        <v>20472796</v>
      </c>
      <c r="E320" t="s">
        <v>3128</v>
      </c>
      <c r="F320" t="s">
        <v>1241</v>
      </c>
      <c r="G320" t="s">
        <v>3134</v>
      </c>
      <c r="H320" t="s">
        <v>1252</v>
      </c>
      <c r="J320" s="455">
        <v>46097</v>
      </c>
      <c r="U320" s="455">
        <v>46100</v>
      </c>
    </row>
    <row r="321" spans="1:21">
      <c r="A321" t="s">
        <v>1751</v>
      </c>
      <c r="B321" t="s">
        <v>9275</v>
      </c>
      <c r="C321" t="s">
        <v>1751</v>
      </c>
      <c r="D321">
        <v>20468356</v>
      </c>
      <c r="E321" t="s">
        <v>3133</v>
      </c>
      <c r="F321" t="s">
        <v>1799</v>
      </c>
      <c r="G321" t="s">
        <v>3143</v>
      </c>
      <c r="H321" t="s">
        <v>1248</v>
      </c>
      <c r="I321" t="s">
        <v>1227</v>
      </c>
      <c r="J321" s="455">
        <v>46092</v>
      </c>
      <c r="K321" s="455">
        <v>46092</v>
      </c>
      <c r="L321" s="455">
        <v>46092</v>
      </c>
      <c r="M321" s="455">
        <v>46097</v>
      </c>
      <c r="N321" s="455">
        <v>46098</v>
      </c>
      <c r="P321" s="455">
        <v>46098</v>
      </c>
      <c r="Q321" s="455">
        <v>46098</v>
      </c>
      <c r="R321" s="455">
        <v>46111</v>
      </c>
      <c r="U321" s="455">
        <v>46108</v>
      </c>
    </row>
    <row r="322" spans="1:21">
      <c r="A322" t="s">
        <v>1751</v>
      </c>
      <c r="B322" t="s">
        <v>1957</v>
      </c>
      <c r="C322" t="s">
        <v>1751</v>
      </c>
      <c r="D322">
        <v>20474190</v>
      </c>
      <c r="E322" t="s">
        <v>3133</v>
      </c>
      <c r="F322" t="s">
        <v>1782</v>
      </c>
      <c r="G322" t="s">
        <v>3143</v>
      </c>
      <c r="H322" t="s">
        <v>1251</v>
      </c>
      <c r="I322" t="s">
        <v>3277</v>
      </c>
      <c r="J322" s="455">
        <v>46098</v>
      </c>
      <c r="K322" s="455">
        <v>46099</v>
      </c>
      <c r="R322" s="455">
        <v>46100</v>
      </c>
      <c r="U322" s="455">
        <v>46098</v>
      </c>
    </row>
    <row r="323" spans="1:21">
      <c r="A323" t="s">
        <v>1751</v>
      </c>
      <c r="B323" t="s">
        <v>1957</v>
      </c>
      <c r="C323" t="s">
        <v>1751</v>
      </c>
      <c r="D323">
        <v>20474504</v>
      </c>
      <c r="E323" t="s">
        <v>1897</v>
      </c>
      <c r="F323" t="s">
        <v>1238</v>
      </c>
      <c r="G323" t="s">
        <v>3134</v>
      </c>
      <c r="H323" t="s">
        <v>1247</v>
      </c>
      <c r="I323" t="s">
        <v>1956</v>
      </c>
      <c r="J323" s="455">
        <v>46099</v>
      </c>
      <c r="K323" s="455">
        <v>46099</v>
      </c>
      <c r="U323" s="455">
        <v>46099</v>
      </c>
    </row>
    <row r="324" spans="1:21">
      <c r="A324" t="s">
        <v>1751</v>
      </c>
      <c r="B324" t="s">
        <v>9276</v>
      </c>
      <c r="C324" t="s">
        <v>1751</v>
      </c>
      <c r="D324">
        <v>20474502</v>
      </c>
      <c r="E324" t="s">
        <v>3128</v>
      </c>
      <c r="F324" t="s">
        <v>1238</v>
      </c>
      <c r="G324" t="s">
        <v>3143</v>
      </c>
      <c r="H324" t="s">
        <v>1252</v>
      </c>
      <c r="J324" s="455">
        <v>46099</v>
      </c>
      <c r="U324" s="455">
        <v>46099</v>
      </c>
    </row>
    <row r="325" spans="1:21">
      <c r="A325" t="s">
        <v>1751</v>
      </c>
      <c r="B325" t="s">
        <v>8847</v>
      </c>
      <c r="C325" t="s">
        <v>1751</v>
      </c>
      <c r="D325">
        <v>20476299</v>
      </c>
      <c r="E325" t="s">
        <v>3133</v>
      </c>
      <c r="F325" t="s">
        <v>1238</v>
      </c>
      <c r="G325" t="s">
        <v>3134</v>
      </c>
      <c r="H325" t="s">
        <v>1247</v>
      </c>
      <c r="I325" t="s">
        <v>3258</v>
      </c>
      <c r="J325" s="455">
        <v>46100</v>
      </c>
      <c r="K325" s="455">
        <v>46100</v>
      </c>
      <c r="L325" s="455">
        <v>46100</v>
      </c>
      <c r="R325" s="455">
        <v>46102</v>
      </c>
      <c r="U325" s="455">
        <v>46123</v>
      </c>
    </row>
    <row r="326" spans="1:21">
      <c r="A326" t="s">
        <v>1751</v>
      </c>
      <c r="B326" t="s">
        <v>8847</v>
      </c>
      <c r="C326" t="s">
        <v>1751</v>
      </c>
      <c r="D326">
        <v>20449565</v>
      </c>
      <c r="E326" t="s">
        <v>1897</v>
      </c>
      <c r="F326" t="s">
        <v>1782</v>
      </c>
      <c r="G326" t="s">
        <v>3137</v>
      </c>
      <c r="H326" t="s">
        <v>1252</v>
      </c>
      <c r="I326" t="s">
        <v>1947</v>
      </c>
      <c r="J326" s="455">
        <v>46068</v>
      </c>
      <c r="K326" s="455">
        <v>46100</v>
      </c>
      <c r="U326" s="455">
        <v>46123</v>
      </c>
    </row>
    <row r="327" spans="1:21">
      <c r="A327" t="s">
        <v>1751</v>
      </c>
      <c r="B327" t="s">
        <v>9277</v>
      </c>
      <c r="C327" t="s">
        <v>1751</v>
      </c>
      <c r="D327">
        <v>20465841</v>
      </c>
      <c r="E327" t="s">
        <v>3128</v>
      </c>
      <c r="F327" t="s">
        <v>1782</v>
      </c>
      <c r="G327" t="s">
        <v>3141</v>
      </c>
      <c r="H327" t="s">
        <v>1247</v>
      </c>
      <c r="J327" s="455">
        <v>46090</v>
      </c>
      <c r="U327" s="455">
        <v>46266</v>
      </c>
    </row>
    <row r="328" spans="1:21">
      <c r="A328" t="s">
        <v>1751</v>
      </c>
      <c r="B328" t="s">
        <v>6595</v>
      </c>
      <c r="C328" t="s">
        <v>1751</v>
      </c>
      <c r="D328">
        <v>20464351</v>
      </c>
      <c r="E328" t="s">
        <v>1897</v>
      </c>
      <c r="F328" t="s">
        <v>1241</v>
      </c>
      <c r="G328" t="s">
        <v>3129</v>
      </c>
      <c r="H328" t="s">
        <v>1252</v>
      </c>
      <c r="I328" t="s">
        <v>5954</v>
      </c>
      <c r="J328" s="455">
        <v>46088</v>
      </c>
      <c r="K328" s="455">
        <v>46111</v>
      </c>
      <c r="U328" s="455">
        <v>46149</v>
      </c>
    </row>
    <row r="329" spans="1:21">
      <c r="A329" t="s">
        <v>1751</v>
      </c>
      <c r="B329" t="s">
        <v>9278</v>
      </c>
      <c r="C329" t="s">
        <v>1751</v>
      </c>
      <c r="D329">
        <v>20475140</v>
      </c>
      <c r="E329" t="s">
        <v>3128</v>
      </c>
      <c r="F329" t="s">
        <v>1237</v>
      </c>
      <c r="G329" t="s">
        <v>3143</v>
      </c>
      <c r="H329" t="s">
        <v>1252</v>
      </c>
      <c r="I329" t="s">
        <v>1831</v>
      </c>
      <c r="J329" s="455">
        <v>46099</v>
      </c>
      <c r="U329" s="455">
        <v>46111</v>
      </c>
    </row>
    <row r="330" spans="1:21">
      <c r="A330" t="s">
        <v>1751</v>
      </c>
      <c r="B330" t="s">
        <v>9279</v>
      </c>
      <c r="C330" t="s">
        <v>1751</v>
      </c>
      <c r="D330">
        <v>20463790</v>
      </c>
      <c r="E330" t="s">
        <v>3128</v>
      </c>
      <c r="F330" t="s">
        <v>1241</v>
      </c>
      <c r="G330" t="s">
        <v>3137</v>
      </c>
      <c r="H330" t="s">
        <v>1252</v>
      </c>
      <c r="J330" s="455">
        <v>46087</v>
      </c>
      <c r="U330" s="455">
        <v>46087</v>
      </c>
    </row>
    <row r="331" spans="1:21">
      <c r="A331" t="s">
        <v>1751</v>
      </c>
      <c r="B331" t="s">
        <v>6643</v>
      </c>
      <c r="C331" t="s">
        <v>1751</v>
      </c>
      <c r="D331">
        <v>20457479</v>
      </c>
      <c r="E331" t="s">
        <v>3142</v>
      </c>
      <c r="F331" t="s">
        <v>1799</v>
      </c>
      <c r="G331" t="s">
        <v>2009</v>
      </c>
      <c r="H331" t="s">
        <v>1247</v>
      </c>
      <c r="I331" t="s">
        <v>2176</v>
      </c>
      <c r="J331" s="455">
        <v>46078</v>
      </c>
      <c r="K331" s="455">
        <v>46091</v>
      </c>
      <c r="L331" s="455">
        <v>46091</v>
      </c>
      <c r="M331" s="455">
        <v>46093</v>
      </c>
      <c r="N331" s="455">
        <v>46093</v>
      </c>
      <c r="P331" s="455">
        <v>46094</v>
      </c>
      <c r="Q331" s="455">
        <v>46095</v>
      </c>
      <c r="U331" s="455">
        <v>46144</v>
      </c>
    </row>
    <row r="332" spans="1:21">
      <c r="A332" t="s">
        <v>1751</v>
      </c>
      <c r="B332" t="s">
        <v>9280</v>
      </c>
      <c r="C332" t="s">
        <v>1751</v>
      </c>
      <c r="D332">
        <v>20479509</v>
      </c>
      <c r="E332" t="s">
        <v>3128</v>
      </c>
      <c r="F332" t="s">
        <v>1241</v>
      </c>
      <c r="G332" t="s">
        <v>3134</v>
      </c>
      <c r="H332" t="s">
        <v>1252</v>
      </c>
      <c r="J332" s="455">
        <v>46105</v>
      </c>
      <c r="U332" s="455">
        <v>46167</v>
      </c>
    </row>
    <row r="333" spans="1:21">
      <c r="A333" t="s">
        <v>1751</v>
      </c>
      <c r="B333" t="s">
        <v>1951</v>
      </c>
      <c r="C333" t="s">
        <v>1751</v>
      </c>
      <c r="D333">
        <v>20471796</v>
      </c>
      <c r="E333" t="s">
        <v>1897</v>
      </c>
      <c r="F333" t="s">
        <v>1799</v>
      </c>
      <c r="G333" t="s">
        <v>3134</v>
      </c>
      <c r="H333" t="s">
        <v>1247</v>
      </c>
      <c r="I333" t="s">
        <v>1950</v>
      </c>
      <c r="J333" s="455">
        <v>46096</v>
      </c>
      <c r="K333" s="455">
        <v>46096</v>
      </c>
      <c r="U333" s="455">
        <v>46097</v>
      </c>
    </row>
    <row r="334" spans="1:21">
      <c r="A334" t="s">
        <v>1751</v>
      </c>
      <c r="B334" t="s">
        <v>1951</v>
      </c>
      <c r="C334" t="s">
        <v>1751</v>
      </c>
      <c r="D334">
        <v>20471775</v>
      </c>
      <c r="E334" t="s">
        <v>1897</v>
      </c>
      <c r="F334" t="s">
        <v>1782</v>
      </c>
      <c r="G334" t="s">
        <v>3134</v>
      </c>
      <c r="H334" t="s">
        <v>1252</v>
      </c>
      <c r="I334" t="s">
        <v>1538</v>
      </c>
      <c r="J334" s="455">
        <v>46096</v>
      </c>
      <c r="K334" s="455">
        <v>46096</v>
      </c>
      <c r="U334" s="455">
        <v>46100</v>
      </c>
    </row>
    <row r="335" spans="1:21">
      <c r="A335" t="s">
        <v>1751</v>
      </c>
      <c r="B335" t="s">
        <v>9281</v>
      </c>
      <c r="C335" t="s">
        <v>1751</v>
      </c>
      <c r="D335">
        <v>20461421</v>
      </c>
      <c r="E335" t="s">
        <v>3133</v>
      </c>
      <c r="F335" t="s">
        <v>1239</v>
      </c>
      <c r="G335" t="s">
        <v>3134</v>
      </c>
      <c r="H335" t="s">
        <v>1247</v>
      </c>
      <c r="I335" t="s">
        <v>1220</v>
      </c>
      <c r="J335" s="455">
        <v>46084</v>
      </c>
      <c r="K335" s="455">
        <v>46084</v>
      </c>
      <c r="L335" s="455">
        <v>46084</v>
      </c>
      <c r="R335" s="455">
        <v>46098</v>
      </c>
      <c r="U335" s="455">
        <v>46100</v>
      </c>
    </row>
    <row r="336" spans="1:21">
      <c r="A336" t="s">
        <v>1751</v>
      </c>
      <c r="B336" t="s">
        <v>9282</v>
      </c>
      <c r="C336" t="s">
        <v>1751</v>
      </c>
      <c r="D336">
        <v>20480891</v>
      </c>
      <c r="E336" t="s">
        <v>3128</v>
      </c>
      <c r="F336" t="s">
        <v>1241</v>
      </c>
      <c r="G336" t="s">
        <v>3134</v>
      </c>
      <c r="H336" t="s">
        <v>1252</v>
      </c>
      <c r="J336" s="455">
        <v>46107</v>
      </c>
      <c r="U336" s="455">
        <v>46108</v>
      </c>
    </row>
    <row r="337" spans="1:21">
      <c r="A337" t="s">
        <v>1751</v>
      </c>
      <c r="B337" t="s">
        <v>9283</v>
      </c>
      <c r="C337" t="s">
        <v>1751</v>
      </c>
      <c r="D337">
        <v>20460544</v>
      </c>
      <c r="E337" t="s">
        <v>3133</v>
      </c>
      <c r="F337" t="s">
        <v>1242</v>
      </c>
      <c r="G337" t="s">
        <v>3134</v>
      </c>
      <c r="H337" t="s">
        <v>1250</v>
      </c>
      <c r="I337" t="s">
        <v>3303</v>
      </c>
      <c r="J337" s="455">
        <v>46083</v>
      </c>
      <c r="K337" s="455">
        <v>46083</v>
      </c>
      <c r="L337" s="455">
        <v>46098</v>
      </c>
      <c r="R337" s="455">
        <v>46103</v>
      </c>
      <c r="U337" s="455">
        <v>46109</v>
      </c>
    </row>
    <row r="338" spans="1:21">
      <c r="A338" t="s">
        <v>1751</v>
      </c>
      <c r="B338" t="s">
        <v>9284</v>
      </c>
      <c r="C338" t="s">
        <v>1751</v>
      </c>
      <c r="D338">
        <v>20462749</v>
      </c>
      <c r="E338" t="s">
        <v>3128</v>
      </c>
      <c r="F338" t="s">
        <v>1782</v>
      </c>
      <c r="G338" t="s">
        <v>3141</v>
      </c>
      <c r="H338" t="s">
        <v>1247</v>
      </c>
      <c r="J338" s="455">
        <v>46086</v>
      </c>
      <c r="U338" s="455">
        <v>46112</v>
      </c>
    </row>
    <row r="339" spans="1:21">
      <c r="A339" t="s">
        <v>1751</v>
      </c>
      <c r="B339" t="s">
        <v>9285</v>
      </c>
      <c r="C339" t="s">
        <v>1751</v>
      </c>
      <c r="D339">
        <v>20465591</v>
      </c>
      <c r="E339" t="s">
        <v>3190</v>
      </c>
      <c r="F339" t="s">
        <v>1237</v>
      </c>
      <c r="G339" t="s">
        <v>3143</v>
      </c>
      <c r="H339" t="s">
        <v>1248</v>
      </c>
      <c r="I339" t="s">
        <v>3262</v>
      </c>
      <c r="J339" s="455">
        <v>46090</v>
      </c>
      <c r="R339" s="455">
        <v>46095</v>
      </c>
      <c r="U339" s="455">
        <v>46127</v>
      </c>
    </row>
    <row r="340" spans="1:21">
      <c r="A340" t="s">
        <v>1751</v>
      </c>
      <c r="B340" t="s">
        <v>1937</v>
      </c>
      <c r="C340" t="s">
        <v>1751</v>
      </c>
      <c r="D340">
        <v>20461257</v>
      </c>
      <c r="E340" t="s">
        <v>1897</v>
      </c>
      <c r="F340" t="s">
        <v>1912</v>
      </c>
      <c r="G340" t="s">
        <v>3134</v>
      </c>
      <c r="H340" t="s">
        <v>1247</v>
      </c>
      <c r="I340" t="s">
        <v>1584</v>
      </c>
      <c r="J340" s="455">
        <v>46084</v>
      </c>
      <c r="K340" s="455">
        <v>46084</v>
      </c>
      <c r="U340" s="455">
        <v>46127</v>
      </c>
    </row>
    <row r="341" spans="1:21">
      <c r="A341" t="s">
        <v>1751</v>
      </c>
      <c r="B341" t="s">
        <v>9286</v>
      </c>
      <c r="C341" t="s">
        <v>1751</v>
      </c>
      <c r="D341">
        <v>20465968</v>
      </c>
      <c r="E341" t="s">
        <v>3128</v>
      </c>
      <c r="F341" t="s">
        <v>1782</v>
      </c>
      <c r="G341" t="s">
        <v>3129</v>
      </c>
      <c r="H341" t="s">
        <v>3131</v>
      </c>
      <c r="J341" s="455">
        <v>46091</v>
      </c>
      <c r="U341" s="455">
        <v>46091</v>
      </c>
    </row>
    <row r="342" spans="1:21">
      <c r="A342" t="s">
        <v>1751</v>
      </c>
      <c r="B342" t="s">
        <v>6698</v>
      </c>
      <c r="C342" t="s">
        <v>1751</v>
      </c>
      <c r="D342">
        <v>20476997</v>
      </c>
      <c r="E342" t="s">
        <v>3128</v>
      </c>
      <c r="F342" t="s">
        <v>1241</v>
      </c>
      <c r="G342" t="s">
        <v>2009</v>
      </c>
      <c r="H342" t="s">
        <v>4333</v>
      </c>
      <c r="J342" s="455">
        <v>46101</v>
      </c>
      <c r="L342" s="455">
        <v>46123</v>
      </c>
      <c r="O342" s="455">
        <v>46137</v>
      </c>
      <c r="U342" s="455">
        <v>46101</v>
      </c>
    </row>
    <row r="343" spans="1:21">
      <c r="A343" t="s">
        <v>1751</v>
      </c>
      <c r="B343" t="s">
        <v>9287</v>
      </c>
      <c r="C343" t="s">
        <v>1751</v>
      </c>
      <c r="D343">
        <v>20476957</v>
      </c>
      <c r="E343" t="s">
        <v>3128</v>
      </c>
      <c r="F343" t="s">
        <v>1782</v>
      </c>
      <c r="G343" t="s">
        <v>3134</v>
      </c>
      <c r="H343" t="s">
        <v>1252</v>
      </c>
      <c r="J343" s="455">
        <v>46101</v>
      </c>
      <c r="U343" s="455">
        <v>46130</v>
      </c>
    </row>
    <row r="344" spans="1:21">
      <c r="A344" t="s">
        <v>1751</v>
      </c>
      <c r="B344" t="s">
        <v>1829</v>
      </c>
      <c r="C344" t="s">
        <v>1751</v>
      </c>
      <c r="D344">
        <v>20476166</v>
      </c>
      <c r="E344" t="s">
        <v>1907</v>
      </c>
      <c r="F344" t="s">
        <v>1237</v>
      </c>
      <c r="G344" t="s">
        <v>3134</v>
      </c>
      <c r="H344" t="s">
        <v>3515</v>
      </c>
      <c r="I344" t="s">
        <v>1562</v>
      </c>
      <c r="J344" s="455">
        <v>46100</v>
      </c>
      <c r="K344" s="455">
        <v>46100</v>
      </c>
      <c r="L344" s="455">
        <v>46100</v>
      </c>
      <c r="U344" s="455">
        <v>46123</v>
      </c>
    </row>
    <row r="345" spans="1:21">
      <c r="A345" t="s">
        <v>1751</v>
      </c>
      <c r="B345" t="s">
        <v>1829</v>
      </c>
      <c r="C345" t="s">
        <v>1751</v>
      </c>
      <c r="D345">
        <v>20475814</v>
      </c>
      <c r="E345" t="s">
        <v>1897</v>
      </c>
      <c r="F345" t="s">
        <v>1237</v>
      </c>
      <c r="G345" t="s">
        <v>3143</v>
      </c>
      <c r="H345" t="s">
        <v>1249</v>
      </c>
      <c r="I345" t="s">
        <v>1961</v>
      </c>
      <c r="J345" s="455">
        <v>46100</v>
      </c>
      <c r="K345" s="455">
        <v>46100</v>
      </c>
      <c r="U345" s="455">
        <v>46123</v>
      </c>
    </row>
    <row r="346" spans="1:21">
      <c r="A346" t="s">
        <v>1751</v>
      </c>
      <c r="B346" t="s">
        <v>9288</v>
      </c>
      <c r="C346" t="s">
        <v>1751</v>
      </c>
      <c r="D346">
        <v>20476624</v>
      </c>
      <c r="E346" t="s">
        <v>3128</v>
      </c>
      <c r="F346" t="s">
        <v>1782</v>
      </c>
      <c r="G346" t="s">
        <v>3134</v>
      </c>
      <c r="H346" t="s">
        <v>1252</v>
      </c>
      <c r="J346" s="455">
        <v>46101</v>
      </c>
      <c r="U346" s="455">
        <v>46101</v>
      </c>
    </row>
    <row r="347" spans="1:21">
      <c r="A347" t="s">
        <v>1751</v>
      </c>
      <c r="B347" t="s">
        <v>9289</v>
      </c>
      <c r="C347" t="s">
        <v>1751</v>
      </c>
      <c r="D347">
        <v>20468836</v>
      </c>
      <c r="E347" t="s">
        <v>3128</v>
      </c>
      <c r="F347" t="s">
        <v>1782</v>
      </c>
      <c r="G347" t="s">
        <v>3141</v>
      </c>
      <c r="H347" t="s">
        <v>1247</v>
      </c>
      <c r="J347" s="455">
        <v>46092</v>
      </c>
      <c r="U347" s="455">
        <v>46143</v>
      </c>
    </row>
    <row r="348" spans="1:21">
      <c r="A348" t="s">
        <v>1751</v>
      </c>
      <c r="B348" t="s">
        <v>9290</v>
      </c>
      <c r="C348" t="s">
        <v>1751</v>
      </c>
      <c r="D348">
        <v>20477347</v>
      </c>
      <c r="E348" t="s">
        <v>3128</v>
      </c>
      <c r="F348" t="s">
        <v>1241</v>
      </c>
      <c r="G348" t="s">
        <v>3129</v>
      </c>
      <c r="H348" t="s">
        <v>1253</v>
      </c>
      <c r="J348" s="455">
        <v>46102</v>
      </c>
      <c r="U348" s="455">
        <v>46157</v>
      </c>
    </row>
    <row r="349" spans="1:21">
      <c r="A349" t="s">
        <v>1751</v>
      </c>
      <c r="B349" t="s">
        <v>9291</v>
      </c>
      <c r="C349" t="s">
        <v>1751</v>
      </c>
      <c r="D349">
        <v>20474425</v>
      </c>
      <c r="E349" t="s">
        <v>3128</v>
      </c>
      <c r="F349" t="s">
        <v>1241</v>
      </c>
      <c r="G349" t="s">
        <v>3134</v>
      </c>
      <c r="H349" t="s">
        <v>1252</v>
      </c>
      <c r="J349" s="455">
        <v>46099</v>
      </c>
      <c r="U349" s="455">
        <v>46116</v>
      </c>
    </row>
    <row r="350" spans="1:21">
      <c r="A350" t="s">
        <v>1751</v>
      </c>
      <c r="B350" t="s">
        <v>9292</v>
      </c>
      <c r="C350" t="s">
        <v>1751</v>
      </c>
      <c r="D350">
        <v>20477372</v>
      </c>
      <c r="E350" t="s">
        <v>3128</v>
      </c>
      <c r="F350" t="s">
        <v>1782</v>
      </c>
      <c r="G350" t="s">
        <v>3134</v>
      </c>
      <c r="H350" t="s">
        <v>1252</v>
      </c>
      <c r="J350" s="455">
        <v>46102</v>
      </c>
      <c r="U350" s="455">
        <v>46134</v>
      </c>
    </row>
    <row r="351" spans="1:21">
      <c r="A351" t="s">
        <v>1751</v>
      </c>
      <c r="B351" t="s">
        <v>9293</v>
      </c>
      <c r="C351" t="s">
        <v>1751</v>
      </c>
      <c r="D351">
        <v>20473055</v>
      </c>
      <c r="E351" t="s">
        <v>3128</v>
      </c>
      <c r="F351" t="s">
        <v>1241</v>
      </c>
      <c r="G351" t="s">
        <v>3134</v>
      </c>
      <c r="H351" t="s">
        <v>1252</v>
      </c>
      <c r="J351" s="455">
        <v>46098</v>
      </c>
      <c r="U351" s="455">
        <v>46185</v>
      </c>
    </row>
    <row r="352" spans="1:21">
      <c r="A352" t="s">
        <v>1751</v>
      </c>
      <c r="B352" t="s">
        <v>9294</v>
      </c>
      <c r="C352" t="s">
        <v>1751</v>
      </c>
      <c r="D352">
        <v>20484046</v>
      </c>
      <c r="E352" t="s">
        <v>3128</v>
      </c>
      <c r="F352" t="s">
        <v>1241</v>
      </c>
      <c r="G352" t="s">
        <v>3143</v>
      </c>
      <c r="H352" t="s">
        <v>1248</v>
      </c>
      <c r="I352" t="s">
        <v>1952</v>
      </c>
      <c r="J352" s="455">
        <v>46112</v>
      </c>
      <c r="U352" s="455">
        <v>46150</v>
      </c>
    </row>
    <row r="353" spans="1:21">
      <c r="A353" t="s">
        <v>1751</v>
      </c>
      <c r="B353" t="s">
        <v>9295</v>
      </c>
      <c r="C353" t="s">
        <v>1751</v>
      </c>
      <c r="D353">
        <v>20473050</v>
      </c>
      <c r="E353" t="s">
        <v>3128</v>
      </c>
      <c r="F353" t="s">
        <v>1241</v>
      </c>
      <c r="G353" t="s">
        <v>3134</v>
      </c>
      <c r="H353" t="s">
        <v>1252</v>
      </c>
      <c r="J353" s="455">
        <v>46098</v>
      </c>
      <c r="U353" s="455">
        <v>46174</v>
      </c>
    </row>
    <row r="354" spans="1:21">
      <c r="A354" t="s">
        <v>1751</v>
      </c>
      <c r="B354" t="s">
        <v>9296</v>
      </c>
      <c r="C354" t="s">
        <v>1751</v>
      </c>
      <c r="D354">
        <v>20482785</v>
      </c>
      <c r="E354" t="s">
        <v>1897</v>
      </c>
      <c r="F354" t="s">
        <v>1912</v>
      </c>
      <c r="G354" t="s">
        <v>3134</v>
      </c>
      <c r="H354" t="s">
        <v>1247</v>
      </c>
      <c r="J354" s="455">
        <v>46110</v>
      </c>
      <c r="K354" s="455">
        <v>46110</v>
      </c>
      <c r="U354" s="455">
        <v>46111</v>
      </c>
    </row>
    <row r="355" spans="1:21">
      <c r="A355" t="s">
        <v>1751</v>
      </c>
      <c r="B355" t="s">
        <v>8863</v>
      </c>
      <c r="C355" t="s">
        <v>1751</v>
      </c>
      <c r="D355">
        <v>20447869</v>
      </c>
      <c r="E355" t="s">
        <v>3133</v>
      </c>
      <c r="F355" t="s">
        <v>1237</v>
      </c>
      <c r="G355" t="s">
        <v>3134</v>
      </c>
      <c r="H355" t="s">
        <v>1247</v>
      </c>
      <c r="J355" s="455">
        <v>46065</v>
      </c>
      <c r="K355" s="455">
        <v>46065</v>
      </c>
      <c r="R355" s="455">
        <v>46091</v>
      </c>
      <c r="U355" s="455">
        <v>46065</v>
      </c>
    </row>
    <row r="356" spans="1:21">
      <c r="A356" t="s">
        <v>1751</v>
      </c>
      <c r="B356" t="s">
        <v>8864</v>
      </c>
      <c r="C356" t="s">
        <v>1751</v>
      </c>
      <c r="D356">
        <v>20447835</v>
      </c>
      <c r="E356" t="s">
        <v>3133</v>
      </c>
      <c r="F356" t="s">
        <v>1237</v>
      </c>
      <c r="G356" t="s">
        <v>3134</v>
      </c>
      <c r="H356" t="s">
        <v>1247</v>
      </c>
      <c r="I356" t="s">
        <v>1225</v>
      </c>
      <c r="J356" s="455">
        <v>46065</v>
      </c>
      <c r="K356" s="455">
        <v>46065</v>
      </c>
      <c r="L356" s="455">
        <v>46065</v>
      </c>
      <c r="R356" s="455">
        <v>46082</v>
      </c>
      <c r="U356" s="455">
        <v>46078</v>
      </c>
    </row>
    <row r="357" spans="1:21">
      <c r="A357" t="s">
        <v>1751</v>
      </c>
      <c r="B357" t="s">
        <v>1904</v>
      </c>
      <c r="C357" t="s">
        <v>1751</v>
      </c>
      <c r="D357">
        <v>20441505</v>
      </c>
      <c r="E357" t="s">
        <v>1897</v>
      </c>
      <c r="F357" t="s">
        <v>1799</v>
      </c>
      <c r="G357" t="s">
        <v>3129</v>
      </c>
      <c r="H357" t="s">
        <v>1252</v>
      </c>
      <c r="I357" t="s">
        <v>1903</v>
      </c>
      <c r="J357" s="455">
        <v>46058</v>
      </c>
      <c r="K357" s="455">
        <v>46084</v>
      </c>
      <c r="U357" s="455">
        <v>46102</v>
      </c>
    </row>
    <row r="358" spans="1:21">
      <c r="A358" t="s">
        <v>1751</v>
      </c>
      <c r="B358" t="s">
        <v>9297</v>
      </c>
      <c r="C358" t="s">
        <v>1751</v>
      </c>
      <c r="D358">
        <v>20482848</v>
      </c>
      <c r="E358" t="s">
        <v>3128</v>
      </c>
      <c r="F358" t="s">
        <v>1782</v>
      </c>
      <c r="G358" t="s">
        <v>3134</v>
      </c>
      <c r="H358" t="s">
        <v>1252</v>
      </c>
      <c r="J358" s="455">
        <v>46111</v>
      </c>
      <c r="U358" s="455">
        <v>46143</v>
      </c>
    </row>
    <row r="359" spans="1:21">
      <c r="A359" t="s">
        <v>1751</v>
      </c>
      <c r="B359" t="s">
        <v>4688</v>
      </c>
      <c r="C359" t="s">
        <v>1751</v>
      </c>
      <c r="D359">
        <v>20482469</v>
      </c>
      <c r="E359" t="s">
        <v>3190</v>
      </c>
      <c r="F359" t="s">
        <v>1241</v>
      </c>
      <c r="G359" t="s">
        <v>3129</v>
      </c>
      <c r="H359" t="s">
        <v>3131</v>
      </c>
      <c r="J359" s="455">
        <v>46110</v>
      </c>
      <c r="R359" s="455">
        <v>46112</v>
      </c>
      <c r="U359" s="455">
        <v>46110</v>
      </c>
    </row>
    <row r="360" spans="1:21">
      <c r="A360" t="s">
        <v>1751</v>
      </c>
      <c r="B360" t="s">
        <v>9298</v>
      </c>
      <c r="C360" t="s">
        <v>1751</v>
      </c>
      <c r="D360">
        <v>20480954</v>
      </c>
      <c r="E360" t="s">
        <v>3128</v>
      </c>
      <c r="F360" t="s">
        <v>1241</v>
      </c>
      <c r="G360" t="s">
        <v>3134</v>
      </c>
      <c r="H360" t="s">
        <v>1252</v>
      </c>
      <c r="J360" s="455">
        <v>46107</v>
      </c>
      <c r="U360" s="455">
        <v>46136</v>
      </c>
    </row>
    <row r="361" spans="1:21">
      <c r="A361" t="s">
        <v>1751</v>
      </c>
      <c r="B361" t="s">
        <v>2712</v>
      </c>
      <c r="C361" t="s">
        <v>1751</v>
      </c>
      <c r="D361">
        <v>20477418</v>
      </c>
      <c r="E361" t="s">
        <v>3128</v>
      </c>
      <c r="F361" t="s">
        <v>1241</v>
      </c>
      <c r="G361" t="s">
        <v>2009</v>
      </c>
      <c r="H361" t="s">
        <v>1248</v>
      </c>
      <c r="I361" t="s">
        <v>3265</v>
      </c>
      <c r="J361" s="455">
        <v>46102</v>
      </c>
      <c r="U361" s="455">
        <v>46160</v>
      </c>
    </row>
    <row r="362" spans="1:21">
      <c r="A362" t="s">
        <v>1751</v>
      </c>
      <c r="B362" t="s">
        <v>9299</v>
      </c>
      <c r="C362" t="s">
        <v>1751</v>
      </c>
      <c r="D362">
        <v>20470819</v>
      </c>
      <c r="E362" t="s">
        <v>3128</v>
      </c>
      <c r="F362" t="s">
        <v>1782</v>
      </c>
      <c r="G362" t="s">
        <v>3134</v>
      </c>
      <c r="H362" t="s">
        <v>1252</v>
      </c>
      <c r="J362" s="455">
        <v>46094</v>
      </c>
      <c r="U362" s="455">
        <v>46113</v>
      </c>
    </row>
    <row r="363" spans="1:21">
      <c r="A363" t="s">
        <v>1751</v>
      </c>
      <c r="B363" t="s">
        <v>9300</v>
      </c>
      <c r="C363" t="s">
        <v>1751</v>
      </c>
      <c r="D363">
        <v>20473249</v>
      </c>
      <c r="E363" t="s">
        <v>3128</v>
      </c>
      <c r="F363" t="s">
        <v>1241</v>
      </c>
      <c r="G363" t="s">
        <v>3134</v>
      </c>
      <c r="H363" t="s">
        <v>1252</v>
      </c>
      <c r="J363" s="455">
        <v>46098</v>
      </c>
      <c r="U363" s="455">
        <v>46113</v>
      </c>
    </row>
    <row r="364" spans="1:21">
      <c r="A364" t="s">
        <v>1751</v>
      </c>
      <c r="B364" t="s">
        <v>9301</v>
      </c>
      <c r="C364" t="s">
        <v>1751</v>
      </c>
      <c r="D364">
        <v>20482403</v>
      </c>
      <c r="E364" t="s">
        <v>3128</v>
      </c>
      <c r="F364" t="s">
        <v>1782</v>
      </c>
      <c r="G364" t="s">
        <v>3134</v>
      </c>
      <c r="H364" t="s">
        <v>1252</v>
      </c>
      <c r="J364" s="455">
        <v>46109</v>
      </c>
      <c r="U364" s="455">
        <v>46127</v>
      </c>
    </row>
    <row r="365" spans="1:21">
      <c r="A365" t="s">
        <v>1751</v>
      </c>
      <c r="B365" t="s">
        <v>9302</v>
      </c>
      <c r="C365" t="s">
        <v>1751</v>
      </c>
      <c r="D365">
        <v>20477595</v>
      </c>
      <c r="E365" t="s">
        <v>3128</v>
      </c>
      <c r="F365" t="s">
        <v>1782</v>
      </c>
      <c r="G365" t="s">
        <v>3134</v>
      </c>
      <c r="H365" t="s">
        <v>1252</v>
      </c>
      <c r="J365" s="455">
        <v>46102</v>
      </c>
      <c r="U365" s="455">
        <v>46139</v>
      </c>
    </row>
    <row r="366" spans="1:21">
      <c r="A366" t="s">
        <v>1751</v>
      </c>
      <c r="B366" t="s">
        <v>9303</v>
      </c>
      <c r="C366" t="s">
        <v>1751</v>
      </c>
      <c r="D366">
        <v>20477818</v>
      </c>
      <c r="E366" t="s">
        <v>3128</v>
      </c>
      <c r="F366" t="s">
        <v>1241</v>
      </c>
      <c r="G366" t="s">
        <v>3134</v>
      </c>
      <c r="H366" t="s">
        <v>1252</v>
      </c>
      <c r="J366" s="455">
        <v>46103</v>
      </c>
      <c r="U366" s="455">
        <v>46117</v>
      </c>
    </row>
    <row r="367" spans="1:21">
      <c r="A367" t="s">
        <v>1751</v>
      </c>
      <c r="B367" t="s">
        <v>9304</v>
      </c>
      <c r="C367" t="s">
        <v>1751</v>
      </c>
      <c r="D367">
        <v>20480604</v>
      </c>
      <c r="E367" t="s">
        <v>3128</v>
      </c>
      <c r="F367" t="s">
        <v>1241</v>
      </c>
      <c r="G367" t="s">
        <v>3141</v>
      </c>
      <c r="H367" t="s">
        <v>1251</v>
      </c>
      <c r="J367" s="455">
        <v>46107</v>
      </c>
      <c r="U367" s="455">
        <v>46107</v>
      </c>
    </row>
    <row r="368" spans="1:21">
      <c r="A368" t="s">
        <v>1751</v>
      </c>
      <c r="B368" t="s">
        <v>7028</v>
      </c>
      <c r="C368" t="s">
        <v>1751</v>
      </c>
      <c r="D368">
        <v>20462872</v>
      </c>
      <c r="E368" t="s">
        <v>3128</v>
      </c>
      <c r="F368" t="s">
        <v>1241</v>
      </c>
      <c r="G368" t="s">
        <v>3143</v>
      </c>
      <c r="H368" t="s">
        <v>1248</v>
      </c>
      <c r="I368" t="s">
        <v>1952</v>
      </c>
      <c r="J368" s="455">
        <v>46086</v>
      </c>
      <c r="U368" s="455">
        <v>46109</v>
      </c>
    </row>
    <row r="369" spans="1:21">
      <c r="A369" t="s">
        <v>1751</v>
      </c>
      <c r="B369" t="s">
        <v>9305</v>
      </c>
      <c r="C369" t="s">
        <v>1751</v>
      </c>
      <c r="D369">
        <v>20461420</v>
      </c>
      <c r="E369" t="s">
        <v>3128</v>
      </c>
      <c r="F369" t="s">
        <v>1237</v>
      </c>
      <c r="G369" t="s">
        <v>3143</v>
      </c>
      <c r="H369" t="s">
        <v>1248</v>
      </c>
      <c r="I369" t="s">
        <v>7035</v>
      </c>
      <c r="J369" s="455">
        <v>46084</v>
      </c>
      <c r="U369" s="455">
        <v>46126</v>
      </c>
    </row>
    <row r="370" spans="1:21">
      <c r="A370" t="s">
        <v>1751</v>
      </c>
      <c r="B370" t="s">
        <v>9306</v>
      </c>
      <c r="C370" t="s">
        <v>1751</v>
      </c>
      <c r="D370">
        <v>20471953</v>
      </c>
      <c r="E370" t="s">
        <v>3128</v>
      </c>
      <c r="F370" t="s">
        <v>1782</v>
      </c>
      <c r="G370" t="s">
        <v>3134</v>
      </c>
      <c r="H370" t="s">
        <v>1252</v>
      </c>
      <c r="J370" s="455">
        <v>46096</v>
      </c>
      <c r="U370" s="455">
        <v>46104</v>
      </c>
    </row>
    <row r="371" spans="1:21">
      <c r="A371" t="s">
        <v>1751</v>
      </c>
      <c r="B371" t="s">
        <v>9307</v>
      </c>
      <c r="C371" t="s">
        <v>1751</v>
      </c>
      <c r="D371">
        <v>20460820</v>
      </c>
      <c r="E371" t="s">
        <v>3190</v>
      </c>
      <c r="F371" t="s">
        <v>1241</v>
      </c>
      <c r="G371" t="s">
        <v>3129</v>
      </c>
      <c r="H371" t="s">
        <v>1252</v>
      </c>
      <c r="I371" t="s">
        <v>6565</v>
      </c>
      <c r="J371" s="455">
        <v>46083</v>
      </c>
      <c r="R371" s="455">
        <v>46095</v>
      </c>
      <c r="U371" s="455">
        <v>46174</v>
      </c>
    </row>
    <row r="372" spans="1:21">
      <c r="A372" t="s">
        <v>1751</v>
      </c>
      <c r="B372" t="s">
        <v>1840</v>
      </c>
      <c r="C372" t="s">
        <v>1751</v>
      </c>
      <c r="D372">
        <v>20478246</v>
      </c>
      <c r="E372" t="s">
        <v>1907</v>
      </c>
      <c r="F372" t="s">
        <v>1799</v>
      </c>
      <c r="G372" t="s">
        <v>3143</v>
      </c>
      <c r="H372" t="s">
        <v>1252</v>
      </c>
      <c r="I372" t="s">
        <v>1839</v>
      </c>
      <c r="J372" s="455">
        <v>46104</v>
      </c>
      <c r="K372" s="455">
        <v>46104</v>
      </c>
      <c r="L372" s="455">
        <v>46104</v>
      </c>
      <c r="U372" s="455">
        <v>46172</v>
      </c>
    </row>
    <row r="373" spans="1:21">
      <c r="A373" t="s">
        <v>1751</v>
      </c>
      <c r="B373" t="s">
        <v>1968</v>
      </c>
      <c r="C373" t="s">
        <v>1751</v>
      </c>
      <c r="D373">
        <v>20478176</v>
      </c>
      <c r="E373" t="s">
        <v>3133</v>
      </c>
      <c r="F373" t="s">
        <v>1799</v>
      </c>
      <c r="G373" t="s">
        <v>3143</v>
      </c>
      <c r="H373" t="s">
        <v>1252</v>
      </c>
      <c r="I373" t="s">
        <v>2615</v>
      </c>
      <c r="J373" s="455">
        <v>46104</v>
      </c>
      <c r="K373" s="455">
        <v>46104</v>
      </c>
      <c r="L373" s="455">
        <v>46104</v>
      </c>
      <c r="R373" s="455">
        <v>46104</v>
      </c>
      <c r="U373" s="455">
        <v>46113</v>
      </c>
    </row>
    <row r="374" spans="1:21">
      <c r="A374" t="s">
        <v>1751</v>
      </c>
      <c r="B374" t="s">
        <v>1968</v>
      </c>
      <c r="C374" t="s">
        <v>1751</v>
      </c>
      <c r="D374">
        <v>20478245</v>
      </c>
      <c r="E374" t="s">
        <v>3133</v>
      </c>
      <c r="F374" t="s">
        <v>1799</v>
      </c>
      <c r="G374" t="s">
        <v>3134</v>
      </c>
      <c r="H374" t="s">
        <v>1252</v>
      </c>
      <c r="I374" t="s">
        <v>1967</v>
      </c>
      <c r="J374" s="455">
        <v>46104</v>
      </c>
      <c r="K374" s="455">
        <v>46104</v>
      </c>
      <c r="L374" s="455">
        <v>46104</v>
      </c>
      <c r="R374" s="455">
        <v>46105</v>
      </c>
      <c r="U374" s="455">
        <v>46172</v>
      </c>
    </row>
    <row r="375" spans="1:21">
      <c r="A375" t="s">
        <v>1751</v>
      </c>
      <c r="B375" t="s">
        <v>8871</v>
      </c>
      <c r="C375" t="s">
        <v>1751</v>
      </c>
      <c r="D375">
        <v>20454865</v>
      </c>
      <c r="E375" t="s">
        <v>3133</v>
      </c>
      <c r="F375" t="s">
        <v>1243</v>
      </c>
      <c r="G375" t="s">
        <v>3134</v>
      </c>
      <c r="H375" t="s">
        <v>1252</v>
      </c>
      <c r="I375" t="s">
        <v>3872</v>
      </c>
      <c r="J375" s="455">
        <v>46074</v>
      </c>
      <c r="K375" s="455">
        <v>46074</v>
      </c>
      <c r="L375" s="455">
        <v>46086</v>
      </c>
      <c r="R375" s="455">
        <v>46098</v>
      </c>
      <c r="U375" s="455">
        <v>46160</v>
      </c>
    </row>
    <row r="376" spans="1:21">
      <c r="A376" t="s">
        <v>1751</v>
      </c>
      <c r="B376" t="s">
        <v>9308</v>
      </c>
      <c r="C376" t="s">
        <v>1751</v>
      </c>
      <c r="D376">
        <v>20473630</v>
      </c>
      <c r="E376" t="s">
        <v>3128</v>
      </c>
      <c r="F376" t="s">
        <v>1239</v>
      </c>
      <c r="G376" t="s">
        <v>3137</v>
      </c>
      <c r="H376" t="s">
        <v>1251</v>
      </c>
      <c r="J376" s="455">
        <v>46098</v>
      </c>
      <c r="U376" s="455">
        <v>46175</v>
      </c>
    </row>
    <row r="377" spans="1:21">
      <c r="A377" t="s">
        <v>1751</v>
      </c>
      <c r="B377" t="s">
        <v>1795</v>
      </c>
      <c r="C377" t="s">
        <v>1751</v>
      </c>
      <c r="D377">
        <v>20450635</v>
      </c>
      <c r="E377" t="s">
        <v>3142</v>
      </c>
      <c r="F377" t="s">
        <v>1239</v>
      </c>
      <c r="G377" t="s">
        <v>3129</v>
      </c>
      <c r="H377" t="s">
        <v>3131</v>
      </c>
      <c r="I377" t="s">
        <v>1223</v>
      </c>
      <c r="J377" s="455">
        <v>46070</v>
      </c>
      <c r="K377" s="455">
        <v>46085</v>
      </c>
      <c r="L377" s="455">
        <v>46090</v>
      </c>
      <c r="M377" s="455">
        <v>46104</v>
      </c>
      <c r="N377" s="455">
        <v>46104</v>
      </c>
      <c r="P377" s="455">
        <v>46106</v>
      </c>
      <c r="Q377" s="455">
        <v>46106</v>
      </c>
      <c r="U377" s="455">
        <v>46109</v>
      </c>
    </row>
    <row r="378" spans="1:21">
      <c r="A378" t="s">
        <v>1751</v>
      </c>
      <c r="B378" t="s">
        <v>1795</v>
      </c>
      <c r="C378" t="s">
        <v>1751</v>
      </c>
      <c r="D378">
        <v>20465530</v>
      </c>
      <c r="E378" t="s">
        <v>1897</v>
      </c>
      <c r="F378" t="s">
        <v>1799</v>
      </c>
      <c r="G378" t="s">
        <v>3134</v>
      </c>
      <c r="H378" t="s">
        <v>3131</v>
      </c>
      <c r="J378" s="455">
        <v>46090</v>
      </c>
      <c r="K378" s="455">
        <v>46090</v>
      </c>
      <c r="U378" s="455">
        <v>46090</v>
      </c>
    </row>
    <row r="379" spans="1:21">
      <c r="A379" t="s">
        <v>1751</v>
      </c>
      <c r="B379" t="s">
        <v>9309</v>
      </c>
      <c r="C379" t="s">
        <v>1751</v>
      </c>
      <c r="D379">
        <v>20477986</v>
      </c>
      <c r="E379" t="s">
        <v>3128</v>
      </c>
      <c r="F379" t="s">
        <v>1241</v>
      </c>
      <c r="G379" t="s">
        <v>3134</v>
      </c>
      <c r="H379" t="s">
        <v>1252</v>
      </c>
      <c r="J379" s="455">
        <v>46103</v>
      </c>
      <c r="U379" s="455">
        <v>46122</v>
      </c>
    </row>
    <row r="380" spans="1:21">
      <c r="A380" t="s">
        <v>1751</v>
      </c>
      <c r="B380" t="s">
        <v>1928</v>
      </c>
      <c r="C380" t="s">
        <v>1751</v>
      </c>
      <c r="D380">
        <v>20458158</v>
      </c>
      <c r="E380" t="s">
        <v>1897</v>
      </c>
      <c r="F380" t="s">
        <v>1782</v>
      </c>
      <c r="G380" t="s">
        <v>3143</v>
      </c>
      <c r="H380" t="s">
        <v>1250</v>
      </c>
      <c r="I380" t="s">
        <v>1927</v>
      </c>
      <c r="J380" s="455">
        <v>46079</v>
      </c>
      <c r="K380" s="455">
        <v>46082</v>
      </c>
      <c r="U380" s="455">
        <v>46094</v>
      </c>
    </row>
    <row r="381" spans="1:21">
      <c r="A381" t="s">
        <v>1751</v>
      </c>
      <c r="B381" t="s">
        <v>9310</v>
      </c>
      <c r="C381" t="s">
        <v>1751</v>
      </c>
      <c r="D381">
        <v>20471257</v>
      </c>
      <c r="E381" t="s">
        <v>3133</v>
      </c>
      <c r="F381" t="s">
        <v>1237</v>
      </c>
      <c r="G381" t="s">
        <v>3134</v>
      </c>
      <c r="H381" t="s">
        <v>1248</v>
      </c>
      <c r="I381" t="s">
        <v>3179</v>
      </c>
      <c r="J381" s="455">
        <v>46095</v>
      </c>
      <c r="K381" s="455">
        <v>46095</v>
      </c>
      <c r="L381" s="455">
        <v>46096</v>
      </c>
      <c r="R381" s="455">
        <v>46100</v>
      </c>
      <c r="U381" s="455">
        <v>46100</v>
      </c>
    </row>
    <row r="382" spans="1:21">
      <c r="A382" t="s">
        <v>1751</v>
      </c>
      <c r="B382" t="s">
        <v>9311</v>
      </c>
      <c r="C382" t="s">
        <v>1751</v>
      </c>
      <c r="D382">
        <v>20475803</v>
      </c>
      <c r="E382" t="s">
        <v>3128</v>
      </c>
      <c r="F382" t="s">
        <v>1241</v>
      </c>
      <c r="G382" t="s">
        <v>3134</v>
      </c>
      <c r="H382" t="s">
        <v>1252</v>
      </c>
      <c r="J382" s="455">
        <v>46100</v>
      </c>
      <c r="U382" s="455">
        <v>46220</v>
      </c>
    </row>
    <row r="383" spans="1:21">
      <c r="A383" t="s">
        <v>1751</v>
      </c>
      <c r="B383" t="s">
        <v>9312</v>
      </c>
      <c r="C383" t="s">
        <v>1751</v>
      </c>
      <c r="D383">
        <v>20472760</v>
      </c>
      <c r="E383" t="s">
        <v>3128</v>
      </c>
      <c r="F383" t="s">
        <v>1241</v>
      </c>
      <c r="G383" t="s">
        <v>3134</v>
      </c>
      <c r="H383" t="s">
        <v>1252</v>
      </c>
      <c r="J383" s="455">
        <v>46097</v>
      </c>
      <c r="U383" s="455">
        <v>46102</v>
      </c>
    </row>
    <row r="384" spans="1:21">
      <c r="A384" t="s">
        <v>1751</v>
      </c>
      <c r="B384" t="s">
        <v>9313</v>
      </c>
      <c r="C384" t="s">
        <v>1751</v>
      </c>
      <c r="D384">
        <v>20480580</v>
      </c>
      <c r="E384" t="s">
        <v>3128</v>
      </c>
      <c r="F384" t="s">
        <v>1241</v>
      </c>
      <c r="G384" t="s">
        <v>3134</v>
      </c>
      <c r="H384" t="s">
        <v>1252</v>
      </c>
      <c r="J384" s="455">
        <v>46107</v>
      </c>
      <c r="U384" s="455">
        <v>46203</v>
      </c>
    </row>
    <row r="385" spans="1:21">
      <c r="A385" t="s">
        <v>1751</v>
      </c>
      <c r="B385" t="s">
        <v>6412</v>
      </c>
      <c r="C385" t="s">
        <v>1751</v>
      </c>
      <c r="D385">
        <v>20478155</v>
      </c>
      <c r="E385" t="s">
        <v>1907</v>
      </c>
      <c r="F385" t="s">
        <v>1242</v>
      </c>
      <c r="G385" t="s">
        <v>3143</v>
      </c>
      <c r="H385" t="s">
        <v>1249</v>
      </c>
      <c r="I385" t="s">
        <v>1831</v>
      </c>
      <c r="J385" s="455">
        <v>46104</v>
      </c>
      <c r="K385" s="455">
        <v>46104</v>
      </c>
      <c r="L385" s="455">
        <v>46104</v>
      </c>
      <c r="U385" s="455">
        <v>46112</v>
      </c>
    </row>
    <row r="386" spans="1:21">
      <c r="A386" t="s">
        <v>1751</v>
      </c>
      <c r="B386" t="s">
        <v>1962</v>
      </c>
      <c r="C386" t="s">
        <v>1751</v>
      </c>
      <c r="D386">
        <v>20475854</v>
      </c>
      <c r="E386" t="s">
        <v>1907</v>
      </c>
      <c r="F386" t="s">
        <v>1237</v>
      </c>
      <c r="G386" t="s">
        <v>3134</v>
      </c>
      <c r="H386" t="s">
        <v>1247</v>
      </c>
      <c r="I386" t="s">
        <v>3179</v>
      </c>
      <c r="J386" s="455">
        <v>46100</v>
      </c>
      <c r="K386" s="455">
        <v>46100</v>
      </c>
      <c r="L386" s="455">
        <v>46106</v>
      </c>
      <c r="U386" s="455">
        <v>46128</v>
      </c>
    </row>
    <row r="387" spans="1:21">
      <c r="A387" t="s">
        <v>1751</v>
      </c>
      <c r="B387" t="s">
        <v>9314</v>
      </c>
      <c r="C387" t="s">
        <v>1751</v>
      </c>
      <c r="D387">
        <v>20483782</v>
      </c>
      <c r="E387" t="s">
        <v>3128</v>
      </c>
      <c r="F387" t="s">
        <v>1241</v>
      </c>
      <c r="G387" t="s">
        <v>3134</v>
      </c>
      <c r="H387" t="s">
        <v>1252</v>
      </c>
      <c r="J387" s="455">
        <v>46112</v>
      </c>
      <c r="U387" s="455">
        <v>46115</v>
      </c>
    </row>
    <row r="388" spans="1:21">
      <c r="A388" t="s">
        <v>1751</v>
      </c>
      <c r="B388" t="s">
        <v>8873</v>
      </c>
      <c r="C388" t="s">
        <v>1751</v>
      </c>
      <c r="D388">
        <v>20452337</v>
      </c>
      <c r="E388" t="s">
        <v>3133</v>
      </c>
      <c r="F388" t="s">
        <v>1782</v>
      </c>
      <c r="G388" t="s">
        <v>3143</v>
      </c>
      <c r="H388" t="s">
        <v>1248</v>
      </c>
      <c r="I388" t="s">
        <v>1227</v>
      </c>
      <c r="J388" s="455">
        <v>46071</v>
      </c>
      <c r="K388" s="455">
        <v>46071</v>
      </c>
      <c r="L388" s="455">
        <v>46072</v>
      </c>
      <c r="R388" s="455">
        <v>46083</v>
      </c>
      <c r="U388" s="455">
        <v>46088</v>
      </c>
    </row>
    <row r="389" spans="1:21">
      <c r="A389" t="s">
        <v>1751</v>
      </c>
      <c r="B389" t="s">
        <v>9315</v>
      </c>
      <c r="C389" t="s">
        <v>1751</v>
      </c>
      <c r="D389">
        <v>20472116</v>
      </c>
      <c r="E389" t="s">
        <v>3128</v>
      </c>
      <c r="F389" t="s">
        <v>1237</v>
      </c>
      <c r="G389" t="s">
        <v>3129</v>
      </c>
      <c r="H389" t="s">
        <v>1252</v>
      </c>
      <c r="I389" t="s">
        <v>2137</v>
      </c>
      <c r="J389" s="455">
        <v>46096</v>
      </c>
      <c r="U389" s="455">
        <v>46096</v>
      </c>
    </row>
    <row r="390" spans="1:21">
      <c r="A390" t="s">
        <v>1751</v>
      </c>
      <c r="B390" t="s">
        <v>9316</v>
      </c>
      <c r="C390" t="s">
        <v>1751</v>
      </c>
      <c r="D390">
        <v>20483867</v>
      </c>
      <c r="E390" t="s">
        <v>3128</v>
      </c>
      <c r="F390" t="s">
        <v>1241</v>
      </c>
      <c r="G390" t="s">
        <v>3134</v>
      </c>
      <c r="H390" t="s">
        <v>1252</v>
      </c>
      <c r="J390" s="455">
        <v>46112</v>
      </c>
      <c r="U390" s="455">
        <v>46143</v>
      </c>
    </row>
    <row r="391" spans="1:21">
      <c r="A391" t="s">
        <v>1751</v>
      </c>
      <c r="B391" t="s">
        <v>9317</v>
      </c>
      <c r="C391" t="s">
        <v>1751</v>
      </c>
      <c r="D391">
        <v>20470994</v>
      </c>
      <c r="E391" t="s">
        <v>3128</v>
      </c>
      <c r="F391" t="s">
        <v>1799</v>
      </c>
      <c r="G391" t="s">
        <v>3134</v>
      </c>
      <c r="H391" t="s">
        <v>1252</v>
      </c>
      <c r="J391" s="455">
        <v>46094</v>
      </c>
      <c r="U391" s="455">
        <v>46320</v>
      </c>
    </row>
    <row r="392" spans="1:21">
      <c r="A392" t="s">
        <v>1751</v>
      </c>
      <c r="B392" t="s">
        <v>1819</v>
      </c>
      <c r="C392" t="s">
        <v>1751</v>
      </c>
      <c r="D392">
        <v>20474144</v>
      </c>
      <c r="E392" t="s">
        <v>3133</v>
      </c>
      <c r="F392" t="s">
        <v>1243</v>
      </c>
      <c r="G392" t="s">
        <v>3134</v>
      </c>
      <c r="H392" t="s">
        <v>1247</v>
      </c>
      <c r="I392" t="s">
        <v>1818</v>
      </c>
      <c r="J392" s="455">
        <v>46098</v>
      </c>
      <c r="K392" s="455">
        <v>46098</v>
      </c>
      <c r="L392" s="455">
        <v>46099</v>
      </c>
      <c r="R392" s="455">
        <v>46112</v>
      </c>
      <c r="U392" s="455">
        <v>46115</v>
      </c>
    </row>
    <row r="393" spans="1:21">
      <c r="A393" t="s">
        <v>1751</v>
      </c>
      <c r="B393" t="s">
        <v>9318</v>
      </c>
      <c r="C393" t="s">
        <v>1751</v>
      </c>
      <c r="D393">
        <v>20471687</v>
      </c>
      <c r="E393" t="s">
        <v>3128</v>
      </c>
      <c r="F393" t="s">
        <v>1241</v>
      </c>
      <c r="G393" t="s">
        <v>3134</v>
      </c>
      <c r="H393" t="s">
        <v>1252</v>
      </c>
      <c r="I393" t="s">
        <v>1952</v>
      </c>
      <c r="J393" s="455">
        <v>46095</v>
      </c>
      <c r="U393" s="455">
        <v>46174</v>
      </c>
    </row>
    <row r="394" spans="1:21">
      <c r="A394" t="s">
        <v>1751</v>
      </c>
      <c r="B394" t="s">
        <v>9319</v>
      </c>
      <c r="C394" t="s">
        <v>1751</v>
      </c>
      <c r="D394">
        <v>20483105</v>
      </c>
      <c r="E394" t="s">
        <v>1907</v>
      </c>
      <c r="F394" t="s">
        <v>1799</v>
      </c>
      <c r="G394" t="s">
        <v>3134</v>
      </c>
      <c r="H394" t="s">
        <v>1247</v>
      </c>
      <c r="I394" t="s">
        <v>1227</v>
      </c>
      <c r="J394" s="455">
        <v>46111</v>
      </c>
      <c r="K394" s="455">
        <v>46111</v>
      </c>
      <c r="L394" s="455">
        <v>46111</v>
      </c>
      <c r="U394" s="455">
        <v>46116</v>
      </c>
    </row>
    <row r="395" spans="1:21">
      <c r="A395" t="s">
        <v>1751</v>
      </c>
      <c r="B395" t="s">
        <v>9320</v>
      </c>
      <c r="C395" t="s">
        <v>1751</v>
      </c>
      <c r="D395">
        <v>20464427</v>
      </c>
      <c r="E395" t="s">
        <v>3133</v>
      </c>
      <c r="F395" t="s">
        <v>1243</v>
      </c>
      <c r="G395" t="s">
        <v>3143</v>
      </c>
      <c r="H395" t="s">
        <v>1248</v>
      </c>
      <c r="I395" t="s">
        <v>6998</v>
      </c>
      <c r="J395" s="455">
        <v>46088</v>
      </c>
      <c r="K395" s="455">
        <v>46089</v>
      </c>
      <c r="L395" s="455">
        <v>46091</v>
      </c>
      <c r="R395" s="455">
        <v>46098</v>
      </c>
      <c r="U395" s="455">
        <v>46113</v>
      </c>
    </row>
    <row r="396" spans="1:21">
      <c r="A396" t="s">
        <v>1751</v>
      </c>
      <c r="B396" t="s">
        <v>9320</v>
      </c>
      <c r="C396" t="s">
        <v>1751</v>
      </c>
      <c r="D396">
        <v>20464848</v>
      </c>
      <c r="E396" t="s">
        <v>3133</v>
      </c>
      <c r="F396" t="s">
        <v>1912</v>
      </c>
      <c r="G396" t="s">
        <v>3134</v>
      </c>
      <c r="H396" t="s">
        <v>1247</v>
      </c>
      <c r="J396" s="455">
        <v>46089</v>
      </c>
      <c r="K396" s="455">
        <v>46089</v>
      </c>
      <c r="R396" s="455">
        <v>46091</v>
      </c>
      <c r="U396" s="455">
        <v>46090</v>
      </c>
    </row>
    <row r="397" spans="1:21">
      <c r="A397" t="s">
        <v>1751</v>
      </c>
      <c r="B397" t="s">
        <v>9321</v>
      </c>
      <c r="C397" t="s">
        <v>1751</v>
      </c>
      <c r="D397">
        <v>20472974</v>
      </c>
      <c r="E397" t="s">
        <v>3128</v>
      </c>
      <c r="F397" t="s">
        <v>1782</v>
      </c>
      <c r="G397" t="s">
        <v>3134</v>
      </c>
      <c r="H397" t="s">
        <v>1252</v>
      </c>
      <c r="J397" s="455">
        <v>46097</v>
      </c>
      <c r="U397" s="455">
        <v>46098</v>
      </c>
    </row>
    <row r="398" spans="1:21">
      <c r="A398" t="s">
        <v>1751</v>
      </c>
      <c r="B398" t="s">
        <v>9322</v>
      </c>
      <c r="C398" t="s">
        <v>1751</v>
      </c>
      <c r="D398">
        <v>20482024</v>
      </c>
      <c r="E398" t="s">
        <v>3128</v>
      </c>
      <c r="F398" t="s">
        <v>1782</v>
      </c>
      <c r="G398" t="s">
        <v>3134</v>
      </c>
      <c r="H398" t="s">
        <v>1252</v>
      </c>
      <c r="J398" s="455">
        <v>46109</v>
      </c>
      <c r="U398" s="455">
        <v>46113</v>
      </c>
    </row>
    <row r="399" spans="1:21">
      <c r="A399" t="s">
        <v>1751</v>
      </c>
      <c r="B399" t="s">
        <v>3826</v>
      </c>
      <c r="C399" t="s">
        <v>1751</v>
      </c>
      <c r="D399">
        <v>20483406</v>
      </c>
      <c r="E399" t="s">
        <v>1897</v>
      </c>
      <c r="F399" t="s">
        <v>1241</v>
      </c>
      <c r="G399" t="s">
        <v>3134</v>
      </c>
      <c r="H399" t="s">
        <v>1247</v>
      </c>
      <c r="J399" s="455">
        <v>46111</v>
      </c>
      <c r="K399" s="455">
        <v>46111</v>
      </c>
      <c r="U399" s="455">
        <v>46111</v>
      </c>
    </row>
    <row r="400" spans="1:21">
      <c r="A400" t="s">
        <v>1751</v>
      </c>
      <c r="B400" t="s">
        <v>7144</v>
      </c>
      <c r="C400" t="s">
        <v>1751</v>
      </c>
      <c r="D400">
        <v>20448159</v>
      </c>
      <c r="E400" t="s">
        <v>3133</v>
      </c>
      <c r="F400" t="s">
        <v>1241</v>
      </c>
      <c r="G400" t="s">
        <v>3134</v>
      </c>
      <c r="H400" t="s">
        <v>1249</v>
      </c>
      <c r="I400" t="s">
        <v>1563</v>
      </c>
      <c r="J400" s="455">
        <v>46065</v>
      </c>
      <c r="K400" s="455">
        <v>46065</v>
      </c>
      <c r="R400" s="455">
        <v>46093</v>
      </c>
      <c r="U400" s="455">
        <v>46065</v>
      </c>
    </row>
    <row r="401" spans="1:21">
      <c r="A401" t="s">
        <v>1751</v>
      </c>
      <c r="B401" t="s">
        <v>9323</v>
      </c>
      <c r="C401" t="s">
        <v>1751</v>
      </c>
      <c r="D401">
        <v>20468603</v>
      </c>
      <c r="E401" t="s">
        <v>1897</v>
      </c>
      <c r="F401" t="s">
        <v>1241</v>
      </c>
      <c r="G401" t="s">
        <v>3134</v>
      </c>
      <c r="H401" t="s">
        <v>1247</v>
      </c>
      <c r="J401" s="455">
        <v>46092</v>
      </c>
      <c r="K401" s="455">
        <v>46092</v>
      </c>
      <c r="U401" s="455">
        <v>46092</v>
      </c>
    </row>
    <row r="402" spans="1:21">
      <c r="A402" t="s">
        <v>1751</v>
      </c>
      <c r="B402" t="s">
        <v>1812</v>
      </c>
      <c r="C402" t="s">
        <v>1751</v>
      </c>
      <c r="D402">
        <v>20469260</v>
      </c>
      <c r="E402" t="s">
        <v>2011</v>
      </c>
      <c r="F402" t="s">
        <v>1238</v>
      </c>
      <c r="G402" t="s">
        <v>3143</v>
      </c>
      <c r="H402" t="s">
        <v>3358</v>
      </c>
      <c r="I402" t="s">
        <v>1811</v>
      </c>
      <c r="J402" s="455">
        <v>46093</v>
      </c>
      <c r="K402" s="455">
        <v>46093</v>
      </c>
      <c r="L402" s="455">
        <v>46093</v>
      </c>
      <c r="M402" s="455">
        <v>46106</v>
      </c>
      <c r="N402" s="455">
        <v>46106</v>
      </c>
      <c r="U402" s="455">
        <v>46123</v>
      </c>
    </row>
    <row r="403" spans="1:21">
      <c r="A403" t="s">
        <v>1751</v>
      </c>
      <c r="B403" t="s">
        <v>9324</v>
      </c>
      <c r="C403" t="s">
        <v>1751</v>
      </c>
      <c r="D403">
        <v>20473053</v>
      </c>
      <c r="E403" t="s">
        <v>3128</v>
      </c>
      <c r="F403" t="s">
        <v>1782</v>
      </c>
      <c r="G403" t="s">
        <v>3134</v>
      </c>
      <c r="H403" t="s">
        <v>1252</v>
      </c>
      <c r="J403" s="455">
        <v>46098</v>
      </c>
      <c r="U403" s="455">
        <v>46113</v>
      </c>
    </row>
    <row r="404" spans="1:21">
      <c r="A404" t="s">
        <v>1751</v>
      </c>
      <c r="B404" t="s">
        <v>9325</v>
      </c>
      <c r="C404" t="s">
        <v>1751</v>
      </c>
      <c r="D404">
        <v>20473152</v>
      </c>
      <c r="E404" t="s">
        <v>3128</v>
      </c>
      <c r="F404" t="s">
        <v>1237</v>
      </c>
      <c r="G404" t="s">
        <v>3143</v>
      </c>
      <c r="H404" t="s">
        <v>3358</v>
      </c>
      <c r="I404" t="s">
        <v>1947</v>
      </c>
      <c r="J404" s="455">
        <v>46098</v>
      </c>
      <c r="U404" s="455">
        <v>46104</v>
      </c>
    </row>
    <row r="405" spans="1:21">
      <c r="A405" t="s">
        <v>1751</v>
      </c>
      <c r="B405" t="s">
        <v>8883</v>
      </c>
      <c r="C405" t="s">
        <v>1751</v>
      </c>
      <c r="D405">
        <v>20440430</v>
      </c>
      <c r="E405" t="s">
        <v>3133</v>
      </c>
      <c r="F405" t="s">
        <v>1241</v>
      </c>
      <c r="G405" t="s">
        <v>3134</v>
      </c>
      <c r="H405" t="s">
        <v>1249</v>
      </c>
      <c r="I405" t="s">
        <v>2615</v>
      </c>
      <c r="J405" s="455">
        <v>46056</v>
      </c>
      <c r="K405" s="455">
        <v>46056</v>
      </c>
      <c r="R405" s="455">
        <v>46085</v>
      </c>
      <c r="U405" s="455">
        <v>46056</v>
      </c>
    </row>
    <row r="406" spans="1:21">
      <c r="A406" t="s">
        <v>1751</v>
      </c>
      <c r="B406" t="s">
        <v>9326</v>
      </c>
      <c r="C406" t="s">
        <v>1751</v>
      </c>
      <c r="D406">
        <v>20475989</v>
      </c>
      <c r="E406" t="s">
        <v>3128</v>
      </c>
      <c r="F406" t="s">
        <v>1241</v>
      </c>
      <c r="G406" t="s">
        <v>3141</v>
      </c>
      <c r="H406" t="s">
        <v>2291</v>
      </c>
      <c r="J406" s="455">
        <v>46100</v>
      </c>
      <c r="U406" s="455">
        <v>46100</v>
      </c>
    </row>
    <row r="407" spans="1:21">
      <c r="A407" t="s">
        <v>1751</v>
      </c>
      <c r="B407" t="s">
        <v>6969</v>
      </c>
      <c r="C407" t="s">
        <v>1751</v>
      </c>
      <c r="D407">
        <v>20484376</v>
      </c>
      <c r="E407" t="s">
        <v>1897</v>
      </c>
      <c r="F407" t="s">
        <v>1799</v>
      </c>
      <c r="G407" t="s">
        <v>3134</v>
      </c>
      <c r="H407" t="s">
        <v>1247</v>
      </c>
      <c r="I407" t="s">
        <v>1935</v>
      </c>
      <c r="J407" s="455">
        <v>46112</v>
      </c>
      <c r="K407" s="455">
        <v>46112</v>
      </c>
      <c r="U407" s="455">
        <v>46127</v>
      </c>
    </row>
    <row r="408" spans="1:21">
      <c r="A408" t="s">
        <v>1751</v>
      </c>
      <c r="B408" t="s">
        <v>6969</v>
      </c>
      <c r="C408" t="s">
        <v>1751</v>
      </c>
      <c r="D408">
        <v>20484370</v>
      </c>
      <c r="E408" t="s">
        <v>1897</v>
      </c>
      <c r="F408" t="s">
        <v>1241</v>
      </c>
      <c r="G408" t="s">
        <v>3143</v>
      </c>
      <c r="H408" t="s">
        <v>1248</v>
      </c>
      <c r="I408" t="s">
        <v>1952</v>
      </c>
      <c r="J408" s="455">
        <v>46112</v>
      </c>
      <c r="K408" s="455">
        <v>46112</v>
      </c>
      <c r="U408" s="455">
        <v>46127</v>
      </c>
    </row>
    <row r="409" spans="1:21">
      <c r="A409" t="s">
        <v>1751</v>
      </c>
      <c r="B409" t="s">
        <v>9327</v>
      </c>
      <c r="C409" t="s">
        <v>1751</v>
      </c>
      <c r="D409">
        <v>20482351</v>
      </c>
      <c r="E409" t="s">
        <v>3128</v>
      </c>
      <c r="F409" t="s">
        <v>1782</v>
      </c>
      <c r="G409" t="s">
        <v>3134</v>
      </c>
      <c r="H409" t="s">
        <v>1252</v>
      </c>
      <c r="J409" s="455">
        <v>46109</v>
      </c>
      <c r="U409" s="455">
        <v>46112</v>
      </c>
    </row>
    <row r="410" spans="1:21">
      <c r="A410" t="s">
        <v>1751</v>
      </c>
      <c r="B410" t="s">
        <v>9328</v>
      </c>
      <c r="C410" t="s">
        <v>1751</v>
      </c>
      <c r="D410">
        <v>20477048</v>
      </c>
      <c r="E410" t="s">
        <v>3128</v>
      </c>
      <c r="F410" t="s">
        <v>1782</v>
      </c>
      <c r="G410" t="s">
        <v>3134</v>
      </c>
      <c r="H410" t="s">
        <v>1252</v>
      </c>
      <c r="J410" s="455">
        <v>46101</v>
      </c>
      <c r="U410" s="455">
        <v>46113</v>
      </c>
    </row>
    <row r="411" spans="1:21">
      <c r="A411" t="s">
        <v>1751</v>
      </c>
      <c r="B411" t="s">
        <v>2519</v>
      </c>
      <c r="C411" t="s">
        <v>1751</v>
      </c>
      <c r="D411">
        <v>20471358</v>
      </c>
      <c r="E411" t="s">
        <v>3142</v>
      </c>
      <c r="F411" t="s">
        <v>1238</v>
      </c>
      <c r="G411" t="s">
        <v>3134</v>
      </c>
      <c r="H411" t="s">
        <v>1248</v>
      </c>
      <c r="I411" t="s">
        <v>1546</v>
      </c>
      <c r="J411" s="455">
        <v>46095</v>
      </c>
      <c r="K411" s="455">
        <v>46095</v>
      </c>
      <c r="L411" s="455">
        <v>46108</v>
      </c>
      <c r="M411" s="455">
        <v>46111</v>
      </c>
      <c r="N411" s="455">
        <v>46111</v>
      </c>
      <c r="P411" s="455">
        <v>46111</v>
      </c>
      <c r="Q411" s="455">
        <v>46111</v>
      </c>
      <c r="U411" s="455">
        <v>46111</v>
      </c>
    </row>
    <row r="412" spans="1:21">
      <c r="A412" t="s">
        <v>1751</v>
      </c>
      <c r="B412" t="s">
        <v>1948</v>
      </c>
      <c r="C412" t="s">
        <v>1751</v>
      </c>
      <c r="D412">
        <v>20471361</v>
      </c>
      <c r="E412" t="s">
        <v>3128</v>
      </c>
      <c r="F412" t="s">
        <v>1238</v>
      </c>
      <c r="G412" t="s">
        <v>3143</v>
      </c>
      <c r="H412" t="s">
        <v>1248</v>
      </c>
      <c r="J412" s="455">
        <v>46095</v>
      </c>
      <c r="U412" s="455">
        <v>46095</v>
      </c>
    </row>
    <row r="413" spans="1:21">
      <c r="A413" t="s">
        <v>1751</v>
      </c>
      <c r="B413" t="s">
        <v>1948</v>
      </c>
      <c r="C413" t="s">
        <v>1751</v>
      </c>
      <c r="D413">
        <v>20471357</v>
      </c>
      <c r="E413" t="s">
        <v>1897</v>
      </c>
      <c r="F413" t="s">
        <v>1238</v>
      </c>
      <c r="G413" t="s">
        <v>3134</v>
      </c>
      <c r="H413" t="s">
        <v>1248</v>
      </c>
      <c r="I413" t="s">
        <v>1947</v>
      </c>
      <c r="J413" s="455">
        <v>46095</v>
      </c>
      <c r="K413" s="455">
        <v>46095</v>
      </c>
      <c r="U413" s="455">
        <v>46095</v>
      </c>
    </row>
    <row r="414" spans="1:21">
      <c r="A414" t="s">
        <v>1751</v>
      </c>
      <c r="B414" t="s">
        <v>1942</v>
      </c>
      <c r="C414" t="s">
        <v>1751</v>
      </c>
      <c r="D414">
        <v>20464545</v>
      </c>
      <c r="E414" t="s">
        <v>3142</v>
      </c>
      <c r="F414" t="s">
        <v>1242</v>
      </c>
      <c r="G414" t="s">
        <v>3129</v>
      </c>
      <c r="H414" t="s">
        <v>3131</v>
      </c>
      <c r="I414" t="s">
        <v>1941</v>
      </c>
      <c r="J414" s="455">
        <v>46088</v>
      </c>
      <c r="K414" s="455">
        <v>46090</v>
      </c>
      <c r="L414" s="455">
        <v>46090</v>
      </c>
      <c r="M414" s="455">
        <v>46093</v>
      </c>
      <c r="N414" s="455">
        <v>46093</v>
      </c>
      <c r="P414" s="455">
        <v>46093</v>
      </c>
      <c r="Q414" s="455">
        <v>46093</v>
      </c>
      <c r="U414" s="455">
        <v>46093</v>
      </c>
    </row>
    <row r="415" spans="1:21">
      <c r="A415" t="s">
        <v>1751</v>
      </c>
      <c r="B415" t="s">
        <v>1942</v>
      </c>
      <c r="C415" t="s">
        <v>1751</v>
      </c>
      <c r="D415">
        <v>20465180</v>
      </c>
      <c r="E415" t="s">
        <v>1897</v>
      </c>
      <c r="F415" t="s">
        <v>1242</v>
      </c>
      <c r="G415" t="s">
        <v>3134</v>
      </c>
      <c r="H415" t="s">
        <v>1247</v>
      </c>
      <c r="I415" t="s">
        <v>1941</v>
      </c>
      <c r="J415" s="455">
        <v>46090</v>
      </c>
      <c r="K415" s="455">
        <v>46090</v>
      </c>
      <c r="U415" s="455">
        <v>46090</v>
      </c>
    </row>
    <row r="416" spans="1:21">
      <c r="A416" t="s">
        <v>1751</v>
      </c>
      <c r="B416" t="s">
        <v>9329</v>
      </c>
      <c r="C416" t="s">
        <v>1751</v>
      </c>
      <c r="D416">
        <v>20481552</v>
      </c>
      <c r="E416" t="s">
        <v>3128</v>
      </c>
      <c r="F416" t="s">
        <v>1782</v>
      </c>
      <c r="G416" t="s">
        <v>3134</v>
      </c>
      <c r="H416" t="s">
        <v>1252</v>
      </c>
      <c r="J416" s="455">
        <v>46108</v>
      </c>
      <c r="U416" s="455">
        <v>46118</v>
      </c>
    </row>
    <row r="417" spans="1:21">
      <c r="A417" t="s">
        <v>1751</v>
      </c>
      <c r="B417" t="s">
        <v>9330</v>
      </c>
      <c r="C417" t="s">
        <v>1751</v>
      </c>
      <c r="D417">
        <v>20472800</v>
      </c>
      <c r="E417" t="s">
        <v>3128</v>
      </c>
      <c r="F417" t="s">
        <v>1238</v>
      </c>
      <c r="G417" t="s">
        <v>3143</v>
      </c>
      <c r="H417" t="s">
        <v>1252</v>
      </c>
      <c r="J417" s="455">
        <v>46097</v>
      </c>
      <c r="U417" s="455">
        <v>46097</v>
      </c>
    </row>
    <row r="418" spans="1:21">
      <c r="A418" t="s">
        <v>1751</v>
      </c>
      <c r="B418" t="s">
        <v>1833</v>
      </c>
      <c r="C418" t="s">
        <v>1751</v>
      </c>
      <c r="D418">
        <v>20476384</v>
      </c>
      <c r="E418" t="s">
        <v>1907</v>
      </c>
      <c r="F418" t="s">
        <v>1243</v>
      </c>
      <c r="G418" t="s">
        <v>3134</v>
      </c>
      <c r="H418" t="s">
        <v>1247</v>
      </c>
      <c r="I418" t="s">
        <v>1524</v>
      </c>
      <c r="J418" s="455">
        <v>46100</v>
      </c>
      <c r="K418" s="455">
        <v>46100</v>
      </c>
      <c r="L418" s="455">
        <v>46101</v>
      </c>
      <c r="U418" s="455">
        <v>46116</v>
      </c>
    </row>
    <row r="419" spans="1:21">
      <c r="A419" t="s">
        <v>1751</v>
      </c>
      <c r="B419" t="s">
        <v>8896</v>
      </c>
      <c r="C419" t="s">
        <v>1751</v>
      </c>
      <c r="D419">
        <v>20459614</v>
      </c>
      <c r="E419" t="s">
        <v>3190</v>
      </c>
      <c r="F419" t="s">
        <v>1241</v>
      </c>
      <c r="G419" t="s">
        <v>3129</v>
      </c>
      <c r="H419" t="s">
        <v>1252</v>
      </c>
      <c r="I419" t="s">
        <v>2478</v>
      </c>
      <c r="J419" s="455">
        <v>46081</v>
      </c>
      <c r="K419" s="455">
        <v>46102</v>
      </c>
      <c r="R419" s="455">
        <v>46102</v>
      </c>
      <c r="U419" s="455">
        <v>46113</v>
      </c>
    </row>
    <row r="420" spans="1:21">
      <c r="A420" t="s">
        <v>1751</v>
      </c>
      <c r="B420" t="s">
        <v>9331</v>
      </c>
      <c r="C420" t="s">
        <v>1751</v>
      </c>
      <c r="D420">
        <v>20479608</v>
      </c>
      <c r="E420" t="s">
        <v>3128</v>
      </c>
      <c r="F420" t="s">
        <v>1782</v>
      </c>
      <c r="G420" t="s">
        <v>2009</v>
      </c>
      <c r="H420" t="s">
        <v>1251</v>
      </c>
      <c r="I420" t="s">
        <v>1952</v>
      </c>
      <c r="J420" s="455">
        <v>46106</v>
      </c>
      <c r="U420" s="455">
        <v>46106</v>
      </c>
    </row>
    <row r="421" spans="1:21">
      <c r="A421" t="s">
        <v>1751</v>
      </c>
      <c r="B421" t="s">
        <v>9332</v>
      </c>
      <c r="C421" t="s">
        <v>1751</v>
      </c>
      <c r="D421">
        <v>20478182</v>
      </c>
      <c r="E421" t="s">
        <v>3128</v>
      </c>
      <c r="F421" t="s">
        <v>1782</v>
      </c>
      <c r="G421" t="s">
        <v>3143</v>
      </c>
      <c r="H421" t="s">
        <v>1247</v>
      </c>
      <c r="J421" s="455">
        <v>46104</v>
      </c>
      <c r="U421" s="455">
        <v>46104</v>
      </c>
    </row>
    <row r="422" spans="1:21">
      <c r="A422" t="s">
        <v>1751</v>
      </c>
      <c r="B422" t="s">
        <v>9333</v>
      </c>
      <c r="C422" t="s">
        <v>1751</v>
      </c>
      <c r="D422">
        <v>20461777</v>
      </c>
      <c r="E422" t="s">
        <v>3190</v>
      </c>
      <c r="F422" t="s">
        <v>1237</v>
      </c>
      <c r="G422" t="s">
        <v>2009</v>
      </c>
      <c r="H422" t="s">
        <v>1248</v>
      </c>
      <c r="J422" s="455">
        <v>46084</v>
      </c>
      <c r="R422" s="455">
        <v>46084</v>
      </c>
      <c r="U422" s="455">
        <v>46095</v>
      </c>
    </row>
    <row r="423" spans="1:21">
      <c r="A423" t="s">
        <v>1751</v>
      </c>
      <c r="B423" t="s">
        <v>9334</v>
      </c>
      <c r="C423" t="s">
        <v>1751</v>
      </c>
      <c r="D423">
        <v>20464694</v>
      </c>
      <c r="E423" t="s">
        <v>3128</v>
      </c>
      <c r="F423" t="s">
        <v>1782</v>
      </c>
      <c r="G423" t="s">
        <v>3141</v>
      </c>
      <c r="H423" t="s">
        <v>1247</v>
      </c>
      <c r="J423" s="455">
        <v>46088</v>
      </c>
      <c r="U423" s="455">
        <v>46113</v>
      </c>
    </row>
    <row r="424" spans="1:21">
      <c r="A424" t="s">
        <v>1751</v>
      </c>
      <c r="B424" t="s">
        <v>1828</v>
      </c>
      <c r="C424" t="s">
        <v>1751</v>
      </c>
      <c r="D424">
        <v>20471989</v>
      </c>
      <c r="E424" t="s">
        <v>1907</v>
      </c>
      <c r="F424" t="s">
        <v>1243</v>
      </c>
      <c r="G424" t="s">
        <v>3134</v>
      </c>
      <c r="H424" t="s">
        <v>1247</v>
      </c>
      <c r="I424" t="s">
        <v>6442</v>
      </c>
      <c r="J424" s="455">
        <v>46096</v>
      </c>
      <c r="K424" s="455">
        <v>46096</v>
      </c>
      <c r="L424" s="455">
        <v>46100</v>
      </c>
      <c r="U424" s="455">
        <v>46163</v>
      </c>
    </row>
    <row r="425" spans="1:21">
      <c r="A425" t="s">
        <v>1751</v>
      </c>
      <c r="B425" t="s">
        <v>9335</v>
      </c>
      <c r="C425" t="s">
        <v>1751</v>
      </c>
      <c r="D425">
        <v>20466376</v>
      </c>
      <c r="E425" t="s">
        <v>3190</v>
      </c>
      <c r="F425" t="s">
        <v>1237</v>
      </c>
      <c r="G425" t="s">
        <v>3143</v>
      </c>
      <c r="H425" t="s">
        <v>1248</v>
      </c>
      <c r="J425" s="455">
        <v>46091</v>
      </c>
      <c r="R425" s="455">
        <v>46095</v>
      </c>
      <c r="U425" s="455">
        <v>46167</v>
      </c>
    </row>
    <row r="426" spans="1:21">
      <c r="A426" t="s">
        <v>1751</v>
      </c>
      <c r="B426" t="s">
        <v>9336</v>
      </c>
      <c r="C426" t="s">
        <v>1751</v>
      </c>
      <c r="D426">
        <v>20472382</v>
      </c>
      <c r="E426" t="s">
        <v>3128</v>
      </c>
      <c r="F426" t="s">
        <v>1782</v>
      </c>
      <c r="G426" t="s">
        <v>3134</v>
      </c>
      <c r="H426" t="s">
        <v>1252</v>
      </c>
      <c r="J426" s="455">
        <v>46097</v>
      </c>
      <c r="U426" s="455">
        <v>46138</v>
      </c>
    </row>
    <row r="427" spans="1:21">
      <c r="A427" t="s">
        <v>1751</v>
      </c>
      <c r="B427" t="s">
        <v>9337</v>
      </c>
      <c r="C427" t="s">
        <v>1751</v>
      </c>
      <c r="D427">
        <v>20474234</v>
      </c>
      <c r="E427" t="s">
        <v>3128</v>
      </c>
      <c r="F427" t="s">
        <v>1241</v>
      </c>
      <c r="G427" t="s">
        <v>3134</v>
      </c>
      <c r="H427" t="s">
        <v>1252</v>
      </c>
      <c r="J427" s="455">
        <v>46098</v>
      </c>
      <c r="U427" s="455">
        <v>46146</v>
      </c>
    </row>
    <row r="428" spans="1:21">
      <c r="A428" t="s">
        <v>1751</v>
      </c>
      <c r="B428" t="s">
        <v>9338</v>
      </c>
      <c r="C428" t="s">
        <v>1751</v>
      </c>
      <c r="D428">
        <v>20462270</v>
      </c>
      <c r="E428" t="s">
        <v>3128</v>
      </c>
      <c r="F428" t="s">
        <v>1237</v>
      </c>
      <c r="G428" t="s">
        <v>3143</v>
      </c>
      <c r="H428" t="s">
        <v>1248</v>
      </c>
      <c r="I428" t="s">
        <v>2533</v>
      </c>
      <c r="J428" s="455">
        <v>46085</v>
      </c>
      <c r="U428" s="455">
        <v>46113</v>
      </c>
    </row>
    <row r="429" spans="1:21">
      <c r="A429" t="s">
        <v>1751</v>
      </c>
      <c r="B429" t="s">
        <v>8905</v>
      </c>
      <c r="C429" t="s">
        <v>1751</v>
      </c>
      <c r="D429">
        <v>20411202</v>
      </c>
      <c r="E429" t="s">
        <v>3133</v>
      </c>
      <c r="F429" t="s">
        <v>1239</v>
      </c>
      <c r="G429" t="s">
        <v>3134</v>
      </c>
      <c r="H429" t="s">
        <v>1250</v>
      </c>
      <c r="I429" t="s">
        <v>7081</v>
      </c>
      <c r="J429" s="455">
        <v>46013</v>
      </c>
      <c r="K429" s="455">
        <v>46013</v>
      </c>
      <c r="L429" s="455">
        <v>46066</v>
      </c>
      <c r="R429" s="455">
        <v>46083</v>
      </c>
      <c r="U429" s="455">
        <v>46087</v>
      </c>
    </row>
    <row r="430" spans="1:21">
      <c r="A430" t="s">
        <v>1751</v>
      </c>
      <c r="B430" t="s">
        <v>8907</v>
      </c>
      <c r="C430" t="s">
        <v>1751</v>
      </c>
      <c r="D430">
        <v>20448955</v>
      </c>
      <c r="E430" t="s">
        <v>3133</v>
      </c>
      <c r="F430" t="s">
        <v>1782</v>
      </c>
      <c r="G430" t="s">
        <v>3137</v>
      </c>
      <c r="H430" t="s">
        <v>1247</v>
      </c>
      <c r="J430" s="455">
        <v>46067</v>
      </c>
      <c r="K430" s="455">
        <v>46067</v>
      </c>
      <c r="R430" s="455">
        <v>46092</v>
      </c>
      <c r="U430" s="455">
        <v>46095</v>
      </c>
    </row>
    <row r="431" spans="1:21">
      <c r="A431" t="s">
        <v>1751</v>
      </c>
      <c r="B431" t="s">
        <v>1815</v>
      </c>
      <c r="C431" t="s">
        <v>1751</v>
      </c>
      <c r="D431">
        <v>20466485</v>
      </c>
      <c r="E431" t="s">
        <v>3142</v>
      </c>
      <c r="F431" t="s">
        <v>1242</v>
      </c>
      <c r="G431" t="s">
        <v>3134</v>
      </c>
      <c r="H431" t="s">
        <v>1940</v>
      </c>
      <c r="I431" t="s">
        <v>1814</v>
      </c>
      <c r="J431" s="455">
        <v>46091</v>
      </c>
      <c r="K431" s="455">
        <v>46091</v>
      </c>
      <c r="L431" s="455">
        <v>46091</v>
      </c>
      <c r="M431" s="455">
        <v>46106</v>
      </c>
      <c r="N431" s="455">
        <v>46106</v>
      </c>
      <c r="P431" s="455">
        <v>46106</v>
      </c>
      <c r="Q431" s="455">
        <v>46108</v>
      </c>
      <c r="U431" s="455">
        <v>46109</v>
      </c>
    </row>
    <row r="432" spans="1:21">
      <c r="A432" t="s">
        <v>1751</v>
      </c>
      <c r="B432" t="s">
        <v>9339</v>
      </c>
      <c r="C432" t="s">
        <v>1751</v>
      </c>
      <c r="D432">
        <v>20471983</v>
      </c>
      <c r="E432" t="s">
        <v>3128</v>
      </c>
      <c r="F432" t="s">
        <v>1241</v>
      </c>
      <c r="G432" t="s">
        <v>3134</v>
      </c>
      <c r="H432" t="s">
        <v>1252</v>
      </c>
      <c r="J432" s="455">
        <v>46096</v>
      </c>
      <c r="U432" s="455">
        <v>46143</v>
      </c>
    </row>
    <row r="433" spans="1:21">
      <c r="A433" t="s">
        <v>1751</v>
      </c>
      <c r="B433" t="s">
        <v>9340</v>
      </c>
      <c r="C433" t="s">
        <v>1751</v>
      </c>
      <c r="D433">
        <v>20481203</v>
      </c>
      <c r="E433" t="s">
        <v>3128</v>
      </c>
      <c r="F433" t="s">
        <v>1782</v>
      </c>
      <c r="G433" t="s">
        <v>3134</v>
      </c>
      <c r="H433" t="s">
        <v>1252</v>
      </c>
      <c r="J433" s="455">
        <v>46108</v>
      </c>
      <c r="U433" s="455">
        <v>46143</v>
      </c>
    </row>
    <row r="434" spans="1:21">
      <c r="A434" t="s">
        <v>1751</v>
      </c>
      <c r="B434" t="s">
        <v>7066</v>
      </c>
      <c r="C434" t="s">
        <v>1751</v>
      </c>
      <c r="D434">
        <v>20481515</v>
      </c>
      <c r="E434" t="s">
        <v>3133</v>
      </c>
      <c r="F434" t="s">
        <v>1799</v>
      </c>
      <c r="G434" t="s">
        <v>3134</v>
      </c>
      <c r="H434" t="s">
        <v>1247</v>
      </c>
      <c r="J434" s="455">
        <v>46108</v>
      </c>
      <c r="K434" s="455">
        <v>46108</v>
      </c>
      <c r="R434" s="455">
        <v>46112</v>
      </c>
      <c r="U434" s="455">
        <v>46146</v>
      </c>
    </row>
    <row r="435" spans="1:21">
      <c r="A435" t="s">
        <v>1751</v>
      </c>
      <c r="B435" t="s">
        <v>7066</v>
      </c>
      <c r="C435" t="s">
        <v>1751</v>
      </c>
      <c r="D435">
        <v>20465644</v>
      </c>
      <c r="E435" t="s">
        <v>1897</v>
      </c>
      <c r="F435" t="s">
        <v>1782</v>
      </c>
      <c r="G435" t="s">
        <v>3129</v>
      </c>
      <c r="H435" t="s">
        <v>3131</v>
      </c>
      <c r="I435" t="s">
        <v>1943</v>
      </c>
      <c r="J435" s="455">
        <v>46090</v>
      </c>
      <c r="K435" s="455">
        <v>46108</v>
      </c>
      <c r="U435" s="455">
        <v>46114</v>
      </c>
    </row>
    <row r="436" spans="1:21">
      <c r="A436" t="s">
        <v>1751</v>
      </c>
      <c r="B436" t="s">
        <v>9341</v>
      </c>
      <c r="C436" t="s">
        <v>1751</v>
      </c>
      <c r="D436">
        <v>20480491</v>
      </c>
      <c r="E436" t="s">
        <v>3128</v>
      </c>
      <c r="F436" t="s">
        <v>1782</v>
      </c>
      <c r="G436" t="s">
        <v>3129</v>
      </c>
      <c r="H436" t="s">
        <v>3131</v>
      </c>
      <c r="J436" s="455">
        <v>46107</v>
      </c>
      <c r="U436" s="455">
        <v>46109</v>
      </c>
    </row>
    <row r="437" spans="1:21">
      <c r="A437" t="s">
        <v>1751</v>
      </c>
      <c r="B437" t="s">
        <v>2714</v>
      </c>
      <c r="C437" t="s">
        <v>1751</v>
      </c>
      <c r="D437">
        <v>20479450</v>
      </c>
      <c r="E437" t="s">
        <v>1907</v>
      </c>
      <c r="F437" t="s">
        <v>1243</v>
      </c>
      <c r="G437" t="s">
        <v>3134</v>
      </c>
      <c r="H437" t="s">
        <v>1247</v>
      </c>
      <c r="I437" t="s">
        <v>7024</v>
      </c>
      <c r="J437" s="455">
        <v>46105</v>
      </c>
      <c r="K437" s="455">
        <v>46105</v>
      </c>
      <c r="L437" s="455">
        <v>46105</v>
      </c>
      <c r="U437" s="455">
        <v>46116</v>
      </c>
    </row>
    <row r="438" spans="1:21">
      <c r="A438" t="s">
        <v>1751</v>
      </c>
      <c r="B438" t="s">
        <v>8911</v>
      </c>
      <c r="C438" t="s">
        <v>1751</v>
      </c>
      <c r="D438">
        <v>20443745</v>
      </c>
      <c r="E438" t="s">
        <v>3133</v>
      </c>
      <c r="F438" t="s">
        <v>1237</v>
      </c>
      <c r="G438" t="s">
        <v>3143</v>
      </c>
      <c r="H438" t="s">
        <v>1249</v>
      </c>
      <c r="I438" t="s">
        <v>1831</v>
      </c>
      <c r="J438" s="455">
        <v>46062</v>
      </c>
      <c r="K438" s="455">
        <v>46066</v>
      </c>
      <c r="L438" s="455">
        <v>46071</v>
      </c>
      <c r="R438" s="455">
        <v>46085</v>
      </c>
      <c r="U438" s="455">
        <v>46086</v>
      </c>
    </row>
    <row r="439" spans="1:21">
      <c r="A439" t="s">
        <v>1751</v>
      </c>
      <c r="B439" t="s">
        <v>2391</v>
      </c>
      <c r="C439" t="s">
        <v>1751</v>
      </c>
      <c r="D439">
        <v>20462414</v>
      </c>
      <c r="E439" t="s">
        <v>3142</v>
      </c>
      <c r="F439" t="s">
        <v>1242</v>
      </c>
      <c r="G439" t="s">
        <v>3143</v>
      </c>
      <c r="H439" t="s">
        <v>1249</v>
      </c>
      <c r="I439" t="s">
        <v>2388</v>
      </c>
      <c r="J439" s="455">
        <v>46085</v>
      </c>
      <c r="K439" s="455">
        <v>46093</v>
      </c>
      <c r="L439" s="455">
        <v>46094</v>
      </c>
      <c r="M439" s="455">
        <v>46097</v>
      </c>
      <c r="N439" s="455">
        <v>46097</v>
      </c>
      <c r="P439" s="455">
        <v>46097</v>
      </c>
      <c r="Q439" s="455">
        <v>46098</v>
      </c>
      <c r="U439" s="455">
        <v>46097</v>
      </c>
    </row>
    <row r="440" spans="1:21">
      <c r="A440" t="s">
        <v>1751</v>
      </c>
      <c r="B440" t="s">
        <v>3899</v>
      </c>
      <c r="C440" t="s">
        <v>1751</v>
      </c>
      <c r="D440">
        <v>20482953</v>
      </c>
      <c r="E440" t="s">
        <v>1907</v>
      </c>
      <c r="F440" t="s">
        <v>1238</v>
      </c>
      <c r="G440" t="s">
        <v>3134</v>
      </c>
      <c r="H440" t="s">
        <v>1247</v>
      </c>
      <c r="I440" t="s">
        <v>2137</v>
      </c>
      <c r="J440" s="455">
        <v>46111</v>
      </c>
      <c r="K440" s="455">
        <v>46111</v>
      </c>
      <c r="L440" s="455">
        <v>46111</v>
      </c>
      <c r="U440" s="455">
        <v>46120</v>
      </c>
    </row>
    <row r="441" spans="1:21">
      <c r="A441" t="s">
        <v>1751</v>
      </c>
      <c r="B441" t="s">
        <v>1806</v>
      </c>
      <c r="C441" t="s">
        <v>1751</v>
      </c>
      <c r="D441">
        <v>20463400</v>
      </c>
      <c r="E441" t="s">
        <v>3142</v>
      </c>
      <c r="F441" t="s">
        <v>1239</v>
      </c>
      <c r="G441" t="s">
        <v>3134</v>
      </c>
      <c r="H441" t="s">
        <v>9342</v>
      </c>
      <c r="I441" t="s">
        <v>1805</v>
      </c>
      <c r="J441" s="455">
        <v>46086</v>
      </c>
      <c r="K441" s="455">
        <v>46086</v>
      </c>
      <c r="L441" s="455">
        <v>46090</v>
      </c>
      <c r="M441" s="455">
        <v>46108</v>
      </c>
      <c r="N441" s="455">
        <v>46108</v>
      </c>
      <c r="P441" s="455">
        <v>46109</v>
      </c>
      <c r="Q441" s="455">
        <v>46109</v>
      </c>
      <c r="U441" s="455">
        <v>46109</v>
      </c>
    </row>
    <row r="442" spans="1:21">
      <c r="A442" t="s">
        <v>1751</v>
      </c>
      <c r="B442" t="s">
        <v>9343</v>
      </c>
      <c r="C442" t="s">
        <v>1751</v>
      </c>
      <c r="D442">
        <v>20463624</v>
      </c>
      <c r="E442" t="s">
        <v>3128</v>
      </c>
      <c r="F442" t="s">
        <v>1782</v>
      </c>
      <c r="G442" t="s">
        <v>3137</v>
      </c>
      <c r="H442" t="s">
        <v>1251</v>
      </c>
      <c r="I442" t="s">
        <v>1831</v>
      </c>
      <c r="J442" s="455">
        <v>46087</v>
      </c>
      <c r="U442" s="455">
        <v>46087</v>
      </c>
    </row>
    <row r="443" spans="1:21">
      <c r="A443" t="s">
        <v>1751</v>
      </c>
      <c r="B443" t="s">
        <v>9344</v>
      </c>
      <c r="C443" t="s">
        <v>1751</v>
      </c>
      <c r="D443">
        <v>20480160</v>
      </c>
      <c r="E443" t="s">
        <v>3128</v>
      </c>
      <c r="F443" t="s">
        <v>1237</v>
      </c>
      <c r="G443" t="s">
        <v>2009</v>
      </c>
      <c r="H443" t="s">
        <v>1248</v>
      </c>
      <c r="J443" s="455">
        <v>46106</v>
      </c>
      <c r="U443" s="455">
        <v>46143</v>
      </c>
    </row>
    <row r="444" spans="1:21">
      <c r="A444" t="s">
        <v>1751</v>
      </c>
      <c r="B444" t="s">
        <v>3904</v>
      </c>
      <c r="C444" t="s">
        <v>1751</v>
      </c>
      <c r="D444">
        <v>20472951</v>
      </c>
      <c r="E444" t="s">
        <v>1897</v>
      </c>
      <c r="F444" t="s">
        <v>1241</v>
      </c>
      <c r="G444" t="s">
        <v>3134</v>
      </c>
      <c r="H444" t="s">
        <v>1247</v>
      </c>
      <c r="J444" s="455">
        <v>46097</v>
      </c>
      <c r="K444" s="455">
        <v>46097</v>
      </c>
      <c r="U444" s="455">
        <v>46143</v>
      </c>
    </row>
    <row r="445" spans="1:21">
      <c r="A445" t="s">
        <v>1751</v>
      </c>
      <c r="B445" t="s">
        <v>9345</v>
      </c>
      <c r="C445" t="s">
        <v>1751</v>
      </c>
      <c r="D445">
        <v>20472871</v>
      </c>
      <c r="E445" t="s">
        <v>3128</v>
      </c>
      <c r="F445" t="s">
        <v>1782</v>
      </c>
      <c r="G445" t="s">
        <v>3134</v>
      </c>
      <c r="H445" t="s">
        <v>1252</v>
      </c>
      <c r="J445" s="455">
        <v>46097</v>
      </c>
      <c r="U445" s="455">
        <v>46113</v>
      </c>
    </row>
    <row r="446" spans="1:21">
      <c r="A446" t="s">
        <v>1751</v>
      </c>
      <c r="B446" t="s">
        <v>9346</v>
      </c>
      <c r="C446" t="s">
        <v>1751</v>
      </c>
      <c r="D446">
        <v>20483524</v>
      </c>
      <c r="E446" t="s">
        <v>3128</v>
      </c>
      <c r="F446" t="s">
        <v>1243</v>
      </c>
      <c r="G446" t="s">
        <v>3143</v>
      </c>
      <c r="H446" t="s">
        <v>1252</v>
      </c>
      <c r="J446" s="455">
        <v>46111</v>
      </c>
      <c r="U446" s="455">
        <v>46111</v>
      </c>
    </row>
    <row r="447" spans="1:21">
      <c r="A447" t="s">
        <v>1751</v>
      </c>
      <c r="B447" t="s">
        <v>9347</v>
      </c>
      <c r="C447" t="s">
        <v>1751</v>
      </c>
      <c r="D447">
        <v>20471303</v>
      </c>
      <c r="E447" t="s">
        <v>3128</v>
      </c>
      <c r="F447" t="s">
        <v>1782</v>
      </c>
      <c r="G447" t="s">
        <v>3134</v>
      </c>
      <c r="H447" t="s">
        <v>1252</v>
      </c>
      <c r="J447" s="455">
        <v>46095</v>
      </c>
      <c r="U447" s="455">
        <v>46101</v>
      </c>
    </row>
    <row r="448" spans="1:21">
      <c r="A448" t="s">
        <v>1751</v>
      </c>
      <c r="B448" t="s">
        <v>9348</v>
      </c>
      <c r="C448" t="s">
        <v>1751</v>
      </c>
      <c r="D448">
        <v>20474668</v>
      </c>
      <c r="E448" t="s">
        <v>3128</v>
      </c>
      <c r="F448" t="s">
        <v>1241</v>
      </c>
      <c r="G448" t="s">
        <v>3134</v>
      </c>
      <c r="H448" t="s">
        <v>1252</v>
      </c>
      <c r="J448" s="455">
        <v>46099</v>
      </c>
      <c r="U448" s="455">
        <v>46142</v>
      </c>
    </row>
    <row r="449" spans="1:21">
      <c r="A449" t="s">
        <v>1751</v>
      </c>
      <c r="B449" t="s">
        <v>9349</v>
      </c>
      <c r="C449" t="s">
        <v>1751</v>
      </c>
      <c r="D449">
        <v>20463010</v>
      </c>
      <c r="E449" t="s">
        <v>3128</v>
      </c>
      <c r="F449" t="s">
        <v>1782</v>
      </c>
      <c r="G449" t="s">
        <v>3129</v>
      </c>
      <c r="H449" t="s">
        <v>3131</v>
      </c>
      <c r="J449" s="455">
        <v>46086</v>
      </c>
      <c r="U449" s="455">
        <v>46147</v>
      </c>
    </row>
    <row r="450" spans="1:21">
      <c r="A450" t="s">
        <v>1751</v>
      </c>
      <c r="B450" t="s">
        <v>6407</v>
      </c>
      <c r="C450" t="s">
        <v>1751</v>
      </c>
      <c r="D450">
        <v>20452638</v>
      </c>
      <c r="E450" t="s">
        <v>1897</v>
      </c>
      <c r="F450" t="s">
        <v>1782</v>
      </c>
      <c r="G450" t="s">
        <v>3141</v>
      </c>
      <c r="H450" t="s">
        <v>1247</v>
      </c>
      <c r="J450" s="455">
        <v>46071</v>
      </c>
      <c r="K450" s="455">
        <v>46086</v>
      </c>
      <c r="U450" s="455">
        <v>46102</v>
      </c>
    </row>
    <row r="451" spans="1:21">
      <c r="A451" t="s">
        <v>1751</v>
      </c>
      <c r="B451" t="s">
        <v>6407</v>
      </c>
      <c r="C451" t="s">
        <v>1751</v>
      </c>
      <c r="D451">
        <v>20454782</v>
      </c>
      <c r="E451" t="s">
        <v>3142</v>
      </c>
      <c r="F451" t="s">
        <v>1238</v>
      </c>
      <c r="G451" t="s">
        <v>3134</v>
      </c>
      <c r="H451" t="s">
        <v>1247</v>
      </c>
      <c r="I451" t="s">
        <v>6406</v>
      </c>
      <c r="J451" s="455">
        <v>46074</v>
      </c>
      <c r="K451" s="455">
        <v>46074</v>
      </c>
      <c r="L451" s="455">
        <v>46074</v>
      </c>
      <c r="M451" s="455">
        <v>46091</v>
      </c>
      <c r="N451" s="455">
        <v>46091</v>
      </c>
      <c r="P451" s="455">
        <v>46091</v>
      </c>
      <c r="Q451" s="455">
        <v>46103</v>
      </c>
      <c r="U451" s="455">
        <v>46102</v>
      </c>
    </row>
    <row r="452" spans="1:21">
      <c r="A452" t="s">
        <v>1751</v>
      </c>
      <c r="B452" t="s">
        <v>9350</v>
      </c>
      <c r="C452" t="s">
        <v>1751</v>
      </c>
      <c r="D452">
        <v>20461469</v>
      </c>
      <c r="E452" t="s">
        <v>3133</v>
      </c>
      <c r="F452" t="s">
        <v>1239</v>
      </c>
      <c r="G452" t="s">
        <v>3134</v>
      </c>
      <c r="H452" t="s">
        <v>1247</v>
      </c>
      <c r="I452" t="s">
        <v>3391</v>
      </c>
      <c r="J452" s="455">
        <v>46084</v>
      </c>
      <c r="K452" s="455">
        <v>46084</v>
      </c>
      <c r="L452" s="455">
        <v>46086</v>
      </c>
      <c r="R452" s="455">
        <v>46086</v>
      </c>
      <c r="U452" s="455">
        <v>46084</v>
      </c>
    </row>
    <row r="453" spans="1:21">
      <c r="A453" t="s">
        <v>1751</v>
      </c>
      <c r="B453" t="s">
        <v>9351</v>
      </c>
      <c r="C453" t="s">
        <v>1751</v>
      </c>
      <c r="D453">
        <v>20482659</v>
      </c>
      <c r="E453" t="s">
        <v>1907</v>
      </c>
      <c r="F453" t="s">
        <v>1243</v>
      </c>
      <c r="G453" t="s">
        <v>3134</v>
      </c>
      <c r="H453" t="s">
        <v>1247</v>
      </c>
      <c r="I453" t="s">
        <v>1834</v>
      </c>
      <c r="J453" s="455">
        <v>46110</v>
      </c>
      <c r="K453" s="455">
        <v>46110</v>
      </c>
      <c r="L453" s="455">
        <v>46110</v>
      </c>
      <c r="U453" s="455">
        <v>46115</v>
      </c>
    </row>
    <row r="454" spans="1:21">
      <c r="A454" t="s">
        <v>1751</v>
      </c>
      <c r="B454" t="s">
        <v>9352</v>
      </c>
      <c r="C454" t="s">
        <v>1751</v>
      </c>
      <c r="D454">
        <v>20479195</v>
      </c>
      <c r="E454" t="s">
        <v>3128</v>
      </c>
      <c r="F454" t="s">
        <v>1782</v>
      </c>
      <c r="G454" t="s">
        <v>3134</v>
      </c>
      <c r="H454" t="s">
        <v>1252</v>
      </c>
      <c r="J454" s="455">
        <v>46105</v>
      </c>
      <c r="U454" s="455">
        <v>46117</v>
      </c>
    </row>
    <row r="455" spans="1:21">
      <c r="A455" t="s">
        <v>1751</v>
      </c>
      <c r="B455" t="s">
        <v>9353</v>
      </c>
      <c r="C455" t="s">
        <v>1751</v>
      </c>
      <c r="D455">
        <v>20477313</v>
      </c>
      <c r="E455" t="s">
        <v>3128</v>
      </c>
      <c r="F455" t="s">
        <v>1241</v>
      </c>
      <c r="G455" t="s">
        <v>3134</v>
      </c>
      <c r="H455" t="s">
        <v>1252</v>
      </c>
      <c r="J455" s="455">
        <v>46102</v>
      </c>
      <c r="U455" s="455">
        <v>46162</v>
      </c>
    </row>
    <row r="456" spans="1:21">
      <c r="A456" t="s">
        <v>1751</v>
      </c>
      <c r="B456" t="s">
        <v>9354</v>
      </c>
      <c r="C456" t="s">
        <v>1751</v>
      </c>
      <c r="D456">
        <v>20475524</v>
      </c>
      <c r="E456" t="s">
        <v>3128</v>
      </c>
      <c r="F456" t="s">
        <v>1241</v>
      </c>
      <c r="G456" t="s">
        <v>3134</v>
      </c>
      <c r="H456" t="s">
        <v>1252</v>
      </c>
      <c r="J456" s="455">
        <v>46099</v>
      </c>
      <c r="U456" s="455">
        <v>46160</v>
      </c>
    </row>
    <row r="457" spans="1:21">
      <c r="A457" t="s">
        <v>1751</v>
      </c>
      <c r="B457" t="s">
        <v>1239</v>
      </c>
      <c r="C457" t="s">
        <v>1751</v>
      </c>
      <c r="D457">
        <v>20473219</v>
      </c>
      <c r="E457" t="s">
        <v>3190</v>
      </c>
      <c r="F457" t="s">
        <v>1239</v>
      </c>
      <c r="G457" t="s">
        <v>3143</v>
      </c>
      <c r="H457" t="s">
        <v>1248</v>
      </c>
      <c r="J457" s="455">
        <v>46098</v>
      </c>
      <c r="R457" s="455">
        <v>46102</v>
      </c>
      <c r="U457" s="455">
        <v>46098</v>
      </c>
    </row>
    <row r="458" spans="1:21">
      <c r="A458" t="s">
        <v>1751</v>
      </c>
      <c r="B458" t="s">
        <v>1802</v>
      </c>
      <c r="C458" t="s">
        <v>1751</v>
      </c>
      <c r="D458">
        <v>20464681</v>
      </c>
      <c r="E458" t="s">
        <v>3133</v>
      </c>
      <c r="F458" t="s">
        <v>1912</v>
      </c>
      <c r="G458" t="s">
        <v>3134</v>
      </c>
      <c r="H458" t="s">
        <v>1247</v>
      </c>
      <c r="J458" s="455">
        <v>46088</v>
      </c>
      <c r="K458" s="455">
        <v>46088</v>
      </c>
      <c r="R458" s="455">
        <v>46090</v>
      </c>
      <c r="U458" s="455">
        <v>46088</v>
      </c>
    </row>
    <row r="459" spans="1:21">
      <c r="A459" t="s">
        <v>1751</v>
      </c>
      <c r="B459" t="s">
        <v>1802</v>
      </c>
      <c r="C459" t="s">
        <v>1751</v>
      </c>
      <c r="D459">
        <v>20463160</v>
      </c>
      <c r="E459" t="s">
        <v>3142</v>
      </c>
      <c r="F459" t="s">
        <v>1243</v>
      </c>
      <c r="G459" t="s">
        <v>3143</v>
      </c>
      <c r="H459" t="s">
        <v>1248</v>
      </c>
      <c r="I459" t="s">
        <v>1801</v>
      </c>
      <c r="J459" s="455">
        <v>46086</v>
      </c>
      <c r="K459" s="455">
        <v>46089</v>
      </c>
      <c r="L459" s="455">
        <v>46089</v>
      </c>
      <c r="M459" s="455">
        <v>46093</v>
      </c>
      <c r="N459" s="455">
        <v>46093</v>
      </c>
      <c r="P459" s="455">
        <v>46109</v>
      </c>
      <c r="Q459" s="455">
        <v>46109</v>
      </c>
      <c r="U459" s="455">
        <v>46137</v>
      </c>
    </row>
    <row r="460" spans="1:21">
      <c r="A460" t="s">
        <v>1751</v>
      </c>
      <c r="B460" t="s">
        <v>9355</v>
      </c>
      <c r="C460" t="s">
        <v>1751</v>
      </c>
      <c r="D460">
        <v>20477389</v>
      </c>
      <c r="E460" t="s">
        <v>3190</v>
      </c>
      <c r="F460" t="s">
        <v>1239</v>
      </c>
      <c r="G460" t="s">
        <v>3143</v>
      </c>
      <c r="H460" t="s">
        <v>1249</v>
      </c>
      <c r="I460" t="s">
        <v>1952</v>
      </c>
      <c r="J460" s="455">
        <v>46102</v>
      </c>
      <c r="R460" s="455">
        <v>46102</v>
      </c>
      <c r="U460" s="455">
        <v>46102</v>
      </c>
    </row>
    <row r="461" spans="1:21">
      <c r="A461" t="s">
        <v>1751</v>
      </c>
      <c r="B461" t="s">
        <v>8929</v>
      </c>
      <c r="C461" t="s">
        <v>1751</v>
      </c>
      <c r="D461">
        <v>20452027</v>
      </c>
      <c r="E461" t="s">
        <v>3133</v>
      </c>
      <c r="F461" t="s">
        <v>1237</v>
      </c>
      <c r="G461" t="s">
        <v>3143</v>
      </c>
      <c r="H461" t="s">
        <v>1248</v>
      </c>
      <c r="I461" t="s">
        <v>3262</v>
      </c>
      <c r="J461" s="455">
        <v>46071</v>
      </c>
      <c r="K461" s="455">
        <v>46078</v>
      </c>
      <c r="L461" s="455">
        <v>46079</v>
      </c>
      <c r="R461" s="455">
        <v>46098</v>
      </c>
      <c r="U461" s="455">
        <v>46102</v>
      </c>
    </row>
    <row r="462" spans="1:21">
      <c r="A462" t="s">
        <v>1751</v>
      </c>
      <c r="B462" t="s">
        <v>9356</v>
      </c>
      <c r="C462" t="s">
        <v>1751</v>
      </c>
      <c r="D462">
        <v>20480105</v>
      </c>
      <c r="E462" t="s">
        <v>3128</v>
      </c>
      <c r="F462" t="s">
        <v>1241</v>
      </c>
      <c r="G462" t="s">
        <v>3137</v>
      </c>
      <c r="H462" t="s">
        <v>1251</v>
      </c>
      <c r="J462" s="455">
        <v>46106</v>
      </c>
      <c r="U462" s="455">
        <v>46106</v>
      </c>
    </row>
    <row r="463" spans="1:21">
      <c r="A463" t="s">
        <v>1751</v>
      </c>
      <c r="B463" t="s">
        <v>9357</v>
      </c>
      <c r="C463" t="s">
        <v>1751</v>
      </c>
      <c r="D463">
        <v>20483458</v>
      </c>
      <c r="E463" t="s">
        <v>3128</v>
      </c>
      <c r="F463" t="s">
        <v>1241</v>
      </c>
      <c r="G463" t="s">
        <v>3134</v>
      </c>
      <c r="H463" t="s">
        <v>1252</v>
      </c>
      <c r="J463" s="455">
        <v>46111</v>
      </c>
      <c r="U463" s="455">
        <v>46263</v>
      </c>
    </row>
    <row r="464" spans="1:21">
      <c r="A464" t="s">
        <v>1751</v>
      </c>
      <c r="B464" t="s">
        <v>9358</v>
      </c>
      <c r="C464" t="s">
        <v>1751</v>
      </c>
      <c r="D464">
        <v>20476851</v>
      </c>
      <c r="E464" t="s">
        <v>3128</v>
      </c>
      <c r="F464" t="s">
        <v>1239</v>
      </c>
      <c r="G464" t="s">
        <v>3143</v>
      </c>
      <c r="H464" t="s">
        <v>1248</v>
      </c>
      <c r="J464" s="455">
        <v>46101</v>
      </c>
      <c r="U464" s="455">
        <v>46101</v>
      </c>
    </row>
    <row r="465" spans="1:21">
      <c r="A465" t="s">
        <v>1751</v>
      </c>
      <c r="B465" t="s">
        <v>7180</v>
      </c>
      <c r="C465" t="s">
        <v>1751</v>
      </c>
      <c r="D465">
        <v>20444508</v>
      </c>
      <c r="E465" t="s">
        <v>3133</v>
      </c>
      <c r="F465" t="s">
        <v>1912</v>
      </c>
      <c r="G465" t="s">
        <v>3134</v>
      </c>
      <c r="H465" t="s">
        <v>1249</v>
      </c>
      <c r="J465" s="455">
        <v>46063</v>
      </c>
      <c r="K465" s="455">
        <v>46063</v>
      </c>
      <c r="R465" s="455">
        <v>46083</v>
      </c>
      <c r="U465" s="455">
        <v>46063</v>
      </c>
    </row>
    <row r="466" spans="1:21">
      <c r="A466" t="s">
        <v>1751</v>
      </c>
      <c r="B466" t="s">
        <v>9359</v>
      </c>
      <c r="C466" t="s">
        <v>1751</v>
      </c>
      <c r="D466">
        <v>20483672</v>
      </c>
      <c r="E466" t="s">
        <v>3128</v>
      </c>
      <c r="F466" t="s">
        <v>1241</v>
      </c>
      <c r="G466" t="s">
        <v>3134</v>
      </c>
      <c r="H466" t="s">
        <v>1252</v>
      </c>
      <c r="J466" s="455">
        <v>46111</v>
      </c>
      <c r="U466" s="455">
        <v>46122</v>
      </c>
    </row>
    <row r="467" spans="1:21">
      <c r="A467" t="s">
        <v>1751</v>
      </c>
      <c r="B467" t="s">
        <v>9360</v>
      </c>
      <c r="C467" t="s">
        <v>1751</v>
      </c>
      <c r="D467">
        <v>20474170</v>
      </c>
      <c r="E467" t="s">
        <v>3128</v>
      </c>
      <c r="F467" t="s">
        <v>1241</v>
      </c>
      <c r="G467" t="s">
        <v>3134</v>
      </c>
      <c r="H467" t="s">
        <v>1252</v>
      </c>
      <c r="J467" s="455">
        <v>46098</v>
      </c>
      <c r="U467" s="455">
        <v>46131</v>
      </c>
    </row>
    <row r="468" spans="1:21">
      <c r="A468" t="s">
        <v>1751</v>
      </c>
      <c r="B468" t="s">
        <v>1939</v>
      </c>
      <c r="C468" t="s">
        <v>1751</v>
      </c>
      <c r="D468">
        <v>20465610</v>
      </c>
      <c r="E468" t="s">
        <v>1897</v>
      </c>
      <c r="F468" t="s">
        <v>1239</v>
      </c>
      <c r="G468" t="s">
        <v>3134</v>
      </c>
      <c r="H468" t="s">
        <v>1940</v>
      </c>
      <c r="I468" t="s">
        <v>1938</v>
      </c>
      <c r="J468" s="455">
        <v>46090</v>
      </c>
      <c r="K468" s="455">
        <v>46090</v>
      </c>
      <c r="U468" s="455">
        <v>46113</v>
      </c>
    </row>
    <row r="469" spans="1:21">
      <c r="A469" t="s">
        <v>1751</v>
      </c>
      <c r="B469" t="s">
        <v>8934</v>
      </c>
      <c r="C469" t="s">
        <v>1751</v>
      </c>
      <c r="D469">
        <v>20457433</v>
      </c>
      <c r="E469" t="s">
        <v>3133</v>
      </c>
      <c r="F469" t="s">
        <v>1239</v>
      </c>
      <c r="G469" t="s">
        <v>3129</v>
      </c>
      <c r="H469" t="s">
        <v>1252</v>
      </c>
      <c r="I469" t="s">
        <v>1784</v>
      </c>
      <c r="J469" s="455">
        <v>46078</v>
      </c>
      <c r="K469" s="455">
        <v>46088</v>
      </c>
      <c r="L469" s="455">
        <v>46088</v>
      </c>
      <c r="M469" s="455">
        <v>46104</v>
      </c>
      <c r="N469" s="455">
        <v>46104</v>
      </c>
      <c r="R469" s="455">
        <v>46108</v>
      </c>
      <c r="U469" s="455">
        <v>46109</v>
      </c>
    </row>
    <row r="470" spans="1:21">
      <c r="A470" t="s">
        <v>1751</v>
      </c>
      <c r="B470" t="s">
        <v>7150</v>
      </c>
      <c r="C470" t="s">
        <v>1751</v>
      </c>
      <c r="D470">
        <v>20461301</v>
      </c>
      <c r="E470" t="s">
        <v>3142</v>
      </c>
      <c r="F470" t="s">
        <v>1239</v>
      </c>
      <c r="G470" t="s">
        <v>3134</v>
      </c>
      <c r="H470" t="s">
        <v>9342</v>
      </c>
      <c r="I470" t="s">
        <v>1595</v>
      </c>
      <c r="J470" s="455">
        <v>46084</v>
      </c>
      <c r="K470" s="455">
        <v>46084</v>
      </c>
      <c r="L470" s="455">
        <v>46084</v>
      </c>
      <c r="M470" s="455">
        <v>46101</v>
      </c>
      <c r="N470" s="455">
        <v>46101</v>
      </c>
      <c r="O470" s="455">
        <v>46102</v>
      </c>
      <c r="P470" s="455">
        <v>46102</v>
      </c>
      <c r="Q470" s="455">
        <v>46103</v>
      </c>
      <c r="U470" s="455">
        <v>46172</v>
      </c>
    </row>
    <row r="471" spans="1:21">
      <c r="A471" t="s">
        <v>1751</v>
      </c>
      <c r="B471" t="s">
        <v>9361</v>
      </c>
      <c r="C471" t="s">
        <v>1751</v>
      </c>
      <c r="D471">
        <v>20480910</v>
      </c>
      <c r="E471" t="s">
        <v>3128</v>
      </c>
      <c r="F471" t="s">
        <v>1241</v>
      </c>
      <c r="G471" t="s">
        <v>3143</v>
      </c>
      <c r="H471" t="s">
        <v>1249</v>
      </c>
      <c r="I471" t="s">
        <v>1952</v>
      </c>
      <c r="J471" s="455">
        <v>46107</v>
      </c>
      <c r="U471" s="455">
        <v>46143</v>
      </c>
    </row>
    <row r="472" spans="1:21">
      <c r="A472" t="s">
        <v>1751</v>
      </c>
      <c r="B472" t="s">
        <v>9362</v>
      </c>
      <c r="C472" t="s">
        <v>1751</v>
      </c>
      <c r="D472">
        <v>20471352</v>
      </c>
      <c r="E472" t="s">
        <v>3128</v>
      </c>
      <c r="F472" t="s">
        <v>1782</v>
      </c>
      <c r="G472" t="s">
        <v>3134</v>
      </c>
      <c r="H472" t="s">
        <v>1252</v>
      </c>
      <c r="J472" s="455">
        <v>46095</v>
      </c>
      <c r="U472" s="455">
        <v>46111</v>
      </c>
    </row>
    <row r="473" spans="1:21">
      <c r="A473" t="s">
        <v>1751</v>
      </c>
      <c r="B473" t="s">
        <v>9363</v>
      </c>
      <c r="C473" t="s">
        <v>1751</v>
      </c>
      <c r="D473">
        <v>20471990</v>
      </c>
      <c r="E473" t="s">
        <v>3128</v>
      </c>
      <c r="F473" t="s">
        <v>1241</v>
      </c>
      <c r="G473" t="s">
        <v>3134</v>
      </c>
      <c r="H473" t="s">
        <v>1252</v>
      </c>
      <c r="J473" s="455">
        <v>46096</v>
      </c>
      <c r="U473" s="455">
        <v>46097</v>
      </c>
    </row>
    <row r="474" spans="1:21">
      <c r="A474" t="s">
        <v>1751</v>
      </c>
      <c r="B474" t="s">
        <v>1809</v>
      </c>
      <c r="C474" t="s">
        <v>1751</v>
      </c>
      <c r="D474">
        <v>20470735</v>
      </c>
      <c r="E474" t="s">
        <v>3133</v>
      </c>
      <c r="F474" t="s">
        <v>1242</v>
      </c>
      <c r="G474" t="s">
        <v>3143</v>
      </c>
      <c r="H474" t="s">
        <v>1251</v>
      </c>
      <c r="I474" t="s">
        <v>1808</v>
      </c>
      <c r="J474" s="455">
        <v>46094</v>
      </c>
      <c r="K474" s="455">
        <v>46094</v>
      </c>
      <c r="L474" s="455">
        <v>46094</v>
      </c>
      <c r="M474" s="455">
        <v>46104</v>
      </c>
      <c r="N474" s="455">
        <v>46106</v>
      </c>
      <c r="R474" s="455">
        <v>46107</v>
      </c>
      <c r="U474" s="455">
        <v>46111</v>
      </c>
    </row>
    <row r="475" spans="1:21">
      <c r="A475" t="s">
        <v>1751</v>
      </c>
      <c r="B475" t="s">
        <v>9364</v>
      </c>
      <c r="C475" t="s">
        <v>1751</v>
      </c>
      <c r="D475">
        <v>20475942</v>
      </c>
      <c r="E475" t="s">
        <v>3128</v>
      </c>
      <c r="F475" t="s">
        <v>1241</v>
      </c>
      <c r="G475" t="s">
        <v>3143</v>
      </c>
      <c r="H475" t="s">
        <v>1248</v>
      </c>
      <c r="J475" s="455">
        <v>46100</v>
      </c>
      <c r="U475" s="455">
        <v>46143</v>
      </c>
    </row>
    <row r="476" spans="1:21">
      <c r="A476" t="s">
        <v>1751</v>
      </c>
      <c r="B476" t="s">
        <v>3971</v>
      </c>
      <c r="C476" t="s">
        <v>1751</v>
      </c>
      <c r="D476">
        <v>20471888</v>
      </c>
      <c r="E476" t="s">
        <v>3128</v>
      </c>
      <c r="F476" t="s">
        <v>1241</v>
      </c>
      <c r="G476" t="s">
        <v>3134</v>
      </c>
      <c r="H476" t="s">
        <v>1252</v>
      </c>
      <c r="J476" s="455">
        <v>46096</v>
      </c>
      <c r="U476" s="455">
        <v>46128</v>
      </c>
    </row>
    <row r="477" spans="1:21">
      <c r="A477" t="s">
        <v>1751</v>
      </c>
      <c r="B477" t="s">
        <v>9365</v>
      </c>
      <c r="C477" t="s">
        <v>1751</v>
      </c>
      <c r="D477">
        <v>20478172</v>
      </c>
      <c r="E477" t="s">
        <v>1897</v>
      </c>
      <c r="F477" t="s">
        <v>1782</v>
      </c>
      <c r="G477" t="s">
        <v>3134</v>
      </c>
      <c r="H477" t="s">
        <v>1252</v>
      </c>
      <c r="I477" t="s">
        <v>1917</v>
      </c>
      <c r="J477" s="455">
        <v>46104</v>
      </c>
      <c r="K477" s="455">
        <v>46105</v>
      </c>
      <c r="U477" s="455">
        <v>46134</v>
      </c>
    </row>
    <row r="478" spans="1:21">
      <c r="A478" t="s">
        <v>1751</v>
      </c>
      <c r="B478" t="s">
        <v>9366</v>
      </c>
      <c r="C478" t="s">
        <v>1751</v>
      </c>
      <c r="D478">
        <v>20483448</v>
      </c>
      <c r="E478" t="s">
        <v>1897</v>
      </c>
      <c r="F478" t="s">
        <v>1912</v>
      </c>
      <c r="G478" t="s">
        <v>3134</v>
      </c>
      <c r="H478" t="s">
        <v>1247</v>
      </c>
      <c r="I478" t="s">
        <v>3616</v>
      </c>
      <c r="J478" s="455">
        <v>46111</v>
      </c>
      <c r="K478" s="455">
        <v>46111</v>
      </c>
      <c r="U478" s="455">
        <v>46111</v>
      </c>
    </row>
    <row r="479" spans="1:21">
      <c r="A479" t="s">
        <v>1751</v>
      </c>
      <c r="B479" t="s">
        <v>3975</v>
      </c>
      <c r="C479" t="s">
        <v>1751</v>
      </c>
      <c r="D479">
        <v>20473038</v>
      </c>
      <c r="E479" t="s">
        <v>1897</v>
      </c>
      <c r="F479" t="s">
        <v>1799</v>
      </c>
      <c r="G479" t="s">
        <v>3134</v>
      </c>
      <c r="H479" t="s">
        <v>3515</v>
      </c>
      <c r="I479" t="s">
        <v>1839</v>
      </c>
      <c r="J479" s="455">
        <v>46098</v>
      </c>
      <c r="K479" s="455">
        <v>46098</v>
      </c>
      <c r="U479" s="455">
        <v>46098</v>
      </c>
    </row>
    <row r="480" spans="1:21">
      <c r="A480" t="s">
        <v>1751</v>
      </c>
      <c r="B480" t="s">
        <v>9367</v>
      </c>
      <c r="C480" t="s">
        <v>1751</v>
      </c>
      <c r="D480">
        <v>20478278</v>
      </c>
      <c r="E480" t="s">
        <v>3128</v>
      </c>
      <c r="F480" t="s">
        <v>1241</v>
      </c>
      <c r="G480" t="s">
        <v>3141</v>
      </c>
      <c r="H480" t="s">
        <v>1248</v>
      </c>
      <c r="J480" s="455">
        <v>46104</v>
      </c>
      <c r="U480" s="455">
        <v>46143</v>
      </c>
    </row>
    <row r="481" spans="1:21">
      <c r="A481" t="s">
        <v>1751</v>
      </c>
      <c r="B481" t="s">
        <v>9368</v>
      </c>
      <c r="C481" t="s">
        <v>1751</v>
      </c>
      <c r="D481">
        <v>20476332</v>
      </c>
      <c r="E481" t="s">
        <v>3128</v>
      </c>
      <c r="F481" t="s">
        <v>1241</v>
      </c>
      <c r="G481" t="s">
        <v>3134</v>
      </c>
      <c r="H481" t="s">
        <v>1252</v>
      </c>
      <c r="J481" s="455">
        <v>46100</v>
      </c>
      <c r="U481" s="455">
        <v>46144</v>
      </c>
    </row>
    <row r="482" spans="1:21">
      <c r="A482" t="s">
        <v>1751</v>
      </c>
      <c r="B482" t="s">
        <v>9369</v>
      </c>
      <c r="C482" t="s">
        <v>1751</v>
      </c>
      <c r="D482">
        <v>20477535</v>
      </c>
      <c r="E482" t="s">
        <v>3128</v>
      </c>
      <c r="F482" t="s">
        <v>1782</v>
      </c>
      <c r="G482" t="s">
        <v>3141</v>
      </c>
      <c r="H482" t="s">
        <v>1251</v>
      </c>
      <c r="J482" s="455">
        <v>46102</v>
      </c>
      <c r="U482" s="455">
        <v>46164</v>
      </c>
    </row>
    <row r="483" spans="1:21">
      <c r="A483" t="s">
        <v>1751</v>
      </c>
      <c r="B483" t="s">
        <v>9370</v>
      </c>
      <c r="C483" t="s">
        <v>1751</v>
      </c>
      <c r="D483">
        <v>20463549</v>
      </c>
      <c r="E483" t="s">
        <v>3128</v>
      </c>
      <c r="F483" t="s">
        <v>1782</v>
      </c>
      <c r="G483" t="s">
        <v>3141</v>
      </c>
      <c r="H483" t="s">
        <v>1247</v>
      </c>
      <c r="J483" s="455">
        <v>46087</v>
      </c>
      <c r="U483" s="455">
        <v>46107</v>
      </c>
    </row>
    <row r="484" spans="1:21">
      <c r="A484" t="s">
        <v>1751</v>
      </c>
      <c r="B484" t="s">
        <v>9371</v>
      </c>
      <c r="C484" t="s">
        <v>1751</v>
      </c>
      <c r="D484">
        <v>20475849</v>
      </c>
      <c r="E484" t="s">
        <v>3128</v>
      </c>
      <c r="F484" t="s">
        <v>1782</v>
      </c>
      <c r="G484" t="s">
        <v>3129</v>
      </c>
      <c r="H484" t="s">
        <v>3131</v>
      </c>
      <c r="I484" t="s">
        <v>1831</v>
      </c>
      <c r="J484" s="455">
        <v>46100</v>
      </c>
      <c r="U484" s="455">
        <v>46100</v>
      </c>
    </row>
    <row r="485" spans="1:21">
      <c r="A485" t="s">
        <v>1751</v>
      </c>
      <c r="B485" t="s">
        <v>9372</v>
      </c>
      <c r="C485" t="s">
        <v>1751</v>
      </c>
      <c r="D485">
        <v>20478891</v>
      </c>
      <c r="E485" t="s">
        <v>3128</v>
      </c>
      <c r="F485" t="s">
        <v>1237</v>
      </c>
      <c r="G485" t="s">
        <v>3143</v>
      </c>
      <c r="H485" t="s">
        <v>3487</v>
      </c>
      <c r="J485" s="455">
        <v>46105</v>
      </c>
      <c r="U485" s="455">
        <v>46108</v>
      </c>
    </row>
    <row r="486" spans="1:21">
      <c r="A486" t="s">
        <v>1751</v>
      </c>
      <c r="B486" t="s">
        <v>9373</v>
      </c>
      <c r="C486" t="s">
        <v>1751</v>
      </c>
      <c r="D486">
        <v>20477356</v>
      </c>
      <c r="E486" t="s">
        <v>3128</v>
      </c>
      <c r="F486" t="s">
        <v>1782</v>
      </c>
      <c r="G486" t="s">
        <v>3134</v>
      </c>
      <c r="H486" t="s">
        <v>1252</v>
      </c>
      <c r="J486" s="455">
        <v>46102</v>
      </c>
      <c r="U486" s="455">
        <v>46112</v>
      </c>
    </row>
    <row r="487" spans="1:21">
      <c r="A487" t="s">
        <v>1751</v>
      </c>
      <c r="B487" t="s">
        <v>9374</v>
      </c>
      <c r="C487" t="s">
        <v>1751</v>
      </c>
      <c r="D487">
        <v>20468519</v>
      </c>
      <c r="E487" t="s">
        <v>3128</v>
      </c>
      <c r="F487" t="s">
        <v>1237</v>
      </c>
      <c r="G487" t="s">
        <v>3137</v>
      </c>
      <c r="H487" t="s">
        <v>1251</v>
      </c>
      <c r="J487" s="455">
        <v>46092</v>
      </c>
      <c r="U487" s="455">
        <v>46113</v>
      </c>
    </row>
    <row r="488" spans="1:21">
      <c r="A488" t="s">
        <v>1751</v>
      </c>
      <c r="B488" t="s">
        <v>9375</v>
      </c>
      <c r="C488" t="s">
        <v>1751</v>
      </c>
      <c r="D488">
        <v>20471179</v>
      </c>
      <c r="E488" t="s">
        <v>3128</v>
      </c>
      <c r="F488" t="s">
        <v>1782</v>
      </c>
      <c r="G488" t="s">
        <v>3141</v>
      </c>
      <c r="H488" t="s">
        <v>1247</v>
      </c>
      <c r="J488" s="455">
        <v>46094</v>
      </c>
      <c r="U488" s="455">
        <v>46094</v>
      </c>
    </row>
    <row r="489" spans="1:21">
      <c r="A489" t="s">
        <v>1751</v>
      </c>
      <c r="B489" t="s">
        <v>9376</v>
      </c>
      <c r="C489" t="s">
        <v>1751</v>
      </c>
      <c r="D489">
        <v>20479832</v>
      </c>
      <c r="E489" t="s">
        <v>3128</v>
      </c>
      <c r="F489" t="s">
        <v>1782</v>
      </c>
      <c r="G489" t="s">
        <v>3141</v>
      </c>
      <c r="H489" t="s">
        <v>1248</v>
      </c>
      <c r="J489" s="455">
        <v>46106</v>
      </c>
      <c r="U489" s="455">
        <v>46106</v>
      </c>
    </row>
    <row r="490" spans="1:21">
      <c r="A490" t="s">
        <v>1751</v>
      </c>
      <c r="B490" t="s">
        <v>9377</v>
      </c>
      <c r="C490" t="s">
        <v>1751</v>
      </c>
      <c r="D490">
        <v>20477945</v>
      </c>
      <c r="E490" t="s">
        <v>3128</v>
      </c>
      <c r="F490" t="s">
        <v>1237</v>
      </c>
      <c r="G490" t="s">
        <v>3143</v>
      </c>
      <c r="H490" t="s">
        <v>1251</v>
      </c>
      <c r="I490" t="s">
        <v>1780</v>
      </c>
      <c r="J490" s="455">
        <v>46103</v>
      </c>
      <c r="U490" s="455">
        <v>46103</v>
      </c>
    </row>
    <row r="491" spans="1:21">
      <c r="A491" t="s">
        <v>1751</v>
      </c>
      <c r="B491" t="s">
        <v>9378</v>
      </c>
      <c r="C491" t="s">
        <v>1751</v>
      </c>
      <c r="D491">
        <v>20470548</v>
      </c>
      <c r="E491" t="s">
        <v>3128</v>
      </c>
      <c r="F491" t="s">
        <v>1782</v>
      </c>
      <c r="G491" t="s">
        <v>3134</v>
      </c>
      <c r="H491" t="s">
        <v>1252</v>
      </c>
      <c r="J491" s="455">
        <v>46093</v>
      </c>
      <c r="U491" s="455">
        <v>46119</v>
      </c>
    </row>
    <row r="492" spans="1:21">
      <c r="A492" t="s">
        <v>1751</v>
      </c>
      <c r="B492" t="s">
        <v>9379</v>
      </c>
      <c r="C492" t="s">
        <v>1751</v>
      </c>
      <c r="D492">
        <v>20465440</v>
      </c>
      <c r="E492" t="s">
        <v>3128</v>
      </c>
      <c r="F492" t="s">
        <v>1241</v>
      </c>
      <c r="G492" t="s">
        <v>2009</v>
      </c>
      <c r="H492" t="s">
        <v>1251</v>
      </c>
      <c r="J492" s="455">
        <v>46090</v>
      </c>
      <c r="U492" s="455">
        <v>46090</v>
      </c>
    </row>
    <row r="493" spans="1:21">
      <c r="A493" t="s">
        <v>1751</v>
      </c>
      <c r="B493" t="s">
        <v>9380</v>
      </c>
      <c r="C493" t="s">
        <v>1751</v>
      </c>
      <c r="D493">
        <v>20464008</v>
      </c>
      <c r="E493" t="s">
        <v>3128</v>
      </c>
      <c r="F493" t="s">
        <v>1782</v>
      </c>
      <c r="G493" t="s">
        <v>3141</v>
      </c>
      <c r="H493" t="s">
        <v>1251</v>
      </c>
      <c r="J493" s="455">
        <v>46087</v>
      </c>
      <c r="U493" s="455">
        <v>46088</v>
      </c>
    </row>
    <row r="494" spans="1:21">
      <c r="A494" t="s">
        <v>1751</v>
      </c>
      <c r="B494" t="s">
        <v>4830</v>
      </c>
      <c r="C494" t="s">
        <v>1751</v>
      </c>
      <c r="D494">
        <v>20473423</v>
      </c>
      <c r="E494" t="s">
        <v>3190</v>
      </c>
      <c r="F494" t="s">
        <v>1241</v>
      </c>
      <c r="G494" t="s">
        <v>3143</v>
      </c>
      <c r="H494" t="s">
        <v>1251</v>
      </c>
      <c r="I494" t="s">
        <v>1831</v>
      </c>
      <c r="J494" s="455">
        <v>46098</v>
      </c>
      <c r="K494" s="455">
        <v>46098</v>
      </c>
      <c r="R494" s="455">
        <v>46100</v>
      </c>
      <c r="U494" s="455">
        <v>46098</v>
      </c>
    </row>
    <row r="495" spans="1:21">
      <c r="A495" t="s">
        <v>1751</v>
      </c>
      <c r="B495" t="s">
        <v>4830</v>
      </c>
      <c r="C495" t="s">
        <v>1751</v>
      </c>
      <c r="D495">
        <v>20473722</v>
      </c>
      <c r="E495" t="s">
        <v>3133</v>
      </c>
      <c r="F495" t="s">
        <v>1237</v>
      </c>
      <c r="G495" t="s">
        <v>3134</v>
      </c>
      <c r="H495" t="s">
        <v>1247</v>
      </c>
      <c r="I495" t="s">
        <v>2163</v>
      </c>
      <c r="J495" s="455">
        <v>46098</v>
      </c>
      <c r="K495" s="455">
        <v>46098</v>
      </c>
      <c r="L495" s="455">
        <v>46098</v>
      </c>
      <c r="R495" s="455">
        <v>46105</v>
      </c>
      <c r="U495" s="455">
        <v>46106</v>
      </c>
    </row>
    <row r="496" spans="1:21">
      <c r="A496" t="s">
        <v>1751</v>
      </c>
      <c r="B496" t="s">
        <v>9381</v>
      </c>
      <c r="C496" t="s">
        <v>1751</v>
      </c>
      <c r="D496">
        <v>20466420</v>
      </c>
      <c r="E496" t="s">
        <v>3128</v>
      </c>
      <c r="F496" t="s">
        <v>1238</v>
      </c>
      <c r="G496" t="s">
        <v>3143</v>
      </c>
      <c r="H496" t="s">
        <v>1252</v>
      </c>
      <c r="J496" s="455">
        <v>46091</v>
      </c>
      <c r="U496" s="455">
        <v>46091</v>
      </c>
    </row>
    <row r="497" spans="1:21">
      <c r="A497" t="s">
        <v>1751</v>
      </c>
      <c r="B497" t="s">
        <v>9382</v>
      </c>
      <c r="C497" t="s">
        <v>1751</v>
      </c>
      <c r="D497">
        <v>20471696</v>
      </c>
      <c r="E497" t="s">
        <v>3128</v>
      </c>
      <c r="F497" t="s">
        <v>1241</v>
      </c>
      <c r="G497" t="s">
        <v>3134</v>
      </c>
      <c r="H497" t="s">
        <v>1252</v>
      </c>
      <c r="I497" t="s">
        <v>1938</v>
      </c>
      <c r="J497" s="455">
        <v>46095</v>
      </c>
      <c r="U497" s="455">
        <v>46203</v>
      </c>
    </row>
    <row r="498" spans="1:21">
      <c r="A498" t="s">
        <v>1751</v>
      </c>
      <c r="B498" t="s">
        <v>9383</v>
      </c>
      <c r="C498" t="s">
        <v>1751</v>
      </c>
      <c r="D498">
        <v>20482139</v>
      </c>
      <c r="E498" t="s">
        <v>3128</v>
      </c>
      <c r="F498" t="s">
        <v>1782</v>
      </c>
      <c r="G498" t="s">
        <v>3134</v>
      </c>
      <c r="H498" t="s">
        <v>1252</v>
      </c>
      <c r="J498" s="455">
        <v>46109</v>
      </c>
      <c r="U498" s="455">
        <v>46110</v>
      </c>
    </row>
    <row r="499" spans="1:21">
      <c r="A499" t="s">
        <v>1751</v>
      </c>
      <c r="B499" t="s">
        <v>8944</v>
      </c>
      <c r="C499" t="s">
        <v>1751</v>
      </c>
      <c r="D499">
        <v>20454112</v>
      </c>
      <c r="E499" t="s">
        <v>3133</v>
      </c>
      <c r="F499" t="s">
        <v>1238</v>
      </c>
      <c r="G499" t="s">
        <v>3134</v>
      </c>
      <c r="H499" t="s">
        <v>1247</v>
      </c>
      <c r="I499" t="s">
        <v>2186</v>
      </c>
      <c r="J499" s="455">
        <v>46073</v>
      </c>
      <c r="K499" s="455">
        <v>46073</v>
      </c>
      <c r="L499" s="455">
        <v>46080</v>
      </c>
      <c r="M499" s="455">
        <v>46090</v>
      </c>
      <c r="R499" s="455">
        <v>46091</v>
      </c>
      <c r="U499" s="455">
        <v>46090</v>
      </c>
    </row>
    <row r="500" spans="1:21">
      <c r="A500" t="s">
        <v>1751</v>
      </c>
      <c r="B500" t="s">
        <v>1797</v>
      </c>
      <c r="C500" t="s">
        <v>1751</v>
      </c>
      <c r="D500">
        <v>20465210</v>
      </c>
      <c r="E500" t="s">
        <v>2008</v>
      </c>
      <c r="F500" t="s">
        <v>1799</v>
      </c>
      <c r="G500" t="s">
        <v>3129</v>
      </c>
      <c r="H500" t="s">
        <v>3377</v>
      </c>
      <c r="I500" t="s">
        <v>1796</v>
      </c>
      <c r="J500" s="455">
        <v>46090</v>
      </c>
      <c r="K500" s="455">
        <v>46090</v>
      </c>
      <c r="L500" s="455">
        <v>46090</v>
      </c>
      <c r="M500" s="455">
        <v>46112</v>
      </c>
      <c r="O500" s="455">
        <v>46113</v>
      </c>
      <c r="U500" s="455">
        <v>46120</v>
      </c>
    </row>
    <row r="501" spans="1:21">
      <c r="A501" t="s">
        <v>1751</v>
      </c>
      <c r="B501" t="s">
        <v>9384</v>
      </c>
      <c r="C501" t="s">
        <v>1751</v>
      </c>
      <c r="D501">
        <v>20464729</v>
      </c>
      <c r="E501" t="s">
        <v>1897</v>
      </c>
      <c r="F501" t="s">
        <v>1912</v>
      </c>
      <c r="G501" t="s">
        <v>3134</v>
      </c>
      <c r="H501" t="s">
        <v>1247</v>
      </c>
      <c r="J501" s="455">
        <v>46089</v>
      </c>
      <c r="K501" s="455">
        <v>46089</v>
      </c>
      <c r="U501" s="455">
        <v>46089</v>
      </c>
    </row>
    <row r="502" spans="1:21">
      <c r="A502" t="s">
        <v>1751</v>
      </c>
      <c r="B502" t="s">
        <v>9385</v>
      </c>
      <c r="C502" t="s">
        <v>1751</v>
      </c>
      <c r="D502">
        <v>20476066</v>
      </c>
      <c r="E502" t="s">
        <v>3133</v>
      </c>
      <c r="F502" t="s">
        <v>1243</v>
      </c>
      <c r="G502" t="s">
        <v>3134</v>
      </c>
      <c r="H502" t="s">
        <v>1247</v>
      </c>
      <c r="I502" t="s">
        <v>2134</v>
      </c>
      <c r="J502" s="455">
        <v>46100</v>
      </c>
      <c r="K502" s="455">
        <v>46100</v>
      </c>
      <c r="L502" s="455">
        <v>46100</v>
      </c>
      <c r="R502" s="455">
        <v>46105</v>
      </c>
      <c r="U502" s="455">
        <v>46105</v>
      </c>
    </row>
    <row r="503" spans="1:21">
      <c r="A503" t="s">
        <v>1751</v>
      </c>
      <c r="B503" t="s">
        <v>7110</v>
      </c>
      <c r="C503" t="s">
        <v>1751</v>
      </c>
      <c r="D503">
        <v>20461940</v>
      </c>
      <c r="E503" t="s">
        <v>3142</v>
      </c>
      <c r="F503" t="s">
        <v>1238</v>
      </c>
      <c r="G503" t="s">
        <v>3141</v>
      </c>
      <c r="H503" t="s">
        <v>1252</v>
      </c>
      <c r="I503" t="s">
        <v>3703</v>
      </c>
      <c r="J503" s="455">
        <v>46084</v>
      </c>
      <c r="K503" s="455">
        <v>46085</v>
      </c>
      <c r="L503" s="455">
        <v>46086</v>
      </c>
      <c r="M503" s="455">
        <v>46093</v>
      </c>
      <c r="N503" s="455">
        <v>46093</v>
      </c>
      <c r="P503" s="455">
        <v>46095</v>
      </c>
      <c r="Q503" s="455">
        <v>46095</v>
      </c>
      <c r="T503" s="455">
        <v>46090</v>
      </c>
      <c r="U503" s="455">
        <v>46127</v>
      </c>
    </row>
    <row r="504" spans="1:21">
      <c r="A504" t="s">
        <v>1751</v>
      </c>
      <c r="B504" t="s">
        <v>7110</v>
      </c>
      <c r="C504" t="s">
        <v>1751</v>
      </c>
      <c r="D504">
        <v>20462271</v>
      </c>
      <c r="E504" t="s">
        <v>1897</v>
      </c>
      <c r="F504" t="s">
        <v>1238</v>
      </c>
      <c r="G504" t="s">
        <v>3134</v>
      </c>
      <c r="H504" t="s">
        <v>1251</v>
      </c>
      <c r="J504" s="455">
        <v>46085</v>
      </c>
      <c r="K504" s="455">
        <v>46085</v>
      </c>
      <c r="U504" s="455">
        <v>46125</v>
      </c>
    </row>
    <row r="505" spans="1:21">
      <c r="A505" t="s">
        <v>1751</v>
      </c>
      <c r="B505" t="s">
        <v>6555</v>
      </c>
      <c r="C505" t="s">
        <v>1751</v>
      </c>
      <c r="D505">
        <v>20475075</v>
      </c>
      <c r="E505" t="s">
        <v>3128</v>
      </c>
      <c r="F505" t="s">
        <v>1241</v>
      </c>
      <c r="G505" t="s">
        <v>3134</v>
      </c>
      <c r="H505" t="s">
        <v>1252</v>
      </c>
      <c r="J505" s="455">
        <v>46099</v>
      </c>
      <c r="U505" s="455">
        <v>46113</v>
      </c>
    </row>
    <row r="506" spans="1:21">
      <c r="A506" t="s">
        <v>1751</v>
      </c>
      <c r="B506" t="s">
        <v>9386</v>
      </c>
      <c r="C506" t="s">
        <v>1751</v>
      </c>
      <c r="D506">
        <v>20476402</v>
      </c>
      <c r="E506" t="s">
        <v>3128</v>
      </c>
      <c r="F506" t="s">
        <v>1782</v>
      </c>
      <c r="G506" t="s">
        <v>3134</v>
      </c>
      <c r="H506" t="s">
        <v>1252</v>
      </c>
      <c r="J506" s="455">
        <v>46100</v>
      </c>
      <c r="U506" s="455">
        <v>46199</v>
      </c>
    </row>
    <row r="507" spans="1:21">
      <c r="A507" t="s">
        <v>1751</v>
      </c>
      <c r="B507" t="s">
        <v>9387</v>
      </c>
      <c r="C507" t="s">
        <v>1751</v>
      </c>
      <c r="D507">
        <v>20466181</v>
      </c>
      <c r="E507" t="s">
        <v>3128</v>
      </c>
      <c r="F507" t="s">
        <v>1782</v>
      </c>
      <c r="G507" t="s">
        <v>3129</v>
      </c>
      <c r="H507" t="s">
        <v>1252</v>
      </c>
      <c r="J507" s="455">
        <v>46091</v>
      </c>
      <c r="U507" s="455">
        <v>46091</v>
      </c>
    </row>
    <row r="508" spans="1:21">
      <c r="A508" t="s">
        <v>1751</v>
      </c>
      <c r="B508" t="s">
        <v>9388</v>
      </c>
      <c r="C508" t="s">
        <v>1751</v>
      </c>
      <c r="D508">
        <v>20472177</v>
      </c>
      <c r="E508" t="s">
        <v>3133</v>
      </c>
      <c r="F508" t="s">
        <v>1799</v>
      </c>
      <c r="G508" t="s">
        <v>3134</v>
      </c>
      <c r="H508" t="s">
        <v>1252</v>
      </c>
      <c r="J508" s="455">
        <v>46097</v>
      </c>
      <c r="K508" s="455">
        <v>46097</v>
      </c>
      <c r="R508" s="455">
        <v>46098</v>
      </c>
      <c r="U508" s="455">
        <v>46097</v>
      </c>
    </row>
    <row r="509" spans="1:21">
      <c r="A509" t="s">
        <v>1751</v>
      </c>
      <c r="B509" t="s">
        <v>1906</v>
      </c>
      <c r="C509" t="s">
        <v>1751</v>
      </c>
      <c r="D509">
        <v>20442666</v>
      </c>
      <c r="E509" t="s">
        <v>3142</v>
      </c>
      <c r="F509" t="s">
        <v>1238</v>
      </c>
      <c r="G509" t="s">
        <v>3134</v>
      </c>
      <c r="H509" t="s">
        <v>1252</v>
      </c>
      <c r="I509" t="s">
        <v>1905</v>
      </c>
      <c r="J509" s="455">
        <v>46060</v>
      </c>
      <c r="K509" s="455">
        <v>46060</v>
      </c>
      <c r="L509" s="455">
        <v>46060</v>
      </c>
      <c r="M509" s="455">
        <v>46073</v>
      </c>
      <c r="N509" s="455">
        <v>46085</v>
      </c>
      <c r="P509" s="455">
        <v>46085</v>
      </c>
      <c r="Q509" s="455">
        <v>46086</v>
      </c>
      <c r="U509" s="455">
        <v>46087</v>
      </c>
    </row>
    <row r="510" spans="1:21">
      <c r="A510" t="s">
        <v>1751</v>
      </c>
      <c r="B510" t="s">
        <v>9389</v>
      </c>
      <c r="C510" t="s">
        <v>1751</v>
      </c>
      <c r="D510">
        <v>20475390</v>
      </c>
      <c r="E510" t="s">
        <v>3190</v>
      </c>
      <c r="F510" t="s">
        <v>1238</v>
      </c>
      <c r="G510" t="s">
        <v>3143</v>
      </c>
      <c r="H510" t="s">
        <v>1251</v>
      </c>
      <c r="J510" s="455">
        <v>46099</v>
      </c>
      <c r="R510" s="455">
        <v>46099</v>
      </c>
      <c r="U510" s="455">
        <v>46099</v>
      </c>
    </row>
    <row r="511" spans="1:21">
      <c r="A511" t="s">
        <v>1751</v>
      </c>
      <c r="B511" t="s">
        <v>9390</v>
      </c>
      <c r="C511" t="s">
        <v>1751</v>
      </c>
      <c r="D511">
        <v>20460674</v>
      </c>
      <c r="E511" t="s">
        <v>3133</v>
      </c>
      <c r="F511" t="s">
        <v>1242</v>
      </c>
      <c r="G511" t="s">
        <v>3143</v>
      </c>
      <c r="H511" t="s">
        <v>1248</v>
      </c>
      <c r="I511" t="s">
        <v>1564</v>
      </c>
      <c r="J511" s="455">
        <v>46083</v>
      </c>
      <c r="K511" s="455">
        <v>46083</v>
      </c>
      <c r="L511" s="455">
        <v>46084</v>
      </c>
      <c r="R511" s="455">
        <v>46090</v>
      </c>
      <c r="U511" s="455">
        <v>46091</v>
      </c>
    </row>
    <row r="512" spans="1:21">
      <c r="A512" t="s">
        <v>1751</v>
      </c>
      <c r="B512" t="s">
        <v>1920</v>
      </c>
      <c r="C512" t="s">
        <v>1751</v>
      </c>
      <c r="D512">
        <v>20453635</v>
      </c>
      <c r="E512" t="s">
        <v>3142</v>
      </c>
      <c r="F512" t="s">
        <v>1239</v>
      </c>
      <c r="G512" t="s">
        <v>3134</v>
      </c>
      <c r="H512" t="s">
        <v>1252</v>
      </c>
      <c r="I512" t="s">
        <v>1919</v>
      </c>
      <c r="J512" s="455">
        <v>46072</v>
      </c>
      <c r="K512" s="455">
        <v>46072</v>
      </c>
      <c r="L512" s="455">
        <v>46072</v>
      </c>
      <c r="M512" s="455">
        <v>46101</v>
      </c>
      <c r="N512" s="455">
        <v>46101</v>
      </c>
      <c r="O512" s="455">
        <v>46101</v>
      </c>
      <c r="P512" s="455">
        <v>46101</v>
      </c>
      <c r="Q512" s="455">
        <v>46103</v>
      </c>
      <c r="U512" s="455">
        <v>46101</v>
      </c>
    </row>
    <row r="513" spans="1:21">
      <c r="A513" t="s">
        <v>1751</v>
      </c>
      <c r="B513" t="s">
        <v>9391</v>
      </c>
      <c r="C513" t="s">
        <v>1751</v>
      </c>
      <c r="D513">
        <v>20460030</v>
      </c>
      <c r="E513" t="s">
        <v>3190</v>
      </c>
      <c r="F513" t="s">
        <v>1237</v>
      </c>
      <c r="G513" t="s">
        <v>3141</v>
      </c>
      <c r="H513" t="s">
        <v>1251</v>
      </c>
      <c r="I513" t="s">
        <v>3262</v>
      </c>
      <c r="J513" s="455">
        <v>46082</v>
      </c>
      <c r="R513" s="455">
        <v>46094</v>
      </c>
      <c r="U513" s="455">
        <v>46082</v>
      </c>
    </row>
    <row r="514" spans="1:21">
      <c r="A514" t="s">
        <v>1751</v>
      </c>
      <c r="B514" t="s">
        <v>9392</v>
      </c>
      <c r="C514" t="s">
        <v>1751</v>
      </c>
      <c r="D514">
        <v>20463863</v>
      </c>
      <c r="E514" t="s">
        <v>3133</v>
      </c>
      <c r="F514" t="s">
        <v>1239</v>
      </c>
      <c r="G514" t="s">
        <v>3134</v>
      </c>
      <c r="H514" t="s">
        <v>1247</v>
      </c>
      <c r="I514" t="s">
        <v>2163</v>
      </c>
      <c r="J514" s="455">
        <v>46087</v>
      </c>
      <c r="K514" s="455">
        <v>46087</v>
      </c>
      <c r="L514" s="455">
        <v>46093</v>
      </c>
      <c r="R514" s="455">
        <v>46098</v>
      </c>
      <c r="U514" s="455">
        <v>46106</v>
      </c>
    </row>
    <row r="515" spans="1:21">
      <c r="A515" t="s">
        <v>1751</v>
      </c>
      <c r="B515" t="s">
        <v>9393</v>
      </c>
      <c r="C515" t="s">
        <v>1751</v>
      </c>
      <c r="D515">
        <v>20470445</v>
      </c>
      <c r="E515" t="s">
        <v>1897</v>
      </c>
      <c r="F515" t="s">
        <v>1912</v>
      </c>
      <c r="G515" t="s">
        <v>3134</v>
      </c>
      <c r="H515" t="s">
        <v>1247</v>
      </c>
      <c r="I515" t="s">
        <v>2134</v>
      </c>
      <c r="J515" s="455">
        <v>46093</v>
      </c>
      <c r="K515" s="455">
        <v>46093</v>
      </c>
      <c r="U515" s="455">
        <v>46093</v>
      </c>
    </row>
    <row r="516" spans="1:21">
      <c r="A516" t="s">
        <v>1751</v>
      </c>
      <c r="B516" t="s">
        <v>9394</v>
      </c>
      <c r="C516" t="s">
        <v>1751</v>
      </c>
      <c r="D516">
        <v>20482556</v>
      </c>
      <c r="E516" t="s">
        <v>3128</v>
      </c>
      <c r="F516" t="s">
        <v>1241</v>
      </c>
      <c r="G516" t="s">
        <v>3141</v>
      </c>
      <c r="H516" t="s">
        <v>1252</v>
      </c>
      <c r="J516" s="455">
        <v>46110</v>
      </c>
      <c r="U516" s="455">
        <v>46143</v>
      </c>
    </row>
    <row r="517" spans="1:21">
      <c r="A517" t="s">
        <v>1751</v>
      </c>
      <c r="B517" t="s">
        <v>9395</v>
      </c>
      <c r="C517" t="s">
        <v>1751</v>
      </c>
      <c r="D517">
        <v>20483482</v>
      </c>
      <c r="E517" t="s">
        <v>3128</v>
      </c>
      <c r="F517" t="s">
        <v>1241</v>
      </c>
      <c r="G517" t="s">
        <v>3143</v>
      </c>
      <c r="H517" t="s">
        <v>1248</v>
      </c>
      <c r="J517" s="455">
        <v>46111</v>
      </c>
      <c r="U517" s="455">
        <v>46147</v>
      </c>
    </row>
    <row r="518" spans="1:21">
      <c r="A518" t="s">
        <v>1751</v>
      </c>
      <c r="B518" t="s">
        <v>9396</v>
      </c>
      <c r="C518" t="s">
        <v>1751</v>
      </c>
      <c r="D518">
        <v>20471945</v>
      </c>
      <c r="E518" t="s">
        <v>3128</v>
      </c>
      <c r="F518" t="s">
        <v>1782</v>
      </c>
      <c r="G518" t="s">
        <v>3134</v>
      </c>
      <c r="H518" t="s">
        <v>1252</v>
      </c>
      <c r="J518" s="455">
        <v>46096</v>
      </c>
      <c r="U518" s="455">
        <v>46097</v>
      </c>
    </row>
    <row r="519" spans="1:21">
      <c r="A519" t="s">
        <v>1751</v>
      </c>
      <c r="B519" t="s">
        <v>9397</v>
      </c>
      <c r="C519" t="s">
        <v>1751</v>
      </c>
      <c r="D519">
        <v>20483283</v>
      </c>
      <c r="E519" t="s">
        <v>3128</v>
      </c>
      <c r="F519" t="s">
        <v>1241</v>
      </c>
      <c r="G519" t="s">
        <v>3129</v>
      </c>
      <c r="H519" t="s">
        <v>3131</v>
      </c>
      <c r="J519" s="455">
        <v>46111</v>
      </c>
      <c r="U519" s="455">
        <v>46112</v>
      </c>
    </row>
    <row r="520" spans="1:21">
      <c r="A520" t="s">
        <v>1751</v>
      </c>
      <c r="B520" t="s">
        <v>9398</v>
      </c>
      <c r="C520" t="s">
        <v>1751</v>
      </c>
      <c r="D520">
        <v>20477378</v>
      </c>
      <c r="E520" t="s">
        <v>3128</v>
      </c>
      <c r="F520" t="s">
        <v>1782</v>
      </c>
      <c r="G520" t="s">
        <v>3134</v>
      </c>
      <c r="H520" t="s">
        <v>1252</v>
      </c>
      <c r="I520" t="s">
        <v>1952</v>
      </c>
      <c r="J520" s="455">
        <v>46102</v>
      </c>
      <c r="U520" s="455">
        <v>46183</v>
      </c>
    </row>
    <row r="521" spans="1:21">
      <c r="A521" t="s">
        <v>1751</v>
      </c>
      <c r="B521" t="s">
        <v>4040</v>
      </c>
      <c r="C521" t="s">
        <v>1751</v>
      </c>
      <c r="D521">
        <v>20465576</v>
      </c>
      <c r="E521" t="s">
        <v>1897</v>
      </c>
      <c r="F521" t="s">
        <v>1243</v>
      </c>
      <c r="G521" t="s">
        <v>3134</v>
      </c>
      <c r="H521" t="s">
        <v>1247</v>
      </c>
      <c r="I521" t="s">
        <v>1931</v>
      </c>
      <c r="J521" s="455">
        <v>46090</v>
      </c>
      <c r="K521" s="455">
        <v>46090</v>
      </c>
      <c r="U521" s="455">
        <v>46094</v>
      </c>
    </row>
    <row r="522" spans="1:21">
      <c r="A522" t="s">
        <v>1751</v>
      </c>
      <c r="B522" t="s">
        <v>9399</v>
      </c>
      <c r="C522" t="s">
        <v>1751</v>
      </c>
      <c r="D522">
        <v>20462252</v>
      </c>
      <c r="E522" t="s">
        <v>3128</v>
      </c>
      <c r="F522" t="s">
        <v>1241</v>
      </c>
      <c r="G522" t="s">
        <v>3137</v>
      </c>
      <c r="H522" t="s">
        <v>1247</v>
      </c>
      <c r="J522" s="455">
        <v>46085</v>
      </c>
      <c r="U522" s="455">
        <v>46095</v>
      </c>
    </row>
    <row r="523" spans="1:21">
      <c r="A523" t="s">
        <v>1751</v>
      </c>
      <c r="B523" t="s">
        <v>8967</v>
      </c>
      <c r="C523" t="s">
        <v>1751</v>
      </c>
      <c r="D523">
        <v>20455772</v>
      </c>
      <c r="E523" t="s">
        <v>3133</v>
      </c>
      <c r="F523" t="s">
        <v>1239</v>
      </c>
      <c r="G523" t="s">
        <v>3129</v>
      </c>
      <c r="H523" t="s">
        <v>3358</v>
      </c>
      <c r="I523" t="s">
        <v>1821</v>
      </c>
      <c r="J523" s="455">
        <v>46076</v>
      </c>
      <c r="K523" s="455">
        <v>46076</v>
      </c>
      <c r="L523" s="455">
        <v>46078</v>
      </c>
      <c r="R523" s="455">
        <v>46084</v>
      </c>
      <c r="U523" s="455">
        <v>46109</v>
      </c>
    </row>
    <row r="524" spans="1:21">
      <c r="A524" t="s">
        <v>1751</v>
      </c>
      <c r="B524" t="s">
        <v>9400</v>
      </c>
      <c r="C524" t="s">
        <v>1751</v>
      </c>
      <c r="D524">
        <v>20461036</v>
      </c>
      <c r="E524" t="s">
        <v>1897</v>
      </c>
      <c r="F524" t="s">
        <v>1912</v>
      </c>
      <c r="G524" t="s">
        <v>3134</v>
      </c>
      <c r="H524" t="s">
        <v>1247</v>
      </c>
      <c r="J524" s="455">
        <v>46083</v>
      </c>
      <c r="K524" s="455">
        <v>46083</v>
      </c>
      <c r="U524" s="455">
        <v>46083</v>
      </c>
    </row>
    <row r="525" spans="1:21">
      <c r="A525" t="s">
        <v>1751</v>
      </c>
      <c r="B525" t="s">
        <v>9400</v>
      </c>
      <c r="C525" t="s">
        <v>1751</v>
      </c>
      <c r="D525">
        <v>20461031</v>
      </c>
      <c r="E525" t="s">
        <v>3133</v>
      </c>
      <c r="F525" t="s">
        <v>1243</v>
      </c>
      <c r="G525" t="s">
        <v>2009</v>
      </c>
      <c r="H525" t="s">
        <v>1247</v>
      </c>
      <c r="I525" t="s">
        <v>1827</v>
      </c>
      <c r="J525" s="455">
        <v>46083</v>
      </c>
      <c r="K525" s="455">
        <v>46083</v>
      </c>
      <c r="L525" s="455">
        <v>46084</v>
      </c>
      <c r="R525" s="455">
        <v>46086</v>
      </c>
      <c r="U525" s="455">
        <v>46090</v>
      </c>
    </row>
    <row r="526" spans="1:21">
      <c r="A526" t="s">
        <v>1751</v>
      </c>
      <c r="B526" t="s">
        <v>7153</v>
      </c>
      <c r="C526" t="s">
        <v>1751</v>
      </c>
      <c r="D526">
        <v>20483721</v>
      </c>
      <c r="E526" t="s">
        <v>3128</v>
      </c>
      <c r="F526" t="s">
        <v>1241</v>
      </c>
      <c r="G526" t="s">
        <v>3134</v>
      </c>
      <c r="H526" t="s">
        <v>1252</v>
      </c>
      <c r="J526" s="455">
        <v>46111</v>
      </c>
      <c r="U526" s="455">
        <v>46183</v>
      </c>
    </row>
    <row r="527" spans="1:21">
      <c r="A527" t="s">
        <v>1751</v>
      </c>
      <c r="B527" t="s">
        <v>7036</v>
      </c>
      <c r="C527" t="s">
        <v>1751</v>
      </c>
      <c r="D527">
        <v>20411917</v>
      </c>
      <c r="E527" t="s">
        <v>3142</v>
      </c>
      <c r="F527" t="s">
        <v>1237</v>
      </c>
      <c r="G527" t="s">
        <v>3129</v>
      </c>
      <c r="H527" t="s">
        <v>1247</v>
      </c>
      <c r="I527" t="s">
        <v>7035</v>
      </c>
      <c r="J527" s="455">
        <v>46014</v>
      </c>
      <c r="K527" s="455">
        <v>46034</v>
      </c>
      <c r="L527" s="455">
        <v>46045</v>
      </c>
      <c r="M527" s="455">
        <v>46087</v>
      </c>
      <c r="N527" s="455">
        <v>46087</v>
      </c>
      <c r="P527" s="455">
        <v>46087</v>
      </c>
      <c r="Q527" s="455">
        <v>46088</v>
      </c>
      <c r="U527" s="455">
        <v>46092</v>
      </c>
    </row>
    <row r="528" spans="1:21">
      <c r="A528" t="s">
        <v>1751</v>
      </c>
      <c r="B528" t="s">
        <v>9401</v>
      </c>
      <c r="C528" t="s">
        <v>1751</v>
      </c>
      <c r="D528">
        <v>20478283</v>
      </c>
      <c r="E528" t="s">
        <v>3128</v>
      </c>
      <c r="F528" t="s">
        <v>1782</v>
      </c>
      <c r="G528" t="s">
        <v>9402</v>
      </c>
      <c r="H528" t="s">
        <v>1247</v>
      </c>
      <c r="J528" s="455">
        <v>46104</v>
      </c>
      <c r="U528" s="455">
        <v>46104</v>
      </c>
    </row>
    <row r="529" spans="1:21">
      <c r="A529" t="s">
        <v>1751</v>
      </c>
      <c r="B529" t="s">
        <v>9403</v>
      </c>
      <c r="C529" t="s">
        <v>1751</v>
      </c>
      <c r="D529">
        <v>20484147</v>
      </c>
      <c r="E529" t="s">
        <v>3128</v>
      </c>
      <c r="F529" t="s">
        <v>1241</v>
      </c>
      <c r="G529" t="s">
        <v>2009</v>
      </c>
      <c r="H529" t="s">
        <v>3165</v>
      </c>
      <c r="J529" s="455">
        <v>46112</v>
      </c>
      <c r="U529" s="455">
        <v>46112</v>
      </c>
    </row>
    <row r="530" spans="1:21">
      <c r="A530" t="s">
        <v>1751</v>
      </c>
      <c r="B530" t="s">
        <v>9404</v>
      </c>
      <c r="C530" t="s">
        <v>1751</v>
      </c>
      <c r="D530">
        <v>20468654</v>
      </c>
      <c r="E530" t="s">
        <v>3128</v>
      </c>
      <c r="F530" t="s">
        <v>1782</v>
      </c>
      <c r="G530" t="s">
        <v>3141</v>
      </c>
      <c r="H530" t="s">
        <v>1247</v>
      </c>
      <c r="J530" s="455">
        <v>46092</v>
      </c>
      <c r="U530" s="455">
        <v>46152</v>
      </c>
    </row>
    <row r="531" spans="1:21">
      <c r="A531" t="s">
        <v>1751</v>
      </c>
      <c r="B531" t="s">
        <v>9405</v>
      </c>
      <c r="C531" t="s">
        <v>1751</v>
      </c>
      <c r="D531">
        <v>20464926</v>
      </c>
      <c r="E531" t="s">
        <v>3128</v>
      </c>
      <c r="F531" t="s">
        <v>1782</v>
      </c>
      <c r="G531" t="s">
        <v>3143</v>
      </c>
      <c r="H531" t="s">
        <v>2291</v>
      </c>
      <c r="I531" t="s">
        <v>1831</v>
      </c>
      <c r="J531" s="455">
        <v>46089</v>
      </c>
      <c r="U531" s="455">
        <v>46089</v>
      </c>
    </row>
    <row r="532" spans="1:21">
      <c r="A532" t="s">
        <v>1751</v>
      </c>
      <c r="B532" t="s">
        <v>6590</v>
      </c>
      <c r="C532" t="s">
        <v>1751</v>
      </c>
      <c r="D532">
        <v>20484213</v>
      </c>
      <c r="E532" t="s">
        <v>1897</v>
      </c>
      <c r="F532" t="s">
        <v>1912</v>
      </c>
      <c r="G532" t="s">
        <v>3134</v>
      </c>
      <c r="H532" t="s">
        <v>1247</v>
      </c>
      <c r="I532" t="s">
        <v>4706</v>
      </c>
      <c r="J532" s="455">
        <v>46112</v>
      </c>
      <c r="K532" s="455">
        <v>46112</v>
      </c>
      <c r="U532" s="455">
        <v>46112</v>
      </c>
    </row>
    <row r="533" spans="1:21">
      <c r="A533" t="s">
        <v>1751</v>
      </c>
      <c r="B533" t="s">
        <v>9406</v>
      </c>
      <c r="C533" t="s">
        <v>1751</v>
      </c>
      <c r="D533">
        <v>20479466</v>
      </c>
      <c r="E533" t="s">
        <v>3128</v>
      </c>
      <c r="F533" t="s">
        <v>1782</v>
      </c>
      <c r="G533" t="s">
        <v>2009</v>
      </c>
      <c r="H533" t="s">
        <v>3165</v>
      </c>
      <c r="J533" s="455">
        <v>46105</v>
      </c>
      <c r="U533" s="455">
        <v>46105</v>
      </c>
    </row>
    <row r="534" spans="1:21">
      <c r="A534" t="s">
        <v>1751</v>
      </c>
      <c r="B534" t="s">
        <v>9407</v>
      </c>
      <c r="C534" t="s">
        <v>1751</v>
      </c>
      <c r="D534">
        <v>20482687</v>
      </c>
      <c r="E534" t="s">
        <v>3128</v>
      </c>
      <c r="F534" t="s">
        <v>1241</v>
      </c>
      <c r="G534" t="s">
        <v>3134</v>
      </c>
      <c r="H534" t="s">
        <v>1252</v>
      </c>
      <c r="J534" s="455">
        <v>46110</v>
      </c>
      <c r="U534" s="455">
        <v>46119</v>
      </c>
    </row>
    <row r="535" spans="1:21">
      <c r="A535" t="s">
        <v>1751</v>
      </c>
      <c r="B535" t="s">
        <v>9408</v>
      </c>
      <c r="C535" t="s">
        <v>1751</v>
      </c>
      <c r="D535">
        <v>20482090</v>
      </c>
      <c r="E535" t="s">
        <v>3128</v>
      </c>
      <c r="F535" t="s">
        <v>1241</v>
      </c>
      <c r="G535" t="s">
        <v>3143</v>
      </c>
      <c r="H535" t="s">
        <v>1252</v>
      </c>
      <c r="J535" s="455">
        <v>46109</v>
      </c>
      <c r="U535" s="455">
        <v>46109</v>
      </c>
    </row>
    <row r="536" spans="1:21">
      <c r="A536" t="s">
        <v>1751</v>
      </c>
      <c r="B536" t="s">
        <v>9409</v>
      </c>
      <c r="C536" t="s">
        <v>1751</v>
      </c>
      <c r="D536">
        <v>20464182</v>
      </c>
      <c r="E536" t="s">
        <v>3128</v>
      </c>
      <c r="F536" t="s">
        <v>1782</v>
      </c>
      <c r="G536" t="s">
        <v>3129</v>
      </c>
      <c r="H536" t="s">
        <v>1253</v>
      </c>
      <c r="J536" s="455">
        <v>46088</v>
      </c>
      <c r="U536" s="455">
        <v>46088</v>
      </c>
    </row>
    <row r="537" spans="1:21">
      <c r="A537" t="s">
        <v>1751</v>
      </c>
      <c r="B537" t="s">
        <v>9410</v>
      </c>
      <c r="C537" t="s">
        <v>1751</v>
      </c>
      <c r="D537">
        <v>20471294</v>
      </c>
      <c r="E537" t="s">
        <v>3128</v>
      </c>
      <c r="F537" t="s">
        <v>1782</v>
      </c>
      <c r="G537" t="s">
        <v>3134</v>
      </c>
      <c r="H537" t="s">
        <v>1252</v>
      </c>
      <c r="J537" s="455">
        <v>46095</v>
      </c>
      <c r="U537" s="455">
        <v>46113</v>
      </c>
    </row>
    <row r="538" spans="1:21">
      <c r="A538" t="s">
        <v>1751</v>
      </c>
      <c r="B538" t="s">
        <v>9411</v>
      </c>
      <c r="C538" t="s">
        <v>1751</v>
      </c>
      <c r="D538">
        <v>20483943</v>
      </c>
      <c r="E538" t="s">
        <v>3128</v>
      </c>
      <c r="F538" t="s">
        <v>1237</v>
      </c>
      <c r="G538" t="s">
        <v>3143</v>
      </c>
      <c r="H538" t="s">
        <v>1248</v>
      </c>
      <c r="I538" t="s">
        <v>3265</v>
      </c>
      <c r="J538" s="455">
        <v>46112</v>
      </c>
      <c r="U538" s="455">
        <v>46123</v>
      </c>
    </row>
    <row r="539" spans="1:21">
      <c r="A539" t="s">
        <v>1751</v>
      </c>
      <c r="B539" t="s">
        <v>4884</v>
      </c>
      <c r="C539" t="s">
        <v>1751</v>
      </c>
      <c r="D539">
        <v>20482511</v>
      </c>
      <c r="E539" t="s">
        <v>3128</v>
      </c>
      <c r="F539" t="s">
        <v>1782</v>
      </c>
      <c r="G539" t="s">
        <v>3134</v>
      </c>
      <c r="H539" t="s">
        <v>1252</v>
      </c>
      <c r="J539" s="455">
        <v>46110</v>
      </c>
      <c r="U539" s="455">
        <v>46111</v>
      </c>
    </row>
    <row r="540" spans="1:21">
      <c r="A540" t="s">
        <v>1751</v>
      </c>
      <c r="B540" t="s">
        <v>9412</v>
      </c>
      <c r="C540" t="s">
        <v>1751</v>
      </c>
      <c r="D540">
        <v>20462471</v>
      </c>
      <c r="E540" t="s">
        <v>3128</v>
      </c>
      <c r="F540" t="s">
        <v>1782</v>
      </c>
      <c r="G540" t="s">
        <v>3141</v>
      </c>
      <c r="H540" t="s">
        <v>1248</v>
      </c>
      <c r="J540" s="455">
        <v>46085</v>
      </c>
      <c r="U540" s="455">
        <v>46095</v>
      </c>
    </row>
    <row r="541" spans="1:21">
      <c r="A541" t="s">
        <v>1751</v>
      </c>
      <c r="B541" t="s">
        <v>4065</v>
      </c>
      <c r="C541" t="s">
        <v>1751</v>
      </c>
      <c r="D541">
        <v>20480846</v>
      </c>
      <c r="E541" t="s">
        <v>1897</v>
      </c>
      <c r="F541" t="s">
        <v>1238</v>
      </c>
      <c r="G541" t="s">
        <v>3134</v>
      </c>
      <c r="H541" t="s">
        <v>1252</v>
      </c>
      <c r="I541" t="s">
        <v>1938</v>
      </c>
      <c r="J541" s="455">
        <v>46107</v>
      </c>
      <c r="K541" s="455">
        <v>46107</v>
      </c>
      <c r="U541" s="455">
        <v>46116</v>
      </c>
    </row>
    <row r="542" spans="1:21">
      <c r="A542" t="s">
        <v>1751</v>
      </c>
      <c r="B542" t="s">
        <v>4065</v>
      </c>
      <c r="C542" t="s">
        <v>1751</v>
      </c>
      <c r="D542">
        <v>20474192</v>
      </c>
      <c r="E542" t="s">
        <v>1907</v>
      </c>
      <c r="F542" t="s">
        <v>1782</v>
      </c>
      <c r="G542" t="s">
        <v>3134</v>
      </c>
      <c r="H542" t="s">
        <v>1252</v>
      </c>
      <c r="I542" t="s">
        <v>1938</v>
      </c>
      <c r="J542" s="455">
        <v>46098</v>
      </c>
      <c r="K542" s="455">
        <v>46107</v>
      </c>
      <c r="L542" s="455">
        <v>46107</v>
      </c>
      <c r="U542" s="455">
        <v>46113</v>
      </c>
    </row>
    <row r="543" spans="1:21">
      <c r="A543" t="s">
        <v>1751</v>
      </c>
      <c r="B543" t="s">
        <v>9413</v>
      </c>
      <c r="C543" t="s">
        <v>1751</v>
      </c>
      <c r="D543">
        <v>20480956</v>
      </c>
      <c r="E543" t="s">
        <v>3128</v>
      </c>
      <c r="F543" t="s">
        <v>1782</v>
      </c>
      <c r="G543" t="s">
        <v>3134</v>
      </c>
      <c r="H543" t="s">
        <v>1252</v>
      </c>
      <c r="J543" s="455">
        <v>46107</v>
      </c>
      <c r="U543" s="455">
        <v>46111</v>
      </c>
    </row>
    <row r="544" spans="1:21">
      <c r="A544" t="s">
        <v>1751</v>
      </c>
      <c r="B544" t="s">
        <v>9414</v>
      </c>
      <c r="C544" t="s">
        <v>1751</v>
      </c>
      <c r="D544">
        <v>20477151</v>
      </c>
      <c r="E544" t="s">
        <v>3128</v>
      </c>
      <c r="F544" t="s">
        <v>1241</v>
      </c>
      <c r="G544" t="s">
        <v>3134</v>
      </c>
      <c r="H544" t="s">
        <v>1252</v>
      </c>
      <c r="I544" t="s">
        <v>1831</v>
      </c>
      <c r="J544" s="455">
        <v>46102</v>
      </c>
      <c r="U544" s="455">
        <v>46232</v>
      </c>
    </row>
    <row r="545" spans="1:21">
      <c r="A545" t="s">
        <v>1751</v>
      </c>
      <c r="B545" t="s">
        <v>4892</v>
      </c>
      <c r="C545" t="s">
        <v>1751</v>
      </c>
      <c r="D545">
        <v>20478998</v>
      </c>
      <c r="E545" t="s">
        <v>3128</v>
      </c>
      <c r="F545" t="s">
        <v>1241</v>
      </c>
      <c r="G545" t="s">
        <v>3134</v>
      </c>
      <c r="H545" t="s">
        <v>1252</v>
      </c>
      <c r="J545" s="455">
        <v>46105</v>
      </c>
      <c r="U545" s="455">
        <v>46113</v>
      </c>
    </row>
    <row r="546" spans="1:21">
      <c r="A546" t="s">
        <v>1751</v>
      </c>
      <c r="B546" t="s">
        <v>9415</v>
      </c>
      <c r="C546" t="s">
        <v>1751</v>
      </c>
      <c r="D546">
        <v>20480668</v>
      </c>
      <c r="E546" t="s">
        <v>3128</v>
      </c>
      <c r="F546" t="s">
        <v>1237</v>
      </c>
      <c r="G546" t="s">
        <v>3143</v>
      </c>
      <c r="H546" t="s">
        <v>1248</v>
      </c>
      <c r="I546" t="s">
        <v>2533</v>
      </c>
      <c r="J546" s="455">
        <v>46107</v>
      </c>
      <c r="U546" s="455">
        <v>46113</v>
      </c>
    </row>
    <row r="547" spans="1:21">
      <c r="A547" t="s">
        <v>1751</v>
      </c>
      <c r="B547" t="s">
        <v>9415</v>
      </c>
      <c r="C547" t="s">
        <v>1751</v>
      </c>
      <c r="D547">
        <v>20480716</v>
      </c>
      <c r="E547" t="s">
        <v>3133</v>
      </c>
      <c r="F547" t="s">
        <v>1237</v>
      </c>
      <c r="G547" t="s">
        <v>3134</v>
      </c>
      <c r="H547" t="s">
        <v>3515</v>
      </c>
      <c r="I547" t="s">
        <v>2186</v>
      </c>
      <c r="J547" s="455">
        <v>46107</v>
      </c>
      <c r="K547" s="455">
        <v>46107</v>
      </c>
      <c r="L547" s="455">
        <v>46108</v>
      </c>
      <c r="R547" s="455">
        <v>46112</v>
      </c>
      <c r="U547" s="455">
        <v>46112</v>
      </c>
    </row>
    <row r="548" spans="1:21">
      <c r="A548" t="s">
        <v>1751</v>
      </c>
      <c r="B548" t="s">
        <v>9416</v>
      </c>
      <c r="C548" t="s">
        <v>1751</v>
      </c>
      <c r="D548">
        <v>20479369</v>
      </c>
      <c r="E548" t="s">
        <v>3128</v>
      </c>
      <c r="F548" t="s">
        <v>1241</v>
      </c>
      <c r="G548" t="s">
        <v>3134</v>
      </c>
      <c r="H548" t="s">
        <v>1252</v>
      </c>
      <c r="J548" s="455">
        <v>46105</v>
      </c>
      <c r="U548" s="455">
        <v>46127</v>
      </c>
    </row>
    <row r="549" spans="1:21">
      <c r="A549" t="s">
        <v>1751</v>
      </c>
      <c r="B549" t="s">
        <v>4077</v>
      </c>
      <c r="C549" t="s">
        <v>1751</v>
      </c>
      <c r="D549">
        <v>20463689</v>
      </c>
      <c r="E549" t="s">
        <v>3128</v>
      </c>
      <c r="F549" t="s">
        <v>1782</v>
      </c>
      <c r="G549" t="s">
        <v>3129</v>
      </c>
      <c r="H549" t="s">
        <v>3131</v>
      </c>
      <c r="J549" s="455">
        <v>46087</v>
      </c>
      <c r="U549" s="455">
        <v>46087</v>
      </c>
    </row>
    <row r="550" spans="1:21">
      <c r="A550" t="s">
        <v>1751</v>
      </c>
      <c r="B550" t="s">
        <v>4078</v>
      </c>
      <c r="C550" t="s">
        <v>1751</v>
      </c>
      <c r="D550">
        <v>20471544</v>
      </c>
      <c r="E550" t="s">
        <v>3128</v>
      </c>
      <c r="F550" t="s">
        <v>1241</v>
      </c>
      <c r="G550" t="s">
        <v>3129</v>
      </c>
      <c r="H550" t="s">
        <v>1252</v>
      </c>
      <c r="J550" s="455">
        <v>46095</v>
      </c>
      <c r="U550" s="455">
        <v>46157</v>
      </c>
    </row>
    <row r="551" spans="1:21">
      <c r="A551" t="s">
        <v>1751</v>
      </c>
      <c r="B551" t="s">
        <v>9417</v>
      </c>
      <c r="C551" t="s">
        <v>1751</v>
      </c>
      <c r="D551">
        <v>20480695</v>
      </c>
      <c r="E551" t="s">
        <v>3128</v>
      </c>
      <c r="F551" t="s">
        <v>1241</v>
      </c>
      <c r="G551" t="s">
        <v>3129</v>
      </c>
      <c r="H551" t="s">
        <v>1252</v>
      </c>
      <c r="J551" s="455">
        <v>46107</v>
      </c>
      <c r="U551" s="455">
        <v>46111</v>
      </c>
    </row>
    <row r="552" spans="1:21">
      <c r="A552" t="s">
        <v>1751</v>
      </c>
      <c r="B552" t="s">
        <v>9418</v>
      </c>
      <c r="C552" t="s">
        <v>1751</v>
      </c>
      <c r="D552">
        <v>20478229</v>
      </c>
      <c r="E552" t="s">
        <v>3128</v>
      </c>
      <c r="F552" t="s">
        <v>1782</v>
      </c>
      <c r="G552" t="s">
        <v>3129</v>
      </c>
      <c r="H552" t="s">
        <v>3131</v>
      </c>
      <c r="J552" s="455">
        <v>46104</v>
      </c>
      <c r="U552" s="455">
        <v>46120</v>
      </c>
    </row>
    <row r="553" spans="1:21">
      <c r="A553" t="s">
        <v>1751</v>
      </c>
      <c r="B553" t="s">
        <v>9419</v>
      </c>
      <c r="C553" t="s">
        <v>1751</v>
      </c>
      <c r="D553">
        <v>20478216</v>
      </c>
      <c r="E553" t="s">
        <v>3128</v>
      </c>
      <c r="F553" t="s">
        <v>1241</v>
      </c>
      <c r="G553" t="s">
        <v>3129</v>
      </c>
      <c r="H553" t="s">
        <v>1252</v>
      </c>
      <c r="J553" s="455">
        <v>46104</v>
      </c>
      <c r="U553" s="455">
        <v>46172</v>
      </c>
    </row>
    <row r="554" spans="1:21">
      <c r="A554" t="s">
        <v>1751</v>
      </c>
      <c r="B554" t="s">
        <v>9420</v>
      </c>
      <c r="C554" t="s">
        <v>1751</v>
      </c>
      <c r="D554">
        <v>20465252</v>
      </c>
      <c r="E554" t="s">
        <v>3128</v>
      </c>
      <c r="F554" t="s">
        <v>1241</v>
      </c>
      <c r="G554" t="s">
        <v>3129</v>
      </c>
      <c r="H554" t="s">
        <v>1253</v>
      </c>
      <c r="I554" t="s">
        <v>2617</v>
      </c>
      <c r="J554" s="455">
        <v>46090</v>
      </c>
      <c r="U554" s="455">
        <v>46115</v>
      </c>
    </row>
    <row r="555" spans="1:21">
      <c r="A555" t="s">
        <v>1751</v>
      </c>
      <c r="B555" t="s">
        <v>9421</v>
      </c>
      <c r="C555" t="s">
        <v>1751</v>
      </c>
      <c r="D555">
        <v>20476117</v>
      </c>
      <c r="E555" t="s">
        <v>3128</v>
      </c>
      <c r="F555" t="s">
        <v>1241</v>
      </c>
      <c r="G555" t="s">
        <v>3129</v>
      </c>
      <c r="H555" t="s">
        <v>1253</v>
      </c>
      <c r="I555" t="s">
        <v>1952</v>
      </c>
      <c r="J555" s="455">
        <v>46100</v>
      </c>
      <c r="U555" s="455">
        <v>46100</v>
      </c>
    </row>
    <row r="556" spans="1:21">
      <c r="A556" t="s">
        <v>1751</v>
      </c>
      <c r="B556" t="s">
        <v>9422</v>
      </c>
      <c r="C556" t="s">
        <v>1751</v>
      </c>
      <c r="D556">
        <v>20461132</v>
      </c>
      <c r="E556" t="s">
        <v>3128</v>
      </c>
      <c r="F556" t="s">
        <v>1782</v>
      </c>
      <c r="G556" t="s">
        <v>3129</v>
      </c>
      <c r="H556" t="s">
        <v>3131</v>
      </c>
      <c r="J556" s="455">
        <v>46084</v>
      </c>
      <c r="U556" s="455">
        <v>46084</v>
      </c>
    </row>
    <row r="557" spans="1:21">
      <c r="A557" t="s">
        <v>1751</v>
      </c>
      <c r="B557" t="s">
        <v>4932</v>
      </c>
      <c r="C557" t="s">
        <v>1751</v>
      </c>
      <c r="D557">
        <v>20462200</v>
      </c>
      <c r="E557" t="s">
        <v>3128</v>
      </c>
      <c r="F557" t="s">
        <v>1782</v>
      </c>
      <c r="G557" t="s">
        <v>3129</v>
      </c>
      <c r="H557" t="s">
        <v>1252</v>
      </c>
      <c r="J557" s="455">
        <v>46085</v>
      </c>
      <c r="U557" s="455">
        <v>46099</v>
      </c>
    </row>
    <row r="558" spans="1:21">
      <c r="A558" t="s">
        <v>1751</v>
      </c>
      <c r="B558" t="s">
        <v>9423</v>
      </c>
      <c r="C558" t="s">
        <v>1751</v>
      </c>
      <c r="D558">
        <v>20463777</v>
      </c>
      <c r="E558" t="s">
        <v>3128</v>
      </c>
      <c r="F558" t="s">
        <v>1782</v>
      </c>
      <c r="G558" t="s">
        <v>3129</v>
      </c>
      <c r="H558" t="s">
        <v>3377</v>
      </c>
      <c r="J558" s="455">
        <v>46087</v>
      </c>
      <c r="U558" s="455">
        <v>46087</v>
      </c>
    </row>
    <row r="559" spans="1:21">
      <c r="A559" t="s">
        <v>1751</v>
      </c>
      <c r="B559" t="s">
        <v>9424</v>
      </c>
      <c r="C559" t="s">
        <v>1751</v>
      </c>
      <c r="D559">
        <v>20461471</v>
      </c>
      <c r="E559" t="s">
        <v>3128</v>
      </c>
      <c r="F559" t="s">
        <v>1782</v>
      </c>
      <c r="G559" t="s">
        <v>3129</v>
      </c>
      <c r="H559" t="s">
        <v>1252</v>
      </c>
      <c r="J559" s="455">
        <v>46084</v>
      </c>
      <c r="U559" s="455">
        <v>46174</v>
      </c>
    </row>
    <row r="560" spans="1:21">
      <c r="A560" t="s">
        <v>1751</v>
      </c>
      <c r="B560" t="s">
        <v>9425</v>
      </c>
      <c r="C560" t="s">
        <v>1751</v>
      </c>
      <c r="D560">
        <v>20462146</v>
      </c>
      <c r="E560" t="s">
        <v>3128</v>
      </c>
      <c r="F560" t="s">
        <v>1782</v>
      </c>
      <c r="G560" t="s">
        <v>3129</v>
      </c>
      <c r="H560" t="s">
        <v>1253</v>
      </c>
      <c r="J560" s="455">
        <v>46085</v>
      </c>
      <c r="U560" s="455">
        <v>46113</v>
      </c>
    </row>
    <row r="561" spans="1:21">
      <c r="A561" t="s">
        <v>1751</v>
      </c>
      <c r="B561" t="s">
        <v>9426</v>
      </c>
      <c r="C561" t="s">
        <v>1751</v>
      </c>
      <c r="D561">
        <v>20466417</v>
      </c>
      <c r="E561" t="s">
        <v>3128</v>
      </c>
      <c r="F561" t="s">
        <v>1241</v>
      </c>
      <c r="G561" t="s">
        <v>3143</v>
      </c>
      <c r="H561" t="s">
        <v>1247</v>
      </c>
      <c r="J561" s="455">
        <v>46091</v>
      </c>
      <c r="U561" s="455">
        <v>46091</v>
      </c>
    </row>
    <row r="562" spans="1:21">
      <c r="A562" t="s">
        <v>1751</v>
      </c>
      <c r="B562" t="s">
        <v>9427</v>
      </c>
      <c r="C562" t="s">
        <v>1751</v>
      </c>
      <c r="D562">
        <v>20465526</v>
      </c>
      <c r="E562" t="s">
        <v>3128</v>
      </c>
      <c r="F562" t="s">
        <v>1782</v>
      </c>
      <c r="G562" t="s">
        <v>3129</v>
      </c>
      <c r="H562" t="s">
        <v>1252</v>
      </c>
      <c r="J562" s="455">
        <v>46090</v>
      </c>
      <c r="U562" s="455">
        <v>46113</v>
      </c>
    </row>
    <row r="563" spans="1:21">
      <c r="A563" t="s">
        <v>1751</v>
      </c>
      <c r="B563" t="s">
        <v>9428</v>
      </c>
      <c r="C563" t="s">
        <v>1751</v>
      </c>
      <c r="D563">
        <v>20462888</v>
      </c>
      <c r="E563" t="s">
        <v>3128</v>
      </c>
      <c r="F563" t="s">
        <v>1241</v>
      </c>
      <c r="G563" t="s">
        <v>3129</v>
      </c>
      <c r="H563" t="s">
        <v>1252</v>
      </c>
      <c r="J563" s="455">
        <v>46086</v>
      </c>
      <c r="U563" s="455">
        <v>46096</v>
      </c>
    </row>
    <row r="564" spans="1:21">
      <c r="A564" t="s">
        <v>1751</v>
      </c>
      <c r="B564" t="s">
        <v>9429</v>
      </c>
      <c r="C564" t="s">
        <v>1751</v>
      </c>
      <c r="D564">
        <v>20471508</v>
      </c>
      <c r="E564" t="s">
        <v>3128</v>
      </c>
      <c r="F564" t="s">
        <v>1241</v>
      </c>
      <c r="G564" t="s">
        <v>3129</v>
      </c>
      <c r="H564" t="s">
        <v>3131</v>
      </c>
      <c r="J564" s="455">
        <v>46095</v>
      </c>
      <c r="U564" s="455">
        <v>46095</v>
      </c>
    </row>
    <row r="565" spans="1:21">
      <c r="A565" t="s">
        <v>1751</v>
      </c>
      <c r="B565" t="s">
        <v>9430</v>
      </c>
      <c r="C565" t="s">
        <v>1751</v>
      </c>
      <c r="D565">
        <v>20481265</v>
      </c>
      <c r="E565" t="s">
        <v>3128</v>
      </c>
      <c r="F565" t="s">
        <v>1782</v>
      </c>
      <c r="G565" t="s">
        <v>3129</v>
      </c>
      <c r="H565" t="s">
        <v>1252</v>
      </c>
      <c r="J565" s="455">
        <v>46108</v>
      </c>
      <c r="U565" s="455">
        <v>46108</v>
      </c>
    </row>
    <row r="566" spans="1:21">
      <c r="A566" t="s">
        <v>1751</v>
      </c>
      <c r="B566" t="s">
        <v>4137</v>
      </c>
      <c r="C566" t="s">
        <v>1751</v>
      </c>
      <c r="D566">
        <v>20474053</v>
      </c>
      <c r="E566" t="s">
        <v>3128</v>
      </c>
      <c r="F566" t="s">
        <v>1241</v>
      </c>
      <c r="G566" t="s">
        <v>3129</v>
      </c>
      <c r="H566" t="s">
        <v>1253</v>
      </c>
      <c r="J566" s="455">
        <v>46098</v>
      </c>
      <c r="U566" s="455">
        <v>46098</v>
      </c>
    </row>
    <row r="567" spans="1:21">
      <c r="A567" t="s">
        <v>1751</v>
      </c>
      <c r="B567" t="s">
        <v>9431</v>
      </c>
      <c r="C567" t="s">
        <v>1751</v>
      </c>
      <c r="D567">
        <v>20462849</v>
      </c>
      <c r="E567" t="s">
        <v>3128</v>
      </c>
      <c r="F567" t="s">
        <v>1782</v>
      </c>
      <c r="G567" t="s">
        <v>3129</v>
      </c>
      <c r="H567" t="s">
        <v>3377</v>
      </c>
      <c r="J567" s="455">
        <v>46086</v>
      </c>
      <c r="U567" s="455">
        <v>46086</v>
      </c>
    </row>
    <row r="568" spans="1:21">
      <c r="A568" t="s">
        <v>1751</v>
      </c>
      <c r="B568" t="s">
        <v>9432</v>
      </c>
      <c r="C568" t="s">
        <v>1751</v>
      </c>
      <c r="D568">
        <v>20469399</v>
      </c>
      <c r="E568" t="s">
        <v>3128</v>
      </c>
      <c r="F568" t="s">
        <v>1239</v>
      </c>
      <c r="G568" t="s">
        <v>3129</v>
      </c>
      <c r="H568" t="s">
        <v>1253</v>
      </c>
      <c r="J568" s="455">
        <v>46093</v>
      </c>
      <c r="U568" s="455">
        <v>46082</v>
      </c>
    </row>
    <row r="569" spans="1:21">
      <c r="A569" t="s">
        <v>1751</v>
      </c>
      <c r="B569" t="s">
        <v>9433</v>
      </c>
      <c r="C569" t="s">
        <v>1751</v>
      </c>
      <c r="D569">
        <v>20461472</v>
      </c>
      <c r="E569" t="s">
        <v>3128</v>
      </c>
      <c r="F569" t="s">
        <v>1241</v>
      </c>
      <c r="G569" t="s">
        <v>3129</v>
      </c>
      <c r="H569" t="s">
        <v>3131</v>
      </c>
      <c r="J569" s="455">
        <v>46084</v>
      </c>
      <c r="U569" s="455">
        <v>46084</v>
      </c>
    </row>
    <row r="570" spans="1:21">
      <c r="A570" t="s">
        <v>1751</v>
      </c>
      <c r="B570" t="s">
        <v>9434</v>
      </c>
      <c r="C570" t="s">
        <v>1751</v>
      </c>
      <c r="D570">
        <v>20479376</v>
      </c>
      <c r="E570" t="s">
        <v>3128</v>
      </c>
      <c r="F570" t="s">
        <v>1241</v>
      </c>
      <c r="G570" t="s">
        <v>3129</v>
      </c>
      <c r="H570" t="s">
        <v>1253</v>
      </c>
      <c r="J570" s="455">
        <v>46105</v>
      </c>
      <c r="U570" s="455">
        <v>46113</v>
      </c>
    </row>
    <row r="571" spans="1:21">
      <c r="A571" t="s">
        <v>1751</v>
      </c>
      <c r="B571" t="s">
        <v>9435</v>
      </c>
      <c r="C571" t="s">
        <v>1751</v>
      </c>
      <c r="D571">
        <v>20462459</v>
      </c>
      <c r="E571" t="s">
        <v>3128</v>
      </c>
      <c r="F571" t="s">
        <v>1782</v>
      </c>
      <c r="G571" t="s">
        <v>3129</v>
      </c>
      <c r="H571" t="s">
        <v>1252</v>
      </c>
      <c r="J571" s="455">
        <v>46085</v>
      </c>
      <c r="U571" s="455">
        <v>46085</v>
      </c>
    </row>
    <row r="572" spans="1:21">
      <c r="A572" t="s">
        <v>1751</v>
      </c>
      <c r="B572" t="s">
        <v>9436</v>
      </c>
      <c r="C572" t="s">
        <v>1751</v>
      </c>
      <c r="D572">
        <v>20469075</v>
      </c>
      <c r="E572" t="s">
        <v>3128</v>
      </c>
      <c r="F572" t="s">
        <v>1782</v>
      </c>
      <c r="G572" t="s">
        <v>3141</v>
      </c>
      <c r="H572" t="s">
        <v>3487</v>
      </c>
      <c r="J572" s="455">
        <v>46093</v>
      </c>
      <c r="U572" s="455">
        <v>46093</v>
      </c>
    </row>
    <row r="573" spans="1:21">
      <c r="A573" t="s">
        <v>1751</v>
      </c>
      <c r="B573" t="s">
        <v>9437</v>
      </c>
      <c r="C573" t="s">
        <v>1751</v>
      </c>
      <c r="D573">
        <v>20461557</v>
      </c>
      <c r="E573" t="s">
        <v>3128</v>
      </c>
      <c r="F573" t="s">
        <v>1782</v>
      </c>
      <c r="G573" t="s">
        <v>3129</v>
      </c>
      <c r="H573" t="s">
        <v>1253</v>
      </c>
      <c r="J573" s="455">
        <v>46084</v>
      </c>
      <c r="U573" s="455">
        <v>46084</v>
      </c>
    </row>
    <row r="574" spans="1:21">
      <c r="A574" t="s">
        <v>1751</v>
      </c>
      <c r="B574" t="s">
        <v>9438</v>
      </c>
      <c r="C574" t="s">
        <v>1751</v>
      </c>
      <c r="D574">
        <v>20465353</v>
      </c>
      <c r="E574" t="s">
        <v>3128</v>
      </c>
      <c r="F574" t="s">
        <v>1782</v>
      </c>
      <c r="G574" t="s">
        <v>3129</v>
      </c>
      <c r="H574" t="s">
        <v>3131</v>
      </c>
      <c r="J574" s="455">
        <v>46090</v>
      </c>
      <c r="U574" s="455">
        <v>46090</v>
      </c>
    </row>
    <row r="575" spans="1:21">
      <c r="A575" t="s">
        <v>1751</v>
      </c>
      <c r="B575" t="s">
        <v>9439</v>
      </c>
      <c r="C575" t="s">
        <v>1751</v>
      </c>
      <c r="D575">
        <v>20463734</v>
      </c>
      <c r="E575" t="s">
        <v>3128</v>
      </c>
      <c r="F575" t="s">
        <v>1241</v>
      </c>
      <c r="G575" t="s">
        <v>3129</v>
      </c>
      <c r="H575" t="s">
        <v>3131</v>
      </c>
      <c r="J575" s="455">
        <v>46087</v>
      </c>
      <c r="U575" s="455">
        <v>46087</v>
      </c>
    </row>
    <row r="576" spans="1:21">
      <c r="A576" t="s">
        <v>1751</v>
      </c>
      <c r="B576" t="s">
        <v>4179</v>
      </c>
      <c r="C576" t="s">
        <v>1751</v>
      </c>
      <c r="D576">
        <v>20482264</v>
      </c>
      <c r="E576" t="s">
        <v>3128</v>
      </c>
      <c r="F576" t="s">
        <v>1782</v>
      </c>
      <c r="G576" t="s">
        <v>3129</v>
      </c>
      <c r="H576" t="s">
        <v>1253</v>
      </c>
      <c r="J576" s="455">
        <v>46109</v>
      </c>
      <c r="U576" s="455">
        <v>46109</v>
      </c>
    </row>
    <row r="577" spans="1:21">
      <c r="A577" t="s">
        <v>1751</v>
      </c>
      <c r="B577" t="s">
        <v>4179</v>
      </c>
      <c r="C577" t="s">
        <v>1751</v>
      </c>
      <c r="D577">
        <v>20461553</v>
      </c>
      <c r="E577" t="s">
        <v>3128</v>
      </c>
      <c r="F577" t="s">
        <v>1782</v>
      </c>
      <c r="G577" t="s">
        <v>3129</v>
      </c>
      <c r="H577" t="s">
        <v>3131</v>
      </c>
      <c r="J577" s="455">
        <v>46084</v>
      </c>
      <c r="U577" s="455">
        <v>46084</v>
      </c>
    </row>
    <row r="578" spans="1:21">
      <c r="A578" t="s">
        <v>1751</v>
      </c>
      <c r="B578" t="s">
        <v>4179</v>
      </c>
      <c r="C578" t="s">
        <v>1751</v>
      </c>
      <c r="D578">
        <v>20460387</v>
      </c>
      <c r="E578" t="s">
        <v>3128</v>
      </c>
      <c r="F578" t="s">
        <v>1782</v>
      </c>
      <c r="G578" t="s">
        <v>3129</v>
      </c>
      <c r="H578" t="s">
        <v>3131</v>
      </c>
      <c r="J578" s="455">
        <v>46083</v>
      </c>
      <c r="U578" s="455">
        <v>46083</v>
      </c>
    </row>
    <row r="579" spans="1:21">
      <c r="A579" t="s">
        <v>1751</v>
      </c>
      <c r="B579" t="s">
        <v>4179</v>
      </c>
      <c r="C579" t="s">
        <v>1751</v>
      </c>
      <c r="D579">
        <v>20475771</v>
      </c>
      <c r="E579" t="s">
        <v>3128</v>
      </c>
      <c r="F579" t="s">
        <v>1241</v>
      </c>
      <c r="G579" t="s">
        <v>3129</v>
      </c>
      <c r="H579" t="s">
        <v>3131</v>
      </c>
      <c r="J579" s="455">
        <v>46100</v>
      </c>
      <c r="U579" s="455">
        <v>46157</v>
      </c>
    </row>
    <row r="580" spans="1:21">
      <c r="A580" t="s">
        <v>1751</v>
      </c>
      <c r="B580" t="s">
        <v>4179</v>
      </c>
      <c r="C580" t="s">
        <v>1751</v>
      </c>
      <c r="D580">
        <v>20463880</v>
      </c>
      <c r="E580" t="s">
        <v>3128</v>
      </c>
      <c r="F580" t="s">
        <v>1241</v>
      </c>
      <c r="G580" t="s">
        <v>3129</v>
      </c>
      <c r="H580" t="s">
        <v>1252</v>
      </c>
      <c r="J580" s="455">
        <v>46087</v>
      </c>
      <c r="U580" s="455">
        <v>46087</v>
      </c>
    </row>
    <row r="581" spans="1:21">
      <c r="A581" t="s">
        <v>1751</v>
      </c>
      <c r="B581" t="s">
        <v>4179</v>
      </c>
      <c r="C581" t="s">
        <v>1751</v>
      </c>
      <c r="D581">
        <v>20461559</v>
      </c>
      <c r="E581" t="s">
        <v>3128</v>
      </c>
      <c r="F581" t="s">
        <v>1782</v>
      </c>
      <c r="G581" t="s">
        <v>3129</v>
      </c>
      <c r="H581" t="s">
        <v>3131</v>
      </c>
      <c r="J581" s="455">
        <v>46084</v>
      </c>
      <c r="U581" s="455">
        <v>46084</v>
      </c>
    </row>
    <row r="582" spans="1:21">
      <c r="A582" t="s">
        <v>1751</v>
      </c>
      <c r="B582" t="s">
        <v>4179</v>
      </c>
      <c r="C582" t="s">
        <v>1751</v>
      </c>
      <c r="D582">
        <v>20461435</v>
      </c>
      <c r="E582" t="s">
        <v>3128</v>
      </c>
      <c r="F582" t="s">
        <v>1241</v>
      </c>
      <c r="G582" t="s">
        <v>3129</v>
      </c>
      <c r="H582" t="s">
        <v>1252</v>
      </c>
      <c r="J582" s="455">
        <v>46084</v>
      </c>
      <c r="U582" s="455">
        <v>46084</v>
      </c>
    </row>
    <row r="583" spans="1:21">
      <c r="A583" t="s">
        <v>1751</v>
      </c>
      <c r="B583" t="s">
        <v>4179</v>
      </c>
      <c r="C583" t="s">
        <v>1751</v>
      </c>
      <c r="D583">
        <v>20462220</v>
      </c>
      <c r="E583" t="s">
        <v>3128</v>
      </c>
      <c r="F583" t="s">
        <v>1782</v>
      </c>
      <c r="G583" t="s">
        <v>3129</v>
      </c>
      <c r="H583" t="s">
        <v>3131</v>
      </c>
      <c r="J583" s="455">
        <v>46085</v>
      </c>
      <c r="U583" s="455">
        <v>46085</v>
      </c>
    </row>
    <row r="584" spans="1:21">
      <c r="A584" t="s">
        <v>1751</v>
      </c>
      <c r="B584" t="s">
        <v>4179</v>
      </c>
      <c r="C584" t="s">
        <v>1751</v>
      </c>
      <c r="D584">
        <v>20473505</v>
      </c>
      <c r="E584" t="s">
        <v>3128</v>
      </c>
      <c r="F584" t="s">
        <v>1241</v>
      </c>
      <c r="G584" t="s">
        <v>3137</v>
      </c>
      <c r="H584" t="s">
        <v>1247</v>
      </c>
      <c r="J584" s="455">
        <v>46098</v>
      </c>
      <c r="U584" s="455">
        <v>46098</v>
      </c>
    </row>
    <row r="585" spans="1:21">
      <c r="A585" t="s">
        <v>1751</v>
      </c>
      <c r="B585" t="s">
        <v>4179</v>
      </c>
      <c r="C585" t="s">
        <v>1751</v>
      </c>
      <c r="D585">
        <v>20472330</v>
      </c>
      <c r="E585" t="s">
        <v>3128</v>
      </c>
      <c r="F585" t="s">
        <v>1782</v>
      </c>
      <c r="G585" t="s">
        <v>3129</v>
      </c>
      <c r="H585" t="s">
        <v>3131</v>
      </c>
      <c r="J585" s="455">
        <v>46097</v>
      </c>
      <c r="U585" s="455">
        <v>46097</v>
      </c>
    </row>
    <row r="586" spans="1:21">
      <c r="A586" t="s">
        <v>1751</v>
      </c>
      <c r="B586" t="s">
        <v>4179</v>
      </c>
      <c r="C586" t="s">
        <v>1751</v>
      </c>
      <c r="D586">
        <v>20465384</v>
      </c>
      <c r="E586" t="s">
        <v>3128</v>
      </c>
      <c r="F586" t="s">
        <v>1782</v>
      </c>
      <c r="G586" t="s">
        <v>3129</v>
      </c>
      <c r="H586" t="s">
        <v>3131</v>
      </c>
      <c r="J586" s="455">
        <v>46090</v>
      </c>
      <c r="U586" s="455">
        <v>46090</v>
      </c>
    </row>
    <row r="587" spans="1:21">
      <c r="A587" t="s">
        <v>1751</v>
      </c>
      <c r="B587" t="s">
        <v>9440</v>
      </c>
      <c r="C587" t="s">
        <v>1751</v>
      </c>
      <c r="D587">
        <v>20461415</v>
      </c>
      <c r="E587" t="s">
        <v>3128</v>
      </c>
      <c r="F587" t="s">
        <v>1782</v>
      </c>
      <c r="G587" t="s">
        <v>3129</v>
      </c>
      <c r="H587" t="s">
        <v>1252</v>
      </c>
      <c r="J587" s="455">
        <v>46084</v>
      </c>
      <c r="U587" s="455">
        <v>46091</v>
      </c>
    </row>
    <row r="588" spans="1:21">
      <c r="A588" t="s">
        <v>1751</v>
      </c>
      <c r="B588" t="s">
        <v>9441</v>
      </c>
      <c r="C588" t="s">
        <v>1751</v>
      </c>
      <c r="D588">
        <v>20476240</v>
      </c>
      <c r="E588" t="s">
        <v>1897</v>
      </c>
      <c r="F588" t="s">
        <v>1239</v>
      </c>
      <c r="G588" t="s">
        <v>3143</v>
      </c>
      <c r="H588" t="s">
        <v>3131</v>
      </c>
      <c r="I588" t="s">
        <v>1938</v>
      </c>
      <c r="J588" s="455">
        <v>46100</v>
      </c>
      <c r="K588" s="455">
        <v>46102</v>
      </c>
      <c r="U588" s="455">
        <v>46114</v>
      </c>
    </row>
    <row r="589" spans="1:21">
      <c r="A589" t="s">
        <v>1751</v>
      </c>
      <c r="B589" t="s">
        <v>9442</v>
      </c>
      <c r="C589" t="s">
        <v>1751</v>
      </c>
      <c r="D589">
        <v>20463371</v>
      </c>
      <c r="E589" t="s">
        <v>1897</v>
      </c>
      <c r="F589" t="s">
        <v>1912</v>
      </c>
      <c r="G589" t="s">
        <v>3134</v>
      </c>
      <c r="H589" t="s">
        <v>1247</v>
      </c>
      <c r="I589" t="s">
        <v>1552</v>
      </c>
      <c r="J589" s="455">
        <v>46086</v>
      </c>
      <c r="K589" s="455">
        <v>46086</v>
      </c>
      <c r="U589" s="455">
        <v>46086</v>
      </c>
    </row>
    <row r="590" spans="1:21">
      <c r="A590" t="s">
        <v>1751</v>
      </c>
      <c r="B590" t="s">
        <v>9442</v>
      </c>
      <c r="C590" t="s">
        <v>1751</v>
      </c>
      <c r="D590">
        <v>20460026</v>
      </c>
      <c r="E590" t="s">
        <v>3128</v>
      </c>
      <c r="F590" t="s">
        <v>1782</v>
      </c>
      <c r="G590" t="s">
        <v>3137</v>
      </c>
      <c r="H590" t="s">
        <v>1247</v>
      </c>
      <c r="J590" s="455">
        <v>46082</v>
      </c>
      <c r="U590" s="455">
        <v>46082</v>
      </c>
    </row>
    <row r="591" spans="1:21">
      <c r="A591" t="s">
        <v>1751</v>
      </c>
      <c r="B591" t="s">
        <v>9443</v>
      </c>
      <c r="C591" t="s">
        <v>1751</v>
      </c>
      <c r="D591">
        <v>20416476</v>
      </c>
      <c r="E591" t="s">
        <v>3133</v>
      </c>
      <c r="F591" t="s">
        <v>1237</v>
      </c>
      <c r="G591" t="s">
        <v>3134</v>
      </c>
      <c r="H591" t="s">
        <v>3515</v>
      </c>
      <c r="I591" t="s">
        <v>6650</v>
      </c>
      <c r="J591" s="455">
        <v>46024</v>
      </c>
      <c r="K591" s="455">
        <v>46024</v>
      </c>
      <c r="R591" s="455">
        <v>46091</v>
      </c>
      <c r="U591" s="455">
        <v>46032</v>
      </c>
    </row>
    <row r="592" spans="1:21">
      <c r="A592" t="s">
        <v>1751</v>
      </c>
      <c r="B592" t="s">
        <v>1918</v>
      </c>
      <c r="C592" t="s">
        <v>1751</v>
      </c>
      <c r="D592">
        <v>20453249</v>
      </c>
      <c r="E592" t="s">
        <v>3133</v>
      </c>
      <c r="F592" t="s">
        <v>1239</v>
      </c>
      <c r="G592" t="s">
        <v>3134</v>
      </c>
      <c r="H592" t="s">
        <v>1249</v>
      </c>
      <c r="I592" t="s">
        <v>1917</v>
      </c>
      <c r="J592" s="455">
        <v>46072</v>
      </c>
      <c r="K592" s="455">
        <v>46072</v>
      </c>
      <c r="L592" s="455">
        <v>46072</v>
      </c>
      <c r="R592" s="455">
        <v>46098</v>
      </c>
      <c r="U592" s="455">
        <v>46098</v>
      </c>
    </row>
    <row r="593" spans="1:21">
      <c r="A593" t="s">
        <v>1751</v>
      </c>
      <c r="B593" t="s">
        <v>9053</v>
      </c>
      <c r="C593" t="s">
        <v>1751</v>
      </c>
      <c r="D593">
        <v>20452419</v>
      </c>
      <c r="E593" t="s">
        <v>3133</v>
      </c>
      <c r="F593" t="s">
        <v>8652</v>
      </c>
      <c r="G593" t="s">
        <v>3143</v>
      </c>
      <c r="H593" t="s">
        <v>1249</v>
      </c>
      <c r="I593" t="s">
        <v>2388</v>
      </c>
      <c r="J593" s="455">
        <v>46071</v>
      </c>
      <c r="K593" s="455">
        <v>46073</v>
      </c>
      <c r="L593" s="455">
        <v>46073</v>
      </c>
      <c r="R593" s="455">
        <v>46091</v>
      </c>
      <c r="U593" s="455">
        <v>46094</v>
      </c>
    </row>
    <row r="594" spans="1:21">
      <c r="A594" t="s">
        <v>1751</v>
      </c>
      <c r="B594" t="s">
        <v>9444</v>
      </c>
      <c r="C594" t="s">
        <v>1751</v>
      </c>
      <c r="D594">
        <v>20481326</v>
      </c>
      <c r="E594" t="s">
        <v>3128</v>
      </c>
      <c r="F594" t="s">
        <v>1241</v>
      </c>
      <c r="G594" t="s">
        <v>3137</v>
      </c>
      <c r="H594" t="s">
        <v>3165</v>
      </c>
      <c r="J594" s="455">
        <v>46108</v>
      </c>
      <c r="U594" s="455">
        <v>46108</v>
      </c>
    </row>
    <row r="595" spans="1:21">
      <c r="A595" t="s">
        <v>1751</v>
      </c>
      <c r="B595" t="s">
        <v>9445</v>
      </c>
      <c r="C595" t="s">
        <v>1751</v>
      </c>
      <c r="D595">
        <v>20473119</v>
      </c>
      <c r="E595" t="s">
        <v>3128</v>
      </c>
      <c r="F595" t="s">
        <v>1241</v>
      </c>
      <c r="G595" t="s">
        <v>3143</v>
      </c>
      <c r="H595" t="s">
        <v>1251</v>
      </c>
      <c r="J595" s="455">
        <v>46098</v>
      </c>
      <c r="U595" s="455">
        <v>46098</v>
      </c>
    </row>
    <row r="596" spans="1:21">
      <c r="A596" t="s">
        <v>1751</v>
      </c>
      <c r="B596" t="s">
        <v>9446</v>
      </c>
      <c r="C596" t="s">
        <v>1751</v>
      </c>
      <c r="D596">
        <v>20480831</v>
      </c>
      <c r="E596" t="s">
        <v>3128</v>
      </c>
      <c r="F596" t="s">
        <v>1241</v>
      </c>
      <c r="G596" t="s">
        <v>3134</v>
      </c>
      <c r="H596" t="s">
        <v>1252</v>
      </c>
      <c r="J596" s="455">
        <v>46107</v>
      </c>
      <c r="U596" s="455">
        <v>46113</v>
      </c>
    </row>
    <row r="597" spans="1:21">
      <c r="A597" t="s">
        <v>1751</v>
      </c>
      <c r="B597" t="s">
        <v>9447</v>
      </c>
      <c r="C597" t="s">
        <v>1751</v>
      </c>
      <c r="D597">
        <v>20471043</v>
      </c>
      <c r="E597" t="s">
        <v>3128</v>
      </c>
      <c r="F597" t="s">
        <v>1239</v>
      </c>
      <c r="G597" t="s">
        <v>3143</v>
      </c>
      <c r="H597" t="s">
        <v>1248</v>
      </c>
      <c r="I597" t="s">
        <v>1952</v>
      </c>
      <c r="J597" s="455">
        <v>46094</v>
      </c>
      <c r="U597" s="455">
        <v>46094</v>
      </c>
    </row>
    <row r="598" spans="1:21">
      <c r="A598" t="s">
        <v>1751</v>
      </c>
      <c r="B598" t="s">
        <v>9448</v>
      </c>
      <c r="C598" t="s">
        <v>1751</v>
      </c>
      <c r="D598">
        <v>20482608</v>
      </c>
      <c r="E598" t="s">
        <v>3128</v>
      </c>
      <c r="F598" t="s">
        <v>1782</v>
      </c>
      <c r="G598" t="s">
        <v>3134</v>
      </c>
      <c r="H598" t="s">
        <v>1252</v>
      </c>
      <c r="J598" s="455">
        <v>46110</v>
      </c>
      <c r="U598" s="455">
        <v>46162</v>
      </c>
    </row>
    <row r="599" spans="1:21">
      <c r="A599" t="s">
        <v>1751</v>
      </c>
      <c r="B599" t="s">
        <v>4213</v>
      </c>
      <c r="C599" t="s">
        <v>1751</v>
      </c>
      <c r="D599">
        <v>20482834</v>
      </c>
      <c r="E599" t="s">
        <v>1897</v>
      </c>
      <c r="F599" t="s">
        <v>1912</v>
      </c>
      <c r="G599" t="s">
        <v>3134</v>
      </c>
      <c r="H599" t="s">
        <v>1247</v>
      </c>
      <c r="J599" s="455">
        <v>46110</v>
      </c>
      <c r="K599" s="455">
        <v>46110</v>
      </c>
      <c r="U599" s="455">
        <v>46110</v>
      </c>
    </row>
    <row r="600" spans="1:21">
      <c r="A600" t="s">
        <v>1751</v>
      </c>
      <c r="B600" t="s">
        <v>4213</v>
      </c>
      <c r="C600" t="s">
        <v>1751</v>
      </c>
      <c r="D600">
        <v>20478567</v>
      </c>
      <c r="E600" t="s">
        <v>1897</v>
      </c>
      <c r="F600" t="s">
        <v>1799</v>
      </c>
      <c r="G600" t="s">
        <v>3134</v>
      </c>
      <c r="H600" t="s">
        <v>1247</v>
      </c>
      <c r="I600" t="s">
        <v>1564</v>
      </c>
      <c r="J600" s="455">
        <v>46104</v>
      </c>
      <c r="K600" s="455">
        <v>46104</v>
      </c>
      <c r="U600" s="455">
        <v>46113</v>
      </c>
    </row>
    <row r="601" spans="1:21">
      <c r="A601" t="s">
        <v>1751</v>
      </c>
      <c r="B601" t="s">
        <v>2445</v>
      </c>
      <c r="C601" t="s">
        <v>1751</v>
      </c>
      <c r="D601">
        <v>20460972</v>
      </c>
      <c r="E601" t="s">
        <v>3142</v>
      </c>
      <c r="F601" t="s">
        <v>1243</v>
      </c>
      <c r="G601" t="s">
        <v>3134</v>
      </c>
      <c r="H601" t="s">
        <v>1247</v>
      </c>
      <c r="I601" t="s">
        <v>1927</v>
      </c>
      <c r="J601" s="455">
        <v>46083</v>
      </c>
      <c r="K601" s="455">
        <v>46083</v>
      </c>
      <c r="L601" s="455">
        <v>46084</v>
      </c>
      <c r="M601" s="455">
        <v>46091</v>
      </c>
      <c r="N601" s="455">
        <v>46091</v>
      </c>
      <c r="O601" s="455">
        <v>46091</v>
      </c>
      <c r="P601" s="455">
        <v>46091</v>
      </c>
      <c r="Q601" s="455">
        <v>46095</v>
      </c>
      <c r="U601" s="455">
        <v>46094</v>
      </c>
    </row>
    <row r="602" spans="1:21">
      <c r="A602" t="s">
        <v>1751</v>
      </c>
      <c r="B602" t="s">
        <v>9449</v>
      </c>
      <c r="C602" t="s">
        <v>1751</v>
      </c>
      <c r="D602">
        <v>20469775</v>
      </c>
      <c r="E602" t="s">
        <v>3128</v>
      </c>
      <c r="F602" t="s">
        <v>1241</v>
      </c>
      <c r="G602" t="s">
        <v>3137</v>
      </c>
      <c r="H602" t="s">
        <v>1251</v>
      </c>
      <c r="I602" t="s">
        <v>1952</v>
      </c>
      <c r="J602" s="455">
        <v>46093</v>
      </c>
      <c r="U602" s="455">
        <v>46112</v>
      </c>
    </row>
    <row r="603" spans="1:21">
      <c r="A603" t="s">
        <v>1751</v>
      </c>
      <c r="B603" t="s">
        <v>9450</v>
      </c>
      <c r="C603" t="s">
        <v>1751</v>
      </c>
      <c r="D603">
        <v>20478212</v>
      </c>
      <c r="E603" t="s">
        <v>3128</v>
      </c>
      <c r="F603" t="s">
        <v>1239</v>
      </c>
      <c r="G603" t="s">
        <v>3129</v>
      </c>
      <c r="H603" t="s">
        <v>1247</v>
      </c>
      <c r="J603" s="455">
        <v>46104</v>
      </c>
      <c r="U603" s="455">
        <v>46104</v>
      </c>
    </row>
    <row r="604" spans="1:21">
      <c r="A604" t="s">
        <v>1751</v>
      </c>
      <c r="B604" t="s">
        <v>1909</v>
      </c>
      <c r="C604" t="s">
        <v>1751</v>
      </c>
      <c r="D604">
        <v>20443508</v>
      </c>
      <c r="E604" t="s">
        <v>3190</v>
      </c>
      <c r="F604" t="s">
        <v>1782</v>
      </c>
      <c r="G604" t="s">
        <v>3129</v>
      </c>
      <c r="H604" t="s">
        <v>1252</v>
      </c>
      <c r="I604" t="s">
        <v>1908</v>
      </c>
      <c r="J604" s="455">
        <v>46062</v>
      </c>
      <c r="K604" s="455">
        <v>46062</v>
      </c>
      <c r="R604" s="455">
        <v>46085</v>
      </c>
      <c r="U604" s="455">
        <v>46088</v>
      </c>
    </row>
    <row r="605" spans="1:21">
      <c r="A605" t="s">
        <v>1751</v>
      </c>
      <c r="B605" t="s">
        <v>9451</v>
      </c>
      <c r="C605" t="s">
        <v>1751</v>
      </c>
      <c r="D605">
        <v>20482329</v>
      </c>
      <c r="E605" t="s">
        <v>3128</v>
      </c>
      <c r="F605" t="s">
        <v>1782</v>
      </c>
      <c r="G605" t="s">
        <v>3141</v>
      </c>
      <c r="H605" t="s">
        <v>1252</v>
      </c>
      <c r="J605" s="455">
        <v>46109</v>
      </c>
      <c r="U605" s="455">
        <v>46109</v>
      </c>
    </row>
    <row r="606" spans="1:21">
      <c r="A606" t="s">
        <v>1751</v>
      </c>
      <c r="B606" t="s">
        <v>9451</v>
      </c>
      <c r="C606" t="s">
        <v>1751</v>
      </c>
      <c r="D606">
        <v>20478800</v>
      </c>
      <c r="E606" t="s">
        <v>1897</v>
      </c>
      <c r="F606" t="s">
        <v>1241</v>
      </c>
      <c r="G606" t="s">
        <v>3134</v>
      </c>
      <c r="H606" t="s">
        <v>1247</v>
      </c>
      <c r="I606" t="s">
        <v>3055</v>
      </c>
      <c r="J606" s="455">
        <v>46105</v>
      </c>
      <c r="K606" s="455">
        <v>46105</v>
      </c>
      <c r="U606" s="455">
        <v>46105</v>
      </c>
    </row>
    <row r="607" spans="1:21">
      <c r="A607" t="s">
        <v>1751</v>
      </c>
      <c r="B607" t="s">
        <v>9452</v>
      </c>
      <c r="C607" t="s">
        <v>1751</v>
      </c>
      <c r="D607">
        <v>20469437</v>
      </c>
      <c r="E607" t="s">
        <v>3128</v>
      </c>
      <c r="F607" t="s">
        <v>1782</v>
      </c>
      <c r="G607" t="s">
        <v>3134</v>
      </c>
      <c r="H607" t="s">
        <v>1252</v>
      </c>
      <c r="J607" s="455">
        <v>46093</v>
      </c>
      <c r="U607" s="455">
        <v>46193</v>
      </c>
    </row>
    <row r="608" spans="1:21">
      <c r="A608" t="s">
        <v>1751</v>
      </c>
      <c r="B608" t="s">
        <v>9453</v>
      </c>
      <c r="C608" t="s">
        <v>1751</v>
      </c>
      <c r="D608">
        <v>20478062</v>
      </c>
      <c r="E608" t="s">
        <v>3128</v>
      </c>
      <c r="F608" t="s">
        <v>1241</v>
      </c>
      <c r="G608" t="s">
        <v>3134</v>
      </c>
      <c r="H608" t="s">
        <v>1252</v>
      </c>
      <c r="J608" s="455">
        <v>46104</v>
      </c>
      <c r="U608" s="455">
        <v>46143</v>
      </c>
    </row>
    <row r="609" spans="1:21">
      <c r="A609" t="s">
        <v>1751</v>
      </c>
      <c r="B609" t="s">
        <v>4234</v>
      </c>
      <c r="C609" t="s">
        <v>1751</v>
      </c>
      <c r="D609">
        <v>20476241</v>
      </c>
      <c r="E609" t="s">
        <v>1897</v>
      </c>
      <c r="F609" t="s">
        <v>1241</v>
      </c>
      <c r="G609" t="s">
        <v>3134</v>
      </c>
      <c r="H609" t="s">
        <v>1247</v>
      </c>
      <c r="J609" s="455">
        <v>46100</v>
      </c>
      <c r="K609" s="455">
        <v>46100</v>
      </c>
      <c r="U609" s="455">
        <v>46105</v>
      </c>
    </row>
    <row r="610" spans="1:21">
      <c r="A610" t="s">
        <v>1751</v>
      </c>
      <c r="B610" t="s">
        <v>9454</v>
      </c>
      <c r="C610" t="s">
        <v>1751</v>
      </c>
      <c r="D610">
        <v>20462330</v>
      </c>
      <c r="E610" t="s">
        <v>3128</v>
      </c>
      <c r="F610" t="s">
        <v>1242</v>
      </c>
      <c r="G610" t="s">
        <v>3143</v>
      </c>
      <c r="H610" t="s">
        <v>1251</v>
      </c>
      <c r="J610" s="455">
        <v>46085</v>
      </c>
      <c r="U610" s="455">
        <v>46085</v>
      </c>
    </row>
    <row r="611" spans="1:21">
      <c r="A611" t="s">
        <v>1751</v>
      </c>
      <c r="B611" t="s">
        <v>9455</v>
      </c>
      <c r="C611" t="s">
        <v>1751</v>
      </c>
      <c r="D611">
        <v>20465212</v>
      </c>
      <c r="E611" t="s">
        <v>3128</v>
      </c>
      <c r="F611" t="s">
        <v>1241</v>
      </c>
      <c r="G611" t="s">
        <v>3143</v>
      </c>
      <c r="H611" t="s">
        <v>1248</v>
      </c>
      <c r="I611" t="s">
        <v>3703</v>
      </c>
      <c r="J611" s="455">
        <v>46090</v>
      </c>
      <c r="U611" s="455">
        <v>46094</v>
      </c>
    </row>
    <row r="612" spans="1:21">
      <c r="A612" t="s">
        <v>1751</v>
      </c>
      <c r="B612" t="s">
        <v>9456</v>
      </c>
      <c r="C612" t="s">
        <v>1751</v>
      </c>
      <c r="D612">
        <v>20475606</v>
      </c>
      <c r="E612" t="s">
        <v>3128</v>
      </c>
      <c r="F612" t="s">
        <v>1241</v>
      </c>
      <c r="G612" t="s">
        <v>3134</v>
      </c>
      <c r="H612" t="s">
        <v>1252</v>
      </c>
      <c r="J612" s="455">
        <v>46100</v>
      </c>
      <c r="U612" s="455">
        <v>46101</v>
      </c>
    </row>
    <row r="613" spans="1:21">
      <c r="A613" t="s">
        <v>1751</v>
      </c>
      <c r="B613" t="s">
        <v>9457</v>
      </c>
      <c r="C613" t="s">
        <v>1751</v>
      </c>
      <c r="D613">
        <v>20461672</v>
      </c>
      <c r="E613" t="s">
        <v>1897</v>
      </c>
      <c r="F613" t="s">
        <v>1237</v>
      </c>
      <c r="G613" t="s">
        <v>3143</v>
      </c>
      <c r="H613" t="s">
        <v>1248</v>
      </c>
      <c r="I613" t="s">
        <v>1227</v>
      </c>
      <c r="J613" s="455">
        <v>46084</v>
      </c>
      <c r="K613" s="455">
        <v>46086</v>
      </c>
      <c r="U613" s="455">
        <v>46104</v>
      </c>
    </row>
    <row r="614" spans="1:21">
      <c r="A614" t="s">
        <v>1751</v>
      </c>
      <c r="B614" t="s">
        <v>9458</v>
      </c>
      <c r="C614" t="s">
        <v>1751</v>
      </c>
      <c r="D614">
        <v>20471251</v>
      </c>
      <c r="E614" t="s">
        <v>3128</v>
      </c>
      <c r="F614" t="s">
        <v>1782</v>
      </c>
      <c r="G614" t="s">
        <v>3134</v>
      </c>
      <c r="H614" t="s">
        <v>1252</v>
      </c>
      <c r="J614" s="455">
        <v>46095</v>
      </c>
      <c r="U614" s="455">
        <v>46198</v>
      </c>
    </row>
    <row r="615" spans="1:21">
      <c r="A615" t="s">
        <v>1751</v>
      </c>
      <c r="B615" t="s">
        <v>9067</v>
      </c>
      <c r="C615" t="s">
        <v>1751</v>
      </c>
      <c r="D615">
        <v>20441366</v>
      </c>
      <c r="E615" t="s">
        <v>3133</v>
      </c>
      <c r="F615" t="s">
        <v>1237</v>
      </c>
      <c r="G615" t="s">
        <v>3134</v>
      </c>
      <c r="H615" t="s">
        <v>1247</v>
      </c>
      <c r="I615" t="s">
        <v>1223</v>
      </c>
      <c r="J615" s="455">
        <v>46058</v>
      </c>
      <c r="K615" s="455">
        <v>46058</v>
      </c>
      <c r="L615" s="455">
        <v>46058</v>
      </c>
      <c r="R615" s="455">
        <v>46083</v>
      </c>
      <c r="U615" s="455">
        <v>46088</v>
      </c>
    </row>
    <row r="616" spans="1:21">
      <c r="A616" t="s">
        <v>1751</v>
      </c>
      <c r="B616" t="s">
        <v>9459</v>
      </c>
      <c r="C616" t="s">
        <v>1751</v>
      </c>
      <c r="D616">
        <v>20460470</v>
      </c>
      <c r="E616" t="s">
        <v>3133</v>
      </c>
      <c r="F616" t="s">
        <v>1242</v>
      </c>
      <c r="G616" t="s">
        <v>3143</v>
      </c>
      <c r="H616" t="s">
        <v>1252</v>
      </c>
      <c r="I616" t="s">
        <v>1784</v>
      </c>
      <c r="J616" s="455">
        <v>46083</v>
      </c>
      <c r="K616" s="455">
        <v>46083</v>
      </c>
      <c r="L616" s="455">
        <v>46083</v>
      </c>
      <c r="R616" s="455">
        <v>46085</v>
      </c>
      <c r="U616" s="455">
        <v>46106</v>
      </c>
    </row>
    <row r="617" spans="1:21">
      <c r="A617" t="s">
        <v>1751</v>
      </c>
      <c r="B617" t="s">
        <v>9460</v>
      </c>
      <c r="C617" t="s">
        <v>1751</v>
      </c>
      <c r="D617">
        <v>20459996</v>
      </c>
      <c r="E617" t="s">
        <v>1897</v>
      </c>
      <c r="F617" t="s">
        <v>1782</v>
      </c>
      <c r="G617" t="s">
        <v>3134</v>
      </c>
      <c r="H617" t="s">
        <v>1247</v>
      </c>
      <c r="I617" t="s">
        <v>1938</v>
      </c>
      <c r="J617" s="455">
        <v>46082</v>
      </c>
      <c r="K617" s="455">
        <v>46082</v>
      </c>
      <c r="U617" s="455">
        <v>46072</v>
      </c>
    </row>
    <row r="618" spans="1:21">
      <c r="A618" t="s">
        <v>1751</v>
      </c>
      <c r="B618" t="s">
        <v>9461</v>
      </c>
      <c r="C618" t="s">
        <v>1751</v>
      </c>
      <c r="D618">
        <v>20474197</v>
      </c>
      <c r="E618" t="s">
        <v>3128</v>
      </c>
      <c r="F618" t="s">
        <v>1782</v>
      </c>
      <c r="G618" t="s">
        <v>3134</v>
      </c>
      <c r="H618" t="s">
        <v>1252</v>
      </c>
      <c r="J618" s="455">
        <v>46098</v>
      </c>
      <c r="U618" s="455">
        <v>46175</v>
      </c>
    </row>
    <row r="619" spans="1:21">
      <c r="A619" t="s">
        <v>1751</v>
      </c>
      <c r="B619" t="s">
        <v>4249</v>
      </c>
      <c r="C619" t="s">
        <v>1751</v>
      </c>
      <c r="D619">
        <v>20479683</v>
      </c>
      <c r="E619" t="s">
        <v>1897</v>
      </c>
      <c r="F619" t="s">
        <v>1799</v>
      </c>
      <c r="G619" t="s">
        <v>3134</v>
      </c>
      <c r="H619" t="s">
        <v>1247</v>
      </c>
      <c r="I619" t="s">
        <v>3533</v>
      </c>
      <c r="J619" s="455">
        <v>46106</v>
      </c>
      <c r="K619" s="455">
        <v>46106</v>
      </c>
      <c r="U619" s="455">
        <v>46132</v>
      </c>
    </row>
    <row r="620" spans="1:21">
      <c r="A620" t="s">
        <v>1751</v>
      </c>
      <c r="B620" t="s">
        <v>7118</v>
      </c>
      <c r="C620" t="s">
        <v>1751</v>
      </c>
      <c r="D620">
        <v>20463874</v>
      </c>
      <c r="E620" t="s">
        <v>3190</v>
      </c>
      <c r="F620" t="s">
        <v>1912</v>
      </c>
      <c r="G620" t="s">
        <v>2009</v>
      </c>
      <c r="H620" t="s">
        <v>1253</v>
      </c>
      <c r="J620" s="455">
        <v>46087</v>
      </c>
      <c r="K620" s="455">
        <v>46087</v>
      </c>
      <c r="R620" s="455">
        <v>46090</v>
      </c>
      <c r="U620" s="455">
        <v>46087</v>
      </c>
    </row>
    <row r="621" spans="1:21">
      <c r="A621" t="s">
        <v>1751</v>
      </c>
      <c r="B621" t="s">
        <v>7118</v>
      </c>
      <c r="C621" t="s">
        <v>1751</v>
      </c>
      <c r="D621">
        <v>20441630</v>
      </c>
      <c r="E621" t="s">
        <v>3142</v>
      </c>
      <c r="F621" t="s">
        <v>1238</v>
      </c>
      <c r="G621" t="s">
        <v>3129</v>
      </c>
      <c r="H621" t="s">
        <v>1253</v>
      </c>
      <c r="I621" t="s">
        <v>7117</v>
      </c>
      <c r="J621" s="455">
        <v>46058</v>
      </c>
      <c r="K621" s="455">
        <v>46059</v>
      </c>
      <c r="L621" s="455">
        <v>46062</v>
      </c>
      <c r="M621" s="455">
        <v>46085</v>
      </c>
      <c r="N621" s="455">
        <v>46085</v>
      </c>
      <c r="P621" s="455">
        <v>46085</v>
      </c>
      <c r="Q621" s="455">
        <v>46085</v>
      </c>
      <c r="U621" s="455">
        <v>46091</v>
      </c>
    </row>
    <row r="622" spans="1:21">
      <c r="A622" t="s">
        <v>1751</v>
      </c>
      <c r="B622" t="s">
        <v>9462</v>
      </c>
      <c r="C622" t="s">
        <v>1751</v>
      </c>
      <c r="D622">
        <v>20462254</v>
      </c>
      <c r="E622" t="s">
        <v>3128</v>
      </c>
      <c r="F622" t="s">
        <v>1242</v>
      </c>
      <c r="G622" t="s">
        <v>3129</v>
      </c>
      <c r="H622" t="s">
        <v>1251</v>
      </c>
      <c r="J622" s="455">
        <v>46085</v>
      </c>
      <c r="U622" s="455">
        <v>46085</v>
      </c>
    </row>
    <row r="623" spans="1:21">
      <c r="A623" t="s">
        <v>1751</v>
      </c>
      <c r="B623" t="s">
        <v>9462</v>
      </c>
      <c r="C623" t="s">
        <v>1751</v>
      </c>
      <c r="D623">
        <v>20462551</v>
      </c>
      <c r="E623" t="s">
        <v>3133</v>
      </c>
      <c r="F623" t="s">
        <v>1242</v>
      </c>
      <c r="G623" t="s">
        <v>3143</v>
      </c>
      <c r="H623" t="s">
        <v>3515</v>
      </c>
      <c r="I623" t="s">
        <v>1938</v>
      </c>
      <c r="J623" s="455">
        <v>46085</v>
      </c>
      <c r="K623" s="455">
        <v>46085</v>
      </c>
      <c r="R623" s="455">
        <v>46090</v>
      </c>
      <c r="U623" s="455">
        <v>46085</v>
      </c>
    </row>
    <row r="624" spans="1:21">
      <c r="A624" t="s">
        <v>1751</v>
      </c>
      <c r="B624" t="s">
        <v>1926</v>
      </c>
      <c r="C624" t="s">
        <v>1751</v>
      </c>
      <c r="D624">
        <v>20457272</v>
      </c>
      <c r="E624" t="s">
        <v>1897</v>
      </c>
      <c r="F624" t="s">
        <v>1242</v>
      </c>
      <c r="G624" t="s">
        <v>3143</v>
      </c>
      <c r="H624" t="s">
        <v>1248</v>
      </c>
      <c r="J624" s="455">
        <v>46078</v>
      </c>
      <c r="K624" s="455">
        <v>46090</v>
      </c>
      <c r="U624" s="455">
        <v>46078</v>
      </c>
    </row>
    <row r="625" spans="1:21">
      <c r="A625" t="s">
        <v>1751</v>
      </c>
      <c r="B625" t="s">
        <v>1926</v>
      </c>
      <c r="C625" t="s">
        <v>1751</v>
      </c>
      <c r="D625">
        <v>20458554</v>
      </c>
      <c r="E625" t="s">
        <v>3142</v>
      </c>
      <c r="F625" t="s">
        <v>1242</v>
      </c>
      <c r="G625" t="s">
        <v>3134</v>
      </c>
      <c r="H625" t="s">
        <v>1248</v>
      </c>
      <c r="I625" t="s">
        <v>1925</v>
      </c>
      <c r="J625" s="455">
        <v>46079</v>
      </c>
      <c r="K625" s="455">
        <v>46079</v>
      </c>
      <c r="L625" s="455">
        <v>46079</v>
      </c>
      <c r="M625" s="455">
        <v>46093</v>
      </c>
      <c r="N625" s="455">
        <v>46094</v>
      </c>
      <c r="P625" s="455">
        <v>46094</v>
      </c>
      <c r="Q625" s="455">
        <v>46094</v>
      </c>
      <c r="U625" s="455">
        <v>46094</v>
      </c>
    </row>
    <row r="626" spans="1:21">
      <c r="A626" t="s">
        <v>1751</v>
      </c>
      <c r="B626" t="s">
        <v>4257</v>
      </c>
      <c r="C626" t="s">
        <v>1751</v>
      </c>
      <c r="D626">
        <v>20477013</v>
      </c>
      <c r="E626" t="s">
        <v>1897</v>
      </c>
      <c r="F626" t="s">
        <v>1242</v>
      </c>
      <c r="G626" t="s">
        <v>3134</v>
      </c>
      <c r="H626" t="s">
        <v>3487</v>
      </c>
      <c r="I626" t="s">
        <v>1570</v>
      </c>
      <c r="J626" s="455">
        <v>46101</v>
      </c>
      <c r="K626" s="455">
        <v>46101</v>
      </c>
      <c r="U626" s="455">
        <v>46174</v>
      </c>
    </row>
    <row r="627" spans="1:21">
      <c r="A627" t="s">
        <v>1751</v>
      </c>
      <c r="B627" t="s">
        <v>4257</v>
      </c>
      <c r="C627" t="s">
        <v>1751</v>
      </c>
      <c r="D627">
        <v>20476341</v>
      </c>
      <c r="E627" t="s">
        <v>1897</v>
      </c>
      <c r="F627" t="s">
        <v>1241</v>
      </c>
      <c r="G627" t="s">
        <v>3134</v>
      </c>
      <c r="H627" t="s">
        <v>1248</v>
      </c>
      <c r="I627" t="s">
        <v>1570</v>
      </c>
      <c r="J627" s="455">
        <v>46100</v>
      </c>
      <c r="K627" s="455">
        <v>46100</v>
      </c>
      <c r="U627" s="455">
        <v>46174</v>
      </c>
    </row>
    <row r="628" spans="1:21">
      <c r="A628" t="s">
        <v>1751</v>
      </c>
      <c r="B628" t="s">
        <v>9463</v>
      </c>
      <c r="C628" t="s">
        <v>1751</v>
      </c>
      <c r="D628">
        <v>20472147</v>
      </c>
      <c r="E628" t="s">
        <v>3128</v>
      </c>
      <c r="F628" t="s">
        <v>1237</v>
      </c>
      <c r="G628" t="s">
        <v>3134</v>
      </c>
      <c r="H628" t="s">
        <v>1252</v>
      </c>
      <c r="I628" t="s">
        <v>5829</v>
      </c>
      <c r="J628" s="455">
        <v>46097</v>
      </c>
      <c r="U628" s="455">
        <v>46167</v>
      </c>
    </row>
    <row r="629" spans="1:21">
      <c r="A629" t="s">
        <v>1751</v>
      </c>
      <c r="B629" t="s">
        <v>9464</v>
      </c>
      <c r="C629" t="s">
        <v>1751</v>
      </c>
      <c r="D629">
        <v>20484050</v>
      </c>
      <c r="E629" t="s">
        <v>3128</v>
      </c>
      <c r="F629" t="s">
        <v>1237</v>
      </c>
      <c r="G629" t="s">
        <v>3143</v>
      </c>
      <c r="H629" t="s">
        <v>1252</v>
      </c>
      <c r="I629" t="s">
        <v>6610</v>
      </c>
      <c r="J629" s="455">
        <v>46112</v>
      </c>
      <c r="U629" s="455">
        <v>46178</v>
      </c>
    </row>
    <row r="630" spans="1:21">
      <c r="A630" t="s">
        <v>1751</v>
      </c>
      <c r="B630" t="s">
        <v>9465</v>
      </c>
      <c r="C630" t="s">
        <v>1751</v>
      </c>
      <c r="D630">
        <v>20475549</v>
      </c>
      <c r="E630" t="s">
        <v>3128</v>
      </c>
      <c r="F630" t="s">
        <v>1782</v>
      </c>
      <c r="G630" t="s">
        <v>3134</v>
      </c>
      <c r="H630" t="s">
        <v>1252</v>
      </c>
      <c r="J630" s="455">
        <v>46099</v>
      </c>
      <c r="U630" s="455">
        <v>46223</v>
      </c>
    </row>
    <row r="631" spans="1:21">
      <c r="A631" t="s">
        <v>1751</v>
      </c>
      <c r="B631" t="s">
        <v>1822</v>
      </c>
      <c r="C631" t="s">
        <v>1751</v>
      </c>
      <c r="D631">
        <v>20470891</v>
      </c>
      <c r="E631" t="s">
        <v>2008</v>
      </c>
      <c r="F631" t="s">
        <v>1243</v>
      </c>
      <c r="G631" t="s">
        <v>3137</v>
      </c>
      <c r="H631" t="s">
        <v>1247</v>
      </c>
      <c r="I631" t="s">
        <v>1821</v>
      </c>
      <c r="J631" s="455">
        <v>46094</v>
      </c>
      <c r="K631" s="455">
        <v>46095</v>
      </c>
      <c r="L631" s="455">
        <v>46095</v>
      </c>
      <c r="M631" s="455">
        <v>46112</v>
      </c>
      <c r="U631" s="455">
        <v>46113</v>
      </c>
    </row>
    <row r="632" spans="1:21">
      <c r="A632" t="s">
        <v>1751</v>
      </c>
      <c r="B632" t="s">
        <v>9466</v>
      </c>
      <c r="C632" t="s">
        <v>1751</v>
      </c>
      <c r="D632">
        <v>20475908</v>
      </c>
      <c r="E632" t="s">
        <v>3128</v>
      </c>
      <c r="F632" t="s">
        <v>1241</v>
      </c>
      <c r="G632" t="s">
        <v>3143</v>
      </c>
      <c r="H632" t="s">
        <v>1251</v>
      </c>
      <c r="J632" s="455">
        <v>46100</v>
      </c>
      <c r="U632" s="455">
        <v>46100</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8647EF-D7E0-40C4-9072-93CA007B14A9}">
  <sheetPr>
    <tabColor rgb="FFC00000"/>
  </sheetPr>
  <dimension ref="A1:U2004"/>
  <sheetViews>
    <sheetView workbookViewId="0">
      <selection activeCell="E19" sqref="E19"/>
    </sheetView>
  </sheetViews>
  <sheetFormatPr defaultRowHeight="14.4"/>
  <sheetData>
    <row r="1" spans="1:21">
      <c r="A1" t="s">
        <v>3117</v>
      </c>
      <c r="B1" t="s">
        <v>1761</v>
      </c>
      <c r="C1" t="s">
        <v>2301</v>
      </c>
      <c r="D1" t="s">
        <v>3118</v>
      </c>
      <c r="E1" t="s">
        <v>929</v>
      </c>
      <c r="F1" t="s">
        <v>1233</v>
      </c>
      <c r="G1" t="s">
        <v>3119</v>
      </c>
      <c r="H1" t="s">
        <v>1216</v>
      </c>
      <c r="I1" t="s">
        <v>1760</v>
      </c>
      <c r="J1" t="s">
        <v>3120</v>
      </c>
      <c r="K1" t="s">
        <v>3121</v>
      </c>
      <c r="L1" t="s">
        <v>2292</v>
      </c>
      <c r="M1" t="s">
        <v>2296</v>
      </c>
      <c r="N1" t="s">
        <v>3122</v>
      </c>
      <c r="O1" t="s">
        <v>3123</v>
      </c>
      <c r="P1" t="s">
        <v>2298</v>
      </c>
      <c r="Q1" t="s">
        <v>2300</v>
      </c>
      <c r="R1" t="s">
        <v>3124</v>
      </c>
      <c r="S1" t="s">
        <v>3125</v>
      </c>
      <c r="T1" t="s">
        <v>3126</v>
      </c>
      <c r="U1" t="s">
        <v>2383</v>
      </c>
    </row>
    <row r="2" spans="1:21">
      <c r="A2" t="s">
        <v>1751</v>
      </c>
      <c r="B2" t="s">
        <v>9467</v>
      </c>
      <c r="C2" t="s">
        <v>1751</v>
      </c>
      <c r="D2">
        <v>20420963</v>
      </c>
      <c r="E2" t="s">
        <v>3190</v>
      </c>
      <c r="F2" t="s">
        <v>1241</v>
      </c>
      <c r="G2" t="s">
        <v>3141</v>
      </c>
      <c r="H2" t="s">
        <v>1253</v>
      </c>
      <c r="J2" s="455">
        <v>46030</v>
      </c>
      <c r="R2" s="455">
        <v>46114</v>
      </c>
      <c r="U2" s="455">
        <v>46125</v>
      </c>
    </row>
    <row r="3" spans="1:21">
      <c r="A3" t="s">
        <v>1751</v>
      </c>
      <c r="B3" t="s">
        <v>3132</v>
      </c>
      <c r="C3" t="s">
        <v>1751</v>
      </c>
      <c r="D3">
        <v>20505207</v>
      </c>
      <c r="E3" t="s">
        <v>1897</v>
      </c>
      <c r="F3" t="s">
        <v>1782</v>
      </c>
      <c r="G3" t="s">
        <v>3134</v>
      </c>
      <c r="H3" t="s">
        <v>1247</v>
      </c>
      <c r="I3" t="s">
        <v>2131</v>
      </c>
      <c r="J3" s="455">
        <v>46133</v>
      </c>
      <c r="K3" s="455">
        <v>46133</v>
      </c>
      <c r="U3" s="455">
        <v>46152</v>
      </c>
    </row>
    <row r="4" spans="1:21">
      <c r="A4" t="s">
        <v>1751</v>
      </c>
      <c r="B4" t="s">
        <v>3135</v>
      </c>
      <c r="C4" t="s">
        <v>1751</v>
      </c>
      <c r="D4">
        <v>20487124</v>
      </c>
      <c r="E4" t="s">
        <v>3142</v>
      </c>
      <c r="F4" t="s">
        <v>1239</v>
      </c>
      <c r="G4" t="s">
        <v>3143</v>
      </c>
      <c r="H4" t="s">
        <v>1251</v>
      </c>
      <c r="I4" t="s">
        <v>2186</v>
      </c>
      <c r="J4" s="455">
        <v>46116</v>
      </c>
      <c r="K4" s="455">
        <v>46122</v>
      </c>
      <c r="L4" s="455">
        <v>46123</v>
      </c>
      <c r="M4" s="455">
        <v>46127</v>
      </c>
      <c r="N4" s="455">
        <v>46129</v>
      </c>
      <c r="O4" s="455">
        <v>46129</v>
      </c>
      <c r="P4" s="455">
        <v>46129</v>
      </c>
      <c r="Q4" s="455">
        <v>46130</v>
      </c>
      <c r="U4" s="455">
        <v>46146</v>
      </c>
    </row>
    <row r="5" spans="1:21">
      <c r="A5" t="s">
        <v>1751</v>
      </c>
      <c r="B5" t="s">
        <v>3135</v>
      </c>
      <c r="C5" t="s">
        <v>1751</v>
      </c>
      <c r="D5">
        <v>20492177</v>
      </c>
      <c r="E5" t="s">
        <v>1897</v>
      </c>
      <c r="F5" t="s">
        <v>1912</v>
      </c>
      <c r="G5" t="s">
        <v>3134</v>
      </c>
      <c r="H5" t="s">
        <v>1247</v>
      </c>
      <c r="J5" s="455">
        <v>46122</v>
      </c>
      <c r="K5" s="455">
        <v>46122</v>
      </c>
      <c r="U5" s="455">
        <v>46122</v>
      </c>
    </row>
    <row r="6" spans="1:21">
      <c r="A6" t="s">
        <v>1751</v>
      </c>
      <c r="B6" t="s">
        <v>9079</v>
      </c>
      <c r="C6" t="s">
        <v>1751</v>
      </c>
      <c r="D6">
        <v>20464585</v>
      </c>
      <c r="E6" t="s">
        <v>3190</v>
      </c>
      <c r="F6" t="s">
        <v>1782</v>
      </c>
      <c r="G6" t="s">
        <v>3141</v>
      </c>
      <c r="H6" t="s">
        <v>1247</v>
      </c>
      <c r="J6" s="455">
        <v>46088</v>
      </c>
      <c r="R6" s="455">
        <v>46114</v>
      </c>
      <c r="U6" s="455">
        <v>46116</v>
      </c>
    </row>
    <row r="7" spans="1:21">
      <c r="A7" t="s">
        <v>1751</v>
      </c>
      <c r="B7" t="s">
        <v>9468</v>
      </c>
      <c r="C7" t="s">
        <v>1751</v>
      </c>
      <c r="D7">
        <v>20486609</v>
      </c>
      <c r="E7" t="s">
        <v>3190</v>
      </c>
      <c r="F7" t="s">
        <v>1782</v>
      </c>
      <c r="G7" t="s">
        <v>3134</v>
      </c>
      <c r="H7" t="s">
        <v>1252</v>
      </c>
      <c r="J7" s="455">
        <v>46115</v>
      </c>
      <c r="R7" s="455">
        <v>46139</v>
      </c>
      <c r="U7" s="455">
        <v>46173</v>
      </c>
    </row>
    <row r="8" spans="1:21">
      <c r="A8" t="s">
        <v>1751</v>
      </c>
      <c r="B8" t="s">
        <v>9469</v>
      </c>
      <c r="C8" t="s">
        <v>1751</v>
      </c>
      <c r="D8">
        <v>20492133</v>
      </c>
      <c r="E8" t="s">
        <v>3190</v>
      </c>
      <c r="F8" t="s">
        <v>1782</v>
      </c>
      <c r="G8" t="s">
        <v>3134</v>
      </c>
      <c r="H8" t="s">
        <v>3165</v>
      </c>
      <c r="J8" s="455">
        <v>46122</v>
      </c>
      <c r="R8" s="455">
        <v>46139</v>
      </c>
      <c r="U8" s="455">
        <v>46143</v>
      </c>
    </row>
    <row r="9" spans="1:21">
      <c r="A9" t="s">
        <v>1751</v>
      </c>
      <c r="B9" t="s">
        <v>9470</v>
      </c>
      <c r="C9" t="s">
        <v>1751</v>
      </c>
      <c r="D9">
        <v>20504689</v>
      </c>
      <c r="E9" t="s">
        <v>3128</v>
      </c>
      <c r="F9" t="s">
        <v>1782</v>
      </c>
      <c r="G9" t="s">
        <v>3134</v>
      </c>
      <c r="H9" t="s">
        <v>3165</v>
      </c>
      <c r="J9" s="455">
        <v>46133</v>
      </c>
      <c r="U9" s="455">
        <v>46142</v>
      </c>
    </row>
    <row r="10" spans="1:21">
      <c r="A10" t="s">
        <v>1751</v>
      </c>
      <c r="B10" t="s">
        <v>9471</v>
      </c>
      <c r="C10" t="s">
        <v>1751</v>
      </c>
      <c r="D10">
        <v>20413770</v>
      </c>
      <c r="E10" t="s">
        <v>3190</v>
      </c>
      <c r="F10" t="s">
        <v>1241</v>
      </c>
      <c r="G10" t="s">
        <v>3137</v>
      </c>
      <c r="H10" t="s">
        <v>3165</v>
      </c>
      <c r="J10" s="455">
        <v>46018</v>
      </c>
      <c r="R10" s="455">
        <v>46139</v>
      </c>
      <c r="U10" s="455">
        <v>46267</v>
      </c>
    </row>
    <row r="11" spans="1:21">
      <c r="A11" t="s">
        <v>1751</v>
      </c>
      <c r="B11" t="s">
        <v>9472</v>
      </c>
      <c r="C11" t="s">
        <v>1751</v>
      </c>
      <c r="D11">
        <v>20420952</v>
      </c>
      <c r="E11" t="s">
        <v>3133</v>
      </c>
      <c r="F11" t="s">
        <v>1237</v>
      </c>
      <c r="G11" t="s">
        <v>3143</v>
      </c>
      <c r="H11" t="s">
        <v>1249</v>
      </c>
      <c r="I11" t="s">
        <v>1929</v>
      </c>
      <c r="J11" s="455">
        <v>46030</v>
      </c>
      <c r="K11" s="455">
        <v>46036</v>
      </c>
      <c r="R11" s="455">
        <v>46114</v>
      </c>
      <c r="U11" s="455">
        <v>46078</v>
      </c>
    </row>
    <row r="12" spans="1:21">
      <c r="A12" t="s">
        <v>1751</v>
      </c>
      <c r="B12" t="s">
        <v>9080</v>
      </c>
      <c r="C12" t="s">
        <v>1751</v>
      </c>
      <c r="D12">
        <v>20479012</v>
      </c>
      <c r="E12" t="s">
        <v>3190</v>
      </c>
      <c r="F12" t="s">
        <v>1237</v>
      </c>
      <c r="G12" t="s">
        <v>3134</v>
      </c>
      <c r="H12" t="s">
        <v>1252</v>
      </c>
      <c r="I12" t="s">
        <v>3277</v>
      </c>
      <c r="J12" s="455">
        <v>46105</v>
      </c>
      <c r="R12" s="455">
        <v>46114</v>
      </c>
      <c r="U12" s="455">
        <v>46106</v>
      </c>
    </row>
    <row r="13" spans="1:21">
      <c r="A13" t="s">
        <v>1751</v>
      </c>
      <c r="B13" t="s">
        <v>2423</v>
      </c>
      <c r="C13" t="s">
        <v>1751</v>
      </c>
      <c r="D13">
        <v>20431320</v>
      </c>
      <c r="E13" t="s">
        <v>3190</v>
      </c>
      <c r="F13" t="s">
        <v>9037</v>
      </c>
      <c r="G13" t="s">
        <v>3141</v>
      </c>
      <c r="H13" t="s">
        <v>1247</v>
      </c>
      <c r="J13" s="455">
        <v>46042</v>
      </c>
      <c r="R13" s="455">
        <v>46114</v>
      </c>
      <c r="U13" s="455">
        <v>46042</v>
      </c>
    </row>
    <row r="14" spans="1:21">
      <c r="A14" t="s">
        <v>1751</v>
      </c>
      <c r="B14" t="s">
        <v>9081</v>
      </c>
      <c r="C14" t="s">
        <v>1751</v>
      </c>
      <c r="D14">
        <v>20473648</v>
      </c>
      <c r="E14" t="s">
        <v>3190</v>
      </c>
      <c r="F14" t="s">
        <v>1782</v>
      </c>
      <c r="G14" t="s">
        <v>3134</v>
      </c>
      <c r="H14" t="s">
        <v>1252</v>
      </c>
      <c r="J14" s="455">
        <v>46098</v>
      </c>
      <c r="R14" s="455">
        <v>46114</v>
      </c>
      <c r="U14" s="455">
        <v>46111</v>
      </c>
    </row>
    <row r="15" spans="1:21">
      <c r="A15" t="s">
        <v>1751</v>
      </c>
      <c r="B15" t="s">
        <v>9082</v>
      </c>
      <c r="C15" t="s">
        <v>1751</v>
      </c>
      <c r="D15">
        <v>20463771</v>
      </c>
      <c r="E15" t="s">
        <v>3190</v>
      </c>
      <c r="F15" t="s">
        <v>1782</v>
      </c>
      <c r="G15" t="s">
        <v>3129</v>
      </c>
      <c r="H15" t="s">
        <v>1253</v>
      </c>
      <c r="J15" s="455">
        <v>46087</v>
      </c>
      <c r="R15" s="455">
        <v>46114</v>
      </c>
      <c r="U15" s="455">
        <v>46088</v>
      </c>
    </row>
    <row r="16" spans="1:21">
      <c r="A16" t="s">
        <v>1751</v>
      </c>
      <c r="B16" t="s">
        <v>9473</v>
      </c>
      <c r="C16" t="s">
        <v>1751</v>
      </c>
      <c r="D16">
        <v>20504125</v>
      </c>
      <c r="E16" t="s">
        <v>3128</v>
      </c>
      <c r="F16" t="s">
        <v>1782</v>
      </c>
      <c r="G16" t="s">
        <v>3141</v>
      </c>
      <c r="H16" t="s">
        <v>1252</v>
      </c>
      <c r="J16" s="455">
        <v>46132</v>
      </c>
      <c r="U16" s="455">
        <v>46192</v>
      </c>
    </row>
    <row r="17" spans="1:21">
      <c r="A17" t="s">
        <v>1751</v>
      </c>
      <c r="B17" t="s">
        <v>9474</v>
      </c>
      <c r="C17" t="s">
        <v>1751</v>
      </c>
      <c r="D17">
        <v>20506323</v>
      </c>
      <c r="E17" t="s">
        <v>3128</v>
      </c>
      <c r="F17" t="s">
        <v>1782</v>
      </c>
      <c r="G17" t="s">
        <v>3134</v>
      </c>
      <c r="H17" t="s">
        <v>3165</v>
      </c>
      <c r="J17" s="455">
        <v>46134</v>
      </c>
      <c r="U17" s="455">
        <v>46179</v>
      </c>
    </row>
    <row r="18" spans="1:21">
      <c r="A18" t="s">
        <v>1751</v>
      </c>
      <c r="B18" t="s">
        <v>6466</v>
      </c>
      <c r="C18" t="s">
        <v>1751</v>
      </c>
      <c r="D18">
        <v>20512824</v>
      </c>
      <c r="E18" t="s">
        <v>2008</v>
      </c>
      <c r="F18" t="s">
        <v>1237</v>
      </c>
      <c r="G18" t="s">
        <v>2009</v>
      </c>
      <c r="H18" t="s">
        <v>1249</v>
      </c>
      <c r="I18" t="s">
        <v>1929</v>
      </c>
      <c r="J18" s="455">
        <v>46141</v>
      </c>
      <c r="K18" s="455">
        <v>46141</v>
      </c>
      <c r="L18" s="455">
        <v>46141</v>
      </c>
      <c r="M18" s="455">
        <v>46141</v>
      </c>
      <c r="U18" s="455">
        <v>46156</v>
      </c>
    </row>
    <row r="19" spans="1:21">
      <c r="A19" t="s">
        <v>1751</v>
      </c>
      <c r="B19" t="s">
        <v>9475</v>
      </c>
      <c r="C19" t="s">
        <v>1751</v>
      </c>
      <c r="D19">
        <v>20511577</v>
      </c>
      <c r="E19" t="s">
        <v>3128</v>
      </c>
      <c r="F19" t="s">
        <v>1782</v>
      </c>
      <c r="G19" t="s">
        <v>3134</v>
      </c>
      <c r="H19" t="s">
        <v>3165</v>
      </c>
      <c r="J19" s="455">
        <v>46140</v>
      </c>
      <c r="U19" s="455">
        <v>46174</v>
      </c>
    </row>
    <row r="20" spans="1:21">
      <c r="A20" t="s">
        <v>1751</v>
      </c>
      <c r="B20" t="s">
        <v>9476</v>
      </c>
      <c r="C20" t="s">
        <v>1751</v>
      </c>
      <c r="D20">
        <v>20504230</v>
      </c>
      <c r="E20" t="s">
        <v>3128</v>
      </c>
      <c r="F20" t="s">
        <v>1241</v>
      </c>
      <c r="G20" t="s">
        <v>3141</v>
      </c>
      <c r="H20" t="s">
        <v>1252</v>
      </c>
      <c r="J20" s="455">
        <v>46132</v>
      </c>
      <c r="U20" s="455">
        <v>46143</v>
      </c>
    </row>
    <row r="21" spans="1:21">
      <c r="A21" t="s">
        <v>1751</v>
      </c>
      <c r="B21" t="s">
        <v>9477</v>
      </c>
      <c r="C21" t="s">
        <v>1751</v>
      </c>
      <c r="D21">
        <v>20424026</v>
      </c>
      <c r="E21" t="s">
        <v>3190</v>
      </c>
      <c r="F21" t="s">
        <v>1782</v>
      </c>
      <c r="G21" t="s">
        <v>2009</v>
      </c>
      <c r="H21" t="s">
        <v>1251</v>
      </c>
      <c r="J21" s="455">
        <v>46035</v>
      </c>
      <c r="R21" s="455">
        <v>46114</v>
      </c>
      <c r="U21" s="455">
        <v>46035</v>
      </c>
    </row>
    <row r="22" spans="1:21">
      <c r="A22" t="s">
        <v>1751</v>
      </c>
      <c r="B22" t="s">
        <v>9083</v>
      </c>
      <c r="C22" t="s">
        <v>1751</v>
      </c>
      <c r="D22">
        <v>20471142</v>
      </c>
      <c r="E22" t="s">
        <v>3190</v>
      </c>
      <c r="F22" t="s">
        <v>1782</v>
      </c>
      <c r="G22" t="s">
        <v>3134</v>
      </c>
      <c r="H22" t="s">
        <v>1252</v>
      </c>
      <c r="J22" s="455">
        <v>46094</v>
      </c>
      <c r="R22" s="455">
        <v>46114</v>
      </c>
      <c r="U22" s="455">
        <v>46113</v>
      </c>
    </row>
    <row r="23" spans="1:21">
      <c r="A23" t="s">
        <v>1751</v>
      </c>
      <c r="B23" t="s">
        <v>3155</v>
      </c>
      <c r="C23" t="s">
        <v>1751</v>
      </c>
      <c r="D23">
        <v>20499991</v>
      </c>
      <c r="E23" t="s">
        <v>3190</v>
      </c>
      <c r="F23" t="s">
        <v>1242</v>
      </c>
      <c r="G23" t="s">
        <v>3143</v>
      </c>
      <c r="H23" t="s">
        <v>1248</v>
      </c>
      <c r="I23" t="s">
        <v>1952</v>
      </c>
      <c r="J23" s="455">
        <v>46129</v>
      </c>
      <c r="R23" s="455">
        <v>46139</v>
      </c>
      <c r="U23" s="455">
        <v>46142</v>
      </c>
    </row>
    <row r="24" spans="1:21">
      <c r="A24" t="s">
        <v>1751</v>
      </c>
      <c r="B24" t="s">
        <v>3155</v>
      </c>
      <c r="C24" t="s">
        <v>1751</v>
      </c>
      <c r="D24">
        <v>20500682</v>
      </c>
      <c r="E24" t="s">
        <v>3142</v>
      </c>
      <c r="F24" t="s">
        <v>1242</v>
      </c>
      <c r="G24" t="s">
        <v>3134</v>
      </c>
      <c r="H24" t="s">
        <v>1247</v>
      </c>
      <c r="I24" t="s">
        <v>6580</v>
      </c>
      <c r="J24" s="455">
        <v>46130</v>
      </c>
      <c r="K24" s="455">
        <v>46130</v>
      </c>
      <c r="L24" s="455">
        <v>46134</v>
      </c>
      <c r="M24" s="455">
        <v>46137</v>
      </c>
      <c r="N24" s="455">
        <v>46137</v>
      </c>
      <c r="P24" s="455">
        <v>46141</v>
      </c>
      <c r="Q24" s="455">
        <v>46141</v>
      </c>
      <c r="U24" s="455">
        <v>46142</v>
      </c>
    </row>
    <row r="25" spans="1:21">
      <c r="A25" t="s">
        <v>1751</v>
      </c>
      <c r="B25" t="s">
        <v>3155</v>
      </c>
      <c r="C25" t="s">
        <v>1751</v>
      </c>
      <c r="D25">
        <v>20500681</v>
      </c>
      <c r="E25" t="s">
        <v>1897</v>
      </c>
      <c r="F25" t="s">
        <v>1799</v>
      </c>
      <c r="G25" t="s">
        <v>3134</v>
      </c>
      <c r="H25" t="s">
        <v>1247</v>
      </c>
      <c r="J25" s="455">
        <v>46130</v>
      </c>
      <c r="K25" s="455">
        <v>46130</v>
      </c>
      <c r="U25" s="455">
        <v>46130</v>
      </c>
    </row>
    <row r="26" spans="1:21">
      <c r="A26" t="s">
        <v>1751</v>
      </c>
      <c r="B26" t="s">
        <v>6756</v>
      </c>
      <c r="C26" t="s">
        <v>1751</v>
      </c>
      <c r="D26">
        <v>20488483</v>
      </c>
      <c r="E26" t="s">
        <v>1907</v>
      </c>
      <c r="F26" t="s">
        <v>3285</v>
      </c>
      <c r="G26" t="s">
        <v>3134</v>
      </c>
      <c r="H26" t="s">
        <v>1247</v>
      </c>
      <c r="I26" t="s">
        <v>2163</v>
      </c>
      <c r="J26" s="455">
        <v>46118</v>
      </c>
      <c r="K26" s="455">
        <v>46118</v>
      </c>
      <c r="L26" s="455">
        <v>46118</v>
      </c>
      <c r="U26" s="455">
        <v>46147</v>
      </c>
    </row>
    <row r="27" spans="1:21">
      <c r="A27" t="s">
        <v>1751</v>
      </c>
      <c r="B27" t="s">
        <v>9478</v>
      </c>
      <c r="C27" t="s">
        <v>1751</v>
      </c>
      <c r="D27">
        <v>20423965</v>
      </c>
      <c r="E27" t="s">
        <v>3190</v>
      </c>
      <c r="F27" t="s">
        <v>1239</v>
      </c>
      <c r="G27" t="s">
        <v>3129</v>
      </c>
      <c r="H27" t="s">
        <v>1249</v>
      </c>
      <c r="J27" s="455">
        <v>46035</v>
      </c>
      <c r="R27" s="455">
        <v>46114</v>
      </c>
      <c r="U27" s="455">
        <v>46035</v>
      </c>
    </row>
    <row r="28" spans="1:21">
      <c r="A28" t="s">
        <v>1751</v>
      </c>
      <c r="B28" t="s">
        <v>3157</v>
      </c>
      <c r="C28" t="s">
        <v>1751</v>
      </c>
      <c r="D28">
        <v>20497129</v>
      </c>
      <c r="E28" t="s">
        <v>1897</v>
      </c>
      <c r="F28" t="s">
        <v>3158</v>
      </c>
      <c r="G28" t="s">
        <v>3134</v>
      </c>
      <c r="H28" t="s">
        <v>1252</v>
      </c>
      <c r="I28" t="s">
        <v>1818</v>
      </c>
      <c r="J28" s="455">
        <v>46127</v>
      </c>
      <c r="K28" s="455">
        <v>46129</v>
      </c>
      <c r="U28" s="455">
        <v>46130</v>
      </c>
    </row>
    <row r="29" spans="1:21">
      <c r="A29" t="s">
        <v>1751</v>
      </c>
      <c r="B29" t="s">
        <v>3157</v>
      </c>
      <c r="C29" t="s">
        <v>1751</v>
      </c>
      <c r="D29">
        <v>20500235</v>
      </c>
      <c r="E29" t="s">
        <v>1897</v>
      </c>
      <c r="F29" t="s">
        <v>1799</v>
      </c>
      <c r="G29" t="s">
        <v>3134</v>
      </c>
      <c r="H29" t="s">
        <v>1247</v>
      </c>
      <c r="J29" s="455">
        <v>46129</v>
      </c>
      <c r="K29" s="455">
        <v>46129</v>
      </c>
      <c r="U29" s="455">
        <v>46129</v>
      </c>
    </row>
    <row r="30" spans="1:21">
      <c r="A30" t="s">
        <v>1751</v>
      </c>
      <c r="B30" t="s">
        <v>9479</v>
      </c>
      <c r="C30" t="s">
        <v>1751</v>
      </c>
      <c r="D30">
        <v>20496091</v>
      </c>
      <c r="E30" t="s">
        <v>3190</v>
      </c>
      <c r="F30" t="s">
        <v>1782</v>
      </c>
      <c r="G30" t="s">
        <v>3134</v>
      </c>
      <c r="H30" t="s">
        <v>1252</v>
      </c>
      <c r="J30" s="455">
        <v>46127</v>
      </c>
      <c r="R30" s="455">
        <v>46139</v>
      </c>
      <c r="U30" s="455">
        <v>46143</v>
      </c>
    </row>
    <row r="31" spans="1:21">
      <c r="A31" t="s">
        <v>1751</v>
      </c>
      <c r="B31" t="s">
        <v>9084</v>
      </c>
      <c r="C31" t="s">
        <v>1751</v>
      </c>
      <c r="D31">
        <v>20482039</v>
      </c>
      <c r="E31" t="s">
        <v>1897</v>
      </c>
      <c r="F31" t="s">
        <v>1241</v>
      </c>
      <c r="G31" t="s">
        <v>3141</v>
      </c>
      <c r="H31" t="s">
        <v>1248</v>
      </c>
      <c r="J31" s="455">
        <v>46109</v>
      </c>
      <c r="K31" s="455">
        <v>46137</v>
      </c>
      <c r="U31" s="455">
        <v>46109</v>
      </c>
    </row>
    <row r="32" spans="1:21">
      <c r="A32" t="s">
        <v>1751</v>
      </c>
      <c r="B32" t="s">
        <v>9085</v>
      </c>
      <c r="C32" t="s">
        <v>1751</v>
      </c>
      <c r="D32">
        <v>20476492</v>
      </c>
      <c r="E32" t="s">
        <v>3190</v>
      </c>
      <c r="F32" t="s">
        <v>1782</v>
      </c>
      <c r="G32" t="s">
        <v>3134</v>
      </c>
      <c r="H32" t="s">
        <v>1252</v>
      </c>
      <c r="J32" s="455">
        <v>46101</v>
      </c>
      <c r="R32" s="455">
        <v>46114</v>
      </c>
      <c r="U32" s="455">
        <v>46101</v>
      </c>
    </row>
    <row r="33" spans="1:21">
      <c r="A33" t="s">
        <v>1751</v>
      </c>
      <c r="B33" t="s">
        <v>9480</v>
      </c>
      <c r="C33" t="s">
        <v>1751</v>
      </c>
      <c r="D33">
        <v>20491269</v>
      </c>
      <c r="E33" t="s">
        <v>3190</v>
      </c>
      <c r="F33" t="s">
        <v>1237</v>
      </c>
      <c r="G33" t="s">
        <v>3134</v>
      </c>
      <c r="H33" t="s">
        <v>1252</v>
      </c>
      <c r="I33" t="s">
        <v>6998</v>
      </c>
      <c r="J33" s="455">
        <v>46121</v>
      </c>
      <c r="R33" s="455">
        <v>46139</v>
      </c>
      <c r="U33" s="455">
        <v>46144</v>
      </c>
    </row>
    <row r="34" spans="1:21">
      <c r="A34" t="s">
        <v>1751</v>
      </c>
      <c r="B34" t="s">
        <v>9481</v>
      </c>
      <c r="C34" t="s">
        <v>1751</v>
      </c>
      <c r="D34">
        <v>20509822</v>
      </c>
      <c r="E34" t="s">
        <v>3128</v>
      </c>
      <c r="F34" t="s">
        <v>1782</v>
      </c>
      <c r="G34" t="s">
        <v>3134</v>
      </c>
      <c r="H34" t="s">
        <v>3165</v>
      </c>
      <c r="J34" s="455">
        <v>46137</v>
      </c>
      <c r="U34" s="455">
        <v>46203</v>
      </c>
    </row>
    <row r="35" spans="1:21">
      <c r="A35" t="s">
        <v>1751</v>
      </c>
      <c r="B35" t="s">
        <v>9482</v>
      </c>
      <c r="C35" t="s">
        <v>1751</v>
      </c>
      <c r="D35">
        <v>20504199</v>
      </c>
      <c r="E35" t="s">
        <v>3128</v>
      </c>
      <c r="F35" t="s">
        <v>1782</v>
      </c>
      <c r="G35" t="s">
        <v>3134</v>
      </c>
      <c r="H35" t="s">
        <v>3165</v>
      </c>
      <c r="J35" s="455">
        <v>46132</v>
      </c>
      <c r="U35" s="455">
        <v>46134</v>
      </c>
    </row>
    <row r="36" spans="1:21">
      <c r="A36" t="s">
        <v>1751</v>
      </c>
      <c r="B36" t="s">
        <v>9483</v>
      </c>
      <c r="C36" t="s">
        <v>1751</v>
      </c>
      <c r="D36">
        <v>20508714</v>
      </c>
      <c r="E36" t="s">
        <v>3128</v>
      </c>
      <c r="F36" t="s">
        <v>1782</v>
      </c>
      <c r="G36" t="s">
        <v>3137</v>
      </c>
      <c r="H36" t="s">
        <v>1252</v>
      </c>
      <c r="J36" s="455">
        <v>46136</v>
      </c>
      <c r="U36" s="455">
        <v>46174</v>
      </c>
    </row>
    <row r="37" spans="1:21">
      <c r="A37" t="s">
        <v>1751</v>
      </c>
      <c r="B37" t="s">
        <v>9086</v>
      </c>
      <c r="C37" t="s">
        <v>1751</v>
      </c>
      <c r="D37">
        <v>20478007</v>
      </c>
      <c r="E37" t="s">
        <v>3133</v>
      </c>
      <c r="F37" t="s">
        <v>1241</v>
      </c>
      <c r="G37" t="s">
        <v>3134</v>
      </c>
      <c r="H37" t="s">
        <v>1252</v>
      </c>
      <c r="J37" s="455">
        <v>46103</v>
      </c>
      <c r="K37" s="455">
        <v>46111</v>
      </c>
      <c r="R37" s="455">
        <v>46126</v>
      </c>
      <c r="U37" s="455">
        <v>46164</v>
      </c>
    </row>
    <row r="38" spans="1:21">
      <c r="A38" t="s">
        <v>1751</v>
      </c>
      <c r="B38" t="s">
        <v>9086</v>
      </c>
      <c r="C38" t="s">
        <v>1751</v>
      </c>
      <c r="D38">
        <v>20483723</v>
      </c>
      <c r="E38" t="s">
        <v>3133</v>
      </c>
      <c r="F38" t="s">
        <v>1912</v>
      </c>
      <c r="G38" t="s">
        <v>3134</v>
      </c>
      <c r="H38" t="s">
        <v>1252</v>
      </c>
      <c r="I38" t="s">
        <v>3872</v>
      </c>
      <c r="J38" s="455">
        <v>46111</v>
      </c>
      <c r="K38" s="455">
        <v>46111</v>
      </c>
      <c r="R38" s="455">
        <v>46116</v>
      </c>
      <c r="U38" s="455">
        <v>46164</v>
      </c>
    </row>
    <row r="39" spans="1:21">
      <c r="A39" t="s">
        <v>1751</v>
      </c>
      <c r="B39" t="s">
        <v>8654</v>
      </c>
      <c r="C39" t="s">
        <v>1751</v>
      </c>
      <c r="D39">
        <v>20455583</v>
      </c>
      <c r="E39" t="s">
        <v>3190</v>
      </c>
      <c r="F39" t="s">
        <v>1782</v>
      </c>
      <c r="G39" t="s">
        <v>3129</v>
      </c>
      <c r="H39" t="s">
        <v>1252</v>
      </c>
      <c r="J39" s="455">
        <v>46076</v>
      </c>
      <c r="R39" s="455">
        <v>46114</v>
      </c>
      <c r="U39" s="455">
        <v>46077</v>
      </c>
    </row>
    <row r="40" spans="1:21">
      <c r="A40" t="s">
        <v>1751</v>
      </c>
      <c r="B40" t="s">
        <v>9484</v>
      </c>
      <c r="C40" t="s">
        <v>1751</v>
      </c>
      <c r="D40">
        <v>20417245</v>
      </c>
      <c r="E40" t="s">
        <v>3190</v>
      </c>
      <c r="F40" t="s">
        <v>1241</v>
      </c>
      <c r="G40" t="s">
        <v>3129</v>
      </c>
      <c r="H40" t="s">
        <v>1252</v>
      </c>
      <c r="J40" s="455">
        <v>46025</v>
      </c>
      <c r="R40" s="455">
        <v>46114</v>
      </c>
      <c r="U40" s="455">
        <v>46025</v>
      </c>
    </row>
    <row r="41" spans="1:21">
      <c r="A41" t="s">
        <v>1751</v>
      </c>
      <c r="B41" t="s">
        <v>8656</v>
      </c>
      <c r="C41" t="s">
        <v>1751</v>
      </c>
      <c r="D41">
        <v>20444775</v>
      </c>
      <c r="E41" t="s">
        <v>3190</v>
      </c>
      <c r="F41" t="s">
        <v>1241</v>
      </c>
      <c r="G41" t="s">
        <v>2009</v>
      </c>
      <c r="H41" t="s">
        <v>1247</v>
      </c>
      <c r="J41" s="455">
        <v>46063</v>
      </c>
      <c r="R41" s="455">
        <v>46114</v>
      </c>
      <c r="U41" s="455">
        <v>46084</v>
      </c>
    </row>
    <row r="42" spans="1:21">
      <c r="A42" t="s">
        <v>1751</v>
      </c>
      <c r="B42" t="s">
        <v>8657</v>
      </c>
      <c r="C42" t="s">
        <v>1751</v>
      </c>
      <c r="D42">
        <v>20448941</v>
      </c>
      <c r="E42" t="s">
        <v>3190</v>
      </c>
      <c r="F42" t="s">
        <v>1782</v>
      </c>
      <c r="G42" t="s">
        <v>2009</v>
      </c>
      <c r="H42" t="s">
        <v>1247</v>
      </c>
      <c r="J42" s="455">
        <v>46067</v>
      </c>
      <c r="R42" s="455">
        <v>46114</v>
      </c>
      <c r="U42" s="455">
        <v>46083</v>
      </c>
    </row>
    <row r="43" spans="1:21">
      <c r="A43" t="s">
        <v>1751</v>
      </c>
      <c r="B43" t="s">
        <v>9485</v>
      </c>
      <c r="C43" t="s">
        <v>1751</v>
      </c>
      <c r="D43">
        <v>20430305</v>
      </c>
      <c r="E43" t="s">
        <v>3133</v>
      </c>
      <c r="F43" t="s">
        <v>1237</v>
      </c>
      <c r="G43" t="s">
        <v>3134</v>
      </c>
      <c r="H43" t="s">
        <v>1247</v>
      </c>
      <c r="J43" s="455">
        <v>46041</v>
      </c>
      <c r="K43" s="455">
        <v>46041</v>
      </c>
      <c r="R43" s="455">
        <v>46114</v>
      </c>
      <c r="U43" s="455">
        <v>46041</v>
      </c>
    </row>
    <row r="44" spans="1:21">
      <c r="A44" t="s">
        <v>1751</v>
      </c>
      <c r="B44" t="s">
        <v>8658</v>
      </c>
      <c r="C44" t="s">
        <v>1751</v>
      </c>
      <c r="D44">
        <v>20440209</v>
      </c>
      <c r="E44" t="s">
        <v>3190</v>
      </c>
      <c r="F44" t="s">
        <v>1782</v>
      </c>
      <c r="G44" t="s">
        <v>3129</v>
      </c>
      <c r="H44" t="s">
        <v>1253</v>
      </c>
      <c r="J44" s="455">
        <v>46056</v>
      </c>
      <c r="R44" s="455">
        <v>46114</v>
      </c>
      <c r="U44" s="455">
        <v>46056</v>
      </c>
    </row>
    <row r="45" spans="1:21">
      <c r="A45" t="s">
        <v>1751</v>
      </c>
      <c r="B45" t="s">
        <v>9486</v>
      </c>
      <c r="C45" t="s">
        <v>1751</v>
      </c>
      <c r="D45">
        <v>20432796</v>
      </c>
      <c r="E45" t="s">
        <v>3133</v>
      </c>
      <c r="F45" t="s">
        <v>1237</v>
      </c>
      <c r="G45" t="s">
        <v>3134</v>
      </c>
      <c r="H45" t="s">
        <v>1247</v>
      </c>
      <c r="I45" t="s">
        <v>1560</v>
      </c>
      <c r="J45" s="455">
        <v>46044</v>
      </c>
      <c r="K45" s="455">
        <v>46044</v>
      </c>
      <c r="R45" s="455">
        <v>46114</v>
      </c>
      <c r="U45" s="455">
        <v>46093</v>
      </c>
    </row>
    <row r="46" spans="1:21">
      <c r="A46" t="s">
        <v>1751</v>
      </c>
      <c r="B46" t="s">
        <v>9487</v>
      </c>
      <c r="C46" t="s">
        <v>1751</v>
      </c>
      <c r="D46">
        <v>20487031</v>
      </c>
      <c r="E46" t="s">
        <v>3128</v>
      </c>
      <c r="F46" t="s">
        <v>1782</v>
      </c>
      <c r="G46" t="s">
        <v>3137</v>
      </c>
      <c r="H46" t="s">
        <v>3358</v>
      </c>
      <c r="J46" s="455">
        <v>46116</v>
      </c>
      <c r="U46" s="455">
        <v>46204</v>
      </c>
    </row>
    <row r="47" spans="1:21">
      <c r="A47" t="s">
        <v>1751</v>
      </c>
      <c r="B47" t="s">
        <v>9488</v>
      </c>
      <c r="C47" t="s">
        <v>1751</v>
      </c>
      <c r="D47">
        <v>20496980</v>
      </c>
      <c r="E47" t="s">
        <v>3190</v>
      </c>
      <c r="F47" t="s">
        <v>1238</v>
      </c>
      <c r="G47" t="s">
        <v>3143</v>
      </c>
      <c r="H47" t="s">
        <v>1248</v>
      </c>
      <c r="I47" t="s">
        <v>2671</v>
      </c>
      <c r="J47" s="455">
        <v>46127</v>
      </c>
      <c r="R47" s="455">
        <v>46139</v>
      </c>
      <c r="U47" s="455">
        <v>46179</v>
      </c>
    </row>
    <row r="48" spans="1:21">
      <c r="A48" t="s">
        <v>1751</v>
      </c>
      <c r="B48" t="s">
        <v>1837</v>
      </c>
      <c r="C48" t="s">
        <v>1751</v>
      </c>
      <c r="D48">
        <v>20443684</v>
      </c>
      <c r="E48" t="s">
        <v>3142</v>
      </c>
      <c r="F48" t="s">
        <v>1237</v>
      </c>
      <c r="G48" t="s">
        <v>3143</v>
      </c>
      <c r="H48" t="s">
        <v>1248</v>
      </c>
      <c r="I48" t="s">
        <v>1537</v>
      </c>
      <c r="J48" s="455">
        <v>46062</v>
      </c>
      <c r="K48" s="455">
        <v>46090</v>
      </c>
      <c r="L48" s="455">
        <v>46104</v>
      </c>
      <c r="M48" s="455">
        <v>46113</v>
      </c>
      <c r="N48" s="455">
        <v>46113</v>
      </c>
      <c r="P48" s="455">
        <v>46113</v>
      </c>
      <c r="Q48" s="455">
        <v>46113</v>
      </c>
      <c r="U48" s="455">
        <v>46129</v>
      </c>
    </row>
    <row r="49" spans="1:21">
      <c r="A49" t="s">
        <v>1751</v>
      </c>
      <c r="B49" t="s">
        <v>8660</v>
      </c>
      <c r="C49" t="s">
        <v>1751</v>
      </c>
      <c r="D49">
        <v>20441240</v>
      </c>
      <c r="E49" t="s">
        <v>3190</v>
      </c>
      <c r="F49" t="s">
        <v>1241</v>
      </c>
      <c r="G49" t="s">
        <v>3141</v>
      </c>
      <c r="H49" t="s">
        <v>1251</v>
      </c>
      <c r="J49" s="455">
        <v>46057</v>
      </c>
      <c r="R49" s="455">
        <v>46114</v>
      </c>
      <c r="U49" s="455">
        <v>46057</v>
      </c>
    </row>
    <row r="50" spans="1:21">
      <c r="A50" t="s">
        <v>1751</v>
      </c>
      <c r="B50" t="s">
        <v>9489</v>
      </c>
      <c r="C50" t="s">
        <v>1751</v>
      </c>
      <c r="D50">
        <v>20433387</v>
      </c>
      <c r="E50" t="s">
        <v>3190</v>
      </c>
      <c r="F50" t="s">
        <v>1239</v>
      </c>
      <c r="G50" t="s">
        <v>3143</v>
      </c>
      <c r="H50" t="s">
        <v>1248</v>
      </c>
      <c r="J50" s="455">
        <v>46045</v>
      </c>
      <c r="R50" s="455">
        <v>46114</v>
      </c>
      <c r="U50" s="455">
        <v>46095</v>
      </c>
    </row>
    <row r="51" spans="1:21">
      <c r="A51" t="s">
        <v>1751</v>
      </c>
      <c r="B51" t="s">
        <v>8661</v>
      </c>
      <c r="C51" t="s">
        <v>1751</v>
      </c>
      <c r="D51">
        <v>20457180</v>
      </c>
      <c r="E51" t="s">
        <v>3190</v>
      </c>
      <c r="F51" t="s">
        <v>1242</v>
      </c>
      <c r="G51" t="s">
        <v>3143</v>
      </c>
      <c r="H51" t="s">
        <v>1249</v>
      </c>
      <c r="J51" s="455">
        <v>46078</v>
      </c>
      <c r="R51" s="455">
        <v>46114</v>
      </c>
      <c r="U51" s="455">
        <v>46103</v>
      </c>
    </row>
    <row r="52" spans="1:21">
      <c r="A52" t="s">
        <v>1751</v>
      </c>
      <c r="B52" t="s">
        <v>9087</v>
      </c>
      <c r="C52" t="s">
        <v>1751</v>
      </c>
      <c r="D52">
        <v>20476050</v>
      </c>
      <c r="E52" t="s">
        <v>3190</v>
      </c>
      <c r="F52" t="s">
        <v>1241</v>
      </c>
      <c r="G52" t="s">
        <v>3134</v>
      </c>
      <c r="H52" t="s">
        <v>1252</v>
      </c>
      <c r="J52" s="455">
        <v>46100</v>
      </c>
      <c r="R52" s="455">
        <v>46114</v>
      </c>
      <c r="U52" s="455">
        <v>46193</v>
      </c>
    </row>
    <row r="53" spans="1:21">
      <c r="A53" t="s">
        <v>1751</v>
      </c>
      <c r="B53" t="s">
        <v>9088</v>
      </c>
      <c r="C53" t="s">
        <v>1751</v>
      </c>
      <c r="D53">
        <v>20473092</v>
      </c>
      <c r="E53" t="s">
        <v>3190</v>
      </c>
      <c r="F53" t="s">
        <v>1241</v>
      </c>
      <c r="G53" t="s">
        <v>3134</v>
      </c>
      <c r="H53" t="s">
        <v>1252</v>
      </c>
      <c r="J53" s="455">
        <v>46098</v>
      </c>
      <c r="R53" s="455">
        <v>46114</v>
      </c>
      <c r="U53" s="455">
        <v>46172</v>
      </c>
    </row>
    <row r="54" spans="1:21">
      <c r="A54" t="s">
        <v>1751</v>
      </c>
      <c r="B54" t="s">
        <v>9089</v>
      </c>
      <c r="C54" t="s">
        <v>1751</v>
      </c>
      <c r="D54">
        <v>20471521</v>
      </c>
      <c r="E54" t="s">
        <v>3190</v>
      </c>
      <c r="F54" t="s">
        <v>1241</v>
      </c>
      <c r="G54" t="s">
        <v>3143</v>
      </c>
      <c r="H54" t="s">
        <v>1252</v>
      </c>
      <c r="I54" t="s">
        <v>1952</v>
      </c>
      <c r="J54" s="455">
        <v>46095</v>
      </c>
      <c r="R54" s="455">
        <v>46114</v>
      </c>
      <c r="U54" s="455">
        <v>46095</v>
      </c>
    </row>
    <row r="55" spans="1:21">
      <c r="A55" t="s">
        <v>1751</v>
      </c>
      <c r="B55" t="s">
        <v>9490</v>
      </c>
      <c r="C55" t="s">
        <v>1751</v>
      </c>
      <c r="D55">
        <v>20485528</v>
      </c>
      <c r="E55" t="s">
        <v>3190</v>
      </c>
      <c r="F55" t="s">
        <v>1782</v>
      </c>
      <c r="G55" t="s">
        <v>3134</v>
      </c>
      <c r="H55" t="s">
        <v>1252</v>
      </c>
      <c r="J55" s="455">
        <v>46114</v>
      </c>
      <c r="R55" s="455">
        <v>46114</v>
      </c>
      <c r="U55" s="455">
        <v>46142</v>
      </c>
    </row>
    <row r="56" spans="1:21">
      <c r="A56" t="s">
        <v>1751</v>
      </c>
      <c r="B56" t="s">
        <v>7096</v>
      </c>
      <c r="C56" t="s">
        <v>1751</v>
      </c>
      <c r="D56">
        <v>20457202</v>
      </c>
      <c r="E56" t="s">
        <v>3133</v>
      </c>
      <c r="F56" t="s">
        <v>1238</v>
      </c>
      <c r="G56" t="s">
        <v>3134</v>
      </c>
      <c r="H56" t="s">
        <v>1247</v>
      </c>
      <c r="I56" t="s">
        <v>7095</v>
      </c>
      <c r="J56" s="455">
        <v>46078</v>
      </c>
      <c r="K56" s="455">
        <v>46078</v>
      </c>
      <c r="R56" s="455">
        <v>46114</v>
      </c>
      <c r="U56" s="455">
        <v>46097</v>
      </c>
    </row>
    <row r="57" spans="1:21">
      <c r="A57" t="s">
        <v>1751</v>
      </c>
      <c r="B57" t="s">
        <v>9090</v>
      </c>
      <c r="C57" t="s">
        <v>1751</v>
      </c>
      <c r="D57">
        <v>20461150</v>
      </c>
      <c r="E57" t="s">
        <v>3190</v>
      </c>
      <c r="F57" t="s">
        <v>1782</v>
      </c>
      <c r="G57" t="s">
        <v>3141</v>
      </c>
      <c r="H57" t="s">
        <v>1247</v>
      </c>
      <c r="J57" s="455">
        <v>46084</v>
      </c>
      <c r="R57" s="455">
        <v>46139</v>
      </c>
      <c r="U57" s="455">
        <v>46164</v>
      </c>
    </row>
    <row r="58" spans="1:21">
      <c r="A58" t="s">
        <v>1751</v>
      </c>
      <c r="B58" t="s">
        <v>9491</v>
      </c>
      <c r="C58" t="s">
        <v>1751</v>
      </c>
      <c r="D58">
        <v>20500340</v>
      </c>
      <c r="E58" t="s">
        <v>3190</v>
      </c>
      <c r="F58" t="s">
        <v>1782</v>
      </c>
      <c r="G58" t="s">
        <v>3141</v>
      </c>
      <c r="H58" t="s">
        <v>1252</v>
      </c>
      <c r="J58" s="455">
        <v>46129</v>
      </c>
      <c r="R58" s="455">
        <v>46139</v>
      </c>
      <c r="U58" s="455">
        <v>46129</v>
      </c>
    </row>
    <row r="59" spans="1:21">
      <c r="A59" t="s">
        <v>1751</v>
      </c>
      <c r="B59" t="s">
        <v>9492</v>
      </c>
      <c r="C59" t="s">
        <v>1751</v>
      </c>
      <c r="D59">
        <v>20416800</v>
      </c>
      <c r="E59" t="s">
        <v>3190</v>
      </c>
      <c r="F59" t="s">
        <v>1241</v>
      </c>
      <c r="G59" t="s">
        <v>3129</v>
      </c>
      <c r="H59" t="s">
        <v>1247</v>
      </c>
      <c r="J59" s="455">
        <v>46024</v>
      </c>
      <c r="R59" s="455">
        <v>46114</v>
      </c>
      <c r="U59" s="455">
        <v>46024</v>
      </c>
    </row>
    <row r="60" spans="1:21">
      <c r="A60" t="s">
        <v>1751</v>
      </c>
      <c r="B60" t="s">
        <v>6981</v>
      </c>
      <c r="C60" t="s">
        <v>1751</v>
      </c>
      <c r="D60">
        <v>20509271</v>
      </c>
      <c r="E60" t="s">
        <v>3133</v>
      </c>
      <c r="F60" t="s">
        <v>1241</v>
      </c>
      <c r="G60" t="s">
        <v>2009</v>
      </c>
      <c r="H60" t="s">
        <v>1249</v>
      </c>
      <c r="I60" t="s">
        <v>1943</v>
      </c>
      <c r="J60" s="455">
        <v>46136</v>
      </c>
      <c r="K60" s="455">
        <v>46137</v>
      </c>
      <c r="R60" s="455">
        <v>46137</v>
      </c>
      <c r="U60" s="455">
        <v>46142</v>
      </c>
    </row>
    <row r="61" spans="1:21">
      <c r="A61" t="s">
        <v>1751</v>
      </c>
      <c r="B61" t="s">
        <v>6981</v>
      </c>
      <c r="C61" t="s">
        <v>1751</v>
      </c>
      <c r="D61">
        <v>20509542</v>
      </c>
      <c r="E61" t="s">
        <v>1907</v>
      </c>
      <c r="F61" t="s">
        <v>1238</v>
      </c>
      <c r="G61" t="s">
        <v>3134</v>
      </c>
      <c r="H61" t="s">
        <v>1249</v>
      </c>
      <c r="I61" t="s">
        <v>1943</v>
      </c>
      <c r="J61" s="455">
        <v>46137</v>
      </c>
      <c r="K61" s="455">
        <v>46137</v>
      </c>
      <c r="L61" s="455">
        <v>46137</v>
      </c>
      <c r="O61" s="455">
        <v>46146</v>
      </c>
      <c r="U61" s="455">
        <v>46143</v>
      </c>
    </row>
    <row r="62" spans="1:21">
      <c r="A62" t="s">
        <v>1751</v>
      </c>
      <c r="B62" t="s">
        <v>9493</v>
      </c>
      <c r="C62" t="s">
        <v>1751</v>
      </c>
      <c r="D62">
        <v>20485818</v>
      </c>
      <c r="E62" t="s">
        <v>3190</v>
      </c>
      <c r="F62" t="s">
        <v>1241</v>
      </c>
      <c r="G62" t="s">
        <v>3129</v>
      </c>
      <c r="H62" t="s">
        <v>1253</v>
      </c>
      <c r="J62" s="455">
        <v>46114</v>
      </c>
      <c r="R62" s="455">
        <v>46114</v>
      </c>
      <c r="U62" s="455">
        <v>46114</v>
      </c>
    </row>
    <row r="63" spans="1:21">
      <c r="A63" t="s">
        <v>1751</v>
      </c>
      <c r="B63" t="s">
        <v>9494</v>
      </c>
      <c r="C63" t="s">
        <v>1751</v>
      </c>
      <c r="D63">
        <v>20510109</v>
      </c>
      <c r="E63" t="s">
        <v>3128</v>
      </c>
      <c r="F63" t="s">
        <v>1782</v>
      </c>
      <c r="G63" t="s">
        <v>3137</v>
      </c>
      <c r="H63" t="s">
        <v>1252</v>
      </c>
      <c r="J63" s="455">
        <v>46138</v>
      </c>
      <c r="U63" s="455">
        <v>46162</v>
      </c>
    </row>
    <row r="64" spans="1:21">
      <c r="A64" t="s">
        <v>1751</v>
      </c>
      <c r="B64" t="s">
        <v>1924</v>
      </c>
      <c r="C64" t="s">
        <v>1751</v>
      </c>
      <c r="D64">
        <v>20457276</v>
      </c>
      <c r="E64" t="s">
        <v>3133</v>
      </c>
      <c r="F64" t="s">
        <v>1782</v>
      </c>
      <c r="G64" t="s">
        <v>3134</v>
      </c>
      <c r="H64" t="s">
        <v>1247</v>
      </c>
      <c r="J64" s="455">
        <v>46078</v>
      </c>
      <c r="K64" s="455">
        <v>46078</v>
      </c>
      <c r="R64" s="455">
        <v>46142</v>
      </c>
      <c r="U64" s="455">
        <v>46113</v>
      </c>
    </row>
    <row r="65" spans="1:21">
      <c r="A65" t="s">
        <v>1751</v>
      </c>
      <c r="B65" t="s">
        <v>3184</v>
      </c>
      <c r="C65" t="s">
        <v>1751</v>
      </c>
      <c r="D65">
        <v>20491456</v>
      </c>
      <c r="E65" t="s">
        <v>1897</v>
      </c>
      <c r="F65" t="s">
        <v>1241</v>
      </c>
      <c r="G65" t="s">
        <v>3134</v>
      </c>
      <c r="H65" t="s">
        <v>1247</v>
      </c>
      <c r="J65" s="455">
        <v>46122</v>
      </c>
      <c r="K65" s="455">
        <v>46122</v>
      </c>
      <c r="U65" s="455">
        <v>46122</v>
      </c>
    </row>
    <row r="66" spans="1:21">
      <c r="A66" t="s">
        <v>1751</v>
      </c>
      <c r="B66" t="s">
        <v>3184</v>
      </c>
      <c r="C66" t="s">
        <v>1751</v>
      </c>
      <c r="D66">
        <v>20491455</v>
      </c>
      <c r="E66" t="s">
        <v>3190</v>
      </c>
      <c r="F66" t="s">
        <v>1241</v>
      </c>
      <c r="G66" t="s">
        <v>3134</v>
      </c>
      <c r="H66" t="s">
        <v>1252</v>
      </c>
      <c r="J66" s="455">
        <v>46122</v>
      </c>
      <c r="R66" s="455">
        <v>46139</v>
      </c>
      <c r="U66" s="455">
        <v>46125</v>
      </c>
    </row>
    <row r="67" spans="1:21">
      <c r="A67" t="s">
        <v>1751</v>
      </c>
      <c r="B67" t="s">
        <v>9495</v>
      </c>
      <c r="C67" t="s">
        <v>1751</v>
      </c>
      <c r="D67">
        <v>20508664</v>
      </c>
      <c r="E67" t="s">
        <v>3128</v>
      </c>
      <c r="F67" t="s">
        <v>1242</v>
      </c>
      <c r="G67" t="s">
        <v>3137</v>
      </c>
      <c r="H67" t="s">
        <v>1247</v>
      </c>
      <c r="I67" t="s">
        <v>1952</v>
      </c>
      <c r="J67" s="455">
        <v>46136</v>
      </c>
      <c r="U67" s="455">
        <v>46136</v>
      </c>
    </row>
    <row r="68" spans="1:21">
      <c r="A68" t="s">
        <v>1751</v>
      </c>
      <c r="B68" t="s">
        <v>9496</v>
      </c>
      <c r="C68" t="s">
        <v>1751</v>
      </c>
      <c r="D68">
        <v>20503769</v>
      </c>
      <c r="E68" t="s">
        <v>3128</v>
      </c>
      <c r="F68" t="s">
        <v>1241</v>
      </c>
      <c r="G68" t="s">
        <v>3141</v>
      </c>
      <c r="H68" t="s">
        <v>1252</v>
      </c>
      <c r="J68" s="455">
        <v>46132</v>
      </c>
      <c r="U68" s="455">
        <v>46133</v>
      </c>
    </row>
    <row r="69" spans="1:21">
      <c r="A69" t="s">
        <v>1751</v>
      </c>
      <c r="B69" t="s">
        <v>7253</v>
      </c>
      <c r="C69" t="s">
        <v>1751</v>
      </c>
      <c r="D69">
        <v>20495704</v>
      </c>
      <c r="E69" t="s">
        <v>3190</v>
      </c>
      <c r="F69" t="s">
        <v>1782</v>
      </c>
      <c r="G69" t="s">
        <v>3141</v>
      </c>
      <c r="H69" t="s">
        <v>1247</v>
      </c>
      <c r="J69" s="455">
        <v>46127</v>
      </c>
      <c r="R69" s="455">
        <v>46139</v>
      </c>
      <c r="U69" s="455">
        <v>46127</v>
      </c>
    </row>
    <row r="70" spans="1:21">
      <c r="A70" t="s">
        <v>1751</v>
      </c>
      <c r="B70" t="s">
        <v>9091</v>
      </c>
      <c r="C70" t="s">
        <v>1751</v>
      </c>
      <c r="D70">
        <v>20460984</v>
      </c>
      <c r="E70" t="s">
        <v>3190</v>
      </c>
      <c r="F70" t="s">
        <v>1782</v>
      </c>
      <c r="G70" t="s">
        <v>3141</v>
      </c>
      <c r="H70" t="s">
        <v>1247</v>
      </c>
      <c r="J70" s="455">
        <v>46083</v>
      </c>
      <c r="R70" s="455">
        <v>46114</v>
      </c>
      <c r="U70" s="455">
        <v>46084</v>
      </c>
    </row>
    <row r="71" spans="1:21">
      <c r="A71" t="s">
        <v>1751</v>
      </c>
      <c r="B71" t="s">
        <v>9497</v>
      </c>
      <c r="C71" t="s">
        <v>1751</v>
      </c>
      <c r="D71">
        <v>20437182</v>
      </c>
      <c r="E71" t="s">
        <v>3133</v>
      </c>
      <c r="F71" t="s">
        <v>1238</v>
      </c>
      <c r="G71" t="s">
        <v>3134</v>
      </c>
      <c r="H71" t="s">
        <v>1247</v>
      </c>
      <c r="J71" s="455">
        <v>46051</v>
      </c>
      <c r="K71" s="455">
        <v>46051</v>
      </c>
      <c r="R71" s="455">
        <v>46114</v>
      </c>
      <c r="U71" s="455">
        <v>46067</v>
      </c>
    </row>
    <row r="72" spans="1:21">
      <c r="A72" t="s">
        <v>1751</v>
      </c>
      <c r="B72" t="s">
        <v>9497</v>
      </c>
      <c r="C72" t="s">
        <v>1751</v>
      </c>
      <c r="D72">
        <v>20437164</v>
      </c>
      <c r="E72" t="s">
        <v>3133</v>
      </c>
      <c r="F72" t="s">
        <v>1237</v>
      </c>
      <c r="G72" t="s">
        <v>3134</v>
      </c>
      <c r="H72" t="s">
        <v>1247</v>
      </c>
      <c r="J72" s="455">
        <v>46051</v>
      </c>
      <c r="K72" s="455">
        <v>46051</v>
      </c>
      <c r="R72" s="455">
        <v>46114</v>
      </c>
      <c r="U72" s="455">
        <v>46067</v>
      </c>
    </row>
    <row r="73" spans="1:21">
      <c r="A73" t="s">
        <v>1751</v>
      </c>
      <c r="B73" t="s">
        <v>9498</v>
      </c>
      <c r="C73" t="s">
        <v>1751</v>
      </c>
      <c r="D73">
        <v>20418009</v>
      </c>
      <c r="E73" t="s">
        <v>3190</v>
      </c>
      <c r="F73" t="s">
        <v>1237</v>
      </c>
      <c r="G73" t="s">
        <v>3137</v>
      </c>
      <c r="H73" t="s">
        <v>1251</v>
      </c>
      <c r="J73" s="455">
        <v>46026</v>
      </c>
      <c r="R73" s="455">
        <v>46114</v>
      </c>
      <c r="U73" s="455">
        <v>46038</v>
      </c>
    </row>
    <row r="74" spans="1:21">
      <c r="A74" t="s">
        <v>1751</v>
      </c>
      <c r="B74" t="s">
        <v>9092</v>
      </c>
      <c r="C74" t="s">
        <v>1751</v>
      </c>
      <c r="D74">
        <v>20475570</v>
      </c>
      <c r="E74" t="s">
        <v>3190</v>
      </c>
      <c r="F74" t="s">
        <v>1782</v>
      </c>
      <c r="G74" t="s">
        <v>3134</v>
      </c>
      <c r="H74" t="s">
        <v>1252</v>
      </c>
      <c r="J74" s="455">
        <v>46100</v>
      </c>
      <c r="R74" s="455">
        <v>46114</v>
      </c>
      <c r="U74" s="455">
        <v>46103</v>
      </c>
    </row>
    <row r="75" spans="1:21">
      <c r="A75" t="s">
        <v>1751</v>
      </c>
      <c r="B75" t="s">
        <v>9499</v>
      </c>
      <c r="C75" t="s">
        <v>1751</v>
      </c>
      <c r="D75">
        <v>20497296</v>
      </c>
      <c r="E75" t="s">
        <v>3190</v>
      </c>
      <c r="F75" t="s">
        <v>1241</v>
      </c>
      <c r="G75" t="s">
        <v>3134</v>
      </c>
      <c r="H75" t="s">
        <v>3165</v>
      </c>
      <c r="J75" s="455">
        <v>46128</v>
      </c>
      <c r="R75" s="455">
        <v>46139</v>
      </c>
      <c r="U75" s="455">
        <v>46266</v>
      </c>
    </row>
    <row r="76" spans="1:21">
      <c r="A76" t="s">
        <v>1751</v>
      </c>
      <c r="B76" t="s">
        <v>9500</v>
      </c>
      <c r="C76" t="s">
        <v>1751</v>
      </c>
      <c r="D76">
        <v>20497770</v>
      </c>
      <c r="E76" t="s">
        <v>3190</v>
      </c>
      <c r="F76" t="s">
        <v>1241</v>
      </c>
      <c r="G76" t="s">
        <v>2009</v>
      </c>
      <c r="H76" t="s">
        <v>1247</v>
      </c>
      <c r="J76" s="455">
        <v>46128</v>
      </c>
      <c r="R76" s="455">
        <v>46139</v>
      </c>
      <c r="U76" s="455">
        <v>46128</v>
      </c>
    </row>
    <row r="77" spans="1:21">
      <c r="A77" t="s">
        <v>1751</v>
      </c>
      <c r="B77" t="s">
        <v>9501</v>
      </c>
      <c r="C77" t="s">
        <v>1751</v>
      </c>
      <c r="D77">
        <v>20490738</v>
      </c>
      <c r="E77" t="s">
        <v>3190</v>
      </c>
      <c r="F77" t="s">
        <v>1241</v>
      </c>
      <c r="G77" t="s">
        <v>3134</v>
      </c>
      <c r="H77" t="s">
        <v>1252</v>
      </c>
      <c r="J77" s="455">
        <v>46121</v>
      </c>
      <c r="R77" s="455">
        <v>46139</v>
      </c>
      <c r="U77" s="455">
        <v>46204</v>
      </c>
    </row>
    <row r="78" spans="1:21">
      <c r="A78" t="s">
        <v>1751</v>
      </c>
      <c r="B78" t="s">
        <v>9502</v>
      </c>
      <c r="C78" t="s">
        <v>1751</v>
      </c>
      <c r="D78">
        <v>20490262</v>
      </c>
      <c r="E78" t="s">
        <v>3190</v>
      </c>
      <c r="F78" t="s">
        <v>1782</v>
      </c>
      <c r="G78" t="s">
        <v>3134</v>
      </c>
      <c r="H78" t="s">
        <v>1252</v>
      </c>
      <c r="J78" s="455">
        <v>46120</v>
      </c>
      <c r="R78" s="455">
        <v>46139</v>
      </c>
      <c r="U78" s="455">
        <v>46155</v>
      </c>
    </row>
    <row r="79" spans="1:21">
      <c r="A79" t="s">
        <v>1751</v>
      </c>
      <c r="B79" t="s">
        <v>8667</v>
      </c>
      <c r="C79" t="s">
        <v>1751</v>
      </c>
      <c r="D79">
        <v>20413385</v>
      </c>
      <c r="E79" t="s">
        <v>3133</v>
      </c>
      <c r="F79" t="s">
        <v>1237</v>
      </c>
      <c r="G79" t="s">
        <v>3141</v>
      </c>
      <c r="H79" t="s">
        <v>1252</v>
      </c>
      <c r="J79" s="455">
        <v>46018</v>
      </c>
      <c r="K79" s="455">
        <v>46055</v>
      </c>
      <c r="R79" s="455">
        <v>46114</v>
      </c>
      <c r="U79" s="455">
        <v>46059</v>
      </c>
    </row>
    <row r="80" spans="1:21">
      <c r="A80" t="s">
        <v>1751</v>
      </c>
      <c r="B80" t="s">
        <v>8668</v>
      </c>
      <c r="C80" t="s">
        <v>1751</v>
      </c>
      <c r="D80">
        <v>20452742</v>
      </c>
      <c r="E80" t="s">
        <v>3190</v>
      </c>
      <c r="F80" t="s">
        <v>1782</v>
      </c>
      <c r="G80" t="s">
        <v>3141</v>
      </c>
      <c r="H80" t="s">
        <v>1247</v>
      </c>
      <c r="J80" s="455">
        <v>46072</v>
      </c>
      <c r="R80" s="455">
        <v>46114</v>
      </c>
      <c r="U80" s="455">
        <v>46113</v>
      </c>
    </row>
    <row r="81" spans="1:21">
      <c r="A81" t="s">
        <v>1751</v>
      </c>
      <c r="B81" t="s">
        <v>3192</v>
      </c>
      <c r="C81" t="s">
        <v>1751</v>
      </c>
      <c r="D81">
        <v>20494048</v>
      </c>
      <c r="E81" t="s">
        <v>1897</v>
      </c>
      <c r="F81" t="s">
        <v>3158</v>
      </c>
      <c r="G81" t="s">
        <v>3137</v>
      </c>
      <c r="H81" t="s">
        <v>1247</v>
      </c>
      <c r="J81" s="455">
        <v>46125</v>
      </c>
      <c r="K81" s="455">
        <v>46126</v>
      </c>
      <c r="U81" s="455">
        <v>46142</v>
      </c>
    </row>
    <row r="82" spans="1:21">
      <c r="A82" t="s">
        <v>1751</v>
      </c>
      <c r="B82" t="s">
        <v>3192</v>
      </c>
      <c r="C82" t="s">
        <v>1751</v>
      </c>
      <c r="D82">
        <v>20494798</v>
      </c>
      <c r="E82" t="s">
        <v>3142</v>
      </c>
      <c r="F82" t="s">
        <v>3158</v>
      </c>
      <c r="G82" t="s">
        <v>3134</v>
      </c>
      <c r="H82" t="s">
        <v>1247</v>
      </c>
      <c r="I82" t="s">
        <v>6051</v>
      </c>
      <c r="J82" s="455">
        <v>46126</v>
      </c>
      <c r="K82" s="455">
        <v>46126</v>
      </c>
      <c r="L82" s="455">
        <v>46126</v>
      </c>
      <c r="M82" s="455">
        <v>46133</v>
      </c>
      <c r="N82" s="455">
        <v>46135</v>
      </c>
      <c r="O82" s="455">
        <v>46135</v>
      </c>
      <c r="P82" s="455">
        <v>46135</v>
      </c>
      <c r="Q82" s="455">
        <v>46139</v>
      </c>
      <c r="U82" s="455">
        <v>46142</v>
      </c>
    </row>
    <row r="83" spans="1:21">
      <c r="A83" t="s">
        <v>1751</v>
      </c>
      <c r="B83" t="s">
        <v>9503</v>
      </c>
      <c r="C83" t="s">
        <v>1751</v>
      </c>
      <c r="D83">
        <v>20418038</v>
      </c>
      <c r="E83" t="s">
        <v>3133</v>
      </c>
      <c r="F83" t="s">
        <v>1238</v>
      </c>
      <c r="G83" t="s">
        <v>3134</v>
      </c>
      <c r="H83" t="s">
        <v>3515</v>
      </c>
      <c r="I83" t="s">
        <v>3202</v>
      </c>
      <c r="J83" s="455">
        <v>46026</v>
      </c>
      <c r="K83" s="455">
        <v>46026</v>
      </c>
      <c r="R83" s="455">
        <v>46114</v>
      </c>
      <c r="U83" s="455">
        <v>46027</v>
      </c>
    </row>
    <row r="84" spans="1:21">
      <c r="A84" t="s">
        <v>1751</v>
      </c>
      <c r="B84" t="s">
        <v>9093</v>
      </c>
      <c r="C84" t="s">
        <v>1751</v>
      </c>
      <c r="D84">
        <v>20480689</v>
      </c>
      <c r="E84" t="s">
        <v>3133</v>
      </c>
      <c r="F84" t="s">
        <v>1782</v>
      </c>
      <c r="G84" t="s">
        <v>3129</v>
      </c>
      <c r="H84" t="s">
        <v>3131</v>
      </c>
      <c r="I84" t="s">
        <v>1952</v>
      </c>
      <c r="J84" s="455">
        <v>46107</v>
      </c>
      <c r="K84" s="455">
        <v>46107</v>
      </c>
      <c r="R84" s="455">
        <v>46114</v>
      </c>
      <c r="U84" s="455">
        <v>46137</v>
      </c>
    </row>
    <row r="85" spans="1:21">
      <c r="A85" t="s">
        <v>1751</v>
      </c>
      <c r="B85" t="s">
        <v>9504</v>
      </c>
      <c r="C85" t="s">
        <v>1751</v>
      </c>
      <c r="D85">
        <v>20423236</v>
      </c>
      <c r="E85" t="s">
        <v>3190</v>
      </c>
      <c r="F85" t="s">
        <v>1239</v>
      </c>
      <c r="G85" t="s">
        <v>3143</v>
      </c>
      <c r="H85" t="s">
        <v>3358</v>
      </c>
      <c r="J85" s="455">
        <v>46034</v>
      </c>
      <c r="R85" s="455">
        <v>46114</v>
      </c>
      <c r="U85" s="455">
        <v>46034</v>
      </c>
    </row>
    <row r="86" spans="1:21">
      <c r="A86" t="s">
        <v>1751</v>
      </c>
      <c r="B86" t="s">
        <v>9505</v>
      </c>
      <c r="C86" t="s">
        <v>1751</v>
      </c>
      <c r="D86">
        <v>20489159</v>
      </c>
      <c r="E86" t="s">
        <v>3190</v>
      </c>
      <c r="F86" t="s">
        <v>1241</v>
      </c>
      <c r="G86" t="s">
        <v>3143</v>
      </c>
      <c r="H86" t="s">
        <v>1248</v>
      </c>
      <c r="J86" s="455">
        <v>46119</v>
      </c>
      <c r="R86" s="455">
        <v>46139</v>
      </c>
      <c r="U86" s="455">
        <v>46132</v>
      </c>
    </row>
    <row r="87" spans="1:21">
      <c r="A87" t="s">
        <v>1751</v>
      </c>
      <c r="B87" t="s">
        <v>9506</v>
      </c>
      <c r="C87" t="s">
        <v>1751</v>
      </c>
      <c r="D87">
        <v>20507122</v>
      </c>
      <c r="E87" t="s">
        <v>3128</v>
      </c>
      <c r="F87" t="s">
        <v>1241</v>
      </c>
      <c r="G87" t="s">
        <v>3143</v>
      </c>
      <c r="H87" t="s">
        <v>1252</v>
      </c>
      <c r="J87" s="455">
        <v>46134</v>
      </c>
      <c r="U87" s="455">
        <v>46142</v>
      </c>
    </row>
    <row r="88" spans="1:21">
      <c r="A88" t="s">
        <v>1751</v>
      </c>
      <c r="B88" t="s">
        <v>9507</v>
      </c>
      <c r="C88" t="s">
        <v>1751</v>
      </c>
      <c r="D88">
        <v>20512366</v>
      </c>
      <c r="E88" t="s">
        <v>3128</v>
      </c>
      <c r="F88" t="s">
        <v>1782</v>
      </c>
      <c r="G88" t="s">
        <v>3141</v>
      </c>
      <c r="H88" t="s">
        <v>1252</v>
      </c>
      <c r="J88" s="455">
        <v>46140</v>
      </c>
      <c r="U88" s="455">
        <v>46357</v>
      </c>
    </row>
    <row r="89" spans="1:21">
      <c r="A89" t="s">
        <v>1751</v>
      </c>
      <c r="B89" t="s">
        <v>9507</v>
      </c>
      <c r="C89" t="s">
        <v>1751</v>
      </c>
      <c r="D89">
        <v>20512367</v>
      </c>
      <c r="E89" t="s">
        <v>3128</v>
      </c>
      <c r="F89" t="s">
        <v>1241</v>
      </c>
      <c r="G89" t="s">
        <v>3134</v>
      </c>
      <c r="H89" t="s">
        <v>1252</v>
      </c>
      <c r="J89" s="455">
        <v>46140</v>
      </c>
      <c r="U89" s="455">
        <v>46357</v>
      </c>
    </row>
    <row r="90" spans="1:21">
      <c r="A90" t="s">
        <v>1751</v>
      </c>
      <c r="B90" t="s">
        <v>9508</v>
      </c>
      <c r="C90" t="s">
        <v>1751</v>
      </c>
      <c r="D90">
        <v>20510261</v>
      </c>
      <c r="E90" t="s">
        <v>3128</v>
      </c>
      <c r="F90" t="s">
        <v>1782</v>
      </c>
      <c r="G90" t="s">
        <v>3141</v>
      </c>
      <c r="H90" t="s">
        <v>1252</v>
      </c>
      <c r="J90" s="455">
        <v>46138</v>
      </c>
      <c r="U90" s="455">
        <v>46181</v>
      </c>
    </row>
    <row r="91" spans="1:21">
      <c r="A91" t="s">
        <v>1751</v>
      </c>
      <c r="B91" t="s">
        <v>9509</v>
      </c>
      <c r="C91" t="s">
        <v>1751</v>
      </c>
      <c r="D91">
        <v>20505663</v>
      </c>
      <c r="E91" t="s">
        <v>3128</v>
      </c>
      <c r="F91" t="s">
        <v>1782</v>
      </c>
      <c r="G91" t="s">
        <v>3134</v>
      </c>
      <c r="H91" t="s">
        <v>3165</v>
      </c>
      <c r="J91" s="455">
        <v>46134</v>
      </c>
      <c r="U91" s="455">
        <v>46174</v>
      </c>
    </row>
    <row r="92" spans="1:21">
      <c r="A92" t="s">
        <v>1751</v>
      </c>
      <c r="B92" t="s">
        <v>9094</v>
      </c>
      <c r="C92" t="s">
        <v>1751</v>
      </c>
      <c r="D92">
        <v>20477365</v>
      </c>
      <c r="E92" t="s">
        <v>3190</v>
      </c>
      <c r="F92" t="s">
        <v>1238</v>
      </c>
      <c r="G92" t="s">
        <v>3143</v>
      </c>
      <c r="H92" t="s">
        <v>1252</v>
      </c>
      <c r="I92" t="s">
        <v>1947</v>
      </c>
      <c r="J92" s="455">
        <v>46102</v>
      </c>
      <c r="R92" s="455">
        <v>46114</v>
      </c>
      <c r="U92" s="455">
        <v>46136</v>
      </c>
    </row>
    <row r="93" spans="1:21">
      <c r="A93" t="s">
        <v>1751</v>
      </c>
      <c r="B93" t="s">
        <v>9510</v>
      </c>
      <c r="C93" t="s">
        <v>1751</v>
      </c>
      <c r="D93">
        <v>20412630</v>
      </c>
      <c r="E93" t="s">
        <v>3133</v>
      </c>
      <c r="F93" t="s">
        <v>1239</v>
      </c>
      <c r="G93" t="s">
        <v>3134</v>
      </c>
      <c r="H93" t="s">
        <v>1247</v>
      </c>
      <c r="I93" t="s">
        <v>1895</v>
      </c>
      <c r="J93" s="455">
        <v>46016</v>
      </c>
      <c r="K93" s="455">
        <v>46016</v>
      </c>
      <c r="R93" s="455">
        <v>46114</v>
      </c>
      <c r="U93" s="455">
        <v>46017</v>
      </c>
    </row>
    <row r="94" spans="1:21">
      <c r="A94" t="s">
        <v>1751</v>
      </c>
      <c r="B94" t="s">
        <v>8670</v>
      </c>
      <c r="C94" t="s">
        <v>1751</v>
      </c>
      <c r="D94">
        <v>20440321</v>
      </c>
      <c r="E94" t="s">
        <v>3133</v>
      </c>
      <c r="F94" t="s">
        <v>1239</v>
      </c>
      <c r="G94" t="s">
        <v>3134</v>
      </c>
      <c r="H94" t="s">
        <v>1247</v>
      </c>
      <c r="J94" s="455">
        <v>46056</v>
      </c>
      <c r="K94" s="455">
        <v>46056</v>
      </c>
      <c r="R94" s="455">
        <v>46114</v>
      </c>
      <c r="U94" s="455">
        <v>46056</v>
      </c>
    </row>
    <row r="95" spans="1:21">
      <c r="A95" t="s">
        <v>1751</v>
      </c>
      <c r="B95" t="s">
        <v>9511</v>
      </c>
      <c r="C95" t="s">
        <v>1751</v>
      </c>
      <c r="D95">
        <v>20491772</v>
      </c>
      <c r="E95" t="s">
        <v>3190</v>
      </c>
      <c r="F95" t="s">
        <v>1241</v>
      </c>
      <c r="G95" t="s">
        <v>3134</v>
      </c>
      <c r="H95" t="s">
        <v>3165</v>
      </c>
      <c r="J95" s="455">
        <v>46122</v>
      </c>
      <c r="R95" s="455">
        <v>46139</v>
      </c>
      <c r="U95" s="455">
        <v>46123</v>
      </c>
    </row>
    <row r="96" spans="1:21">
      <c r="A96" t="s">
        <v>1751</v>
      </c>
      <c r="B96" t="s">
        <v>9512</v>
      </c>
      <c r="C96" t="s">
        <v>1751</v>
      </c>
      <c r="D96">
        <v>20489865</v>
      </c>
      <c r="E96" t="s">
        <v>3190</v>
      </c>
      <c r="F96" t="s">
        <v>1237</v>
      </c>
      <c r="G96" t="s">
        <v>3143</v>
      </c>
      <c r="H96" t="s">
        <v>1248</v>
      </c>
      <c r="J96" s="455">
        <v>46120</v>
      </c>
      <c r="R96" s="455">
        <v>46139</v>
      </c>
      <c r="U96" s="455">
        <v>46120</v>
      </c>
    </row>
    <row r="97" spans="1:21">
      <c r="A97" t="s">
        <v>1751</v>
      </c>
      <c r="B97" t="s">
        <v>9095</v>
      </c>
      <c r="C97" t="s">
        <v>1751</v>
      </c>
      <c r="D97">
        <v>20471764</v>
      </c>
      <c r="E97" t="s">
        <v>3190</v>
      </c>
      <c r="F97" t="s">
        <v>1241</v>
      </c>
      <c r="G97" t="s">
        <v>3134</v>
      </c>
      <c r="H97" t="s">
        <v>1252</v>
      </c>
      <c r="J97" s="455">
        <v>46095</v>
      </c>
      <c r="R97" s="455">
        <v>46114</v>
      </c>
      <c r="U97" s="455">
        <v>46113</v>
      </c>
    </row>
    <row r="98" spans="1:21">
      <c r="A98" t="s">
        <v>1751</v>
      </c>
      <c r="B98" t="s">
        <v>8672</v>
      </c>
      <c r="C98" t="s">
        <v>1751</v>
      </c>
      <c r="D98">
        <v>20442372</v>
      </c>
      <c r="E98" t="s">
        <v>3190</v>
      </c>
      <c r="F98" t="s">
        <v>1239</v>
      </c>
      <c r="G98" t="s">
        <v>3143</v>
      </c>
      <c r="H98" t="s">
        <v>1248</v>
      </c>
      <c r="I98" t="s">
        <v>3752</v>
      </c>
      <c r="J98" s="455">
        <v>46059</v>
      </c>
      <c r="R98" s="455">
        <v>46114</v>
      </c>
      <c r="U98" s="455">
        <v>46066</v>
      </c>
    </row>
    <row r="99" spans="1:21">
      <c r="A99" t="s">
        <v>1751</v>
      </c>
      <c r="B99" t="s">
        <v>9513</v>
      </c>
      <c r="C99" t="s">
        <v>1751</v>
      </c>
      <c r="D99">
        <v>20489236</v>
      </c>
      <c r="E99" t="s">
        <v>3190</v>
      </c>
      <c r="F99" t="s">
        <v>1782</v>
      </c>
      <c r="G99" t="s">
        <v>3134</v>
      </c>
      <c r="H99" t="s">
        <v>1252</v>
      </c>
      <c r="J99" s="455">
        <v>46119</v>
      </c>
      <c r="R99" s="455">
        <v>46139</v>
      </c>
      <c r="U99" s="455">
        <v>46137</v>
      </c>
    </row>
    <row r="100" spans="1:21">
      <c r="A100" t="s">
        <v>1751</v>
      </c>
      <c r="B100" t="s">
        <v>9096</v>
      </c>
      <c r="C100" t="s">
        <v>1751</v>
      </c>
      <c r="D100">
        <v>20475336</v>
      </c>
      <c r="E100" t="s">
        <v>3190</v>
      </c>
      <c r="F100" t="s">
        <v>1241</v>
      </c>
      <c r="G100" t="s">
        <v>3134</v>
      </c>
      <c r="H100" t="s">
        <v>1252</v>
      </c>
      <c r="J100" s="455">
        <v>46099</v>
      </c>
      <c r="R100" s="455">
        <v>46114</v>
      </c>
      <c r="U100" s="455">
        <v>46113</v>
      </c>
    </row>
    <row r="101" spans="1:21">
      <c r="A101" t="s">
        <v>1751</v>
      </c>
      <c r="B101" t="s">
        <v>9097</v>
      </c>
      <c r="C101" t="s">
        <v>1751</v>
      </c>
      <c r="D101">
        <v>20462534</v>
      </c>
      <c r="E101" t="s">
        <v>3190</v>
      </c>
      <c r="F101" t="s">
        <v>1241</v>
      </c>
      <c r="G101" t="s">
        <v>3129</v>
      </c>
      <c r="H101" t="s">
        <v>1252</v>
      </c>
      <c r="J101" s="455">
        <v>46085</v>
      </c>
      <c r="R101" s="455">
        <v>46114</v>
      </c>
      <c r="U101" s="455">
        <v>46085</v>
      </c>
    </row>
    <row r="102" spans="1:21">
      <c r="A102" t="s">
        <v>1751</v>
      </c>
      <c r="B102" t="s">
        <v>9514</v>
      </c>
      <c r="C102" t="s">
        <v>1751</v>
      </c>
      <c r="D102">
        <v>20511028</v>
      </c>
      <c r="E102" t="s">
        <v>3128</v>
      </c>
      <c r="F102" t="s">
        <v>1241</v>
      </c>
      <c r="G102" t="s">
        <v>3129</v>
      </c>
      <c r="H102" t="s">
        <v>3131</v>
      </c>
      <c r="J102" s="455">
        <v>46139</v>
      </c>
      <c r="U102" s="455">
        <v>46139</v>
      </c>
    </row>
    <row r="103" spans="1:21">
      <c r="A103" t="s">
        <v>1751</v>
      </c>
      <c r="B103" t="s">
        <v>9098</v>
      </c>
      <c r="C103" t="s">
        <v>1751</v>
      </c>
      <c r="D103">
        <v>20481504</v>
      </c>
      <c r="E103" t="s">
        <v>3190</v>
      </c>
      <c r="F103" t="s">
        <v>1241</v>
      </c>
      <c r="G103" t="s">
        <v>3129</v>
      </c>
      <c r="H103" t="s">
        <v>3131</v>
      </c>
      <c r="I103" t="s">
        <v>1952</v>
      </c>
      <c r="J103" s="455">
        <v>46108</v>
      </c>
      <c r="R103" s="455">
        <v>46139</v>
      </c>
      <c r="U103" s="455">
        <v>46116</v>
      </c>
    </row>
    <row r="104" spans="1:21">
      <c r="A104" t="s">
        <v>1751</v>
      </c>
      <c r="B104" t="s">
        <v>9515</v>
      </c>
      <c r="C104" t="s">
        <v>1751</v>
      </c>
      <c r="D104">
        <v>20512279</v>
      </c>
      <c r="E104" t="s">
        <v>3128</v>
      </c>
      <c r="F104" t="s">
        <v>1782</v>
      </c>
      <c r="G104" t="s">
        <v>3137</v>
      </c>
      <c r="H104" t="s">
        <v>1252</v>
      </c>
      <c r="J104" s="455">
        <v>46140</v>
      </c>
      <c r="U104" s="455">
        <v>46249</v>
      </c>
    </row>
    <row r="105" spans="1:21">
      <c r="A105" t="s">
        <v>1751</v>
      </c>
      <c r="B105" t="s">
        <v>9516</v>
      </c>
      <c r="C105" t="s">
        <v>1751</v>
      </c>
      <c r="D105">
        <v>20492402</v>
      </c>
      <c r="E105" t="s">
        <v>3190</v>
      </c>
      <c r="F105" t="s">
        <v>1241</v>
      </c>
      <c r="G105" t="s">
        <v>3134</v>
      </c>
      <c r="H105" t="s">
        <v>3165</v>
      </c>
      <c r="J105" s="455">
        <v>46123</v>
      </c>
      <c r="R105" s="455">
        <v>46139</v>
      </c>
      <c r="U105" s="455">
        <v>46235</v>
      </c>
    </row>
    <row r="106" spans="1:21">
      <c r="A106" t="s">
        <v>1751</v>
      </c>
      <c r="B106" t="s">
        <v>9517</v>
      </c>
      <c r="C106" t="s">
        <v>1751</v>
      </c>
      <c r="D106">
        <v>20486095</v>
      </c>
      <c r="E106" t="s">
        <v>3190</v>
      </c>
      <c r="F106" t="s">
        <v>1782</v>
      </c>
      <c r="G106" t="s">
        <v>3134</v>
      </c>
      <c r="H106" t="s">
        <v>1252</v>
      </c>
      <c r="J106" s="455">
        <v>46114</v>
      </c>
      <c r="R106" s="455">
        <v>46139</v>
      </c>
      <c r="U106" s="455">
        <v>46146</v>
      </c>
    </row>
    <row r="107" spans="1:21">
      <c r="A107" t="s">
        <v>1751</v>
      </c>
      <c r="B107" t="s">
        <v>9099</v>
      </c>
      <c r="C107" t="s">
        <v>1751</v>
      </c>
      <c r="D107">
        <v>20482962</v>
      </c>
      <c r="E107" t="s">
        <v>3133</v>
      </c>
      <c r="F107" t="s">
        <v>1799</v>
      </c>
      <c r="G107" t="s">
        <v>3134</v>
      </c>
      <c r="H107" t="s">
        <v>3487</v>
      </c>
      <c r="I107" t="s">
        <v>1967</v>
      </c>
      <c r="J107" s="455">
        <v>46111</v>
      </c>
      <c r="K107" s="455">
        <v>46111</v>
      </c>
      <c r="L107" s="455">
        <v>46111</v>
      </c>
      <c r="R107" s="455">
        <v>46120</v>
      </c>
      <c r="U107" s="455">
        <v>46118</v>
      </c>
    </row>
    <row r="108" spans="1:21">
      <c r="A108" t="s">
        <v>1751</v>
      </c>
      <c r="B108" t="s">
        <v>1103</v>
      </c>
      <c r="C108" t="s">
        <v>1751</v>
      </c>
      <c r="D108">
        <v>20437851</v>
      </c>
      <c r="E108" t="s">
        <v>3133</v>
      </c>
      <c r="F108" t="s">
        <v>1241</v>
      </c>
      <c r="G108" t="s">
        <v>3134</v>
      </c>
      <c r="H108" t="s">
        <v>1249</v>
      </c>
      <c r="I108" t="s">
        <v>3179</v>
      </c>
      <c r="J108" s="455">
        <v>46052</v>
      </c>
      <c r="K108" s="455">
        <v>46052</v>
      </c>
      <c r="R108" s="455">
        <v>46114</v>
      </c>
      <c r="U108" s="455">
        <v>46071</v>
      </c>
    </row>
    <row r="109" spans="1:21">
      <c r="A109" t="s">
        <v>1751</v>
      </c>
      <c r="B109" t="s">
        <v>8674</v>
      </c>
      <c r="C109" t="s">
        <v>1751</v>
      </c>
      <c r="D109">
        <v>20443741</v>
      </c>
      <c r="E109" t="s">
        <v>3190</v>
      </c>
      <c r="F109" t="s">
        <v>1782</v>
      </c>
      <c r="G109" t="s">
        <v>3137</v>
      </c>
      <c r="H109" t="s">
        <v>1247</v>
      </c>
      <c r="J109" s="455">
        <v>46062</v>
      </c>
      <c r="R109" s="455">
        <v>46114</v>
      </c>
      <c r="U109" s="455">
        <v>46082</v>
      </c>
    </row>
    <row r="110" spans="1:21">
      <c r="A110" t="s">
        <v>1751</v>
      </c>
      <c r="B110" t="s">
        <v>9518</v>
      </c>
      <c r="C110" t="s">
        <v>1751</v>
      </c>
      <c r="D110">
        <v>20510070</v>
      </c>
      <c r="E110" t="s">
        <v>3128</v>
      </c>
      <c r="F110" t="s">
        <v>1241</v>
      </c>
      <c r="G110" t="s">
        <v>2009</v>
      </c>
      <c r="H110" t="s">
        <v>1247</v>
      </c>
      <c r="J110" s="455">
        <v>46138</v>
      </c>
      <c r="U110" s="455">
        <v>46138</v>
      </c>
    </row>
    <row r="111" spans="1:21">
      <c r="A111" t="s">
        <v>1751</v>
      </c>
      <c r="B111" t="s">
        <v>8675</v>
      </c>
      <c r="C111" t="s">
        <v>1751</v>
      </c>
      <c r="D111">
        <v>20443949</v>
      </c>
      <c r="E111" t="s">
        <v>3190</v>
      </c>
      <c r="F111" t="s">
        <v>1241</v>
      </c>
      <c r="G111" t="s">
        <v>3129</v>
      </c>
      <c r="H111" t="s">
        <v>1252</v>
      </c>
      <c r="J111" s="455">
        <v>46062</v>
      </c>
      <c r="R111" s="455">
        <v>46114</v>
      </c>
      <c r="U111" s="455">
        <v>46143</v>
      </c>
    </row>
    <row r="112" spans="1:21">
      <c r="A112" t="s">
        <v>1751</v>
      </c>
      <c r="B112" t="s">
        <v>9519</v>
      </c>
      <c r="C112" t="s">
        <v>1751</v>
      </c>
      <c r="D112">
        <v>20508667</v>
      </c>
      <c r="E112" t="s">
        <v>3128</v>
      </c>
      <c r="F112" t="s">
        <v>1237</v>
      </c>
      <c r="G112" t="s">
        <v>3143</v>
      </c>
      <c r="H112" t="s">
        <v>1251</v>
      </c>
      <c r="J112" s="455">
        <v>46136</v>
      </c>
      <c r="U112" s="455">
        <v>46136</v>
      </c>
    </row>
    <row r="113" spans="1:21">
      <c r="A113" t="s">
        <v>1751</v>
      </c>
      <c r="B113" t="s">
        <v>9520</v>
      </c>
      <c r="C113" t="s">
        <v>1751</v>
      </c>
      <c r="D113">
        <v>20511859</v>
      </c>
      <c r="E113" t="s">
        <v>3128</v>
      </c>
      <c r="F113" t="s">
        <v>1782</v>
      </c>
      <c r="G113" t="s">
        <v>3141</v>
      </c>
      <c r="H113" t="s">
        <v>1247</v>
      </c>
      <c r="J113" s="455">
        <v>46140</v>
      </c>
      <c r="U113" s="455">
        <v>46174</v>
      </c>
    </row>
    <row r="114" spans="1:21">
      <c r="A114" t="s">
        <v>1751</v>
      </c>
      <c r="B114" t="s">
        <v>9521</v>
      </c>
      <c r="C114" t="s">
        <v>1751</v>
      </c>
      <c r="D114">
        <v>20511841</v>
      </c>
      <c r="E114" t="s">
        <v>3128</v>
      </c>
      <c r="F114" t="s">
        <v>1242</v>
      </c>
      <c r="G114" t="s">
        <v>3129</v>
      </c>
      <c r="H114" t="s">
        <v>1252</v>
      </c>
      <c r="J114" s="455">
        <v>46140</v>
      </c>
      <c r="U114" s="455">
        <v>46140</v>
      </c>
    </row>
    <row r="115" spans="1:21">
      <c r="A115" t="s">
        <v>1751</v>
      </c>
      <c r="B115" t="s">
        <v>9522</v>
      </c>
      <c r="C115" t="s">
        <v>1751</v>
      </c>
      <c r="D115">
        <v>20419363</v>
      </c>
      <c r="E115" t="s">
        <v>3190</v>
      </c>
      <c r="F115" t="s">
        <v>1237</v>
      </c>
      <c r="G115" t="s">
        <v>3137</v>
      </c>
      <c r="H115" t="s">
        <v>1251</v>
      </c>
      <c r="J115" s="455">
        <v>46028</v>
      </c>
      <c r="R115" s="455">
        <v>46114</v>
      </c>
      <c r="U115" s="455">
        <v>46059</v>
      </c>
    </row>
    <row r="116" spans="1:21">
      <c r="A116" t="s">
        <v>1751</v>
      </c>
      <c r="B116" t="s">
        <v>9101</v>
      </c>
      <c r="C116" t="s">
        <v>1751</v>
      </c>
      <c r="D116">
        <v>20498003</v>
      </c>
      <c r="E116" t="s">
        <v>3190</v>
      </c>
      <c r="F116" t="s">
        <v>1241</v>
      </c>
      <c r="G116" t="s">
        <v>3134</v>
      </c>
      <c r="H116" t="s">
        <v>1252</v>
      </c>
      <c r="J116" s="455">
        <v>46128</v>
      </c>
      <c r="R116" s="455">
        <v>46139</v>
      </c>
      <c r="U116" s="455">
        <v>46128</v>
      </c>
    </row>
    <row r="117" spans="1:21">
      <c r="A117" t="s">
        <v>1751</v>
      </c>
      <c r="B117" t="s">
        <v>9101</v>
      </c>
      <c r="C117" t="s">
        <v>1751</v>
      </c>
      <c r="D117">
        <v>20471770</v>
      </c>
      <c r="E117" t="s">
        <v>3190</v>
      </c>
      <c r="F117" t="s">
        <v>1241</v>
      </c>
      <c r="G117" t="s">
        <v>3134</v>
      </c>
      <c r="H117" t="s">
        <v>1252</v>
      </c>
      <c r="J117" s="455">
        <v>46095</v>
      </c>
      <c r="R117" s="455">
        <v>46114</v>
      </c>
      <c r="U117" s="455">
        <v>46115</v>
      </c>
    </row>
    <row r="118" spans="1:21">
      <c r="A118" t="s">
        <v>1751</v>
      </c>
      <c r="B118" t="s">
        <v>8676</v>
      </c>
      <c r="C118" t="s">
        <v>1751</v>
      </c>
      <c r="D118">
        <v>20450641</v>
      </c>
      <c r="E118" t="s">
        <v>3190</v>
      </c>
      <c r="F118" t="s">
        <v>1241</v>
      </c>
      <c r="G118" t="s">
        <v>3129</v>
      </c>
      <c r="H118" t="s">
        <v>1247</v>
      </c>
      <c r="J118" s="455">
        <v>46070</v>
      </c>
      <c r="R118" s="455">
        <v>46114</v>
      </c>
      <c r="U118" s="455">
        <v>46070</v>
      </c>
    </row>
    <row r="119" spans="1:21">
      <c r="A119" t="s">
        <v>1751</v>
      </c>
      <c r="B119" t="s">
        <v>9523</v>
      </c>
      <c r="C119" t="s">
        <v>1751</v>
      </c>
      <c r="D119">
        <v>20504680</v>
      </c>
      <c r="E119" t="s">
        <v>3128</v>
      </c>
      <c r="F119" t="s">
        <v>1782</v>
      </c>
      <c r="G119" t="s">
        <v>3134</v>
      </c>
      <c r="H119" t="s">
        <v>3165</v>
      </c>
      <c r="J119" s="455">
        <v>46133</v>
      </c>
      <c r="U119" s="455">
        <v>46143</v>
      </c>
    </row>
    <row r="120" spans="1:21">
      <c r="A120" t="s">
        <v>1751</v>
      </c>
      <c r="B120" t="s">
        <v>9102</v>
      </c>
      <c r="C120" t="s">
        <v>1751</v>
      </c>
      <c r="D120">
        <v>20460250</v>
      </c>
      <c r="E120" t="s">
        <v>3190</v>
      </c>
      <c r="F120" t="s">
        <v>1241</v>
      </c>
      <c r="G120" t="s">
        <v>3137</v>
      </c>
      <c r="H120" t="s">
        <v>1247</v>
      </c>
      <c r="J120" s="455">
        <v>46083</v>
      </c>
      <c r="R120" s="455">
        <v>46139</v>
      </c>
      <c r="U120" s="455">
        <v>46083</v>
      </c>
    </row>
    <row r="121" spans="1:21">
      <c r="A121" t="s">
        <v>1751</v>
      </c>
      <c r="B121" t="s">
        <v>8677</v>
      </c>
      <c r="C121" t="s">
        <v>1751</v>
      </c>
      <c r="D121">
        <v>20451166</v>
      </c>
      <c r="E121" t="s">
        <v>3133</v>
      </c>
      <c r="F121" t="s">
        <v>1242</v>
      </c>
      <c r="G121" t="s">
        <v>3134</v>
      </c>
      <c r="H121" t="s">
        <v>1247</v>
      </c>
      <c r="I121" t="s">
        <v>7107</v>
      </c>
      <c r="J121" s="455">
        <v>46071</v>
      </c>
      <c r="K121" s="455">
        <v>46071</v>
      </c>
      <c r="R121" s="455">
        <v>46114</v>
      </c>
      <c r="U121" s="455">
        <v>46088</v>
      </c>
    </row>
    <row r="122" spans="1:21">
      <c r="A122" t="s">
        <v>1751</v>
      </c>
      <c r="B122" t="s">
        <v>8678</v>
      </c>
      <c r="C122" t="s">
        <v>1751</v>
      </c>
      <c r="D122">
        <v>20439985</v>
      </c>
      <c r="E122" t="s">
        <v>3133</v>
      </c>
      <c r="F122" t="s">
        <v>1238</v>
      </c>
      <c r="G122" t="s">
        <v>3134</v>
      </c>
      <c r="H122" t="s">
        <v>1247</v>
      </c>
      <c r="J122" s="455">
        <v>46056</v>
      </c>
      <c r="K122" s="455">
        <v>46056</v>
      </c>
      <c r="R122" s="455">
        <v>46114</v>
      </c>
      <c r="U122" s="455">
        <v>46056</v>
      </c>
    </row>
    <row r="123" spans="1:21">
      <c r="A123" t="s">
        <v>1751</v>
      </c>
      <c r="B123" t="s">
        <v>8679</v>
      </c>
      <c r="C123" t="s">
        <v>1751</v>
      </c>
      <c r="D123">
        <v>20458531</v>
      </c>
      <c r="E123" t="s">
        <v>3133</v>
      </c>
      <c r="F123" t="s">
        <v>1241</v>
      </c>
      <c r="G123" t="s">
        <v>3134</v>
      </c>
      <c r="H123" t="s">
        <v>1247</v>
      </c>
      <c r="J123" s="455">
        <v>46079</v>
      </c>
      <c r="K123" s="455">
        <v>46079</v>
      </c>
      <c r="R123" s="455">
        <v>46114</v>
      </c>
      <c r="U123" s="455">
        <v>46132</v>
      </c>
    </row>
    <row r="124" spans="1:21">
      <c r="A124" t="s">
        <v>1751</v>
      </c>
      <c r="B124" t="s">
        <v>3206</v>
      </c>
      <c r="C124" t="s">
        <v>1751</v>
      </c>
      <c r="D124">
        <v>20488833</v>
      </c>
      <c r="E124" t="s">
        <v>3133</v>
      </c>
      <c r="F124" t="s">
        <v>1241</v>
      </c>
      <c r="G124" t="s">
        <v>3134</v>
      </c>
      <c r="H124" t="s">
        <v>1247</v>
      </c>
      <c r="J124" s="455">
        <v>46118</v>
      </c>
      <c r="K124" s="455">
        <v>46118</v>
      </c>
      <c r="R124" s="455">
        <v>46126</v>
      </c>
      <c r="U124" s="455">
        <v>46118</v>
      </c>
    </row>
    <row r="125" spans="1:21">
      <c r="A125" t="s">
        <v>1751</v>
      </c>
      <c r="B125" t="s">
        <v>3206</v>
      </c>
      <c r="C125" t="s">
        <v>1751</v>
      </c>
      <c r="D125">
        <v>20488832</v>
      </c>
      <c r="E125" t="s">
        <v>1897</v>
      </c>
      <c r="F125" t="s">
        <v>1912</v>
      </c>
      <c r="G125" t="s">
        <v>3134</v>
      </c>
      <c r="H125" t="s">
        <v>1247</v>
      </c>
      <c r="I125" t="s">
        <v>1929</v>
      </c>
      <c r="J125" s="455">
        <v>46118</v>
      </c>
      <c r="K125" s="455">
        <v>46118</v>
      </c>
      <c r="U125" s="455">
        <v>46118</v>
      </c>
    </row>
    <row r="126" spans="1:21">
      <c r="A126" t="s">
        <v>1751</v>
      </c>
      <c r="B126" t="s">
        <v>9524</v>
      </c>
      <c r="C126" t="s">
        <v>1751</v>
      </c>
      <c r="D126">
        <v>20491476</v>
      </c>
      <c r="E126" t="s">
        <v>3190</v>
      </c>
      <c r="F126" t="s">
        <v>1241</v>
      </c>
      <c r="G126" t="s">
        <v>3134</v>
      </c>
      <c r="H126" t="s">
        <v>1252</v>
      </c>
      <c r="J126" s="455">
        <v>46122</v>
      </c>
      <c r="R126" s="455">
        <v>46139</v>
      </c>
      <c r="U126" s="455">
        <v>46129</v>
      </c>
    </row>
    <row r="127" spans="1:21">
      <c r="A127" t="s">
        <v>1751</v>
      </c>
      <c r="B127" t="s">
        <v>9103</v>
      </c>
      <c r="C127" t="s">
        <v>1751</v>
      </c>
      <c r="D127">
        <v>20471388</v>
      </c>
      <c r="E127" t="s">
        <v>3133</v>
      </c>
      <c r="F127" t="s">
        <v>1912</v>
      </c>
      <c r="G127" t="s">
        <v>3134</v>
      </c>
      <c r="H127" t="s">
        <v>1247</v>
      </c>
      <c r="J127" s="455">
        <v>46095</v>
      </c>
      <c r="K127" s="455">
        <v>46095</v>
      </c>
      <c r="R127" s="455">
        <v>46114</v>
      </c>
      <c r="U127" s="455">
        <v>46095</v>
      </c>
    </row>
    <row r="128" spans="1:21">
      <c r="A128" t="s">
        <v>1751</v>
      </c>
      <c r="B128" t="s">
        <v>9104</v>
      </c>
      <c r="C128" t="s">
        <v>1751</v>
      </c>
      <c r="D128">
        <v>20478175</v>
      </c>
      <c r="E128" t="s">
        <v>3190</v>
      </c>
      <c r="F128" t="s">
        <v>1237</v>
      </c>
      <c r="G128" t="s">
        <v>2009</v>
      </c>
      <c r="H128" t="s">
        <v>1248</v>
      </c>
      <c r="J128" s="455">
        <v>46104</v>
      </c>
      <c r="R128" s="455">
        <v>46114</v>
      </c>
      <c r="U128" s="455">
        <v>46114</v>
      </c>
    </row>
    <row r="129" spans="1:21">
      <c r="A129" t="s">
        <v>1751</v>
      </c>
      <c r="B129" t="s">
        <v>9525</v>
      </c>
      <c r="C129" t="s">
        <v>1751</v>
      </c>
      <c r="D129">
        <v>20435200</v>
      </c>
      <c r="E129" t="s">
        <v>3133</v>
      </c>
      <c r="F129" t="s">
        <v>1237</v>
      </c>
      <c r="G129" t="s">
        <v>3134</v>
      </c>
      <c r="H129" t="s">
        <v>1247</v>
      </c>
      <c r="J129" s="455">
        <v>46048</v>
      </c>
      <c r="K129" s="455">
        <v>46048</v>
      </c>
      <c r="R129" s="455">
        <v>46114</v>
      </c>
      <c r="U129" s="455">
        <v>46048</v>
      </c>
    </row>
    <row r="130" spans="1:21">
      <c r="A130" t="s">
        <v>1751</v>
      </c>
      <c r="B130" t="s">
        <v>9105</v>
      </c>
      <c r="C130" t="s">
        <v>1751</v>
      </c>
      <c r="D130">
        <v>20465759</v>
      </c>
      <c r="E130" t="s">
        <v>3190</v>
      </c>
      <c r="F130" t="s">
        <v>1782</v>
      </c>
      <c r="G130" t="s">
        <v>3141</v>
      </c>
      <c r="H130" t="s">
        <v>1247</v>
      </c>
      <c r="J130" s="455">
        <v>46090</v>
      </c>
      <c r="R130" s="455">
        <v>46114</v>
      </c>
      <c r="U130" s="455">
        <v>46234</v>
      </c>
    </row>
    <row r="131" spans="1:21">
      <c r="A131" t="s">
        <v>1751</v>
      </c>
      <c r="B131" t="s">
        <v>8681</v>
      </c>
      <c r="C131" t="s">
        <v>1751</v>
      </c>
      <c r="D131">
        <v>20441063</v>
      </c>
      <c r="E131" t="s">
        <v>3190</v>
      </c>
      <c r="F131" t="s">
        <v>1782</v>
      </c>
      <c r="G131" t="s">
        <v>3129</v>
      </c>
      <c r="H131" t="s">
        <v>1253</v>
      </c>
      <c r="J131" s="455">
        <v>46057</v>
      </c>
      <c r="R131" s="455">
        <v>46114</v>
      </c>
      <c r="U131" s="455">
        <v>46057</v>
      </c>
    </row>
    <row r="132" spans="1:21">
      <c r="A132" t="s">
        <v>1751</v>
      </c>
      <c r="B132" t="s">
        <v>9526</v>
      </c>
      <c r="C132" t="s">
        <v>1751</v>
      </c>
      <c r="D132">
        <v>20495525</v>
      </c>
      <c r="E132" t="s">
        <v>3190</v>
      </c>
      <c r="F132" t="s">
        <v>1241</v>
      </c>
      <c r="G132" t="s">
        <v>3134</v>
      </c>
      <c r="H132" t="s">
        <v>1252</v>
      </c>
      <c r="J132" s="455">
        <v>46127</v>
      </c>
      <c r="R132" s="455">
        <v>46139</v>
      </c>
      <c r="U132" s="455">
        <v>46143</v>
      </c>
    </row>
    <row r="133" spans="1:21">
      <c r="A133" t="s">
        <v>1751</v>
      </c>
      <c r="B133" t="s">
        <v>9527</v>
      </c>
      <c r="C133" t="s">
        <v>1751</v>
      </c>
      <c r="D133">
        <v>20510094</v>
      </c>
      <c r="E133" t="s">
        <v>3128</v>
      </c>
      <c r="F133" t="s">
        <v>1782</v>
      </c>
      <c r="G133" t="s">
        <v>3134</v>
      </c>
      <c r="H133" t="s">
        <v>3165</v>
      </c>
      <c r="J133" s="455">
        <v>46138</v>
      </c>
      <c r="U133" s="455">
        <v>46139</v>
      </c>
    </row>
    <row r="134" spans="1:21">
      <c r="A134" t="s">
        <v>1751</v>
      </c>
      <c r="B134" t="s">
        <v>9106</v>
      </c>
      <c r="C134" t="s">
        <v>1751</v>
      </c>
      <c r="D134">
        <v>20477569</v>
      </c>
      <c r="E134" t="s">
        <v>3190</v>
      </c>
      <c r="F134" t="s">
        <v>1782</v>
      </c>
      <c r="G134" t="s">
        <v>3134</v>
      </c>
      <c r="H134" t="s">
        <v>1252</v>
      </c>
      <c r="J134" s="455">
        <v>46102</v>
      </c>
      <c r="R134" s="455">
        <v>46114</v>
      </c>
      <c r="U134" s="455">
        <v>46174</v>
      </c>
    </row>
    <row r="135" spans="1:21">
      <c r="A135" t="s">
        <v>1751</v>
      </c>
      <c r="B135" t="s">
        <v>9528</v>
      </c>
      <c r="C135" t="s">
        <v>1751</v>
      </c>
      <c r="D135">
        <v>20505067</v>
      </c>
      <c r="E135" t="s">
        <v>3128</v>
      </c>
      <c r="F135" t="s">
        <v>1782</v>
      </c>
      <c r="G135" t="s">
        <v>3134</v>
      </c>
      <c r="H135" t="s">
        <v>3165</v>
      </c>
      <c r="J135" s="455">
        <v>46133</v>
      </c>
      <c r="U135" s="455">
        <v>46135</v>
      </c>
    </row>
    <row r="136" spans="1:21">
      <c r="A136" t="s">
        <v>1751</v>
      </c>
      <c r="B136" t="s">
        <v>8682</v>
      </c>
      <c r="C136" t="s">
        <v>1751</v>
      </c>
      <c r="D136">
        <v>20440723</v>
      </c>
      <c r="E136" t="s">
        <v>3190</v>
      </c>
      <c r="F136" t="s">
        <v>1782</v>
      </c>
      <c r="G136" t="s">
        <v>3129</v>
      </c>
      <c r="H136" t="s">
        <v>1252</v>
      </c>
      <c r="J136" s="455">
        <v>46057</v>
      </c>
      <c r="R136" s="455">
        <v>46114</v>
      </c>
      <c r="U136" s="455">
        <v>46057</v>
      </c>
    </row>
    <row r="137" spans="1:21">
      <c r="A137" t="s">
        <v>1751</v>
      </c>
      <c r="B137" t="s">
        <v>8683</v>
      </c>
      <c r="C137" t="s">
        <v>1751</v>
      </c>
      <c r="D137">
        <v>20454877</v>
      </c>
      <c r="E137" t="s">
        <v>3190</v>
      </c>
      <c r="F137" t="s">
        <v>1239</v>
      </c>
      <c r="G137" t="s">
        <v>3143</v>
      </c>
      <c r="H137" t="s">
        <v>3358</v>
      </c>
      <c r="J137" s="455">
        <v>46074</v>
      </c>
      <c r="R137" s="455">
        <v>46115</v>
      </c>
      <c r="U137" s="455">
        <v>46074</v>
      </c>
    </row>
    <row r="138" spans="1:21">
      <c r="A138" t="s">
        <v>1751</v>
      </c>
      <c r="B138" t="s">
        <v>9529</v>
      </c>
      <c r="C138" t="s">
        <v>1751</v>
      </c>
      <c r="D138">
        <v>20412330</v>
      </c>
      <c r="E138" t="s">
        <v>3190</v>
      </c>
      <c r="F138" t="s">
        <v>1241</v>
      </c>
      <c r="G138" t="s">
        <v>3129</v>
      </c>
      <c r="H138" t="s">
        <v>1252</v>
      </c>
      <c r="J138" s="455">
        <v>46015</v>
      </c>
      <c r="R138" s="455">
        <v>46114</v>
      </c>
      <c r="U138" s="455">
        <v>46081</v>
      </c>
    </row>
    <row r="139" spans="1:21">
      <c r="A139" t="s">
        <v>1751</v>
      </c>
      <c r="B139" t="s">
        <v>9530</v>
      </c>
      <c r="C139" t="s">
        <v>1751</v>
      </c>
      <c r="D139">
        <v>20505607</v>
      </c>
      <c r="E139" t="s">
        <v>3128</v>
      </c>
      <c r="F139" t="s">
        <v>1241</v>
      </c>
      <c r="G139" t="s">
        <v>3134</v>
      </c>
      <c r="H139" t="s">
        <v>3165</v>
      </c>
      <c r="J139" s="455">
        <v>46134</v>
      </c>
      <c r="U139" s="455">
        <v>46141</v>
      </c>
    </row>
    <row r="140" spans="1:21">
      <c r="A140" t="s">
        <v>1751</v>
      </c>
      <c r="B140" t="s">
        <v>9531</v>
      </c>
      <c r="C140" t="s">
        <v>1751</v>
      </c>
      <c r="D140">
        <v>20432045</v>
      </c>
      <c r="E140" t="s">
        <v>3190</v>
      </c>
      <c r="F140" t="s">
        <v>1237</v>
      </c>
      <c r="G140" t="s">
        <v>2009</v>
      </c>
      <c r="H140" t="s">
        <v>1251</v>
      </c>
      <c r="J140" s="455">
        <v>46043</v>
      </c>
      <c r="R140" s="455">
        <v>46114</v>
      </c>
      <c r="U140" s="455">
        <v>46082</v>
      </c>
    </row>
    <row r="141" spans="1:21">
      <c r="A141" t="s">
        <v>1751</v>
      </c>
      <c r="B141" t="s">
        <v>9108</v>
      </c>
      <c r="C141" t="s">
        <v>1751</v>
      </c>
      <c r="D141">
        <v>20481796</v>
      </c>
      <c r="E141" t="s">
        <v>3190</v>
      </c>
      <c r="F141" t="s">
        <v>1782</v>
      </c>
      <c r="G141" t="s">
        <v>3134</v>
      </c>
      <c r="H141" t="s">
        <v>1252</v>
      </c>
      <c r="J141" s="455">
        <v>46108</v>
      </c>
      <c r="R141" s="455">
        <v>46139</v>
      </c>
      <c r="U141" s="455">
        <v>46142</v>
      </c>
    </row>
    <row r="142" spans="1:21">
      <c r="A142" t="s">
        <v>1751</v>
      </c>
      <c r="B142" t="s">
        <v>9532</v>
      </c>
      <c r="C142" t="s">
        <v>1751</v>
      </c>
      <c r="D142">
        <v>20487670</v>
      </c>
      <c r="E142" t="s">
        <v>3190</v>
      </c>
      <c r="F142" t="s">
        <v>1782</v>
      </c>
      <c r="G142" t="s">
        <v>3141</v>
      </c>
      <c r="H142" t="s">
        <v>1247</v>
      </c>
      <c r="J142" s="455">
        <v>46117</v>
      </c>
      <c r="R142" s="455">
        <v>46139</v>
      </c>
      <c r="U142" s="455">
        <v>46117</v>
      </c>
    </row>
    <row r="143" spans="1:21">
      <c r="A143" t="s">
        <v>1751</v>
      </c>
      <c r="B143" t="s">
        <v>9533</v>
      </c>
      <c r="C143" t="s">
        <v>1751</v>
      </c>
      <c r="D143">
        <v>20500372</v>
      </c>
      <c r="E143" t="s">
        <v>3128</v>
      </c>
      <c r="F143" t="s">
        <v>1782</v>
      </c>
      <c r="G143" t="s">
        <v>3134</v>
      </c>
      <c r="H143" t="s">
        <v>3165</v>
      </c>
      <c r="J143" s="455">
        <v>46129</v>
      </c>
      <c r="U143" s="455">
        <v>46174</v>
      </c>
    </row>
    <row r="144" spans="1:21">
      <c r="A144" t="s">
        <v>1751</v>
      </c>
      <c r="B144" t="s">
        <v>9534</v>
      </c>
      <c r="C144" t="s">
        <v>1751</v>
      </c>
      <c r="D144">
        <v>20512704</v>
      </c>
      <c r="E144" t="s">
        <v>3128</v>
      </c>
      <c r="F144" t="s">
        <v>1237</v>
      </c>
      <c r="G144" t="s">
        <v>3143</v>
      </c>
      <c r="H144" t="s">
        <v>1248</v>
      </c>
      <c r="I144" t="s">
        <v>2176</v>
      </c>
      <c r="J144" s="455">
        <v>46141</v>
      </c>
      <c r="U144" s="455">
        <v>46174</v>
      </c>
    </row>
    <row r="145" spans="1:21">
      <c r="A145" t="s">
        <v>1751</v>
      </c>
      <c r="B145" t="s">
        <v>9535</v>
      </c>
      <c r="C145" t="s">
        <v>1751</v>
      </c>
      <c r="D145">
        <v>20509141</v>
      </c>
      <c r="E145" t="s">
        <v>3128</v>
      </c>
      <c r="F145" t="s">
        <v>1238</v>
      </c>
      <c r="G145" t="s">
        <v>3129</v>
      </c>
      <c r="H145" t="s">
        <v>1252</v>
      </c>
      <c r="J145" s="455">
        <v>46136</v>
      </c>
      <c r="U145" s="455">
        <v>46193</v>
      </c>
    </row>
    <row r="146" spans="1:21">
      <c r="A146" t="s">
        <v>1751</v>
      </c>
      <c r="B146" t="s">
        <v>9536</v>
      </c>
      <c r="C146" t="s">
        <v>1751</v>
      </c>
      <c r="D146">
        <v>20485519</v>
      </c>
      <c r="E146" t="s">
        <v>3133</v>
      </c>
      <c r="F146" t="s">
        <v>1782</v>
      </c>
      <c r="G146" t="s">
        <v>3134</v>
      </c>
      <c r="H146" t="s">
        <v>1252</v>
      </c>
      <c r="J146" s="455">
        <v>46114</v>
      </c>
      <c r="K146" s="455">
        <v>46114</v>
      </c>
      <c r="R146" s="455">
        <v>46136</v>
      </c>
      <c r="U146" s="455">
        <v>46114</v>
      </c>
    </row>
    <row r="147" spans="1:21">
      <c r="A147" t="s">
        <v>1751</v>
      </c>
      <c r="B147" t="s">
        <v>9537</v>
      </c>
      <c r="C147" t="s">
        <v>1751</v>
      </c>
      <c r="D147">
        <v>20438574</v>
      </c>
      <c r="E147" t="s">
        <v>3190</v>
      </c>
      <c r="F147" t="s">
        <v>1782</v>
      </c>
      <c r="G147" t="s">
        <v>3129</v>
      </c>
      <c r="H147" t="s">
        <v>3131</v>
      </c>
      <c r="J147" s="455">
        <v>46053</v>
      </c>
      <c r="R147" s="455">
        <v>46114</v>
      </c>
      <c r="U147" s="455">
        <v>46053</v>
      </c>
    </row>
    <row r="148" spans="1:21">
      <c r="A148" t="s">
        <v>1751</v>
      </c>
      <c r="B148" t="s">
        <v>9109</v>
      </c>
      <c r="C148" t="s">
        <v>1751</v>
      </c>
      <c r="D148">
        <v>20482600</v>
      </c>
      <c r="E148" t="s">
        <v>3190</v>
      </c>
      <c r="F148" t="s">
        <v>1799</v>
      </c>
      <c r="G148" t="s">
        <v>3134</v>
      </c>
      <c r="H148" t="s">
        <v>1252</v>
      </c>
      <c r="J148" s="455">
        <v>46110</v>
      </c>
      <c r="R148" s="455">
        <v>46139</v>
      </c>
      <c r="U148" s="455">
        <v>46144</v>
      </c>
    </row>
    <row r="149" spans="1:21">
      <c r="A149" t="s">
        <v>1751</v>
      </c>
      <c r="B149" t="s">
        <v>3219</v>
      </c>
      <c r="C149" t="s">
        <v>1751</v>
      </c>
      <c r="D149">
        <v>20512607</v>
      </c>
      <c r="E149" t="s">
        <v>1897</v>
      </c>
      <c r="F149" t="s">
        <v>1912</v>
      </c>
      <c r="G149" t="s">
        <v>3134</v>
      </c>
      <c r="H149" t="s">
        <v>3220</v>
      </c>
      <c r="J149" s="455">
        <v>46141</v>
      </c>
      <c r="K149" s="455">
        <v>46141</v>
      </c>
      <c r="U149" s="455">
        <v>46141</v>
      </c>
    </row>
    <row r="150" spans="1:21">
      <c r="A150" t="s">
        <v>1751</v>
      </c>
      <c r="B150" t="s">
        <v>9538</v>
      </c>
      <c r="C150" t="s">
        <v>1751</v>
      </c>
      <c r="D150">
        <v>20513966</v>
      </c>
      <c r="E150" t="s">
        <v>3128</v>
      </c>
      <c r="F150" t="s">
        <v>1241</v>
      </c>
      <c r="G150" t="s">
        <v>3134</v>
      </c>
      <c r="H150" t="s">
        <v>3165</v>
      </c>
      <c r="J150" s="455">
        <v>46142</v>
      </c>
      <c r="U150" s="455">
        <v>46179</v>
      </c>
    </row>
    <row r="151" spans="1:21">
      <c r="A151" t="s">
        <v>1751</v>
      </c>
      <c r="B151" t="s">
        <v>9539</v>
      </c>
      <c r="C151" t="s">
        <v>1751</v>
      </c>
      <c r="D151">
        <v>20421687</v>
      </c>
      <c r="E151" t="s">
        <v>3190</v>
      </c>
      <c r="F151" t="s">
        <v>1238</v>
      </c>
      <c r="G151" t="s">
        <v>3143</v>
      </c>
      <c r="H151" t="s">
        <v>1248</v>
      </c>
      <c r="J151" s="455">
        <v>46031</v>
      </c>
      <c r="R151" s="455">
        <v>46114</v>
      </c>
      <c r="U151" s="455">
        <v>46031</v>
      </c>
    </row>
    <row r="152" spans="1:21">
      <c r="A152" t="s">
        <v>1751</v>
      </c>
      <c r="B152" t="s">
        <v>3222</v>
      </c>
      <c r="C152" t="s">
        <v>1751</v>
      </c>
      <c r="D152">
        <v>20512207</v>
      </c>
      <c r="E152" t="s">
        <v>1897</v>
      </c>
      <c r="F152" t="s">
        <v>1912</v>
      </c>
      <c r="G152" t="s">
        <v>3134</v>
      </c>
      <c r="H152" t="s">
        <v>1248</v>
      </c>
      <c r="J152" s="455">
        <v>46140</v>
      </c>
      <c r="K152" s="455">
        <v>46140</v>
      </c>
      <c r="U152" s="455">
        <v>46171</v>
      </c>
    </row>
    <row r="153" spans="1:21">
      <c r="A153" t="s">
        <v>1751</v>
      </c>
      <c r="B153" t="s">
        <v>8684</v>
      </c>
      <c r="C153" t="s">
        <v>1751</v>
      </c>
      <c r="D153">
        <v>20440792</v>
      </c>
      <c r="E153" t="s">
        <v>3190</v>
      </c>
      <c r="F153" t="s">
        <v>1239</v>
      </c>
      <c r="G153" t="s">
        <v>3143</v>
      </c>
      <c r="H153" t="s">
        <v>1248</v>
      </c>
      <c r="J153" s="455">
        <v>46057</v>
      </c>
      <c r="R153" s="455">
        <v>46114</v>
      </c>
      <c r="U153" s="455">
        <v>46057</v>
      </c>
    </row>
    <row r="154" spans="1:21">
      <c r="A154" t="s">
        <v>1751</v>
      </c>
      <c r="B154" t="s">
        <v>9110</v>
      </c>
      <c r="C154" t="s">
        <v>1751</v>
      </c>
      <c r="D154">
        <v>20470626</v>
      </c>
      <c r="E154" t="s">
        <v>3190</v>
      </c>
      <c r="F154" t="s">
        <v>1241</v>
      </c>
      <c r="G154" t="s">
        <v>3134</v>
      </c>
      <c r="H154" t="s">
        <v>1252</v>
      </c>
      <c r="J154" s="455">
        <v>46094</v>
      </c>
      <c r="R154" s="455">
        <v>46114</v>
      </c>
      <c r="U154" s="455">
        <v>46158</v>
      </c>
    </row>
    <row r="155" spans="1:21">
      <c r="A155" t="s">
        <v>1751</v>
      </c>
      <c r="B155" t="s">
        <v>9540</v>
      </c>
      <c r="C155" t="s">
        <v>1751</v>
      </c>
      <c r="D155">
        <v>20489246</v>
      </c>
      <c r="E155" t="s">
        <v>3190</v>
      </c>
      <c r="F155" t="s">
        <v>1782</v>
      </c>
      <c r="G155" t="s">
        <v>3134</v>
      </c>
      <c r="H155" t="s">
        <v>1252</v>
      </c>
      <c r="J155" s="455">
        <v>46119</v>
      </c>
      <c r="R155" s="455">
        <v>46139</v>
      </c>
      <c r="U155" s="455">
        <v>46129</v>
      </c>
    </row>
    <row r="156" spans="1:21">
      <c r="A156" t="s">
        <v>1751</v>
      </c>
      <c r="B156" t="s">
        <v>9111</v>
      </c>
      <c r="C156" t="s">
        <v>1751</v>
      </c>
      <c r="D156">
        <v>20477522</v>
      </c>
      <c r="E156" t="s">
        <v>3133</v>
      </c>
      <c r="F156" t="s">
        <v>1912</v>
      </c>
      <c r="G156" t="s">
        <v>3134</v>
      </c>
      <c r="H156" t="s">
        <v>1247</v>
      </c>
      <c r="J156" s="455">
        <v>46102</v>
      </c>
      <c r="K156" s="455">
        <v>46102</v>
      </c>
      <c r="R156" s="455">
        <v>46115</v>
      </c>
      <c r="U156" s="455">
        <v>46132</v>
      </c>
    </row>
    <row r="157" spans="1:21">
      <c r="A157" t="s">
        <v>1751</v>
      </c>
      <c r="B157" t="s">
        <v>9111</v>
      </c>
      <c r="C157" t="s">
        <v>1751</v>
      </c>
      <c r="D157">
        <v>20477501</v>
      </c>
      <c r="E157" t="s">
        <v>3190</v>
      </c>
      <c r="F157" t="s">
        <v>1782</v>
      </c>
      <c r="G157" t="s">
        <v>3134</v>
      </c>
      <c r="H157" t="s">
        <v>1252</v>
      </c>
      <c r="J157" s="455">
        <v>46102</v>
      </c>
      <c r="R157" s="455">
        <v>46114</v>
      </c>
      <c r="U157" s="455">
        <v>46104</v>
      </c>
    </row>
    <row r="158" spans="1:21">
      <c r="A158" t="s">
        <v>1751</v>
      </c>
      <c r="B158" t="s">
        <v>9112</v>
      </c>
      <c r="C158" t="s">
        <v>1751</v>
      </c>
      <c r="D158">
        <v>20468407</v>
      </c>
      <c r="E158" t="s">
        <v>3133</v>
      </c>
      <c r="F158" t="s">
        <v>1242</v>
      </c>
      <c r="G158" t="s">
        <v>3134</v>
      </c>
      <c r="H158" t="s">
        <v>1250</v>
      </c>
      <c r="J158" s="455">
        <v>46092</v>
      </c>
      <c r="K158" s="455">
        <v>46092</v>
      </c>
      <c r="R158" s="455">
        <v>46114</v>
      </c>
      <c r="U158" s="455">
        <v>46092</v>
      </c>
    </row>
    <row r="159" spans="1:21">
      <c r="A159" t="s">
        <v>1751</v>
      </c>
      <c r="B159" t="s">
        <v>1934</v>
      </c>
      <c r="C159" t="s">
        <v>1751</v>
      </c>
      <c r="D159">
        <v>20460773</v>
      </c>
      <c r="E159" t="s">
        <v>3133</v>
      </c>
      <c r="F159" t="s">
        <v>1241</v>
      </c>
      <c r="G159" t="s">
        <v>3143</v>
      </c>
      <c r="H159" t="s">
        <v>1248</v>
      </c>
      <c r="I159" t="s">
        <v>1933</v>
      </c>
      <c r="J159" s="455">
        <v>46083</v>
      </c>
      <c r="K159" s="455">
        <v>46083</v>
      </c>
      <c r="R159" s="455">
        <v>46116</v>
      </c>
      <c r="U159" s="455">
        <v>46101</v>
      </c>
    </row>
    <row r="160" spans="1:21">
      <c r="A160" t="s">
        <v>1751</v>
      </c>
      <c r="B160" t="s">
        <v>9541</v>
      </c>
      <c r="C160" t="s">
        <v>1751</v>
      </c>
      <c r="D160">
        <v>20495285</v>
      </c>
      <c r="E160" t="s">
        <v>3128</v>
      </c>
      <c r="F160" t="s">
        <v>1237</v>
      </c>
      <c r="G160" t="s">
        <v>3134</v>
      </c>
      <c r="H160" t="s">
        <v>1252</v>
      </c>
      <c r="I160" t="s">
        <v>6998</v>
      </c>
      <c r="J160" s="455">
        <v>46126</v>
      </c>
      <c r="U160" s="455">
        <v>46153</v>
      </c>
    </row>
    <row r="161" spans="1:21">
      <c r="A161" t="s">
        <v>1751</v>
      </c>
      <c r="B161" t="s">
        <v>9542</v>
      </c>
      <c r="C161" t="s">
        <v>1751</v>
      </c>
      <c r="D161">
        <v>20429842</v>
      </c>
      <c r="E161" t="s">
        <v>3133</v>
      </c>
      <c r="F161" t="s">
        <v>1237</v>
      </c>
      <c r="G161" t="s">
        <v>3134</v>
      </c>
      <c r="H161" t="s">
        <v>1247</v>
      </c>
      <c r="J161" s="455">
        <v>46040</v>
      </c>
      <c r="K161" s="455">
        <v>46040</v>
      </c>
      <c r="R161" s="455">
        <v>46114</v>
      </c>
      <c r="U161" s="455">
        <v>46040</v>
      </c>
    </row>
    <row r="162" spans="1:21">
      <c r="A162" t="s">
        <v>1751</v>
      </c>
      <c r="B162" t="s">
        <v>9543</v>
      </c>
      <c r="C162" t="s">
        <v>1751</v>
      </c>
      <c r="D162">
        <v>20492862</v>
      </c>
      <c r="E162" t="s">
        <v>3190</v>
      </c>
      <c r="F162" t="s">
        <v>1241</v>
      </c>
      <c r="G162" t="s">
        <v>3134</v>
      </c>
      <c r="H162" t="s">
        <v>1252</v>
      </c>
      <c r="J162" s="455">
        <v>46124</v>
      </c>
      <c r="R162" s="455">
        <v>46139</v>
      </c>
      <c r="U162" s="455">
        <v>46128</v>
      </c>
    </row>
    <row r="163" spans="1:21">
      <c r="A163" t="s">
        <v>1751</v>
      </c>
      <c r="B163" t="s">
        <v>8687</v>
      </c>
      <c r="C163" t="s">
        <v>1751</v>
      </c>
      <c r="D163">
        <v>20452647</v>
      </c>
      <c r="E163" t="s">
        <v>3190</v>
      </c>
      <c r="F163" t="s">
        <v>1782</v>
      </c>
      <c r="G163" t="s">
        <v>3141</v>
      </c>
      <c r="H163" t="s">
        <v>1247</v>
      </c>
      <c r="J163" s="455">
        <v>46071</v>
      </c>
      <c r="R163" s="455">
        <v>46114</v>
      </c>
      <c r="U163" s="455">
        <v>46113</v>
      </c>
    </row>
    <row r="164" spans="1:21">
      <c r="A164" t="s">
        <v>1751</v>
      </c>
      <c r="B164" t="s">
        <v>9113</v>
      </c>
      <c r="C164" t="s">
        <v>1751</v>
      </c>
      <c r="D164">
        <v>20464177</v>
      </c>
      <c r="E164" t="s">
        <v>3133</v>
      </c>
      <c r="F164" t="s">
        <v>1912</v>
      </c>
      <c r="G164" t="s">
        <v>3134</v>
      </c>
      <c r="H164" t="s">
        <v>1247</v>
      </c>
      <c r="I164" t="s">
        <v>1963</v>
      </c>
      <c r="J164" s="455">
        <v>46088</v>
      </c>
      <c r="K164" s="455">
        <v>46088</v>
      </c>
      <c r="R164" s="455">
        <v>46115</v>
      </c>
      <c r="U164" s="455">
        <v>46090</v>
      </c>
    </row>
    <row r="165" spans="1:21">
      <c r="A165" t="s">
        <v>1751</v>
      </c>
      <c r="B165" t="s">
        <v>8688</v>
      </c>
      <c r="C165" t="s">
        <v>1751</v>
      </c>
      <c r="D165">
        <v>20442733</v>
      </c>
      <c r="E165" t="s">
        <v>3190</v>
      </c>
      <c r="F165" t="s">
        <v>1782</v>
      </c>
      <c r="G165" t="s">
        <v>3129</v>
      </c>
      <c r="H165" t="s">
        <v>1253</v>
      </c>
      <c r="J165" s="455">
        <v>46060</v>
      </c>
      <c r="R165" s="455">
        <v>46114</v>
      </c>
      <c r="U165" s="455">
        <v>46060</v>
      </c>
    </row>
    <row r="166" spans="1:21">
      <c r="A166" t="s">
        <v>1751</v>
      </c>
      <c r="B166" t="s">
        <v>9544</v>
      </c>
      <c r="C166" t="s">
        <v>1751</v>
      </c>
      <c r="D166">
        <v>20491820</v>
      </c>
      <c r="E166" t="s">
        <v>3190</v>
      </c>
      <c r="F166" t="s">
        <v>1782</v>
      </c>
      <c r="G166" t="s">
        <v>3141</v>
      </c>
      <c r="H166" t="s">
        <v>1247</v>
      </c>
      <c r="J166" s="455">
        <v>46122</v>
      </c>
      <c r="R166" s="455">
        <v>46139</v>
      </c>
      <c r="U166" s="455">
        <v>46122</v>
      </c>
    </row>
    <row r="167" spans="1:21">
      <c r="A167" t="s">
        <v>1751</v>
      </c>
      <c r="B167" t="s">
        <v>8689</v>
      </c>
      <c r="C167" t="s">
        <v>1751</v>
      </c>
      <c r="D167">
        <v>20453959</v>
      </c>
      <c r="E167" t="s">
        <v>3190</v>
      </c>
      <c r="F167" t="s">
        <v>1241</v>
      </c>
      <c r="G167" t="s">
        <v>2009</v>
      </c>
      <c r="H167" t="s">
        <v>1252</v>
      </c>
      <c r="J167" s="455">
        <v>46073</v>
      </c>
      <c r="R167" s="455">
        <v>46114</v>
      </c>
      <c r="U167" s="455">
        <v>46073</v>
      </c>
    </row>
    <row r="168" spans="1:21">
      <c r="A168" t="s">
        <v>1751</v>
      </c>
      <c r="B168" t="s">
        <v>3235</v>
      </c>
      <c r="C168" t="s">
        <v>1751</v>
      </c>
      <c r="D168">
        <v>20485396</v>
      </c>
      <c r="E168" t="s">
        <v>1897</v>
      </c>
      <c r="F168" t="s">
        <v>1241</v>
      </c>
      <c r="G168" t="s">
        <v>3134</v>
      </c>
      <c r="H168" t="s">
        <v>1247</v>
      </c>
      <c r="I168" t="s">
        <v>1230</v>
      </c>
      <c r="J168" s="455">
        <v>46113</v>
      </c>
      <c r="K168" s="455">
        <v>46113</v>
      </c>
      <c r="U168" s="455">
        <v>46125</v>
      </c>
    </row>
    <row r="169" spans="1:21">
      <c r="A169" t="s">
        <v>1751</v>
      </c>
      <c r="B169" t="s">
        <v>9545</v>
      </c>
      <c r="C169" t="s">
        <v>1751</v>
      </c>
      <c r="D169">
        <v>20495161</v>
      </c>
      <c r="E169" t="s">
        <v>3190</v>
      </c>
      <c r="F169" t="s">
        <v>1241</v>
      </c>
      <c r="G169" t="s">
        <v>3134</v>
      </c>
      <c r="H169" t="s">
        <v>3165</v>
      </c>
      <c r="J169" s="455">
        <v>46126</v>
      </c>
      <c r="R169" s="455">
        <v>46139</v>
      </c>
      <c r="U169" s="455">
        <v>46127</v>
      </c>
    </row>
    <row r="170" spans="1:21">
      <c r="A170" t="s">
        <v>1751</v>
      </c>
      <c r="B170" t="s">
        <v>9546</v>
      </c>
      <c r="C170" t="s">
        <v>1751</v>
      </c>
      <c r="D170">
        <v>20498739</v>
      </c>
      <c r="E170" t="s">
        <v>3190</v>
      </c>
      <c r="F170" t="s">
        <v>1241</v>
      </c>
      <c r="G170" t="s">
        <v>3134</v>
      </c>
      <c r="H170" t="s">
        <v>3165</v>
      </c>
      <c r="J170" s="455">
        <v>46129</v>
      </c>
      <c r="R170" s="455">
        <v>46139</v>
      </c>
      <c r="U170" s="455">
        <v>46130</v>
      </c>
    </row>
    <row r="171" spans="1:21">
      <c r="A171" t="s">
        <v>1751</v>
      </c>
      <c r="B171" t="s">
        <v>9547</v>
      </c>
      <c r="C171" t="s">
        <v>1751</v>
      </c>
      <c r="D171">
        <v>20489374</v>
      </c>
      <c r="E171" t="s">
        <v>3190</v>
      </c>
      <c r="F171" t="s">
        <v>1782</v>
      </c>
      <c r="G171" t="s">
        <v>3134</v>
      </c>
      <c r="H171" t="s">
        <v>1252</v>
      </c>
      <c r="J171" s="455">
        <v>46119</v>
      </c>
      <c r="R171" s="455">
        <v>46139</v>
      </c>
      <c r="U171" s="455">
        <v>46143</v>
      </c>
    </row>
    <row r="172" spans="1:21">
      <c r="A172" t="s">
        <v>1751</v>
      </c>
      <c r="B172" t="s">
        <v>9548</v>
      </c>
      <c r="C172" t="s">
        <v>1751</v>
      </c>
      <c r="D172">
        <v>20412625</v>
      </c>
      <c r="E172" t="s">
        <v>3190</v>
      </c>
      <c r="F172" t="s">
        <v>1239</v>
      </c>
      <c r="G172" t="s">
        <v>3134</v>
      </c>
      <c r="H172" t="s">
        <v>1247</v>
      </c>
      <c r="I172" t="s">
        <v>7035</v>
      </c>
      <c r="J172" s="455">
        <v>46016</v>
      </c>
      <c r="K172" s="455">
        <v>46016</v>
      </c>
      <c r="R172" s="455">
        <v>46114</v>
      </c>
      <c r="U172" s="455">
        <v>46024</v>
      </c>
    </row>
    <row r="173" spans="1:21">
      <c r="A173" t="s">
        <v>1751</v>
      </c>
      <c r="B173" t="s">
        <v>9549</v>
      </c>
      <c r="C173" t="s">
        <v>1751</v>
      </c>
      <c r="D173">
        <v>20504578</v>
      </c>
      <c r="E173" t="s">
        <v>3128</v>
      </c>
      <c r="F173" t="s">
        <v>1782</v>
      </c>
      <c r="G173" t="s">
        <v>3134</v>
      </c>
      <c r="H173" t="s">
        <v>1252</v>
      </c>
      <c r="J173" s="455">
        <v>46133</v>
      </c>
      <c r="U173" s="455">
        <v>46143</v>
      </c>
    </row>
    <row r="174" spans="1:21">
      <c r="A174" t="s">
        <v>1751</v>
      </c>
      <c r="B174" t="s">
        <v>9114</v>
      </c>
      <c r="C174" t="s">
        <v>1751</v>
      </c>
      <c r="D174">
        <v>20465182</v>
      </c>
      <c r="E174" t="s">
        <v>3190</v>
      </c>
      <c r="F174" t="s">
        <v>1241</v>
      </c>
      <c r="G174" t="s">
        <v>2009</v>
      </c>
      <c r="H174" t="s">
        <v>1251</v>
      </c>
      <c r="J174" s="455">
        <v>46090</v>
      </c>
      <c r="R174" s="455">
        <v>46114</v>
      </c>
      <c r="U174" s="455">
        <v>46090</v>
      </c>
    </row>
    <row r="175" spans="1:21">
      <c r="A175" t="s">
        <v>1751</v>
      </c>
      <c r="B175" t="s">
        <v>9550</v>
      </c>
      <c r="C175" t="s">
        <v>1751</v>
      </c>
      <c r="D175">
        <v>20412661</v>
      </c>
      <c r="E175" t="s">
        <v>3133</v>
      </c>
      <c r="F175" t="s">
        <v>1239</v>
      </c>
      <c r="G175" t="s">
        <v>3134</v>
      </c>
      <c r="H175" t="s">
        <v>1247</v>
      </c>
      <c r="I175" t="s">
        <v>1956</v>
      </c>
      <c r="J175" s="455">
        <v>46017</v>
      </c>
      <c r="K175" s="455">
        <v>46017</v>
      </c>
      <c r="L175" s="455">
        <v>46017</v>
      </c>
      <c r="R175" s="455">
        <v>46114</v>
      </c>
      <c r="U175" s="455">
        <v>46017</v>
      </c>
    </row>
    <row r="176" spans="1:21">
      <c r="A176" t="s">
        <v>1751</v>
      </c>
      <c r="B176" t="s">
        <v>9551</v>
      </c>
      <c r="C176" t="s">
        <v>1751</v>
      </c>
      <c r="D176">
        <v>20436726</v>
      </c>
      <c r="E176" t="s">
        <v>3190</v>
      </c>
      <c r="F176" t="s">
        <v>1238</v>
      </c>
      <c r="G176" t="s">
        <v>3129</v>
      </c>
      <c r="H176" t="s">
        <v>1251</v>
      </c>
      <c r="J176" s="455">
        <v>46051</v>
      </c>
      <c r="R176" s="455">
        <v>46114</v>
      </c>
      <c r="U176" s="455">
        <v>46051</v>
      </c>
    </row>
    <row r="177" spans="1:21">
      <c r="A177" t="s">
        <v>1751</v>
      </c>
      <c r="B177" t="s">
        <v>8690</v>
      </c>
      <c r="C177" t="s">
        <v>1751</v>
      </c>
      <c r="D177">
        <v>20442676</v>
      </c>
      <c r="E177" t="s">
        <v>3190</v>
      </c>
      <c r="F177" t="s">
        <v>1237</v>
      </c>
      <c r="G177" t="s">
        <v>3143</v>
      </c>
      <c r="H177" t="s">
        <v>1251</v>
      </c>
      <c r="I177" t="s">
        <v>1947</v>
      </c>
      <c r="J177" s="455">
        <v>46060</v>
      </c>
      <c r="R177" s="455">
        <v>46114</v>
      </c>
      <c r="U177" s="455">
        <v>46060</v>
      </c>
    </row>
    <row r="178" spans="1:21">
      <c r="A178" t="s">
        <v>1751</v>
      </c>
      <c r="B178" t="s">
        <v>9115</v>
      </c>
      <c r="C178" t="s">
        <v>1751</v>
      </c>
      <c r="D178">
        <v>20473471</v>
      </c>
      <c r="E178" t="s">
        <v>3190</v>
      </c>
      <c r="F178" t="s">
        <v>1241</v>
      </c>
      <c r="G178" t="s">
        <v>3134</v>
      </c>
      <c r="H178" t="s">
        <v>1252</v>
      </c>
      <c r="J178" s="455">
        <v>46098</v>
      </c>
      <c r="R178" s="455">
        <v>46114</v>
      </c>
      <c r="U178" s="455">
        <v>46158</v>
      </c>
    </row>
    <row r="179" spans="1:21">
      <c r="A179" t="s">
        <v>1751</v>
      </c>
      <c r="B179" t="s">
        <v>8691</v>
      </c>
      <c r="C179" t="s">
        <v>1751</v>
      </c>
      <c r="D179">
        <v>20441809</v>
      </c>
      <c r="E179" t="s">
        <v>3190</v>
      </c>
      <c r="F179" t="s">
        <v>1239</v>
      </c>
      <c r="G179" t="s">
        <v>3143</v>
      </c>
      <c r="H179" t="s">
        <v>1252</v>
      </c>
      <c r="J179" s="455">
        <v>46058</v>
      </c>
      <c r="R179" s="455">
        <v>46114</v>
      </c>
      <c r="U179" s="455">
        <v>46058</v>
      </c>
    </row>
    <row r="180" spans="1:21">
      <c r="A180" t="s">
        <v>1751</v>
      </c>
      <c r="B180" t="s">
        <v>3239</v>
      </c>
      <c r="C180" t="s">
        <v>1751</v>
      </c>
      <c r="D180">
        <v>20448448</v>
      </c>
      <c r="E180" t="s">
        <v>1907</v>
      </c>
      <c r="F180" t="s">
        <v>1242</v>
      </c>
      <c r="G180" t="s">
        <v>3134</v>
      </c>
      <c r="H180" t="s">
        <v>1247</v>
      </c>
      <c r="I180" t="s">
        <v>2131</v>
      </c>
      <c r="J180" s="455">
        <v>46066</v>
      </c>
      <c r="K180" s="455">
        <v>46066</v>
      </c>
      <c r="L180" s="455">
        <v>46077</v>
      </c>
      <c r="O180" s="455">
        <v>46164</v>
      </c>
      <c r="U180" s="455">
        <v>46162</v>
      </c>
    </row>
    <row r="181" spans="1:21">
      <c r="A181" t="s">
        <v>1751</v>
      </c>
      <c r="B181" t="s">
        <v>9552</v>
      </c>
      <c r="C181" t="s">
        <v>1751</v>
      </c>
      <c r="D181">
        <v>20497254</v>
      </c>
      <c r="E181" t="s">
        <v>3190</v>
      </c>
      <c r="F181" t="s">
        <v>1241</v>
      </c>
      <c r="G181" t="s">
        <v>3134</v>
      </c>
      <c r="H181" t="s">
        <v>1252</v>
      </c>
      <c r="J181" s="455">
        <v>46128</v>
      </c>
      <c r="R181" s="455">
        <v>46139</v>
      </c>
      <c r="U181" s="455">
        <v>46178</v>
      </c>
    </row>
    <row r="182" spans="1:21">
      <c r="A182" t="s">
        <v>1751</v>
      </c>
      <c r="B182" t="s">
        <v>9553</v>
      </c>
      <c r="C182" t="s">
        <v>1751</v>
      </c>
      <c r="D182">
        <v>20421412</v>
      </c>
      <c r="E182" t="s">
        <v>3190</v>
      </c>
      <c r="F182" t="s">
        <v>1241</v>
      </c>
      <c r="G182" t="s">
        <v>3137</v>
      </c>
      <c r="H182" t="s">
        <v>1252</v>
      </c>
      <c r="J182" s="455">
        <v>46031</v>
      </c>
      <c r="R182" s="455">
        <v>46114</v>
      </c>
      <c r="U182" s="455">
        <v>46087</v>
      </c>
    </row>
    <row r="183" spans="1:21">
      <c r="A183" t="s">
        <v>1751</v>
      </c>
      <c r="B183" t="s">
        <v>3240</v>
      </c>
      <c r="C183" t="s">
        <v>1751</v>
      </c>
      <c r="D183">
        <v>20490963</v>
      </c>
      <c r="E183" t="s">
        <v>1897</v>
      </c>
      <c r="F183" t="s">
        <v>1782</v>
      </c>
      <c r="G183" t="s">
        <v>3134</v>
      </c>
      <c r="H183" t="s">
        <v>1247</v>
      </c>
      <c r="J183" s="455">
        <v>46121</v>
      </c>
      <c r="K183" s="455">
        <v>46121</v>
      </c>
      <c r="U183" s="455">
        <v>46121</v>
      </c>
    </row>
    <row r="184" spans="1:21">
      <c r="A184" t="s">
        <v>1751</v>
      </c>
      <c r="B184" t="s">
        <v>9116</v>
      </c>
      <c r="C184" t="s">
        <v>1751</v>
      </c>
      <c r="D184">
        <v>20471056</v>
      </c>
      <c r="E184" t="s">
        <v>3190</v>
      </c>
      <c r="F184" t="s">
        <v>1782</v>
      </c>
      <c r="G184" t="s">
        <v>3134</v>
      </c>
      <c r="H184" t="s">
        <v>1252</v>
      </c>
      <c r="J184" s="455">
        <v>46094</v>
      </c>
      <c r="R184" s="455">
        <v>46114</v>
      </c>
      <c r="U184" s="455">
        <v>46143</v>
      </c>
    </row>
    <row r="185" spans="1:21">
      <c r="A185" t="s">
        <v>1751</v>
      </c>
      <c r="B185" t="s">
        <v>6739</v>
      </c>
      <c r="C185" t="s">
        <v>1751</v>
      </c>
      <c r="D185">
        <v>20419799</v>
      </c>
      <c r="E185" t="s">
        <v>3190</v>
      </c>
      <c r="F185" t="s">
        <v>1782</v>
      </c>
      <c r="G185" t="s">
        <v>3141</v>
      </c>
      <c r="H185" t="s">
        <v>1247</v>
      </c>
      <c r="J185" s="455">
        <v>46028</v>
      </c>
      <c r="R185" s="455">
        <v>46114</v>
      </c>
      <c r="U185" s="455">
        <v>46028</v>
      </c>
    </row>
    <row r="186" spans="1:21">
      <c r="A186" t="s">
        <v>1751</v>
      </c>
      <c r="B186" t="s">
        <v>9119</v>
      </c>
      <c r="C186" t="s">
        <v>1751</v>
      </c>
      <c r="D186">
        <v>20463746</v>
      </c>
      <c r="E186" t="s">
        <v>3190</v>
      </c>
      <c r="F186" t="s">
        <v>1241</v>
      </c>
      <c r="G186" t="s">
        <v>2009</v>
      </c>
      <c r="H186" t="s">
        <v>1248</v>
      </c>
      <c r="J186" s="455">
        <v>46087</v>
      </c>
      <c r="R186" s="455">
        <v>46114</v>
      </c>
      <c r="U186" s="455">
        <v>46087</v>
      </c>
    </row>
    <row r="187" spans="1:21">
      <c r="A187" t="s">
        <v>1751</v>
      </c>
      <c r="B187" t="s">
        <v>9120</v>
      </c>
      <c r="C187" t="s">
        <v>1751</v>
      </c>
      <c r="D187">
        <v>20460761</v>
      </c>
      <c r="E187" t="s">
        <v>3190</v>
      </c>
      <c r="F187" t="s">
        <v>1782</v>
      </c>
      <c r="G187" t="s">
        <v>3129</v>
      </c>
      <c r="H187" t="s">
        <v>1253</v>
      </c>
      <c r="J187" s="455">
        <v>46083</v>
      </c>
      <c r="R187" s="455">
        <v>46114</v>
      </c>
      <c r="U187" s="455">
        <v>46083</v>
      </c>
    </row>
    <row r="188" spans="1:21">
      <c r="A188" t="s">
        <v>1751</v>
      </c>
      <c r="B188" t="s">
        <v>9554</v>
      </c>
      <c r="C188" t="s">
        <v>1751</v>
      </c>
      <c r="D188">
        <v>20511624</v>
      </c>
      <c r="E188" t="s">
        <v>3128</v>
      </c>
      <c r="F188" t="s">
        <v>1782</v>
      </c>
      <c r="G188" t="s">
        <v>3134</v>
      </c>
      <c r="H188" t="s">
        <v>3165</v>
      </c>
      <c r="J188" s="455">
        <v>46140</v>
      </c>
      <c r="U188" s="455">
        <v>46174</v>
      </c>
    </row>
    <row r="189" spans="1:21">
      <c r="A189" t="s">
        <v>1751</v>
      </c>
      <c r="B189" t="s">
        <v>3078</v>
      </c>
      <c r="C189" t="s">
        <v>1751</v>
      </c>
      <c r="D189">
        <v>20488772</v>
      </c>
      <c r="E189" t="s">
        <v>3142</v>
      </c>
      <c r="F189" t="s">
        <v>1799</v>
      </c>
      <c r="G189" t="s">
        <v>3129</v>
      </c>
      <c r="H189" t="s">
        <v>1253</v>
      </c>
      <c r="I189" t="s">
        <v>2529</v>
      </c>
      <c r="J189" s="455">
        <v>46118</v>
      </c>
      <c r="K189" s="455">
        <v>46122</v>
      </c>
      <c r="L189" s="455">
        <v>46122</v>
      </c>
      <c r="M189" s="455">
        <v>46128</v>
      </c>
      <c r="N189" s="455">
        <v>46128</v>
      </c>
      <c r="O189" s="455">
        <v>46132</v>
      </c>
      <c r="P189" s="455">
        <v>46132</v>
      </c>
      <c r="Q189" s="455">
        <v>46133</v>
      </c>
      <c r="U189" s="455">
        <v>46204</v>
      </c>
    </row>
    <row r="190" spans="1:21">
      <c r="A190" t="s">
        <v>1751</v>
      </c>
      <c r="B190" t="s">
        <v>9555</v>
      </c>
      <c r="C190" t="s">
        <v>1751</v>
      </c>
      <c r="D190">
        <v>20411791</v>
      </c>
      <c r="E190" t="s">
        <v>3133</v>
      </c>
      <c r="F190" t="s">
        <v>1799</v>
      </c>
      <c r="G190" t="s">
        <v>3134</v>
      </c>
      <c r="H190" t="s">
        <v>1252</v>
      </c>
      <c r="J190" s="455">
        <v>46014</v>
      </c>
      <c r="K190" s="455">
        <v>46014</v>
      </c>
      <c r="R190" s="455">
        <v>46114</v>
      </c>
      <c r="U190" s="455">
        <v>46014</v>
      </c>
    </row>
    <row r="191" spans="1:21">
      <c r="A191" t="s">
        <v>1751</v>
      </c>
      <c r="B191" t="s">
        <v>9556</v>
      </c>
      <c r="C191" t="s">
        <v>1751</v>
      </c>
      <c r="D191">
        <v>20505794</v>
      </c>
      <c r="E191" t="s">
        <v>3128</v>
      </c>
      <c r="F191" t="s">
        <v>1782</v>
      </c>
      <c r="G191" t="s">
        <v>3129</v>
      </c>
      <c r="H191" t="s">
        <v>3131</v>
      </c>
      <c r="J191" s="455">
        <v>46134</v>
      </c>
      <c r="U191" s="455">
        <v>46134</v>
      </c>
    </row>
    <row r="192" spans="1:21">
      <c r="A192" t="s">
        <v>1751</v>
      </c>
      <c r="B192" t="s">
        <v>9122</v>
      </c>
      <c r="C192" t="s">
        <v>1751</v>
      </c>
      <c r="D192">
        <v>20479076</v>
      </c>
      <c r="E192" t="s">
        <v>3133</v>
      </c>
      <c r="F192" t="s">
        <v>1237</v>
      </c>
      <c r="G192" t="s">
        <v>3134</v>
      </c>
      <c r="H192" t="s">
        <v>1250</v>
      </c>
      <c r="I192" t="s">
        <v>1947</v>
      </c>
      <c r="J192" s="455">
        <v>46105</v>
      </c>
      <c r="K192" s="455">
        <v>46105</v>
      </c>
      <c r="L192" s="455">
        <v>46105</v>
      </c>
      <c r="R192" s="455">
        <v>46114</v>
      </c>
      <c r="U192" s="455">
        <v>46116</v>
      </c>
    </row>
    <row r="193" spans="1:21">
      <c r="A193" t="s">
        <v>1751</v>
      </c>
      <c r="B193" t="s">
        <v>8695</v>
      </c>
      <c r="C193" t="s">
        <v>1751</v>
      </c>
      <c r="D193">
        <v>20452081</v>
      </c>
      <c r="E193" t="s">
        <v>3190</v>
      </c>
      <c r="F193" t="s">
        <v>1241</v>
      </c>
      <c r="G193" t="s">
        <v>3129</v>
      </c>
      <c r="H193" t="s">
        <v>1252</v>
      </c>
      <c r="J193" s="455">
        <v>46071</v>
      </c>
      <c r="R193" s="455">
        <v>46114</v>
      </c>
      <c r="U193" s="455">
        <v>46071</v>
      </c>
    </row>
    <row r="194" spans="1:21">
      <c r="A194" t="s">
        <v>1751</v>
      </c>
      <c r="B194" t="s">
        <v>3248</v>
      </c>
      <c r="C194" t="s">
        <v>1751</v>
      </c>
      <c r="D194">
        <v>20512613</v>
      </c>
      <c r="E194" t="s">
        <v>3128</v>
      </c>
      <c r="F194" t="s">
        <v>1782</v>
      </c>
      <c r="G194" t="s">
        <v>3129</v>
      </c>
      <c r="H194" t="s">
        <v>1253</v>
      </c>
      <c r="J194" s="455">
        <v>46141</v>
      </c>
      <c r="U194" s="455">
        <v>46141</v>
      </c>
    </row>
    <row r="195" spans="1:21">
      <c r="A195" t="s">
        <v>1751</v>
      </c>
      <c r="B195" t="s">
        <v>9557</v>
      </c>
      <c r="C195" t="s">
        <v>1751</v>
      </c>
      <c r="D195">
        <v>20510228</v>
      </c>
      <c r="E195" t="s">
        <v>3128</v>
      </c>
      <c r="F195" t="s">
        <v>1241</v>
      </c>
      <c r="G195" t="s">
        <v>2009</v>
      </c>
      <c r="H195" t="s">
        <v>1252</v>
      </c>
      <c r="J195" s="455">
        <v>46138</v>
      </c>
      <c r="U195" s="455">
        <v>46143</v>
      </c>
    </row>
    <row r="196" spans="1:21">
      <c r="A196" t="s">
        <v>1751</v>
      </c>
      <c r="B196" t="s">
        <v>9558</v>
      </c>
      <c r="C196" t="s">
        <v>1751</v>
      </c>
      <c r="D196">
        <v>20413361</v>
      </c>
      <c r="E196" t="s">
        <v>3190</v>
      </c>
      <c r="F196" t="s">
        <v>1782</v>
      </c>
      <c r="G196" t="s">
        <v>3129</v>
      </c>
      <c r="H196" t="s">
        <v>1247</v>
      </c>
      <c r="J196" s="455">
        <v>46018</v>
      </c>
      <c r="R196" s="455">
        <v>46114</v>
      </c>
      <c r="U196" s="455">
        <v>46018</v>
      </c>
    </row>
    <row r="197" spans="1:21">
      <c r="A197" t="s">
        <v>1751</v>
      </c>
      <c r="B197" t="s">
        <v>9559</v>
      </c>
      <c r="C197" t="s">
        <v>1751</v>
      </c>
      <c r="D197">
        <v>20511579</v>
      </c>
      <c r="E197" t="s">
        <v>3128</v>
      </c>
      <c r="F197" t="s">
        <v>1782</v>
      </c>
      <c r="G197" t="s">
        <v>3134</v>
      </c>
      <c r="H197" t="s">
        <v>1252</v>
      </c>
      <c r="J197" s="455">
        <v>46140</v>
      </c>
      <c r="U197" s="455">
        <v>46174</v>
      </c>
    </row>
    <row r="198" spans="1:21">
      <c r="A198" t="s">
        <v>1751</v>
      </c>
      <c r="B198" t="s">
        <v>9560</v>
      </c>
      <c r="C198" t="s">
        <v>1751</v>
      </c>
      <c r="D198">
        <v>20508788</v>
      </c>
      <c r="E198" t="s">
        <v>3128</v>
      </c>
      <c r="F198" t="s">
        <v>1782</v>
      </c>
      <c r="G198" t="s">
        <v>3134</v>
      </c>
      <c r="H198" t="s">
        <v>3165</v>
      </c>
      <c r="J198" s="455">
        <v>46136</v>
      </c>
      <c r="U198" s="455">
        <v>46235</v>
      </c>
    </row>
    <row r="199" spans="1:21">
      <c r="A199" t="s">
        <v>1751</v>
      </c>
      <c r="B199" t="s">
        <v>8696</v>
      </c>
      <c r="C199" t="s">
        <v>1751</v>
      </c>
      <c r="D199">
        <v>20454986</v>
      </c>
      <c r="E199" t="s">
        <v>3190</v>
      </c>
      <c r="F199" t="s">
        <v>1241</v>
      </c>
      <c r="G199" t="s">
        <v>3137</v>
      </c>
      <c r="H199" t="s">
        <v>1247</v>
      </c>
      <c r="J199" s="455">
        <v>46074</v>
      </c>
      <c r="R199" s="455">
        <v>46114</v>
      </c>
      <c r="U199" s="455">
        <v>46074</v>
      </c>
    </row>
    <row r="200" spans="1:21">
      <c r="A200" t="s">
        <v>1751</v>
      </c>
      <c r="B200" t="s">
        <v>1911</v>
      </c>
      <c r="C200" t="s">
        <v>1751</v>
      </c>
      <c r="D200">
        <v>20447674</v>
      </c>
      <c r="E200" t="s">
        <v>3133</v>
      </c>
      <c r="F200" t="s">
        <v>1241</v>
      </c>
      <c r="G200" t="s">
        <v>3134</v>
      </c>
      <c r="H200" t="s">
        <v>1247</v>
      </c>
      <c r="I200" t="s">
        <v>1910</v>
      </c>
      <c r="J200" s="455">
        <v>46065</v>
      </c>
      <c r="K200" s="455">
        <v>46065</v>
      </c>
      <c r="R200" s="455">
        <v>46114</v>
      </c>
      <c r="U200" s="455">
        <v>46072</v>
      </c>
    </row>
    <row r="201" spans="1:21">
      <c r="A201" t="s">
        <v>1751</v>
      </c>
      <c r="B201" t="s">
        <v>9561</v>
      </c>
      <c r="C201" t="s">
        <v>1751</v>
      </c>
      <c r="D201">
        <v>20510458</v>
      </c>
      <c r="E201" t="s">
        <v>3128</v>
      </c>
      <c r="F201" t="s">
        <v>1782</v>
      </c>
      <c r="G201" t="s">
        <v>3134</v>
      </c>
      <c r="H201" t="s">
        <v>3165</v>
      </c>
      <c r="J201" s="455">
        <v>46138</v>
      </c>
      <c r="U201" s="455">
        <v>46172</v>
      </c>
    </row>
    <row r="202" spans="1:21">
      <c r="A202" t="s">
        <v>1751</v>
      </c>
      <c r="B202" t="s">
        <v>9123</v>
      </c>
      <c r="C202" t="s">
        <v>1751</v>
      </c>
      <c r="D202">
        <v>20472682</v>
      </c>
      <c r="E202" t="s">
        <v>3190</v>
      </c>
      <c r="F202" t="s">
        <v>1799</v>
      </c>
      <c r="G202" t="s">
        <v>3143</v>
      </c>
      <c r="H202" t="s">
        <v>1248</v>
      </c>
      <c r="J202" s="455">
        <v>46097</v>
      </c>
      <c r="R202" s="455">
        <v>46114</v>
      </c>
      <c r="U202" s="455">
        <v>46113</v>
      </c>
    </row>
    <row r="203" spans="1:21">
      <c r="A203" t="s">
        <v>1751</v>
      </c>
      <c r="B203" t="s">
        <v>9124</v>
      </c>
      <c r="C203" t="s">
        <v>1751</v>
      </c>
      <c r="D203">
        <v>20470524</v>
      </c>
      <c r="E203" t="s">
        <v>3190</v>
      </c>
      <c r="F203" t="s">
        <v>1782</v>
      </c>
      <c r="G203" t="s">
        <v>3134</v>
      </c>
      <c r="H203" t="s">
        <v>1252</v>
      </c>
      <c r="J203" s="455">
        <v>46093</v>
      </c>
      <c r="R203" s="455">
        <v>46114</v>
      </c>
      <c r="U203" s="455">
        <v>46147</v>
      </c>
    </row>
    <row r="204" spans="1:21">
      <c r="A204" t="s">
        <v>1751</v>
      </c>
      <c r="B204" t="s">
        <v>8697</v>
      </c>
      <c r="C204" t="s">
        <v>1751</v>
      </c>
      <c r="D204">
        <v>20453256</v>
      </c>
      <c r="E204" t="s">
        <v>3133</v>
      </c>
      <c r="F204" t="s">
        <v>1912</v>
      </c>
      <c r="G204" t="s">
        <v>3134</v>
      </c>
      <c r="H204" t="s">
        <v>1247</v>
      </c>
      <c r="J204" s="455">
        <v>46072</v>
      </c>
      <c r="K204" s="455">
        <v>46072</v>
      </c>
      <c r="R204" s="455">
        <v>46114</v>
      </c>
      <c r="U204" s="455">
        <v>46072</v>
      </c>
    </row>
    <row r="205" spans="1:21">
      <c r="A205" t="s">
        <v>1751</v>
      </c>
      <c r="B205" t="s">
        <v>9562</v>
      </c>
      <c r="C205" t="s">
        <v>1751</v>
      </c>
      <c r="D205">
        <v>20421413</v>
      </c>
      <c r="E205" t="s">
        <v>3190</v>
      </c>
      <c r="F205" t="s">
        <v>1237</v>
      </c>
      <c r="G205" t="s">
        <v>3141</v>
      </c>
      <c r="H205" t="s">
        <v>1252</v>
      </c>
      <c r="J205" s="455">
        <v>46031</v>
      </c>
      <c r="R205" s="455">
        <v>46114</v>
      </c>
      <c r="U205" s="455">
        <v>46031</v>
      </c>
    </row>
    <row r="206" spans="1:21">
      <c r="A206" t="s">
        <v>1751</v>
      </c>
      <c r="B206" t="s">
        <v>9125</v>
      </c>
      <c r="C206" t="s">
        <v>1751</v>
      </c>
      <c r="D206">
        <v>20465889</v>
      </c>
      <c r="E206" t="s">
        <v>3190</v>
      </c>
      <c r="F206" t="s">
        <v>1782</v>
      </c>
      <c r="G206" t="s">
        <v>3141</v>
      </c>
      <c r="H206" t="s">
        <v>1247</v>
      </c>
      <c r="J206" s="455">
        <v>46091</v>
      </c>
      <c r="R206" s="455">
        <v>46114</v>
      </c>
      <c r="U206" s="455">
        <v>46092</v>
      </c>
    </row>
    <row r="207" spans="1:21">
      <c r="A207" t="s">
        <v>1751</v>
      </c>
      <c r="B207" t="s">
        <v>3257</v>
      </c>
      <c r="C207" t="s">
        <v>1751</v>
      </c>
      <c r="D207">
        <v>20505736</v>
      </c>
      <c r="E207" t="s">
        <v>1907</v>
      </c>
      <c r="F207" t="s">
        <v>1242</v>
      </c>
      <c r="G207" t="s">
        <v>3129</v>
      </c>
      <c r="H207" t="s">
        <v>1252</v>
      </c>
      <c r="I207" t="s">
        <v>1952</v>
      </c>
      <c r="J207" s="455">
        <v>46134</v>
      </c>
      <c r="K207" s="455">
        <v>46134</v>
      </c>
      <c r="L207" s="455">
        <v>46141</v>
      </c>
      <c r="U207" s="455">
        <v>46144</v>
      </c>
    </row>
    <row r="208" spans="1:21">
      <c r="A208" t="s">
        <v>1751</v>
      </c>
      <c r="B208" t="s">
        <v>3257</v>
      </c>
      <c r="C208" t="s">
        <v>1751</v>
      </c>
      <c r="D208">
        <v>20506167</v>
      </c>
      <c r="E208" t="s">
        <v>1897</v>
      </c>
      <c r="F208" t="s">
        <v>1242</v>
      </c>
      <c r="G208" t="s">
        <v>3134</v>
      </c>
      <c r="H208" t="s">
        <v>1251</v>
      </c>
      <c r="I208" t="s">
        <v>3258</v>
      </c>
      <c r="J208" s="455">
        <v>46134</v>
      </c>
      <c r="K208" s="455">
        <v>46134</v>
      </c>
      <c r="U208" s="455">
        <v>46142</v>
      </c>
    </row>
    <row r="209" spans="1:21">
      <c r="A209" t="s">
        <v>1751</v>
      </c>
      <c r="B209" t="s">
        <v>9127</v>
      </c>
      <c r="C209" t="s">
        <v>1751</v>
      </c>
      <c r="D209">
        <v>20468588</v>
      </c>
      <c r="E209" t="s">
        <v>3190</v>
      </c>
      <c r="F209" t="s">
        <v>1782</v>
      </c>
      <c r="G209" t="s">
        <v>3137</v>
      </c>
      <c r="H209" t="s">
        <v>1247</v>
      </c>
      <c r="J209" s="455">
        <v>46092</v>
      </c>
      <c r="R209" s="455">
        <v>46114</v>
      </c>
      <c r="U209" s="455">
        <v>46134</v>
      </c>
    </row>
    <row r="210" spans="1:21">
      <c r="A210" t="s">
        <v>1751</v>
      </c>
      <c r="B210" t="s">
        <v>9563</v>
      </c>
      <c r="C210" t="s">
        <v>1751</v>
      </c>
      <c r="D210">
        <v>20435681</v>
      </c>
      <c r="E210" t="s">
        <v>3133</v>
      </c>
      <c r="F210" t="s">
        <v>1237</v>
      </c>
      <c r="G210" t="s">
        <v>3134</v>
      </c>
      <c r="H210" t="s">
        <v>1247</v>
      </c>
      <c r="I210" t="s">
        <v>1839</v>
      </c>
      <c r="J210" s="455">
        <v>46049</v>
      </c>
      <c r="K210" s="455">
        <v>46049</v>
      </c>
      <c r="R210" s="455">
        <v>46114</v>
      </c>
      <c r="U210" s="455">
        <v>46049</v>
      </c>
    </row>
    <row r="211" spans="1:21">
      <c r="A211" t="s">
        <v>1751</v>
      </c>
      <c r="B211" t="s">
        <v>1944</v>
      </c>
      <c r="C211" t="s">
        <v>1751</v>
      </c>
      <c r="D211">
        <v>20468485</v>
      </c>
      <c r="E211" t="s">
        <v>3133</v>
      </c>
      <c r="F211" t="s">
        <v>1241</v>
      </c>
      <c r="G211" t="s">
        <v>3134</v>
      </c>
      <c r="H211" t="s">
        <v>1247</v>
      </c>
      <c r="I211" t="s">
        <v>1943</v>
      </c>
      <c r="J211" s="455">
        <v>46092</v>
      </c>
      <c r="K211" s="455">
        <v>46092</v>
      </c>
      <c r="R211" s="455">
        <v>46116</v>
      </c>
      <c r="U211" s="455">
        <v>46092</v>
      </c>
    </row>
    <row r="212" spans="1:21">
      <c r="A212" t="s">
        <v>1751</v>
      </c>
      <c r="B212" t="s">
        <v>3261</v>
      </c>
      <c r="C212" t="s">
        <v>1751</v>
      </c>
      <c r="D212">
        <v>20480667</v>
      </c>
      <c r="E212" t="s">
        <v>3190</v>
      </c>
      <c r="F212" t="s">
        <v>1241</v>
      </c>
      <c r="G212" t="s">
        <v>3137</v>
      </c>
      <c r="H212" t="s">
        <v>1251</v>
      </c>
      <c r="J212" s="455">
        <v>46107</v>
      </c>
      <c r="R212" s="455">
        <v>46139</v>
      </c>
      <c r="U212" s="455">
        <v>46107</v>
      </c>
    </row>
    <row r="213" spans="1:21">
      <c r="A213" t="s">
        <v>1751</v>
      </c>
      <c r="B213" t="s">
        <v>3261</v>
      </c>
      <c r="C213" t="s">
        <v>1751</v>
      </c>
      <c r="D213">
        <v>20499143</v>
      </c>
      <c r="E213" t="s">
        <v>1897</v>
      </c>
      <c r="F213" t="s">
        <v>1912</v>
      </c>
      <c r="G213" t="s">
        <v>3134</v>
      </c>
      <c r="H213" t="s">
        <v>1247</v>
      </c>
      <c r="I213" t="s">
        <v>3262</v>
      </c>
      <c r="J213" s="455">
        <v>46129</v>
      </c>
      <c r="K213" s="455">
        <v>46129</v>
      </c>
      <c r="U213" s="455">
        <v>46129</v>
      </c>
    </row>
    <row r="214" spans="1:21">
      <c r="A214" t="s">
        <v>1751</v>
      </c>
      <c r="B214" t="s">
        <v>9128</v>
      </c>
      <c r="C214" t="s">
        <v>1751</v>
      </c>
      <c r="D214">
        <v>20472919</v>
      </c>
      <c r="E214" t="s">
        <v>3190</v>
      </c>
      <c r="F214" t="s">
        <v>1782</v>
      </c>
      <c r="G214" t="s">
        <v>3134</v>
      </c>
      <c r="H214" t="s">
        <v>1252</v>
      </c>
      <c r="J214" s="455">
        <v>46097</v>
      </c>
      <c r="R214" s="455">
        <v>46114</v>
      </c>
      <c r="U214" s="455">
        <v>46098</v>
      </c>
    </row>
    <row r="215" spans="1:21">
      <c r="A215" t="s">
        <v>1751</v>
      </c>
      <c r="B215" t="s">
        <v>3263</v>
      </c>
      <c r="C215" t="s">
        <v>1751</v>
      </c>
      <c r="D215">
        <v>20504247</v>
      </c>
      <c r="E215" t="s">
        <v>1897</v>
      </c>
      <c r="F215" t="s">
        <v>1799</v>
      </c>
      <c r="G215" t="s">
        <v>3134</v>
      </c>
      <c r="H215" t="s">
        <v>1247</v>
      </c>
      <c r="I215" t="s">
        <v>3264</v>
      </c>
      <c r="J215" s="455">
        <v>46132</v>
      </c>
      <c r="K215" s="455">
        <v>46132</v>
      </c>
      <c r="U215" s="455">
        <v>46137</v>
      </c>
    </row>
    <row r="216" spans="1:21">
      <c r="A216" t="s">
        <v>1751</v>
      </c>
      <c r="B216" t="s">
        <v>3263</v>
      </c>
      <c r="C216" t="s">
        <v>1751</v>
      </c>
      <c r="D216">
        <v>20504238</v>
      </c>
      <c r="E216" t="s">
        <v>1897</v>
      </c>
      <c r="F216" t="s">
        <v>1241</v>
      </c>
      <c r="G216" t="s">
        <v>3134</v>
      </c>
      <c r="H216" t="s">
        <v>1247</v>
      </c>
      <c r="I216" t="s">
        <v>3265</v>
      </c>
      <c r="J216" s="455">
        <v>46132</v>
      </c>
      <c r="K216" s="455">
        <v>46132</v>
      </c>
      <c r="U216" s="455">
        <v>46132</v>
      </c>
    </row>
    <row r="217" spans="1:21">
      <c r="A217" t="s">
        <v>1751</v>
      </c>
      <c r="B217" t="s">
        <v>9564</v>
      </c>
      <c r="C217" t="s">
        <v>1751</v>
      </c>
      <c r="D217">
        <v>20425719</v>
      </c>
      <c r="E217" t="s">
        <v>3190</v>
      </c>
      <c r="F217" t="s">
        <v>1782</v>
      </c>
      <c r="G217" t="s">
        <v>2009</v>
      </c>
      <c r="H217" t="s">
        <v>1252</v>
      </c>
      <c r="J217" s="455">
        <v>46036</v>
      </c>
      <c r="R217" s="455">
        <v>46114</v>
      </c>
      <c r="U217" s="455">
        <v>46036</v>
      </c>
    </row>
    <row r="218" spans="1:21">
      <c r="A218" t="s">
        <v>1751</v>
      </c>
      <c r="B218" t="s">
        <v>9129</v>
      </c>
      <c r="C218" t="s">
        <v>1751</v>
      </c>
      <c r="D218">
        <v>20477345</v>
      </c>
      <c r="E218" t="s">
        <v>3190</v>
      </c>
      <c r="F218" t="s">
        <v>1239</v>
      </c>
      <c r="G218" t="s">
        <v>3143</v>
      </c>
      <c r="H218" t="s">
        <v>1251</v>
      </c>
      <c r="J218" s="455">
        <v>46102</v>
      </c>
      <c r="R218" s="455">
        <v>46114</v>
      </c>
      <c r="U218" s="455">
        <v>46102</v>
      </c>
    </row>
    <row r="219" spans="1:21">
      <c r="A219" t="s">
        <v>1751</v>
      </c>
      <c r="B219" t="s">
        <v>9565</v>
      </c>
      <c r="C219" t="s">
        <v>1751</v>
      </c>
      <c r="D219">
        <v>20503800</v>
      </c>
      <c r="E219" t="s">
        <v>3128</v>
      </c>
      <c r="F219" t="s">
        <v>1782</v>
      </c>
      <c r="G219" t="s">
        <v>3137</v>
      </c>
      <c r="H219" t="s">
        <v>1252</v>
      </c>
      <c r="J219" s="455">
        <v>46132</v>
      </c>
      <c r="U219" s="455">
        <v>46136</v>
      </c>
    </row>
    <row r="220" spans="1:21">
      <c r="A220" t="s">
        <v>1751</v>
      </c>
      <c r="B220" t="s">
        <v>9566</v>
      </c>
      <c r="C220" t="s">
        <v>1751</v>
      </c>
      <c r="D220">
        <v>20509301</v>
      </c>
      <c r="E220" t="s">
        <v>3128</v>
      </c>
      <c r="F220" t="s">
        <v>1782</v>
      </c>
      <c r="G220" t="s">
        <v>3134</v>
      </c>
      <c r="H220" t="s">
        <v>3165</v>
      </c>
      <c r="J220" s="455">
        <v>46136</v>
      </c>
      <c r="U220" s="455">
        <v>46173</v>
      </c>
    </row>
    <row r="221" spans="1:21">
      <c r="A221" t="s">
        <v>1751</v>
      </c>
      <c r="B221" t="s">
        <v>9567</v>
      </c>
      <c r="C221" t="s">
        <v>1751</v>
      </c>
      <c r="D221">
        <v>20510680</v>
      </c>
      <c r="E221" t="s">
        <v>3128</v>
      </c>
      <c r="F221" t="s">
        <v>1241</v>
      </c>
      <c r="G221" t="s">
        <v>3129</v>
      </c>
      <c r="H221" t="s">
        <v>1252</v>
      </c>
      <c r="J221" s="455">
        <v>46139</v>
      </c>
      <c r="U221" s="455">
        <v>46139</v>
      </c>
    </row>
    <row r="222" spans="1:21">
      <c r="A222" t="s">
        <v>1751</v>
      </c>
      <c r="B222" t="s">
        <v>8699</v>
      </c>
      <c r="C222" t="s">
        <v>1751</v>
      </c>
      <c r="D222">
        <v>20450400</v>
      </c>
      <c r="E222" t="s">
        <v>3190</v>
      </c>
      <c r="F222" t="s">
        <v>1782</v>
      </c>
      <c r="G222" t="s">
        <v>3141</v>
      </c>
      <c r="H222" t="s">
        <v>1247</v>
      </c>
      <c r="J222" s="455">
        <v>46070</v>
      </c>
      <c r="R222" s="455">
        <v>46114</v>
      </c>
      <c r="U222" s="455">
        <v>46143</v>
      </c>
    </row>
    <row r="223" spans="1:21">
      <c r="A223" t="s">
        <v>1751</v>
      </c>
      <c r="B223" t="s">
        <v>8700</v>
      </c>
      <c r="C223" t="s">
        <v>1751</v>
      </c>
      <c r="D223">
        <v>20455740</v>
      </c>
      <c r="E223" t="s">
        <v>3190</v>
      </c>
      <c r="F223" t="s">
        <v>1241</v>
      </c>
      <c r="G223" t="s">
        <v>2009</v>
      </c>
      <c r="H223" t="s">
        <v>1248</v>
      </c>
      <c r="J223" s="455">
        <v>46076</v>
      </c>
      <c r="R223" s="455">
        <v>46114</v>
      </c>
      <c r="U223" s="455">
        <v>46091</v>
      </c>
    </row>
    <row r="224" spans="1:21">
      <c r="A224" t="s">
        <v>1751</v>
      </c>
      <c r="B224" t="s">
        <v>9568</v>
      </c>
      <c r="C224" t="s">
        <v>1751</v>
      </c>
      <c r="D224">
        <v>20490975</v>
      </c>
      <c r="E224" t="s">
        <v>3190</v>
      </c>
      <c r="F224" t="s">
        <v>1782</v>
      </c>
      <c r="G224" t="s">
        <v>3129</v>
      </c>
      <c r="H224" t="s">
        <v>1253</v>
      </c>
      <c r="J224" s="455">
        <v>46121</v>
      </c>
      <c r="R224" s="455">
        <v>46139</v>
      </c>
      <c r="U224" s="455">
        <v>46121</v>
      </c>
    </row>
    <row r="225" spans="1:21">
      <c r="A225" t="s">
        <v>1751</v>
      </c>
      <c r="B225" t="s">
        <v>9569</v>
      </c>
      <c r="C225" t="s">
        <v>1751</v>
      </c>
      <c r="D225">
        <v>20435352</v>
      </c>
      <c r="E225" t="s">
        <v>3190</v>
      </c>
      <c r="F225" t="s">
        <v>1782</v>
      </c>
      <c r="G225" t="s">
        <v>3137</v>
      </c>
      <c r="H225" t="s">
        <v>1251</v>
      </c>
      <c r="J225" s="455">
        <v>46048</v>
      </c>
      <c r="R225" s="455">
        <v>46114</v>
      </c>
      <c r="U225" s="455">
        <v>46048</v>
      </c>
    </row>
    <row r="226" spans="1:21">
      <c r="A226" t="s">
        <v>1751</v>
      </c>
      <c r="B226" t="s">
        <v>9570</v>
      </c>
      <c r="C226" t="s">
        <v>1751</v>
      </c>
      <c r="D226">
        <v>20509257</v>
      </c>
      <c r="E226" t="s">
        <v>3128</v>
      </c>
      <c r="F226" t="s">
        <v>1782</v>
      </c>
      <c r="G226" t="s">
        <v>3129</v>
      </c>
      <c r="H226" t="s">
        <v>3131</v>
      </c>
      <c r="J226" s="455">
        <v>46136</v>
      </c>
      <c r="U226" s="455">
        <v>46136</v>
      </c>
    </row>
    <row r="227" spans="1:21">
      <c r="A227" t="s">
        <v>1751</v>
      </c>
      <c r="B227" t="s">
        <v>9571</v>
      </c>
      <c r="C227" t="s">
        <v>1751</v>
      </c>
      <c r="D227">
        <v>20509923</v>
      </c>
      <c r="E227" t="s">
        <v>3128</v>
      </c>
      <c r="F227" t="s">
        <v>1782</v>
      </c>
      <c r="G227" t="s">
        <v>3141</v>
      </c>
      <c r="H227" t="s">
        <v>1252</v>
      </c>
      <c r="J227" s="455">
        <v>46137</v>
      </c>
      <c r="U227" s="455">
        <v>46152</v>
      </c>
    </row>
    <row r="228" spans="1:21">
      <c r="A228" t="s">
        <v>1751</v>
      </c>
      <c r="B228" t="s">
        <v>9572</v>
      </c>
      <c r="C228" t="s">
        <v>1751</v>
      </c>
      <c r="D228">
        <v>20504471</v>
      </c>
      <c r="E228" t="s">
        <v>3128</v>
      </c>
      <c r="F228" t="s">
        <v>1782</v>
      </c>
      <c r="G228" t="s">
        <v>3134</v>
      </c>
      <c r="H228" t="s">
        <v>1252</v>
      </c>
      <c r="J228" s="455">
        <v>46133</v>
      </c>
      <c r="U228" s="455">
        <v>46204</v>
      </c>
    </row>
    <row r="229" spans="1:21">
      <c r="A229" t="s">
        <v>1751</v>
      </c>
      <c r="B229" t="s">
        <v>2616</v>
      </c>
      <c r="C229" t="s">
        <v>1751</v>
      </c>
      <c r="D229">
        <v>20511345</v>
      </c>
      <c r="E229" t="s">
        <v>3128</v>
      </c>
      <c r="F229" t="s">
        <v>1239</v>
      </c>
      <c r="G229" t="s">
        <v>3143</v>
      </c>
      <c r="H229" t="s">
        <v>1248</v>
      </c>
      <c r="I229" t="s">
        <v>1952</v>
      </c>
      <c r="J229" s="455">
        <v>46139</v>
      </c>
      <c r="U229" s="455">
        <v>46139</v>
      </c>
    </row>
    <row r="230" spans="1:21">
      <c r="A230" t="s">
        <v>1751</v>
      </c>
      <c r="B230" t="s">
        <v>9573</v>
      </c>
      <c r="C230" t="s">
        <v>1751</v>
      </c>
      <c r="D230">
        <v>20508896</v>
      </c>
      <c r="E230" t="s">
        <v>3128</v>
      </c>
      <c r="F230" t="s">
        <v>1241</v>
      </c>
      <c r="G230" t="s">
        <v>3137</v>
      </c>
      <c r="H230" t="s">
        <v>1252</v>
      </c>
      <c r="J230" s="455">
        <v>46136</v>
      </c>
      <c r="U230" s="455">
        <v>46137</v>
      </c>
    </row>
    <row r="231" spans="1:21">
      <c r="A231" t="s">
        <v>1751</v>
      </c>
      <c r="B231" t="s">
        <v>9574</v>
      </c>
      <c r="C231" t="s">
        <v>1751</v>
      </c>
      <c r="D231">
        <v>20510983</v>
      </c>
      <c r="E231" t="s">
        <v>3128</v>
      </c>
      <c r="F231" t="s">
        <v>1242</v>
      </c>
      <c r="G231" t="s">
        <v>2009</v>
      </c>
      <c r="H231" t="s">
        <v>1251</v>
      </c>
      <c r="J231" s="455">
        <v>46139</v>
      </c>
      <c r="U231" s="455">
        <v>46143</v>
      </c>
    </row>
    <row r="232" spans="1:21">
      <c r="A232" t="s">
        <v>1751</v>
      </c>
      <c r="B232" t="s">
        <v>9575</v>
      </c>
      <c r="C232" t="s">
        <v>1751</v>
      </c>
      <c r="D232">
        <v>20417241</v>
      </c>
      <c r="E232" t="s">
        <v>3190</v>
      </c>
      <c r="F232" t="s">
        <v>1782</v>
      </c>
      <c r="G232" t="s">
        <v>3141</v>
      </c>
      <c r="H232" t="s">
        <v>1247</v>
      </c>
      <c r="J232" s="455">
        <v>46025</v>
      </c>
      <c r="R232" s="455">
        <v>46114</v>
      </c>
      <c r="U232" s="455">
        <v>46025</v>
      </c>
    </row>
    <row r="233" spans="1:21">
      <c r="A233" t="s">
        <v>1751</v>
      </c>
      <c r="B233" t="s">
        <v>9576</v>
      </c>
      <c r="C233" t="s">
        <v>1751</v>
      </c>
      <c r="D233">
        <v>20429778</v>
      </c>
      <c r="E233" t="s">
        <v>3190</v>
      </c>
      <c r="F233" t="s">
        <v>1237</v>
      </c>
      <c r="G233" t="s">
        <v>3141</v>
      </c>
      <c r="H233" t="s">
        <v>1253</v>
      </c>
      <c r="J233" s="455">
        <v>46039</v>
      </c>
      <c r="R233" s="455">
        <v>46114</v>
      </c>
      <c r="U233" s="455">
        <v>46235</v>
      </c>
    </row>
    <row r="234" spans="1:21">
      <c r="A234" t="s">
        <v>1751</v>
      </c>
      <c r="B234" t="s">
        <v>3280</v>
      </c>
      <c r="C234" t="s">
        <v>1751</v>
      </c>
      <c r="D234">
        <v>20410350</v>
      </c>
      <c r="E234" t="s">
        <v>3190</v>
      </c>
      <c r="F234" t="s">
        <v>1241</v>
      </c>
      <c r="G234" t="s">
        <v>3129</v>
      </c>
      <c r="H234" t="s">
        <v>1252</v>
      </c>
      <c r="J234" s="455">
        <v>46011</v>
      </c>
      <c r="R234" s="455">
        <v>46114</v>
      </c>
      <c r="U234" s="455">
        <v>46011</v>
      </c>
    </row>
    <row r="235" spans="1:21">
      <c r="A235" t="s">
        <v>1751</v>
      </c>
      <c r="B235" t="s">
        <v>9577</v>
      </c>
      <c r="C235" t="s">
        <v>1751</v>
      </c>
      <c r="D235">
        <v>20501416</v>
      </c>
      <c r="E235" t="s">
        <v>3190</v>
      </c>
      <c r="F235" t="s">
        <v>1782</v>
      </c>
      <c r="G235" t="s">
        <v>3134</v>
      </c>
      <c r="H235" t="s">
        <v>3165</v>
      </c>
      <c r="J235" s="455">
        <v>46131</v>
      </c>
      <c r="R235" s="455">
        <v>46139</v>
      </c>
      <c r="U235" s="455">
        <v>46133</v>
      </c>
    </row>
    <row r="236" spans="1:21">
      <c r="A236" t="s">
        <v>1751</v>
      </c>
      <c r="B236" t="s">
        <v>9131</v>
      </c>
      <c r="C236" t="s">
        <v>1751</v>
      </c>
      <c r="D236">
        <v>20471215</v>
      </c>
      <c r="E236" t="s">
        <v>3190</v>
      </c>
      <c r="F236" t="s">
        <v>1241</v>
      </c>
      <c r="G236" t="s">
        <v>3137</v>
      </c>
      <c r="H236" t="s">
        <v>1247</v>
      </c>
      <c r="J236" s="455">
        <v>46094</v>
      </c>
      <c r="R236" s="455">
        <v>46114</v>
      </c>
      <c r="U236" s="455">
        <v>46094</v>
      </c>
    </row>
    <row r="237" spans="1:21">
      <c r="A237" t="s">
        <v>1751</v>
      </c>
      <c r="B237" t="s">
        <v>8702</v>
      </c>
      <c r="C237" t="s">
        <v>1751</v>
      </c>
      <c r="D237">
        <v>20454767</v>
      </c>
      <c r="E237" t="s">
        <v>3190</v>
      </c>
      <c r="F237" t="s">
        <v>1239</v>
      </c>
      <c r="G237" t="s">
        <v>3143</v>
      </c>
      <c r="H237" t="s">
        <v>1248</v>
      </c>
      <c r="J237" s="455">
        <v>46074</v>
      </c>
      <c r="R237" s="455">
        <v>46115</v>
      </c>
      <c r="U237" s="455">
        <v>46074</v>
      </c>
    </row>
    <row r="238" spans="1:21">
      <c r="A238" t="s">
        <v>1751</v>
      </c>
      <c r="B238" t="s">
        <v>9578</v>
      </c>
      <c r="C238" t="s">
        <v>1751</v>
      </c>
      <c r="D238">
        <v>20498109</v>
      </c>
      <c r="E238" t="s">
        <v>3190</v>
      </c>
      <c r="F238" t="s">
        <v>1241</v>
      </c>
      <c r="G238" t="s">
        <v>3137</v>
      </c>
      <c r="H238" t="s">
        <v>1247</v>
      </c>
      <c r="J238" s="455">
        <v>46128</v>
      </c>
      <c r="R238" s="455">
        <v>46139</v>
      </c>
      <c r="U238" s="455">
        <v>46128</v>
      </c>
    </row>
    <row r="239" spans="1:21">
      <c r="A239" t="s">
        <v>1751</v>
      </c>
      <c r="B239" t="s">
        <v>3284</v>
      </c>
      <c r="C239" t="s">
        <v>1751</v>
      </c>
      <c r="D239">
        <v>20489364</v>
      </c>
      <c r="E239" t="s">
        <v>1897</v>
      </c>
      <c r="F239" t="s">
        <v>3285</v>
      </c>
      <c r="G239" t="s">
        <v>3134</v>
      </c>
      <c r="H239" t="s">
        <v>1252</v>
      </c>
      <c r="I239" t="s">
        <v>1827</v>
      </c>
      <c r="J239" s="455">
        <v>46119</v>
      </c>
      <c r="K239" s="455">
        <v>46120</v>
      </c>
      <c r="U239" s="455">
        <v>46143</v>
      </c>
    </row>
    <row r="240" spans="1:21">
      <c r="A240" t="s">
        <v>1751</v>
      </c>
      <c r="B240" t="s">
        <v>9579</v>
      </c>
      <c r="C240" t="s">
        <v>1751</v>
      </c>
      <c r="D240">
        <v>20506984</v>
      </c>
      <c r="E240" t="s">
        <v>3128</v>
      </c>
      <c r="F240" t="s">
        <v>1241</v>
      </c>
      <c r="G240" t="s">
        <v>3134</v>
      </c>
      <c r="H240" t="s">
        <v>3165</v>
      </c>
      <c r="J240" s="455">
        <v>46134</v>
      </c>
      <c r="U240" s="455">
        <v>46142</v>
      </c>
    </row>
    <row r="241" spans="1:21">
      <c r="A241" t="s">
        <v>1751</v>
      </c>
      <c r="B241" t="s">
        <v>9132</v>
      </c>
      <c r="C241" t="s">
        <v>1751</v>
      </c>
      <c r="D241">
        <v>20460807</v>
      </c>
      <c r="E241" t="s">
        <v>3190</v>
      </c>
      <c r="F241" t="s">
        <v>1782</v>
      </c>
      <c r="G241" t="s">
        <v>3141</v>
      </c>
      <c r="H241" t="s">
        <v>4333</v>
      </c>
      <c r="J241" s="455">
        <v>46083</v>
      </c>
      <c r="R241" s="455">
        <v>46114</v>
      </c>
      <c r="U241" s="455">
        <v>46083</v>
      </c>
    </row>
    <row r="242" spans="1:21">
      <c r="A242" t="s">
        <v>1751</v>
      </c>
      <c r="B242" t="s">
        <v>9133</v>
      </c>
      <c r="C242" t="s">
        <v>1751</v>
      </c>
      <c r="D242">
        <v>20471601</v>
      </c>
      <c r="E242" t="s">
        <v>3190</v>
      </c>
      <c r="F242" t="s">
        <v>1238</v>
      </c>
      <c r="G242" t="s">
        <v>3143</v>
      </c>
      <c r="H242" t="s">
        <v>1248</v>
      </c>
      <c r="J242" s="455">
        <v>46095</v>
      </c>
      <c r="R242" s="455">
        <v>46115</v>
      </c>
      <c r="U242" s="455">
        <v>46095</v>
      </c>
    </row>
    <row r="243" spans="1:21">
      <c r="A243" t="s">
        <v>1751</v>
      </c>
      <c r="B243" t="s">
        <v>9134</v>
      </c>
      <c r="C243" t="s">
        <v>1751</v>
      </c>
      <c r="D243">
        <v>20469110</v>
      </c>
      <c r="E243" t="s">
        <v>3190</v>
      </c>
      <c r="F243" t="s">
        <v>1782</v>
      </c>
      <c r="G243" t="s">
        <v>3143</v>
      </c>
      <c r="H243" t="s">
        <v>1248</v>
      </c>
      <c r="I243" t="s">
        <v>1796</v>
      </c>
      <c r="J243" s="455">
        <v>46093</v>
      </c>
      <c r="R243" s="455">
        <v>46114</v>
      </c>
      <c r="U243" s="455">
        <v>46093</v>
      </c>
    </row>
    <row r="244" spans="1:21">
      <c r="A244" t="s">
        <v>1751</v>
      </c>
      <c r="B244" t="s">
        <v>9135</v>
      </c>
      <c r="C244" t="s">
        <v>1751</v>
      </c>
      <c r="D244">
        <v>20463037</v>
      </c>
      <c r="E244" t="s">
        <v>3190</v>
      </c>
      <c r="F244" t="s">
        <v>1239</v>
      </c>
      <c r="G244" t="s">
        <v>3143</v>
      </c>
      <c r="H244" t="s">
        <v>1252</v>
      </c>
      <c r="J244" s="455">
        <v>46086</v>
      </c>
      <c r="R244" s="455">
        <v>46114</v>
      </c>
      <c r="U244" s="455">
        <v>46157</v>
      </c>
    </row>
    <row r="245" spans="1:21">
      <c r="A245" t="s">
        <v>1751</v>
      </c>
      <c r="B245" t="s">
        <v>8703</v>
      </c>
      <c r="C245" t="s">
        <v>1751</v>
      </c>
      <c r="D245">
        <v>20442536</v>
      </c>
      <c r="E245" t="s">
        <v>3190</v>
      </c>
      <c r="F245" t="s">
        <v>1241</v>
      </c>
      <c r="G245" t="s">
        <v>3141</v>
      </c>
      <c r="H245" t="s">
        <v>1247</v>
      </c>
      <c r="J245" s="455">
        <v>46059</v>
      </c>
      <c r="R245" s="455">
        <v>46114</v>
      </c>
      <c r="U245" s="455">
        <v>46074</v>
      </c>
    </row>
    <row r="246" spans="1:21">
      <c r="A246" t="s">
        <v>1751</v>
      </c>
      <c r="B246" t="s">
        <v>9580</v>
      </c>
      <c r="C246" t="s">
        <v>1751</v>
      </c>
      <c r="D246">
        <v>20495495</v>
      </c>
      <c r="E246" t="s">
        <v>3128</v>
      </c>
      <c r="F246" t="s">
        <v>1241</v>
      </c>
      <c r="G246" t="s">
        <v>3134</v>
      </c>
      <c r="H246" t="s">
        <v>1252</v>
      </c>
      <c r="J246" s="455">
        <v>46127</v>
      </c>
      <c r="U246" s="455">
        <v>46161</v>
      </c>
    </row>
    <row r="247" spans="1:21">
      <c r="A247" t="s">
        <v>1751</v>
      </c>
      <c r="B247" t="s">
        <v>9581</v>
      </c>
      <c r="C247" t="s">
        <v>1751</v>
      </c>
      <c r="D247">
        <v>20511282</v>
      </c>
      <c r="E247" t="s">
        <v>3128</v>
      </c>
      <c r="F247" t="s">
        <v>1241</v>
      </c>
      <c r="G247" t="s">
        <v>2009</v>
      </c>
      <c r="H247" t="s">
        <v>1252</v>
      </c>
      <c r="J247" s="455">
        <v>46139</v>
      </c>
      <c r="U247" s="455">
        <v>46139</v>
      </c>
    </row>
    <row r="248" spans="1:21">
      <c r="A248" t="s">
        <v>1751</v>
      </c>
      <c r="B248" t="s">
        <v>9582</v>
      </c>
      <c r="C248" t="s">
        <v>1751</v>
      </c>
      <c r="D248">
        <v>20414434</v>
      </c>
      <c r="E248" t="s">
        <v>3190</v>
      </c>
      <c r="F248" t="s">
        <v>1237</v>
      </c>
      <c r="G248" t="s">
        <v>3141</v>
      </c>
      <c r="H248" t="s">
        <v>1252</v>
      </c>
      <c r="J248" s="455">
        <v>46020</v>
      </c>
      <c r="R248" s="455">
        <v>46114</v>
      </c>
      <c r="U248" s="455">
        <v>46081</v>
      </c>
    </row>
    <row r="249" spans="1:21">
      <c r="A249" t="s">
        <v>1751</v>
      </c>
      <c r="B249" t="s">
        <v>9136</v>
      </c>
      <c r="C249" t="s">
        <v>1751</v>
      </c>
      <c r="D249">
        <v>20483263</v>
      </c>
      <c r="E249" t="s">
        <v>3190</v>
      </c>
      <c r="F249" t="s">
        <v>1237</v>
      </c>
      <c r="G249" t="s">
        <v>3134</v>
      </c>
      <c r="H249" t="s">
        <v>1252</v>
      </c>
      <c r="I249" t="s">
        <v>5773</v>
      </c>
      <c r="J249" s="455">
        <v>46111</v>
      </c>
      <c r="R249" s="455">
        <v>46139</v>
      </c>
      <c r="U249" s="455">
        <v>46116</v>
      </c>
    </row>
    <row r="250" spans="1:21">
      <c r="A250" t="s">
        <v>1751</v>
      </c>
      <c r="B250" t="s">
        <v>9583</v>
      </c>
      <c r="C250" t="s">
        <v>1751</v>
      </c>
      <c r="D250">
        <v>20490180</v>
      </c>
      <c r="E250" t="s">
        <v>3190</v>
      </c>
      <c r="F250" t="s">
        <v>1782</v>
      </c>
      <c r="G250" t="s">
        <v>3143</v>
      </c>
      <c r="H250" t="s">
        <v>1248</v>
      </c>
      <c r="J250" s="455">
        <v>46120</v>
      </c>
      <c r="R250" s="455">
        <v>46139</v>
      </c>
      <c r="U250" s="455">
        <v>46200</v>
      </c>
    </row>
    <row r="251" spans="1:21">
      <c r="A251" t="s">
        <v>1751</v>
      </c>
      <c r="B251" t="s">
        <v>9584</v>
      </c>
      <c r="C251" t="s">
        <v>1751</v>
      </c>
      <c r="D251">
        <v>20494746</v>
      </c>
      <c r="E251" t="s">
        <v>3190</v>
      </c>
      <c r="F251" t="s">
        <v>1239</v>
      </c>
      <c r="G251" t="s">
        <v>3143</v>
      </c>
      <c r="H251" t="s">
        <v>3358</v>
      </c>
      <c r="I251" t="s">
        <v>2617</v>
      </c>
      <c r="J251" s="455">
        <v>46126</v>
      </c>
      <c r="R251" s="455">
        <v>46139</v>
      </c>
      <c r="U251" s="455">
        <v>46126</v>
      </c>
    </row>
    <row r="252" spans="1:21">
      <c r="A252" t="s">
        <v>1751</v>
      </c>
      <c r="B252" t="s">
        <v>9585</v>
      </c>
      <c r="C252" t="s">
        <v>1751</v>
      </c>
      <c r="D252">
        <v>20504102</v>
      </c>
      <c r="E252" t="s">
        <v>3128</v>
      </c>
      <c r="F252" t="s">
        <v>1239</v>
      </c>
      <c r="G252" t="s">
        <v>3143</v>
      </c>
      <c r="H252" t="s">
        <v>3358</v>
      </c>
      <c r="I252" t="s">
        <v>1952</v>
      </c>
      <c r="J252" s="455">
        <v>46132</v>
      </c>
      <c r="U252" s="455">
        <v>46132</v>
      </c>
    </row>
    <row r="253" spans="1:21">
      <c r="A253" t="s">
        <v>1751</v>
      </c>
      <c r="B253" t="s">
        <v>3293</v>
      </c>
      <c r="C253" t="s">
        <v>1751</v>
      </c>
      <c r="D253">
        <v>20487575</v>
      </c>
      <c r="E253" t="s">
        <v>1897</v>
      </c>
      <c r="F253" t="s">
        <v>1241</v>
      </c>
      <c r="G253" t="s">
        <v>3134</v>
      </c>
      <c r="H253" t="s">
        <v>1249</v>
      </c>
      <c r="I253" t="s">
        <v>1827</v>
      </c>
      <c r="J253" s="455">
        <v>46117</v>
      </c>
      <c r="K253" s="455">
        <v>46117</v>
      </c>
      <c r="U253" s="455">
        <v>46119</v>
      </c>
    </row>
    <row r="254" spans="1:21">
      <c r="A254" t="s">
        <v>1751</v>
      </c>
      <c r="B254" t="s">
        <v>9586</v>
      </c>
      <c r="C254" t="s">
        <v>1751</v>
      </c>
      <c r="D254">
        <v>20488481</v>
      </c>
      <c r="E254" t="s">
        <v>3190</v>
      </c>
      <c r="F254" t="s">
        <v>1238</v>
      </c>
      <c r="G254" t="s">
        <v>3143</v>
      </c>
      <c r="H254" t="s">
        <v>1252</v>
      </c>
      <c r="J254" s="455">
        <v>46118</v>
      </c>
      <c r="R254" s="455">
        <v>46139</v>
      </c>
      <c r="U254" s="455">
        <v>46123</v>
      </c>
    </row>
    <row r="255" spans="1:21">
      <c r="A255" t="s">
        <v>1751</v>
      </c>
      <c r="B255" t="s">
        <v>8705</v>
      </c>
      <c r="C255" t="s">
        <v>1751</v>
      </c>
      <c r="D255">
        <v>20444078</v>
      </c>
      <c r="E255" t="s">
        <v>3190</v>
      </c>
      <c r="F255" t="s">
        <v>1241</v>
      </c>
      <c r="G255" t="s">
        <v>3137</v>
      </c>
      <c r="H255" t="s">
        <v>1251</v>
      </c>
      <c r="J255" s="455">
        <v>46062</v>
      </c>
      <c r="R255" s="455">
        <v>46114</v>
      </c>
      <c r="U255" s="455">
        <v>46115</v>
      </c>
    </row>
    <row r="256" spans="1:21">
      <c r="A256" t="s">
        <v>1751</v>
      </c>
      <c r="B256" t="s">
        <v>9587</v>
      </c>
      <c r="C256" t="s">
        <v>1751</v>
      </c>
      <c r="D256">
        <v>20503743</v>
      </c>
      <c r="E256" t="s">
        <v>3128</v>
      </c>
      <c r="F256" t="s">
        <v>1782</v>
      </c>
      <c r="G256" t="s">
        <v>3129</v>
      </c>
      <c r="H256" t="s">
        <v>1252</v>
      </c>
      <c r="J256" s="455">
        <v>46132</v>
      </c>
      <c r="U256" s="455">
        <v>46132</v>
      </c>
    </row>
    <row r="257" spans="1:21">
      <c r="A257" t="s">
        <v>1751</v>
      </c>
      <c r="B257" t="s">
        <v>9138</v>
      </c>
      <c r="C257" t="s">
        <v>1751</v>
      </c>
      <c r="D257">
        <v>20475862</v>
      </c>
      <c r="E257" t="s">
        <v>3190</v>
      </c>
      <c r="F257" t="s">
        <v>1237</v>
      </c>
      <c r="G257" t="s">
        <v>3143</v>
      </c>
      <c r="H257" t="s">
        <v>1252</v>
      </c>
      <c r="I257" t="s">
        <v>1931</v>
      </c>
      <c r="J257" s="455">
        <v>46100</v>
      </c>
      <c r="R257" s="455">
        <v>46114</v>
      </c>
      <c r="U257" s="455">
        <v>46115</v>
      </c>
    </row>
    <row r="258" spans="1:21">
      <c r="A258" t="s">
        <v>1751</v>
      </c>
      <c r="B258" t="s">
        <v>9588</v>
      </c>
      <c r="C258" t="s">
        <v>1751</v>
      </c>
      <c r="D258">
        <v>20430698</v>
      </c>
      <c r="E258" t="s">
        <v>3190</v>
      </c>
      <c r="F258" t="s">
        <v>1237</v>
      </c>
      <c r="G258" t="s">
        <v>3141</v>
      </c>
      <c r="H258" t="s">
        <v>1252</v>
      </c>
      <c r="J258" s="455">
        <v>46042</v>
      </c>
      <c r="R258" s="455">
        <v>46114</v>
      </c>
      <c r="U258" s="455">
        <v>46042</v>
      </c>
    </row>
    <row r="259" spans="1:21">
      <c r="A259" t="s">
        <v>1751</v>
      </c>
      <c r="B259" t="s">
        <v>9139</v>
      </c>
      <c r="C259" t="s">
        <v>1751</v>
      </c>
      <c r="D259">
        <v>20478117</v>
      </c>
      <c r="E259" t="s">
        <v>3190</v>
      </c>
      <c r="F259" t="s">
        <v>1782</v>
      </c>
      <c r="G259" t="s">
        <v>3134</v>
      </c>
      <c r="H259" t="s">
        <v>1252</v>
      </c>
      <c r="J259" s="455">
        <v>46104</v>
      </c>
      <c r="R259" s="455">
        <v>46114</v>
      </c>
      <c r="U259" s="455">
        <v>46115</v>
      </c>
    </row>
    <row r="260" spans="1:21">
      <c r="A260" t="s">
        <v>1751</v>
      </c>
      <c r="B260" t="s">
        <v>3300</v>
      </c>
      <c r="C260" t="s">
        <v>1751</v>
      </c>
      <c r="D260">
        <v>20487675</v>
      </c>
      <c r="E260" t="s">
        <v>3133</v>
      </c>
      <c r="F260" t="s">
        <v>1782</v>
      </c>
      <c r="G260" t="s">
        <v>3134</v>
      </c>
      <c r="H260" t="s">
        <v>1252</v>
      </c>
      <c r="I260" t="s">
        <v>1784</v>
      </c>
      <c r="J260" s="455">
        <v>46117</v>
      </c>
      <c r="K260" s="455">
        <v>46118</v>
      </c>
      <c r="L260" s="455">
        <v>46118</v>
      </c>
      <c r="R260" s="455">
        <v>46126</v>
      </c>
      <c r="U260" s="455">
        <v>46136</v>
      </c>
    </row>
    <row r="261" spans="1:21">
      <c r="A261" t="s">
        <v>1751</v>
      </c>
      <c r="B261" t="s">
        <v>3300</v>
      </c>
      <c r="C261" t="s">
        <v>1751</v>
      </c>
      <c r="D261">
        <v>20488591</v>
      </c>
      <c r="E261" t="s">
        <v>1897</v>
      </c>
      <c r="F261" t="s">
        <v>1238</v>
      </c>
      <c r="G261" t="s">
        <v>3134</v>
      </c>
      <c r="H261" t="s">
        <v>1247</v>
      </c>
      <c r="J261" s="455">
        <v>46118</v>
      </c>
      <c r="K261" s="455">
        <v>46118</v>
      </c>
      <c r="U261" s="455">
        <v>46118</v>
      </c>
    </row>
    <row r="262" spans="1:21">
      <c r="A262" t="s">
        <v>1751</v>
      </c>
      <c r="B262" t="s">
        <v>9589</v>
      </c>
      <c r="C262" t="s">
        <v>1751</v>
      </c>
      <c r="D262">
        <v>20511177</v>
      </c>
      <c r="E262" t="s">
        <v>3128</v>
      </c>
      <c r="F262" t="s">
        <v>1782</v>
      </c>
      <c r="G262" t="s">
        <v>3141</v>
      </c>
      <c r="H262" t="s">
        <v>1252</v>
      </c>
      <c r="J262" s="455">
        <v>46139</v>
      </c>
      <c r="U262" s="455">
        <v>46234</v>
      </c>
    </row>
    <row r="263" spans="1:21">
      <c r="A263" t="s">
        <v>1751</v>
      </c>
      <c r="B263" t="s">
        <v>8707</v>
      </c>
      <c r="C263" t="s">
        <v>1751</v>
      </c>
      <c r="D263">
        <v>20441040</v>
      </c>
      <c r="E263" t="s">
        <v>3190</v>
      </c>
      <c r="F263" t="s">
        <v>1241</v>
      </c>
      <c r="G263" t="s">
        <v>3143</v>
      </c>
      <c r="H263" t="s">
        <v>1252</v>
      </c>
      <c r="J263" s="455">
        <v>46057</v>
      </c>
      <c r="R263" s="455">
        <v>46114</v>
      </c>
      <c r="U263" s="455">
        <v>46081</v>
      </c>
    </row>
    <row r="264" spans="1:21">
      <c r="A264" t="s">
        <v>1751</v>
      </c>
      <c r="B264" t="s">
        <v>7082</v>
      </c>
      <c r="C264" t="s">
        <v>1751</v>
      </c>
      <c r="D264">
        <v>20485061</v>
      </c>
      <c r="E264" t="s">
        <v>3142</v>
      </c>
      <c r="F264" t="s">
        <v>1239</v>
      </c>
      <c r="G264" t="s">
        <v>3129</v>
      </c>
      <c r="H264" t="s">
        <v>1248</v>
      </c>
      <c r="I264" t="s">
        <v>7081</v>
      </c>
      <c r="J264" s="455">
        <v>46113</v>
      </c>
      <c r="K264" s="455">
        <v>46113</v>
      </c>
      <c r="L264" s="455">
        <v>46116</v>
      </c>
      <c r="M264" s="455">
        <v>46127</v>
      </c>
      <c r="N264" s="455">
        <v>46127</v>
      </c>
      <c r="O264" s="455">
        <v>46128</v>
      </c>
      <c r="P264" s="455">
        <v>46132</v>
      </c>
      <c r="Q264" s="455">
        <v>46132</v>
      </c>
      <c r="U264" s="455">
        <v>46143</v>
      </c>
    </row>
    <row r="265" spans="1:21">
      <c r="A265" t="s">
        <v>1751</v>
      </c>
      <c r="B265" t="s">
        <v>9590</v>
      </c>
      <c r="C265" t="s">
        <v>1751</v>
      </c>
      <c r="D265">
        <v>20497135</v>
      </c>
      <c r="E265" t="s">
        <v>3190</v>
      </c>
      <c r="F265" t="s">
        <v>1241</v>
      </c>
      <c r="G265" t="s">
        <v>3134</v>
      </c>
      <c r="H265" t="s">
        <v>3165</v>
      </c>
      <c r="J265" s="455">
        <v>46127</v>
      </c>
      <c r="R265" s="455">
        <v>46139</v>
      </c>
      <c r="U265" s="455">
        <v>46156</v>
      </c>
    </row>
    <row r="266" spans="1:21">
      <c r="A266" t="s">
        <v>1751</v>
      </c>
      <c r="B266" t="s">
        <v>3308</v>
      </c>
      <c r="C266" t="s">
        <v>1751</v>
      </c>
      <c r="D266">
        <v>20476764</v>
      </c>
      <c r="E266" t="s">
        <v>3190</v>
      </c>
      <c r="F266" t="s">
        <v>1237</v>
      </c>
      <c r="G266" t="s">
        <v>3143</v>
      </c>
      <c r="H266" t="s">
        <v>1252</v>
      </c>
      <c r="I266" t="s">
        <v>1825</v>
      </c>
      <c r="J266" s="455">
        <v>46101</v>
      </c>
      <c r="R266" s="455">
        <v>46114</v>
      </c>
      <c r="U266" s="455">
        <v>46107</v>
      </c>
    </row>
    <row r="267" spans="1:21">
      <c r="A267" t="s">
        <v>1751</v>
      </c>
      <c r="B267" t="s">
        <v>9591</v>
      </c>
      <c r="C267" t="s">
        <v>1751</v>
      </c>
      <c r="D267">
        <v>20491992</v>
      </c>
      <c r="E267" t="s">
        <v>3133</v>
      </c>
      <c r="F267" t="s">
        <v>1239</v>
      </c>
      <c r="G267" t="s">
        <v>3143</v>
      </c>
      <c r="H267" t="s">
        <v>1252</v>
      </c>
      <c r="I267" t="s">
        <v>5829</v>
      </c>
      <c r="J267" s="455">
        <v>46122</v>
      </c>
      <c r="K267" s="455">
        <v>46123</v>
      </c>
      <c r="L267" s="455">
        <v>46123</v>
      </c>
      <c r="S267" s="455">
        <v>46126</v>
      </c>
      <c r="U267" s="455">
        <v>46136</v>
      </c>
    </row>
    <row r="268" spans="1:21">
      <c r="A268" t="s">
        <v>1751</v>
      </c>
      <c r="B268" t="s">
        <v>9592</v>
      </c>
      <c r="C268" t="s">
        <v>1751</v>
      </c>
      <c r="D268">
        <v>20498103</v>
      </c>
      <c r="E268" t="s">
        <v>3190</v>
      </c>
      <c r="F268" t="s">
        <v>1241</v>
      </c>
      <c r="G268" t="s">
        <v>3129</v>
      </c>
      <c r="H268" t="s">
        <v>1252</v>
      </c>
      <c r="J268" s="455">
        <v>46128</v>
      </c>
      <c r="R268" s="455">
        <v>46139</v>
      </c>
      <c r="U268" s="455">
        <v>46128</v>
      </c>
    </row>
    <row r="269" spans="1:21">
      <c r="A269" t="s">
        <v>1751</v>
      </c>
      <c r="B269" t="s">
        <v>3310</v>
      </c>
      <c r="C269" t="s">
        <v>1751</v>
      </c>
      <c r="D269">
        <v>20482205</v>
      </c>
      <c r="E269" t="s">
        <v>3190</v>
      </c>
      <c r="F269" t="s">
        <v>1782</v>
      </c>
      <c r="G269" t="s">
        <v>3129</v>
      </c>
      <c r="H269" t="s">
        <v>1252</v>
      </c>
      <c r="I269" t="s">
        <v>1952</v>
      </c>
      <c r="J269" s="455">
        <v>46109</v>
      </c>
      <c r="R269" s="455">
        <v>46139</v>
      </c>
      <c r="U269" s="455">
        <v>46115</v>
      </c>
    </row>
    <row r="270" spans="1:21">
      <c r="A270" t="s">
        <v>1751</v>
      </c>
      <c r="B270" t="s">
        <v>9141</v>
      </c>
      <c r="C270" t="s">
        <v>1751</v>
      </c>
      <c r="D270">
        <v>20471390</v>
      </c>
      <c r="E270" t="s">
        <v>3190</v>
      </c>
      <c r="F270" t="s">
        <v>1241</v>
      </c>
      <c r="G270" t="s">
        <v>3143</v>
      </c>
      <c r="H270" t="s">
        <v>1248</v>
      </c>
      <c r="I270" t="s">
        <v>2388</v>
      </c>
      <c r="J270" s="455">
        <v>46095</v>
      </c>
      <c r="R270" s="455">
        <v>46114</v>
      </c>
      <c r="U270" s="455">
        <v>46116</v>
      </c>
    </row>
    <row r="271" spans="1:21">
      <c r="A271" t="s">
        <v>1751</v>
      </c>
      <c r="B271" t="s">
        <v>9593</v>
      </c>
      <c r="C271" t="s">
        <v>1751</v>
      </c>
      <c r="D271">
        <v>20500052</v>
      </c>
      <c r="E271" t="s">
        <v>3190</v>
      </c>
      <c r="F271" t="s">
        <v>1782</v>
      </c>
      <c r="G271" t="s">
        <v>3134</v>
      </c>
      <c r="H271" t="s">
        <v>3165</v>
      </c>
      <c r="J271" s="455">
        <v>46129</v>
      </c>
      <c r="R271" s="455">
        <v>46139</v>
      </c>
      <c r="U271" s="455">
        <v>46144</v>
      </c>
    </row>
    <row r="272" spans="1:21">
      <c r="A272" t="s">
        <v>1751</v>
      </c>
      <c r="B272" t="s">
        <v>9594</v>
      </c>
      <c r="C272" t="s">
        <v>1751</v>
      </c>
      <c r="D272">
        <v>20505641</v>
      </c>
      <c r="E272" t="s">
        <v>3128</v>
      </c>
      <c r="F272" t="s">
        <v>1782</v>
      </c>
      <c r="G272" t="s">
        <v>3129</v>
      </c>
      <c r="H272" t="s">
        <v>1252</v>
      </c>
      <c r="J272" s="455">
        <v>46134</v>
      </c>
      <c r="U272" s="455">
        <v>46170</v>
      </c>
    </row>
    <row r="273" spans="1:21">
      <c r="A273" t="s">
        <v>1751</v>
      </c>
      <c r="B273" t="s">
        <v>9595</v>
      </c>
      <c r="C273" t="s">
        <v>1751</v>
      </c>
      <c r="D273">
        <v>20437696</v>
      </c>
      <c r="E273" t="s">
        <v>3133</v>
      </c>
      <c r="F273" t="s">
        <v>1241</v>
      </c>
      <c r="G273" t="s">
        <v>3134</v>
      </c>
      <c r="H273" t="s">
        <v>1252</v>
      </c>
      <c r="J273" s="455">
        <v>46052</v>
      </c>
      <c r="K273" s="455">
        <v>46052</v>
      </c>
      <c r="R273" s="455">
        <v>46114</v>
      </c>
      <c r="U273" s="455">
        <v>46174</v>
      </c>
    </row>
    <row r="274" spans="1:21">
      <c r="A274" t="s">
        <v>1751</v>
      </c>
      <c r="B274" t="s">
        <v>9596</v>
      </c>
      <c r="C274" t="s">
        <v>1751</v>
      </c>
      <c r="D274">
        <v>20500330</v>
      </c>
      <c r="E274" t="s">
        <v>3190</v>
      </c>
      <c r="F274" t="s">
        <v>1782</v>
      </c>
      <c r="G274" t="s">
        <v>3134</v>
      </c>
      <c r="H274" t="s">
        <v>3165</v>
      </c>
      <c r="J274" s="455">
        <v>46129</v>
      </c>
      <c r="R274" s="455">
        <v>46139</v>
      </c>
      <c r="U274" s="455">
        <v>46143</v>
      </c>
    </row>
    <row r="275" spans="1:21">
      <c r="A275" t="s">
        <v>1751</v>
      </c>
      <c r="B275" t="s">
        <v>9143</v>
      </c>
      <c r="C275" t="s">
        <v>1751</v>
      </c>
      <c r="D275">
        <v>20480378</v>
      </c>
      <c r="E275" t="s">
        <v>3190</v>
      </c>
      <c r="F275" t="s">
        <v>1782</v>
      </c>
      <c r="G275" t="s">
        <v>3134</v>
      </c>
      <c r="H275" t="s">
        <v>1252</v>
      </c>
      <c r="J275" s="455">
        <v>46106</v>
      </c>
      <c r="R275" s="455">
        <v>46114</v>
      </c>
      <c r="U275" s="455">
        <v>46183</v>
      </c>
    </row>
    <row r="276" spans="1:21">
      <c r="A276" t="s">
        <v>1751</v>
      </c>
      <c r="B276" t="s">
        <v>9597</v>
      </c>
      <c r="C276" t="s">
        <v>1751</v>
      </c>
      <c r="D276">
        <v>20410082</v>
      </c>
      <c r="E276" t="s">
        <v>3133</v>
      </c>
      <c r="F276" t="s">
        <v>8652</v>
      </c>
      <c r="G276" t="s">
        <v>3143</v>
      </c>
      <c r="H276" t="s">
        <v>1248</v>
      </c>
      <c r="J276" s="455">
        <v>46010</v>
      </c>
      <c r="K276" s="455">
        <v>46020</v>
      </c>
      <c r="R276" s="455">
        <v>46114</v>
      </c>
      <c r="U276" s="455">
        <v>46010</v>
      </c>
    </row>
    <row r="277" spans="1:21">
      <c r="A277" t="s">
        <v>1751</v>
      </c>
      <c r="B277" t="s">
        <v>9598</v>
      </c>
      <c r="C277" t="s">
        <v>1751</v>
      </c>
      <c r="D277">
        <v>20501950</v>
      </c>
      <c r="E277" t="s">
        <v>3128</v>
      </c>
      <c r="F277" t="s">
        <v>1782</v>
      </c>
      <c r="G277" t="s">
        <v>3141</v>
      </c>
      <c r="H277" t="s">
        <v>1252</v>
      </c>
      <c r="J277" s="455">
        <v>46132</v>
      </c>
      <c r="U277" s="455">
        <v>46200</v>
      </c>
    </row>
    <row r="278" spans="1:21">
      <c r="A278" t="s">
        <v>1751</v>
      </c>
      <c r="B278" t="s">
        <v>9599</v>
      </c>
      <c r="C278" t="s">
        <v>1751</v>
      </c>
      <c r="D278">
        <v>20433203</v>
      </c>
      <c r="E278" t="s">
        <v>3190</v>
      </c>
      <c r="F278" t="s">
        <v>1782</v>
      </c>
      <c r="G278" t="s">
        <v>3141</v>
      </c>
      <c r="H278" t="s">
        <v>1247</v>
      </c>
      <c r="J278" s="455">
        <v>46045</v>
      </c>
      <c r="R278" s="455">
        <v>46114</v>
      </c>
      <c r="U278" s="455">
        <v>46045</v>
      </c>
    </row>
    <row r="279" spans="1:21">
      <c r="A279" t="s">
        <v>1751</v>
      </c>
      <c r="B279" t="s">
        <v>9600</v>
      </c>
      <c r="C279" t="s">
        <v>1751</v>
      </c>
      <c r="D279">
        <v>20416971</v>
      </c>
      <c r="E279" t="s">
        <v>3190</v>
      </c>
      <c r="F279" t="s">
        <v>8652</v>
      </c>
      <c r="G279" t="s">
        <v>3137</v>
      </c>
      <c r="H279" t="s">
        <v>1247</v>
      </c>
      <c r="J279" s="455">
        <v>46024</v>
      </c>
      <c r="R279" s="455">
        <v>46114</v>
      </c>
      <c r="U279" s="455">
        <v>46055</v>
      </c>
    </row>
    <row r="280" spans="1:21">
      <c r="A280" t="s">
        <v>1751</v>
      </c>
      <c r="B280" t="s">
        <v>9601</v>
      </c>
      <c r="C280" t="s">
        <v>1751</v>
      </c>
      <c r="D280">
        <v>20510385</v>
      </c>
      <c r="E280" t="s">
        <v>3128</v>
      </c>
      <c r="F280" t="s">
        <v>1782</v>
      </c>
      <c r="G280" t="s">
        <v>3134</v>
      </c>
      <c r="H280" t="s">
        <v>4492</v>
      </c>
      <c r="J280" s="455">
        <v>46138</v>
      </c>
      <c r="U280" s="455">
        <v>46143</v>
      </c>
    </row>
    <row r="281" spans="1:21">
      <c r="A281" t="s">
        <v>1751</v>
      </c>
      <c r="B281" t="s">
        <v>3317</v>
      </c>
      <c r="C281" t="s">
        <v>1751</v>
      </c>
      <c r="D281">
        <v>20500523</v>
      </c>
      <c r="E281" t="s">
        <v>3190</v>
      </c>
      <c r="F281" t="s">
        <v>1782</v>
      </c>
      <c r="G281" t="s">
        <v>3141</v>
      </c>
      <c r="H281" t="s">
        <v>1252</v>
      </c>
      <c r="J281" s="455">
        <v>46130</v>
      </c>
      <c r="R281" s="455">
        <v>46139</v>
      </c>
      <c r="U281" s="455">
        <v>46238</v>
      </c>
    </row>
    <row r="282" spans="1:21">
      <c r="A282" t="s">
        <v>1751</v>
      </c>
      <c r="B282" t="s">
        <v>2504</v>
      </c>
      <c r="C282" t="s">
        <v>1751</v>
      </c>
      <c r="D282">
        <v>20464435</v>
      </c>
      <c r="E282" t="s">
        <v>3190</v>
      </c>
      <c r="F282" t="s">
        <v>1782</v>
      </c>
      <c r="G282" t="s">
        <v>3141</v>
      </c>
      <c r="H282" t="s">
        <v>1247</v>
      </c>
      <c r="J282" s="455">
        <v>46088</v>
      </c>
      <c r="R282" s="455">
        <v>46114</v>
      </c>
      <c r="U282" s="455">
        <v>46088</v>
      </c>
    </row>
    <row r="283" spans="1:21">
      <c r="A283" t="s">
        <v>1751</v>
      </c>
      <c r="B283" t="s">
        <v>9602</v>
      </c>
      <c r="C283" t="s">
        <v>1751</v>
      </c>
      <c r="D283">
        <v>20492348</v>
      </c>
      <c r="E283" t="s">
        <v>3190</v>
      </c>
      <c r="F283" t="s">
        <v>1241</v>
      </c>
      <c r="G283" t="s">
        <v>2009</v>
      </c>
      <c r="H283" t="s">
        <v>1248</v>
      </c>
      <c r="J283" s="455">
        <v>46123</v>
      </c>
      <c r="R283" s="455">
        <v>46139</v>
      </c>
      <c r="U283" s="455">
        <v>46123</v>
      </c>
    </row>
    <row r="284" spans="1:21">
      <c r="A284" t="s">
        <v>1751</v>
      </c>
      <c r="B284" t="s">
        <v>8708</v>
      </c>
      <c r="C284" t="s">
        <v>1751</v>
      </c>
      <c r="D284">
        <v>20439286</v>
      </c>
      <c r="E284" t="s">
        <v>3133</v>
      </c>
      <c r="F284" t="s">
        <v>1241</v>
      </c>
      <c r="G284" t="s">
        <v>3134</v>
      </c>
      <c r="H284" t="s">
        <v>1247</v>
      </c>
      <c r="I284" t="s">
        <v>6580</v>
      </c>
      <c r="J284" s="455">
        <v>46055</v>
      </c>
      <c r="K284" s="455">
        <v>46055</v>
      </c>
      <c r="R284" s="455">
        <v>46114</v>
      </c>
      <c r="U284" s="455">
        <v>46057</v>
      </c>
    </row>
    <row r="285" spans="1:21">
      <c r="A285" t="s">
        <v>1751</v>
      </c>
      <c r="B285" t="s">
        <v>9144</v>
      </c>
      <c r="C285" t="s">
        <v>1751</v>
      </c>
      <c r="D285">
        <v>20462067</v>
      </c>
      <c r="E285" t="s">
        <v>3190</v>
      </c>
      <c r="F285" t="s">
        <v>1241</v>
      </c>
      <c r="G285" t="s">
        <v>3137</v>
      </c>
      <c r="H285" t="s">
        <v>4333</v>
      </c>
      <c r="J285" s="455">
        <v>46085</v>
      </c>
      <c r="R285" s="455">
        <v>46139</v>
      </c>
      <c r="U285" s="455">
        <v>46085</v>
      </c>
    </row>
    <row r="286" spans="1:21">
      <c r="A286" t="s">
        <v>1751</v>
      </c>
      <c r="B286" t="s">
        <v>9145</v>
      </c>
      <c r="C286" t="s">
        <v>1751</v>
      </c>
      <c r="D286">
        <v>20476333</v>
      </c>
      <c r="E286" t="s">
        <v>3190</v>
      </c>
      <c r="F286" t="s">
        <v>1238</v>
      </c>
      <c r="G286" t="s">
        <v>3134</v>
      </c>
      <c r="H286" t="s">
        <v>1252</v>
      </c>
      <c r="I286" t="s">
        <v>5773</v>
      </c>
      <c r="J286" s="455">
        <v>46100</v>
      </c>
      <c r="R286" s="455">
        <v>46114</v>
      </c>
      <c r="U286" s="455">
        <v>46113</v>
      </c>
    </row>
    <row r="287" spans="1:21">
      <c r="A287" t="s">
        <v>1751</v>
      </c>
      <c r="B287" t="s">
        <v>9146</v>
      </c>
      <c r="C287" t="s">
        <v>1751</v>
      </c>
      <c r="D287">
        <v>20479253</v>
      </c>
      <c r="E287" t="s">
        <v>3190</v>
      </c>
      <c r="F287" t="s">
        <v>1239</v>
      </c>
      <c r="G287" t="s">
        <v>3143</v>
      </c>
      <c r="H287" t="s">
        <v>1248</v>
      </c>
      <c r="I287" t="s">
        <v>2478</v>
      </c>
      <c r="J287" s="455">
        <v>46105</v>
      </c>
      <c r="R287" s="455">
        <v>46114</v>
      </c>
      <c r="U287" s="455">
        <v>46105</v>
      </c>
    </row>
    <row r="288" spans="1:21">
      <c r="A288" t="s">
        <v>1751</v>
      </c>
      <c r="B288" t="s">
        <v>3322</v>
      </c>
      <c r="C288" t="s">
        <v>1751</v>
      </c>
      <c r="D288">
        <v>20486913</v>
      </c>
      <c r="E288" t="s">
        <v>1897</v>
      </c>
      <c r="F288" t="s">
        <v>1241</v>
      </c>
      <c r="G288" t="s">
        <v>3134</v>
      </c>
      <c r="H288" t="s">
        <v>1247</v>
      </c>
      <c r="I288" t="s">
        <v>1568</v>
      </c>
      <c r="J288" s="455">
        <v>46116</v>
      </c>
      <c r="K288" s="455">
        <v>46116</v>
      </c>
      <c r="U288" s="455">
        <v>46142</v>
      </c>
    </row>
    <row r="289" spans="1:21">
      <c r="A289" t="s">
        <v>1751</v>
      </c>
      <c r="B289" t="s">
        <v>9603</v>
      </c>
      <c r="C289" t="s">
        <v>1751</v>
      </c>
      <c r="D289">
        <v>20510245</v>
      </c>
      <c r="E289" t="s">
        <v>3128</v>
      </c>
      <c r="F289" t="s">
        <v>1782</v>
      </c>
      <c r="G289" t="s">
        <v>3134</v>
      </c>
      <c r="H289" t="s">
        <v>3165</v>
      </c>
      <c r="J289" s="455">
        <v>46138</v>
      </c>
      <c r="U289" s="455">
        <v>46143</v>
      </c>
    </row>
    <row r="290" spans="1:21">
      <c r="A290" t="s">
        <v>1751</v>
      </c>
      <c r="B290" t="s">
        <v>7132</v>
      </c>
      <c r="C290" t="s">
        <v>1751</v>
      </c>
      <c r="D290">
        <v>20493368</v>
      </c>
      <c r="E290" t="s">
        <v>3190</v>
      </c>
      <c r="F290" t="s">
        <v>1241</v>
      </c>
      <c r="G290" t="s">
        <v>3143</v>
      </c>
      <c r="H290" t="s">
        <v>1252</v>
      </c>
      <c r="I290" t="s">
        <v>1230</v>
      </c>
      <c r="J290" s="455">
        <v>46125</v>
      </c>
      <c r="R290" s="455">
        <v>46130</v>
      </c>
      <c r="U290" s="455">
        <v>46125</v>
      </c>
    </row>
    <row r="291" spans="1:21">
      <c r="A291" t="s">
        <v>1751</v>
      </c>
      <c r="B291" t="s">
        <v>7132</v>
      </c>
      <c r="C291" t="s">
        <v>1751</v>
      </c>
      <c r="D291">
        <v>20493394</v>
      </c>
      <c r="E291" t="s">
        <v>3142</v>
      </c>
      <c r="F291" t="s">
        <v>1239</v>
      </c>
      <c r="G291" t="s">
        <v>3134</v>
      </c>
      <c r="H291" t="s">
        <v>1252</v>
      </c>
      <c r="I291" t="s">
        <v>7131</v>
      </c>
      <c r="J291" s="455">
        <v>46125</v>
      </c>
      <c r="K291" s="455">
        <v>46125</v>
      </c>
      <c r="L291" s="455">
        <v>46125</v>
      </c>
      <c r="M291" s="455">
        <v>46135</v>
      </c>
      <c r="N291" s="455">
        <v>46135</v>
      </c>
      <c r="P291" s="455">
        <v>46136</v>
      </c>
      <c r="Q291" s="455">
        <v>46136</v>
      </c>
      <c r="U291" s="455">
        <v>46140</v>
      </c>
    </row>
    <row r="292" spans="1:21">
      <c r="A292" t="s">
        <v>1751</v>
      </c>
      <c r="B292" t="s">
        <v>9604</v>
      </c>
      <c r="C292" t="s">
        <v>1751</v>
      </c>
      <c r="D292">
        <v>20487847</v>
      </c>
      <c r="E292" t="s">
        <v>3190</v>
      </c>
      <c r="F292" t="s">
        <v>1782</v>
      </c>
      <c r="G292" t="s">
        <v>3141</v>
      </c>
      <c r="H292" t="s">
        <v>1247</v>
      </c>
      <c r="J292" s="455">
        <v>46118</v>
      </c>
      <c r="R292" s="455">
        <v>46139</v>
      </c>
      <c r="U292" s="455">
        <v>46183</v>
      </c>
    </row>
    <row r="293" spans="1:21">
      <c r="A293" t="s">
        <v>1751</v>
      </c>
      <c r="B293" t="s">
        <v>9605</v>
      </c>
      <c r="C293" t="s">
        <v>1751</v>
      </c>
      <c r="D293">
        <v>20412177</v>
      </c>
      <c r="E293" t="s">
        <v>3133</v>
      </c>
      <c r="F293" t="s">
        <v>1239</v>
      </c>
      <c r="G293" t="s">
        <v>3134</v>
      </c>
      <c r="H293" t="s">
        <v>1247</v>
      </c>
      <c r="I293" t="s">
        <v>6431</v>
      </c>
      <c r="J293" s="455">
        <v>46015</v>
      </c>
      <c r="K293" s="455">
        <v>46015</v>
      </c>
      <c r="R293" s="455">
        <v>46114</v>
      </c>
      <c r="U293" s="455">
        <v>46034</v>
      </c>
    </row>
    <row r="294" spans="1:21">
      <c r="A294" t="s">
        <v>1751</v>
      </c>
      <c r="B294" t="s">
        <v>9606</v>
      </c>
      <c r="C294" t="s">
        <v>1751</v>
      </c>
      <c r="D294">
        <v>20494774</v>
      </c>
      <c r="E294" t="s">
        <v>3190</v>
      </c>
      <c r="F294" t="s">
        <v>1241</v>
      </c>
      <c r="G294" t="s">
        <v>3134</v>
      </c>
      <c r="H294" t="s">
        <v>1252</v>
      </c>
      <c r="J294" s="455">
        <v>46126</v>
      </c>
      <c r="R294" s="455">
        <v>46139</v>
      </c>
      <c r="U294" s="455">
        <v>46143</v>
      </c>
    </row>
    <row r="295" spans="1:21">
      <c r="A295" t="s">
        <v>1751</v>
      </c>
      <c r="B295" t="s">
        <v>9607</v>
      </c>
      <c r="C295" t="s">
        <v>1751</v>
      </c>
      <c r="D295">
        <v>20492297</v>
      </c>
      <c r="E295" t="s">
        <v>3190</v>
      </c>
      <c r="F295" t="s">
        <v>1241</v>
      </c>
      <c r="G295" t="s">
        <v>3137</v>
      </c>
      <c r="H295" t="s">
        <v>1248</v>
      </c>
      <c r="J295" s="455">
        <v>46123</v>
      </c>
      <c r="R295" s="455">
        <v>46139</v>
      </c>
      <c r="U295" s="455">
        <v>46123</v>
      </c>
    </row>
    <row r="296" spans="1:21">
      <c r="A296" t="s">
        <v>1751</v>
      </c>
      <c r="B296" t="s">
        <v>8709</v>
      </c>
      <c r="C296" t="s">
        <v>1751</v>
      </c>
      <c r="D296">
        <v>20450299</v>
      </c>
      <c r="E296" t="s">
        <v>3133</v>
      </c>
      <c r="F296" t="s">
        <v>1239</v>
      </c>
      <c r="G296" t="s">
        <v>3134</v>
      </c>
      <c r="H296" t="s">
        <v>1251</v>
      </c>
      <c r="J296" s="455">
        <v>46070</v>
      </c>
      <c r="K296" s="455">
        <v>46070</v>
      </c>
      <c r="R296" s="455">
        <v>46116</v>
      </c>
      <c r="U296" s="455">
        <v>46080</v>
      </c>
    </row>
    <row r="297" spans="1:21">
      <c r="A297" t="s">
        <v>1751</v>
      </c>
      <c r="B297" t="s">
        <v>8709</v>
      </c>
      <c r="C297" t="s">
        <v>1751</v>
      </c>
      <c r="D297">
        <v>20450291</v>
      </c>
      <c r="E297" t="s">
        <v>3190</v>
      </c>
      <c r="F297" t="s">
        <v>1782</v>
      </c>
      <c r="G297" t="s">
        <v>3141</v>
      </c>
      <c r="H297" t="s">
        <v>1251</v>
      </c>
      <c r="J297" s="455">
        <v>46070</v>
      </c>
      <c r="R297" s="455">
        <v>46114</v>
      </c>
      <c r="U297" s="455">
        <v>46070</v>
      </c>
    </row>
    <row r="298" spans="1:21">
      <c r="A298" t="s">
        <v>1751</v>
      </c>
      <c r="B298" t="s">
        <v>3331</v>
      </c>
      <c r="C298" t="s">
        <v>1751</v>
      </c>
      <c r="D298">
        <v>20491369</v>
      </c>
      <c r="E298" t="s">
        <v>1897</v>
      </c>
      <c r="F298" t="s">
        <v>1242</v>
      </c>
      <c r="G298" t="s">
        <v>3134</v>
      </c>
      <c r="H298" t="s">
        <v>1247</v>
      </c>
      <c r="I298" t="s">
        <v>3332</v>
      </c>
      <c r="J298" s="455">
        <v>46121</v>
      </c>
      <c r="K298" s="455">
        <v>46121</v>
      </c>
      <c r="U298" s="455">
        <v>46170</v>
      </c>
    </row>
    <row r="299" spans="1:21">
      <c r="A299" t="s">
        <v>1751</v>
      </c>
      <c r="B299" t="s">
        <v>9608</v>
      </c>
      <c r="C299" t="s">
        <v>1751</v>
      </c>
      <c r="D299">
        <v>20433839</v>
      </c>
      <c r="E299" t="s">
        <v>3190</v>
      </c>
      <c r="F299" t="s">
        <v>1782</v>
      </c>
      <c r="G299" t="s">
        <v>3137</v>
      </c>
      <c r="H299" t="s">
        <v>1252</v>
      </c>
      <c r="J299" s="455">
        <v>46045</v>
      </c>
      <c r="R299" s="455">
        <v>46114</v>
      </c>
      <c r="U299" s="455">
        <v>46116</v>
      </c>
    </row>
    <row r="300" spans="1:21">
      <c r="A300" t="s">
        <v>1751</v>
      </c>
      <c r="B300" t="s">
        <v>8711</v>
      </c>
      <c r="C300" t="s">
        <v>1751</v>
      </c>
      <c r="D300">
        <v>20452178</v>
      </c>
      <c r="E300" t="s">
        <v>3133</v>
      </c>
      <c r="F300" t="s">
        <v>1241</v>
      </c>
      <c r="G300" t="s">
        <v>3143</v>
      </c>
      <c r="H300" t="s">
        <v>1248</v>
      </c>
      <c r="I300" t="s">
        <v>1839</v>
      </c>
      <c r="J300" s="455">
        <v>46071</v>
      </c>
      <c r="K300" s="455">
        <v>46071</v>
      </c>
      <c r="R300" s="455">
        <v>46116</v>
      </c>
      <c r="U300" s="455">
        <v>46088</v>
      </c>
    </row>
    <row r="301" spans="1:21">
      <c r="A301" t="s">
        <v>1751</v>
      </c>
      <c r="B301" t="s">
        <v>3334</v>
      </c>
      <c r="C301" t="s">
        <v>1751</v>
      </c>
      <c r="D301">
        <v>20498787</v>
      </c>
      <c r="E301" t="s">
        <v>1897</v>
      </c>
      <c r="F301" t="s">
        <v>1242</v>
      </c>
      <c r="G301" t="s">
        <v>3137</v>
      </c>
      <c r="H301" t="s">
        <v>1247</v>
      </c>
      <c r="I301" t="s">
        <v>2171</v>
      </c>
      <c r="J301" s="455">
        <v>46129</v>
      </c>
      <c r="K301" s="455">
        <v>46129</v>
      </c>
      <c r="U301" s="455">
        <v>46142</v>
      </c>
    </row>
    <row r="302" spans="1:21">
      <c r="A302" t="s">
        <v>1751</v>
      </c>
      <c r="B302" t="s">
        <v>3334</v>
      </c>
      <c r="C302" t="s">
        <v>1751</v>
      </c>
      <c r="D302">
        <v>20498889</v>
      </c>
      <c r="E302" t="s">
        <v>1897</v>
      </c>
      <c r="F302" t="s">
        <v>1912</v>
      </c>
      <c r="G302" t="s">
        <v>3134</v>
      </c>
      <c r="H302" t="s">
        <v>1247</v>
      </c>
      <c r="J302" s="455">
        <v>46129</v>
      </c>
      <c r="K302" s="455">
        <v>46129</v>
      </c>
      <c r="U302" s="455">
        <v>46142</v>
      </c>
    </row>
    <row r="303" spans="1:21">
      <c r="A303" t="s">
        <v>1751</v>
      </c>
      <c r="B303" t="s">
        <v>9609</v>
      </c>
      <c r="C303" t="s">
        <v>1751</v>
      </c>
      <c r="D303">
        <v>20485744</v>
      </c>
      <c r="E303" t="s">
        <v>3128</v>
      </c>
      <c r="F303" t="s">
        <v>1241</v>
      </c>
      <c r="G303" t="s">
        <v>3137</v>
      </c>
      <c r="H303" t="s">
        <v>1247</v>
      </c>
      <c r="J303" s="455">
        <v>46114</v>
      </c>
      <c r="U303" s="455">
        <v>46114</v>
      </c>
    </row>
    <row r="304" spans="1:21">
      <c r="A304" t="s">
        <v>1751</v>
      </c>
      <c r="B304" t="s">
        <v>9610</v>
      </c>
      <c r="C304" t="s">
        <v>1751</v>
      </c>
      <c r="D304">
        <v>20510687</v>
      </c>
      <c r="E304" t="s">
        <v>3128</v>
      </c>
      <c r="F304" t="s">
        <v>1782</v>
      </c>
      <c r="G304" t="s">
        <v>3143</v>
      </c>
      <c r="H304" t="s">
        <v>1248</v>
      </c>
      <c r="I304" t="s">
        <v>1592</v>
      </c>
      <c r="J304" s="455">
        <v>46139</v>
      </c>
      <c r="U304" s="455">
        <v>46139</v>
      </c>
    </row>
    <row r="305" spans="1:21">
      <c r="A305" t="s">
        <v>1751</v>
      </c>
      <c r="B305" t="s">
        <v>3340</v>
      </c>
      <c r="C305" t="s">
        <v>1751</v>
      </c>
      <c r="D305">
        <v>20491378</v>
      </c>
      <c r="E305" t="s">
        <v>1897</v>
      </c>
      <c r="F305" t="s">
        <v>1241</v>
      </c>
      <c r="G305" t="s">
        <v>3134</v>
      </c>
      <c r="H305" t="s">
        <v>1247</v>
      </c>
      <c r="I305" t="s">
        <v>1967</v>
      </c>
      <c r="J305" s="455">
        <v>46121</v>
      </c>
      <c r="K305" s="455">
        <v>46121</v>
      </c>
      <c r="U305" s="455">
        <v>46136</v>
      </c>
    </row>
    <row r="306" spans="1:21">
      <c r="A306" t="s">
        <v>1751</v>
      </c>
      <c r="B306" t="s">
        <v>9611</v>
      </c>
      <c r="C306" t="s">
        <v>1751</v>
      </c>
      <c r="D306">
        <v>20416793</v>
      </c>
      <c r="E306" t="s">
        <v>3190</v>
      </c>
      <c r="F306" t="s">
        <v>1782</v>
      </c>
      <c r="G306" t="s">
        <v>3129</v>
      </c>
      <c r="H306" t="s">
        <v>1252</v>
      </c>
      <c r="J306" s="455">
        <v>46024</v>
      </c>
      <c r="R306" s="455">
        <v>46114</v>
      </c>
      <c r="U306" s="455">
        <v>46024</v>
      </c>
    </row>
    <row r="307" spans="1:21">
      <c r="A307" t="s">
        <v>1751</v>
      </c>
      <c r="B307" t="s">
        <v>8712</v>
      </c>
      <c r="C307" t="s">
        <v>1751</v>
      </c>
      <c r="D307">
        <v>20442446</v>
      </c>
      <c r="E307" t="s">
        <v>3133</v>
      </c>
      <c r="F307" t="s">
        <v>1238</v>
      </c>
      <c r="G307" t="s">
        <v>3134</v>
      </c>
      <c r="H307" t="s">
        <v>1247</v>
      </c>
      <c r="J307" s="455">
        <v>46059</v>
      </c>
      <c r="K307" s="455">
        <v>46059</v>
      </c>
      <c r="R307" s="455">
        <v>46114</v>
      </c>
      <c r="U307" s="455">
        <v>46101</v>
      </c>
    </row>
    <row r="308" spans="1:21">
      <c r="A308" t="s">
        <v>1751</v>
      </c>
      <c r="B308" t="s">
        <v>8712</v>
      </c>
      <c r="C308" t="s">
        <v>1751</v>
      </c>
      <c r="D308">
        <v>20440808</v>
      </c>
      <c r="E308" t="s">
        <v>3190</v>
      </c>
      <c r="F308" t="s">
        <v>1241</v>
      </c>
      <c r="G308" t="s">
        <v>2009</v>
      </c>
      <c r="H308" t="s">
        <v>1251</v>
      </c>
      <c r="J308" s="455">
        <v>46057</v>
      </c>
      <c r="R308" s="455">
        <v>46114</v>
      </c>
      <c r="U308" s="455">
        <v>46057</v>
      </c>
    </row>
    <row r="309" spans="1:21">
      <c r="A309" t="s">
        <v>1751</v>
      </c>
      <c r="B309" t="s">
        <v>9147</v>
      </c>
      <c r="C309" t="s">
        <v>1751</v>
      </c>
      <c r="D309">
        <v>20471670</v>
      </c>
      <c r="E309" t="s">
        <v>3190</v>
      </c>
      <c r="F309" t="s">
        <v>1782</v>
      </c>
      <c r="G309" t="s">
        <v>3134</v>
      </c>
      <c r="H309" t="s">
        <v>1252</v>
      </c>
      <c r="J309" s="455">
        <v>46095</v>
      </c>
      <c r="R309" s="455">
        <v>46114</v>
      </c>
      <c r="U309" s="455">
        <v>46155</v>
      </c>
    </row>
    <row r="310" spans="1:21">
      <c r="A310" t="s">
        <v>1751</v>
      </c>
      <c r="B310" t="s">
        <v>8713</v>
      </c>
      <c r="C310" t="s">
        <v>1751</v>
      </c>
      <c r="D310">
        <v>20448792</v>
      </c>
      <c r="E310" t="s">
        <v>3133</v>
      </c>
      <c r="F310" t="s">
        <v>1912</v>
      </c>
      <c r="G310" t="s">
        <v>3134</v>
      </c>
      <c r="H310" t="s">
        <v>1252</v>
      </c>
      <c r="I310" t="s">
        <v>3258</v>
      </c>
      <c r="J310" s="455">
        <v>46066</v>
      </c>
      <c r="K310" s="455">
        <v>46066</v>
      </c>
      <c r="R310" s="455">
        <v>46114</v>
      </c>
      <c r="U310" s="455">
        <v>46083</v>
      </c>
    </row>
    <row r="311" spans="1:21">
      <c r="A311" t="s">
        <v>1751</v>
      </c>
      <c r="B311" t="s">
        <v>1896</v>
      </c>
      <c r="C311" t="s">
        <v>1751</v>
      </c>
      <c r="D311">
        <v>20440548</v>
      </c>
      <c r="E311" t="s">
        <v>3133</v>
      </c>
      <c r="F311" t="s">
        <v>1782</v>
      </c>
      <c r="G311" t="s">
        <v>3134</v>
      </c>
      <c r="H311" t="s">
        <v>1247</v>
      </c>
      <c r="I311" t="s">
        <v>1895</v>
      </c>
      <c r="J311" s="455">
        <v>46056</v>
      </c>
      <c r="K311" s="455">
        <v>46056</v>
      </c>
      <c r="R311" s="455">
        <v>46114</v>
      </c>
      <c r="U311" s="455">
        <v>46062</v>
      </c>
    </row>
    <row r="312" spans="1:21">
      <c r="A312" t="s">
        <v>1751</v>
      </c>
      <c r="B312" t="s">
        <v>9148</v>
      </c>
      <c r="C312" t="s">
        <v>1751</v>
      </c>
      <c r="D312">
        <v>20482294</v>
      </c>
      <c r="E312" t="s">
        <v>3190</v>
      </c>
      <c r="F312" t="s">
        <v>1782</v>
      </c>
      <c r="G312" t="s">
        <v>3134</v>
      </c>
      <c r="H312" t="s">
        <v>1252</v>
      </c>
      <c r="J312" s="455">
        <v>46109</v>
      </c>
      <c r="R312" s="455">
        <v>46139</v>
      </c>
      <c r="U312" s="455">
        <v>46143</v>
      </c>
    </row>
    <row r="313" spans="1:21">
      <c r="A313" t="s">
        <v>1751</v>
      </c>
      <c r="B313" t="s">
        <v>9149</v>
      </c>
      <c r="C313" t="s">
        <v>1751</v>
      </c>
      <c r="D313">
        <v>20479869</v>
      </c>
      <c r="E313" t="s">
        <v>3190</v>
      </c>
      <c r="F313" t="s">
        <v>1782</v>
      </c>
      <c r="G313" t="s">
        <v>3141</v>
      </c>
      <c r="H313" t="s">
        <v>1252</v>
      </c>
      <c r="J313" s="455">
        <v>46106</v>
      </c>
      <c r="R313" s="455">
        <v>46114</v>
      </c>
      <c r="U313" s="455">
        <v>46171</v>
      </c>
    </row>
    <row r="314" spans="1:21">
      <c r="A314" t="s">
        <v>1751</v>
      </c>
      <c r="B314" t="s">
        <v>9612</v>
      </c>
      <c r="C314" t="s">
        <v>1751</v>
      </c>
      <c r="D314">
        <v>20488358</v>
      </c>
      <c r="E314" t="s">
        <v>3190</v>
      </c>
      <c r="F314" t="s">
        <v>1237</v>
      </c>
      <c r="G314" t="s">
        <v>3143</v>
      </c>
      <c r="H314" t="s">
        <v>1252</v>
      </c>
      <c r="J314" s="455">
        <v>46118</v>
      </c>
      <c r="R314" s="455">
        <v>46123</v>
      </c>
      <c r="U314" s="455">
        <v>46196</v>
      </c>
    </row>
    <row r="315" spans="1:21">
      <c r="A315" t="s">
        <v>1751</v>
      </c>
      <c r="B315" t="s">
        <v>9613</v>
      </c>
      <c r="C315" t="s">
        <v>1751</v>
      </c>
      <c r="D315">
        <v>20416613</v>
      </c>
      <c r="E315" t="s">
        <v>3133</v>
      </c>
      <c r="F315" t="s">
        <v>1237</v>
      </c>
      <c r="G315" t="s">
        <v>3134</v>
      </c>
      <c r="H315" t="s">
        <v>1247</v>
      </c>
      <c r="I315" t="s">
        <v>4706</v>
      </c>
      <c r="J315" s="455">
        <v>46024</v>
      </c>
      <c r="K315" s="455">
        <v>46024</v>
      </c>
      <c r="R315" s="455">
        <v>46114</v>
      </c>
      <c r="U315" s="455">
        <v>46052</v>
      </c>
    </row>
    <row r="316" spans="1:21">
      <c r="A316" t="s">
        <v>1751</v>
      </c>
      <c r="B316" t="s">
        <v>9150</v>
      </c>
      <c r="C316" t="s">
        <v>1751</v>
      </c>
      <c r="D316">
        <v>20471511</v>
      </c>
      <c r="E316" t="s">
        <v>3133</v>
      </c>
      <c r="F316" t="s">
        <v>1912</v>
      </c>
      <c r="G316" t="s">
        <v>3134</v>
      </c>
      <c r="H316" t="s">
        <v>1247</v>
      </c>
      <c r="J316" s="455">
        <v>46095</v>
      </c>
      <c r="K316" s="455">
        <v>46095</v>
      </c>
      <c r="R316" s="455">
        <v>46115</v>
      </c>
      <c r="U316" s="455">
        <v>46095</v>
      </c>
    </row>
    <row r="317" spans="1:21">
      <c r="A317" t="s">
        <v>1751</v>
      </c>
      <c r="B317" t="s">
        <v>9151</v>
      </c>
      <c r="C317" t="s">
        <v>1751</v>
      </c>
      <c r="D317">
        <v>20475789</v>
      </c>
      <c r="E317" t="s">
        <v>3190</v>
      </c>
      <c r="F317" t="s">
        <v>1239</v>
      </c>
      <c r="G317" t="s">
        <v>3143</v>
      </c>
      <c r="H317" t="s">
        <v>1252</v>
      </c>
      <c r="I317" t="s">
        <v>1831</v>
      </c>
      <c r="J317" s="455">
        <v>46100</v>
      </c>
      <c r="R317" s="455">
        <v>46114</v>
      </c>
      <c r="U317" s="455">
        <v>46109</v>
      </c>
    </row>
    <row r="318" spans="1:21">
      <c r="A318" t="s">
        <v>1751</v>
      </c>
      <c r="B318" t="s">
        <v>9152</v>
      </c>
      <c r="C318" t="s">
        <v>1751</v>
      </c>
      <c r="D318">
        <v>20467005</v>
      </c>
      <c r="E318" t="s">
        <v>3190</v>
      </c>
      <c r="F318" t="s">
        <v>1782</v>
      </c>
      <c r="G318" t="s">
        <v>3137</v>
      </c>
      <c r="H318" t="s">
        <v>1251</v>
      </c>
      <c r="J318" s="455">
        <v>46091</v>
      </c>
      <c r="R318" s="455">
        <v>46139</v>
      </c>
      <c r="U318" s="455">
        <v>46091</v>
      </c>
    </row>
    <row r="319" spans="1:21">
      <c r="A319" t="s">
        <v>1751</v>
      </c>
      <c r="B319" t="s">
        <v>9153</v>
      </c>
      <c r="C319" t="s">
        <v>1751</v>
      </c>
      <c r="D319">
        <v>20477690</v>
      </c>
      <c r="E319" t="s">
        <v>3190</v>
      </c>
      <c r="F319" t="s">
        <v>1241</v>
      </c>
      <c r="G319" t="s">
        <v>3134</v>
      </c>
      <c r="H319" t="s">
        <v>1252</v>
      </c>
      <c r="J319" s="455">
        <v>46103</v>
      </c>
      <c r="R319" s="455">
        <v>46114</v>
      </c>
      <c r="U319" s="455">
        <v>46112</v>
      </c>
    </row>
    <row r="320" spans="1:21">
      <c r="A320" t="s">
        <v>1751</v>
      </c>
      <c r="B320" t="s">
        <v>9614</v>
      </c>
      <c r="C320" t="s">
        <v>1751</v>
      </c>
      <c r="D320">
        <v>20418600</v>
      </c>
      <c r="E320" t="s">
        <v>3190</v>
      </c>
      <c r="F320" t="s">
        <v>1241</v>
      </c>
      <c r="G320" t="s">
        <v>3129</v>
      </c>
      <c r="H320" t="s">
        <v>1247</v>
      </c>
      <c r="J320" s="455">
        <v>46027</v>
      </c>
      <c r="R320" s="455">
        <v>46114</v>
      </c>
      <c r="U320" s="455">
        <v>46027</v>
      </c>
    </row>
    <row r="321" spans="1:21">
      <c r="A321" t="s">
        <v>1751</v>
      </c>
      <c r="B321" t="s">
        <v>9615</v>
      </c>
      <c r="C321" t="s">
        <v>1751</v>
      </c>
      <c r="D321">
        <v>20412594</v>
      </c>
      <c r="E321" t="s">
        <v>3190</v>
      </c>
      <c r="F321" t="s">
        <v>1782</v>
      </c>
      <c r="G321" t="s">
        <v>3141</v>
      </c>
      <c r="H321" t="s">
        <v>1252</v>
      </c>
      <c r="J321" s="455">
        <v>46016</v>
      </c>
      <c r="R321" s="455">
        <v>46139</v>
      </c>
      <c r="U321" s="455">
        <v>46151</v>
      </c>
    </row>
    <row r="322" spans="1:21">
      <c r="A322" t="s">
        <v>1751</v>
      </c>
      <c r="B322" t="s">
        <v>8714</v>
      </c>
      <c r="C322" t="s">
        <v>1751</v>
      </c>
      <c r="D322">
        <v>20449393</v>
      </c>
      <c r="E322" t="s">
        <v>3190</v>
      </c>
      <c r="F322" t="s">
        <v>1241</v>
      </c>
      <c r="G322" t="s">
        <v>3129</v>
      </c>
      <c r="H322" t="s">
        <v>1252</v>
      </c>
      <c r="J322" s="455">
        <v>46068</v>
      </c>
      <c r="R322" s="455">
        <v>46114</v>
      </c>
      <c r="U322" s="455">
        <v>46265</v>
      </c>
    </row>
    <row r="323" spans="1:21">
      <c r="A323" t="s">
        <v>1751</v>
      </c>
      <c r="B323" t="s">
        <v>9154</v>
      </c>
      <c r="C323" t="s">
        <v>1751</v>
      </c>
      <c r="D323">
        <v>20476209</v>
      </c>
      <c r="E323" t="s">
        <v>3190</v>
      </c>
      <c r="F323" t="s">
        <v>1239</v>
      </c>
      <c r="G323" t="s">
        <v>3129</v>
      </c>
      <c r="H323" t="s">
        <v>1252</v>
      </c>
      <c r="J323" s="455">
        <v>46100</v>
      </c>
      <c r="R323" s="455">
        <v>46114</v>
      </c>
      <c r="U323" s="455">
        <v>46130</v>
      </c>
    </row>
    <row r="324" spans="1:21">
      <c r="A324" t="s">
        <v>1751</v>
      </c>
      <c r="B324" t="s">
        <v>9616</v>
      </c>
      <c r="C324" t="s">
        <v>1751</v>
      </c>
      <c r="D324">
        <v>20420734</v>
      </c>
      <c r="E324" t="s">
        <v>3133</v>
      </c>
      <c r="F324" t="s">
        <v>1239</v>
      </c>
      <c r="G324" t="s">
        <v>3134</v>
      </c>
      <c r="H324" t="s">
        <v>1247</v>
      </c>
      <c r="J324" s="455">
        <v>46030</v>
      </c>
      <c r="K324" s="455">
        <v>46030</v>
      </c>
      <c r="R324" s="455">
        <v>46114</v>
      </c>
      <c r="U324" s="455">
        <v>46030</v>
      </c>
    </row>
    <row r="325" spans="1:21">
      <c r="A325" t="s">
        <v>1751</v>
      </c>
      <c r="B325" t="s">
        <v>9617</v>
      </c>
      <c r="C325" t="s">
        <v>1751</v>
      </c>
      <c r="D325">
        <v>20491898</v>
      </c>
      <c r="E325" t="s">
        <v>3190</v>
      </c>
      <c r="F325" t="s">
        <v>1782</v>
      </c>
      <c r="G325" t="s">
        <v>3134</v>
      </c>
      <c r="H325" t="s">
        <v>3165</v>
      </c>
      <c r="J325" s="455">
        <v>46122</v>
      </c>
      <c r="R325" s="455">
        <v>46139</v>
      </c>
      <c r="U325" s="455">
        <v>46156</v>
      </c>
    </row>
    <row r="326" spans="1:21">
      <c r="A326" t="s">
        <v>1751</v>
      </c>
      <c r="B326" t="s">
        <v>9617</v>
      </c>
      <c r="C326" t="s">
        <v>1751</v>
      </c>
      <c r="D326">
        <v>20491895</v>
      </c>
      <c r="E326" t="s">
        <v>3190</v>
      </c>
      <c r="F326" t="s">
        <v>1782</v>
      </c>
      <c r="G326" t="s">
        <v>3129</v>
      </c>
      <c r="H326" t="s">
        <v>3165</v>
      </c>
      <c r="J326" s="455">
        <v>46122</v>
      </c>
      <c r="R326" s="455">
        <v>46139</v>
      </c>
      <c r="U326" s="455">
        <v>46122</v>
      </c>
    </row>
    <row r="327" spans="1:21">
      <c r="A327" t="s">
        <v>1751</v>
      </c>
      <c r="B327" t="s">
        <v>9155</v>
      </c>
      <c r="C327" t="s">
        <v>1751</v>
      </c>
      <c r="D327">
        <v>20474153</v>
      </c>
      <c r="E327" t="s">
        <v>3190</v>
      </c>
      <c r="F327" t="s">
        <v>1782</v>
      </c>
      <c r="G327" t="s">
        <v>3134</v>
      </c>
      <c r="H327" t="s">
        <v>1252</v>
      </c>
      <c r="J327" s="455">
        <v>46098</v>
      </c>
      <c r="R327" s="455">
        <v>46139</v>
      </c>
      <c r="U327" s="455">
        <v>46099</v>
      </c>
    </row>
    <row r="328" spans="1:21">
      <c r="A328" t="s">
        <v>1751</v>
      </c>
      <c r="B328" t="s">
        <v>9618</v>
      </c>
      <c r="C328" t="s">
        <v>1751</v>
      </c>
      <c r="D328">
        <v>20487734</v>
      </c>
      <c r="E328" t="s">
        <v>3190</v>
      </c>
      <c r="F328" t="s">
        <v>1782</v>
      </c>
      <c r="G328" t="s">
        <v>3134</v>
      </c>
      <c r="H328" t="s">
        <v>1252</v>
      </c>
      <c r="J328" s="455">
        <v>46117</v>
      </c>
      <c r="R328" s="455">
        <v>46139</v>
      </c>
      <c r="U328" s="455">
        <v>46204</v>
      </c>
    </row>
    <row r="329" spans="1:21">
      <c r="A329" t="s">
        <v>1751</v>
      </c>
      <c r="B329" t="s">
        <v>9156</v>
      </c>
      <c r="C329" t="s">
        <v>1751</v>
      </c>
      <c r="D329">
        <v>20482663</v>
      </c>
      <c r="E329" t="s">
        <v>3190</v>
      </c>
      <c r="F329" t="s">
        <v>1782</v>
      </c>
      <c r="G329" t="s">
        <v>3137</v>
      </c>
      <c r="H329" t="s">
        <v>1252</v>
      </c>
      <c r="J329" s="455">
        <v>46110</v>
      </c>
      <c r="R329" s="455">
        <v>46139</v>
      </c>
      <c r="U329" s="455">
        <v>46110</v>
      </c>
    </row>
    <row r="330" spans="1:21">
      <c r="A330" t="s">
        <v>1751</v>
      </c>
      <c r="B330" t="s">
        <v>9157</v>
      </c>
      <c r="C330" t="s">
        <v>1751</v>
      </c>
      <c r="D330">
        <v>20482879</v>
      </c>
      <c r="E330" t="s">
        <v>3190</v>
      </c>
      <c r="F330" t="s">
        <v>1241</v>
      </c>
      <c r="G330" t="s">
        <v>3134</v>
      </c>
      <c r="H330" t="s">
        <v>1252</v>
      </c>
      <c r="J330" s="455">
        <v>46111</v>
      </c>
      <c r="R330" s="455">
        <v>46139</v>
      </c>
      <c r="U330" s="455">
        <v>46141</v>
      </c>
    </row>
    <row r="331" spans="1:21">
      <c r="A331" t="s">
        <v>1751</v>
      </c>
      <c r="B331" t="s">
        <v>4410</v>
      </c>
      <c r="C331" t="s">
        <v>1751</v>
      </c>
      <c r="D331">
        <v>20495504</v>
      </c>
      <c r="E331" t="s">
        <v>3190</v>
      </c>
      <c r="F331" t="s">
        <v>1241</v>
      </c>
      <c r="G331" t="s">
        <v>3134</v>
      </c>
      <c r="H331" t="s">
        <v>1252</v>
      </c>
      <c r="J331" s="455">
        <v>46127</v>
      </c>
      <c r="R331" s="455">
        <v>46139</v>
      </c>
      <c r="U331" s="455">
        <v>46142</v>
      </c>
    </row>
    <row r="332" spans="1:21">
      <c r="A332" t="s">
        <v>1751</v>
      </c>
      <c r="B332" t="s">
        <v>9158</v>
      </c>
      <c r="C332" t="s">
        <v>1751</v>
      </c>
      <c r="D332">
        <v>20481035</v>
      </c>
      <c r="E332" t="s">
        <v>3190</v>
      </c>
      <c r="F332" t="s">
        <v>1241</v>
      </c>
      <c r="G332" t="s">
        <v>3134</v>
      </c>
      <c r="H332" t="s">
        <v>1252</v>
      </c>
      <c r="J332" s="455">
        <v>46107</v>
      </c>
      <c r="R332" s="455">
        <v>46139</v>
      </c>
      <c r="U332" s="455">
        <v>46143</v>
      </c>
    </row>
    <row r="333" spans="1:21">
      <c r="A333" t="s">
        <v>1751</v>
      </c>
      <c r="B333" t="s">
        <v>9619</v>
      </c>
      <c r="C333" t="s">
        <v>1751</v>
      </c>
      <c r="D333">
        <v>20507846</v>
      </c>
      <c r="E333" t="s">
        <v>3128</v>
      </c>
      <c r="F333" t="s">
        <v>1241</v>
      </c>
      <c r="G333" t="s">
        <v>3141</v>
      </c>
      <c r="H333" t="s">
        <v>1247</v>
      </c>
      <c r="J333" s="455">
        <v>46135</v>
      </c>
      <c r="U333" s="455">
        <v>46135</v>
      </c>
    </row>
    <row r="334" spans="1:21">
      <c r="A334" t="s">
        <v>1751</v>
      </c>
      <c r="B334" t="s">
        <v>3362</v>
      </c>
      <c r="C334" t="s">
        <v>1751</v>
      </c>
      <c r="D334">
        <v>20492773</v>
      </c>
      <c r="E334" t="s">
        <v>1897</v>
      </c>
      <c r="F334" t="s">
        <v>1912</v>
      </c>
      <c r="G334" t="s">
        <v>3134</v>
      </c>
      <c r="H334" t="s">
        <v>1247</v>
      </c>
      <c r="J334" s="455">
        <v>46123</v>
      </c>
      <c r="K334" s="455">
        <v>46123</v>
      </c>
      <c r="U334" s="455">
        <v>46204</v>
      </c>
    </row>
    <row r="335" spans="1:21">
      <c r="A335" t="s">
        <v>1751</v>
      </c>
      <c r="B335" t="s">
        <v>9620</v>
      </c>
      <c r="C335" t="s">
        <v>1751</v>
      </c>
      <c r="D335">
        <v>20490720</v>
      </c>
      <c r="E335" t="s">
        <v>3190</v>
      </c>
      <c r="F335" t="s">
        <v>1782</v>
      </c>
      <c r="G335" t="s">
        <v>3141</v>
      </c>
      <c r="H335" t="s">
        <v>1251</v>
      </c>
      <c r="J335" s="455">
        <v>46121</v>
      </c>
      <c r="R335" s="455">
        <v>46139</v>
      </c>
      <c r="U335" s="455">
        <v>46121</v>
      </c>
    </row>
    <row r="336" spans="1:21">
      <c r="A336" t="s">
        <v>1751</v>
      </c>
      <c r="B336" t="s">
        <v>9621</v>
      </c>
      <c r="C336" t="s">
        <v>1751</v>
      </c>
      <c r="D336">
        <v>20491954</v>
      </c>
      <c r="E336" t="s">
        <v>3190</v>
      </c>
      <c r="F336" t="s">
        <v>1782</v>
      </c>
      <c r="G336" t="s">
        <v>3134</v>
      </c>
      <c r="H336" t="s">
        <v>1252</v>
      </c>
      <c r="J336" s="455">
        <v>46122</v>
      </c>
      <c r="R336" s="455">
        <v>46139</v>
      </c>
      <c r="U336" s="455">
        <v>46123</v>
      </c>
    </row>
    <row r="337" spans="1:21">
      <c r="A337" t="s">
        <v>1751</v>
      </c>
      <c r="B337" t="s">
        <v>9159</v>
      </c>
      <c r="C337" t="s">
        <v>1751</v>
      </c>
      <c r="D337">
        <v>20472496</v>
      </c>
      <c r="E337" t="s">
        <v>3190</v>
      </c>
      <c r="F337" t="s">
        <v>1241</v>
      </c>
      <c r="G337" t="s">
        <v>3134</v>
      </c>
      <c r="H337" t="s">
        <v>1252</v>
      </c>
      <c r="J337" s="455">
        <v>46097</v>
      </c>
      <c r="R337" s="455">
        <v>46139</v>
      </c>
      <c r="U337" s="455">
        <v>46115</v>
      </c>
    </row>
    <row r="338" spans="1:21">
      <c r="A338" t="s">
        <v>1751</v>
      </c>
      <c r="B338" t="s">
        <v>9622</v>
      </c>
      <c r="C338" t="s">
        <v>1751</v>
      </c>
      <c r="D338">
        <v>20497035</v>
      </c>
      <c r="E338" t="s">
        <v>3190</v>
      </c>
      <c r="F338" t="s">
        <v>1241</v>
      </c>
      <c r="G338" t="s">
        <v>3134</v>
      </c>
      <c r="H338" t="s">
        <v>3165</v>
      </c>
      <c r="J338" s="455">
        <v>46127</v>
      </c>
      <c r="R338" s="455">
        <v>46139</v>
      </c>
      <c r="U338" s="455">
        <v>46151</v>
      </c>
    </row>
    <row r="339" spans="1:21">
      <c r="A339" t="s">
        <v>1751</v>
      </c>
      <c r="B339" t="s">
        <v>9623</v>
      </c>
      <c r="C339" t="s">
        <v>1751</v>
      </c>
      <c r="D339">
        <v>20490161</v>
      </c>
      <c r="E339" t="s">
        <v>3190</v>
      </c>
      <c r="F339" t="s">
        <v>1241</v>
      </c>
      <c r="G339" t="s">
        <v>3134</v>
      </c>
      <c r="H339" t="s">
        <v>1252</v>
      </c>
      <c r="J339" s="455">
        <v>46120</v>
      </c>
      <c r="R339" s="455">
        <v>46139</v>
      </c>
      <c r="U339" s="455">
        <v>46174</v>
      </c>
    </row>
    <row r="340" spans="1:21">
      <c r="A340" t="s">
        <v>1751</v>
      </c>
      <c r="B340" t="s">
        <v>9624</v>
      </c>
      <c r="C340" t="s">
        <v>1751</v>
      </c>
      <c r="D340">
        <v>20412425</v>
      </c>
      <c r="E340" t="s">
        <v>3190</v>
      </c>
      <c r="F340" t="s">
        <v>1239</v>
      </c>
      <c r="G340" t="s">
        <v>3134</v>
      </c>
      <c r="H340" t="s">
        <v>1252</v>
      </c>
      <c r="I340" t="s">
        <v>1223</v>
      </c>
      <c r="J340" s="455">
        <v>46016</v>
      </c>
      <c r="K340" s="455">
        <v>46016</v>
      </c>
      <c r="R340" s="455">
        <v>46114</v>
      </c>
      <c r="U340" s="455">
        <v>46038</v>
      </c>
    </row>
    <row r="341" spans="1:21">
      <c r="A341" t="s">
        <v>1751</v>
      </c>
      <c r="B341" t="s">
        <v>9160</v>
      </c>
      <c r="C341" t="s">
        <v>1751</v>
      </c>
      <c r="D341">
        <v>20461856</v>
      </c>
      <c r="E341" t="s">
        <v>3190</v>
      </c>
      <c r="F341" t="s">
        <v>1242</v>
      </c>
      <c r="G341" t="s">
        <v>3137</v>
      </c>
      <c r="H341" t="s">
        <v>3220</v>
      </c>
      <c r="J341" s="455">
        <v>46084</v>
      </c>
      <c r="R341" s="455">
        <v>46114</v>
      </c>
      <c r="U341" s="455">
        <v>46084</v>
      </c>
    </row>
    <row r="342" spans="1:21">
      <c r="A342" t="s">
        <v>1751</v>
      </c>
      <c r="B342" t="s">
        <v>9625</v>
      </c>
      <c r="C342" t="s">
        <v>1751</v>
      </c>
      <c r="D342">
        <v>20485003</v>
      </c>
      <c r="E342" t="s">
        <v>3190</v>
      </c>
      <c r="F342" t="s">
        <v>1237</v>
      </c>
      <c r="G342" t="s">
        <v>3143</v>
      </c>
      <c r="H342" t="s">
        <v>1251</v>
      </c>
      <c r="J342" s="455">
        <v>46113</v>
      </c>
      <c r="R342" s="455">
        <v>46114</v>
      </c>
      <c r="U342" s="455">
        <v>46119</v>
      </c>
    </row>
    <row r="343" spans="1:21">
      <c r="A343" t="s">
        <v>1751</v>
      </c>
      <c r="B343" t="s">
        <v>3371</v>
      </c>
      <c r="C343" t="s">
        <v>1751</v>
      </c>
      <c r="D343">
        <v>20434640</v>
      </c>
      <c r="E343" t="s">
        <v>3133</v>
      </c>
      <c r="F343" t="s">
        <v>1237</v>
      </c>
      <c r="G343" t="s">
        <v>3134</v>
      </c>
      <c r="H343" t="s">
        <v>1247</v>
      </c>
      <c r="J343" s="455">
        <v>46047</v>
      </c>
      <c r="K343" s="455">
        <v>46047</v>
      </c>
      <c r="R343" s="455">
        <v>46114</v>
      </c>
      <c r="U343" s="455">
        <v>46069</v>
      </c>
    </row>
    <row r="344" spans="1:21">
      <c r="A344" t="s">
        <v>1751</v>
      </c>
      <c r="B344" t="s">
        <v>3371</v>
      </c>
      <c r="C344" t="s">
        <v>1751</v>
      </c>
      <c r="D344">
        <v>20488353</v>
      </c>
      <c r="E344" t="s">
        <v>1897</v>
      </c>
      <c r="F344" t="s">
        <v>1241</v>
      </c>
      <c r="G344" t="s">
        <v>3134</v>
      </c>
      <c r="H344" t="s">
        <v>1247</v>
      </c>
      <c r="J344" s="455">
        <v>46118</v>
      </c>
      <c r="K344" s="455">
        <v>46118</v>
      </c>
      <c r="U344" s="455">
        <v>46130</v>
      </c>
    </row>
    <row r="345" spans="1:21">
      <c r="A345" t="s">
        <v>1751</v>
      </c>
      <c r="B345" t="s">
        <v>2697</v>
      </c>
      <c r="C345" t="s">
        <v>1751</v>
      </c>
      <c r="D345">
        <v>20513500</v>
      </c>
      <c r="E345" t="s">
        <v>1897</v>
      </c>
      <c r="F345" t="s">
        <v>1912</v>
      </c>
      <c r="G345" t="s">
        <v>3134</v>
      </c>
      <c r="H345" t="s">
        <v>1247</v>
      </c>
      <c r="J345" s="455">
        <v>46142</v>
      </c>
      <c r="K345" s="455">
        <v>46142</v>
      </c>
      <c r="U345" s="455">
        <v>46142</v>
      </c>
    </row>
    <row r="346" spans="1:21">
      <c r="A346" t="s">
        <v>1751</v>
      </c>
      <c r="B346" t="s">
        <v>2697</v>
      </c>
      <c r="C346" t="s">
        <v>1751</v>
      </c>
      <c r="D346">
        <v>20512652</v>
      </c>
      <c r="E346" t="s">
        <v>1897</v>
      </c>
      <c r="F346" t="s">
        <v>1912</v>
      </c>
      <c r="G346" t="s">
        <v>3134</v>
      </c>
      <c r="H346" t="s">
        <v>1247</v>
      </c>
      <c r="J346" s="455">
        <v>46141</v>
      </c>
      <c r="K346" s="455">
        <v>46141</v>
      </c>
      <c r="U346" s="455">
        <v>46147</v>
      </c>
    </row>
    <row r="347" spans="1:21">
      <c r="A347" t="s">
        <v>1751</v>
      </c>
      <c r="B347" t="s">
        <v>9626</v>
      </c>
      <c r="C347" t="s">
        <v>1751</v>
      </c>
      <c r="D347">
        <v>20506855</v>
      </c>
      <c r="E347" t="s">
        <v>3128</v>
      </c>
      <c r="F347" t="s">
        <v>1241</v>
      </c>
      <c r="G347" t="s">
        <v>3143</v>
      </c>
      <c r="H347" t="s">
        <v>1248</v>
      </c>
      <c r="J347" s="455">
        <v>46134</v>
      </c>
      <c r="U347" s="455">
        <v>46143</v>
      </c>
    </row>
    <row r="348" spans="1:21">
      <c r="A348" t="s">
        <v>1751</v>
      </c>
      <c r="B348" t="s">
        <v>9161</v>
      </c>
      <c r="C348" t="s">
        <v>1751</v>
      </c>
      <c r="D348">
        <v>20460782</v>
      </c>
      <c r="E348" t="s">
        <v>3190</v>
      </c>
      <c r="F348" t="s">
        <v>1242</v>
      </c>
      <c r="G348" t="s">
        <v>3143</v>
      </c>
      <c r="H348" t="s">
        <v>1247</v>
      </c>
      <c r="J348" s="455">
        <v>46083</v>
      </c>
      <c r="R348" s="455">
        <v>46121</v>
      </c>
      <c r="U348" s="455">
        <v>46083</v>
      </c>
    </row>
    <row r="349" spans="1:21">
      <c r="A349" t="s">
        <v>1751</v>
      </c>
      <c r="B349" t="s">
        <v>9627</v>
      </c>
      <c r="C349" t="s">
        <v>1751</v>
      </c>
      <c r="D349">
        <v>20412913</v>
      </c>
      <c r="E349" t="s">
        <v>3190</v>
      </c>
      <c r="F349" t="s">
        <v>1239</v>
      </c>
      <c r="G349" t="s">
        <v>3137</v>
      </c>
      <c r="H349" t="s">
        <v>1247</v>
      </c>
      <c r="J349" s="455">
        <v>46017</v>
      </c>
      <c r="R349" s="455">
        <v>46114</v>
      </c>
      <c r="U349" s="455">
        <v>46042</v>
      </c>
    </row>
    <row r="350" spans="1:21">
      <c r="A350" t="s">
        <v>1751</v>
      </c>
      <c r="B350" t="s">
        <v>9628</v>
      </c>
      <c r="C350" t="s">
        <v>1751</v>
      </c>
      <c r="D350">
        <v>20422796</v>
      </c>
      <c r="E350" t="s">
        <v>3133</v>
      </c>
      <c r="F350" t="s">
        <v>1237</v>
      </c>
      <c r="G350" t="s">
        <v>3134</v>
      </c>
      <c r="H350" t="s">
        <v>1247</v>
      </c>
      <c r="I350" t="s">
        <v>3307</v>
      </c>
      <c r="J350" s="455">
        <v>46033</v>
      </c>
      <c r="K350" s="455">
        <v>46033</v>
      </c>
      <c r="R350" s="455">
        <v>46114</v>
      </c>
      <c r="U350" s="455">
        <v>46036</v>
      </c>
    </row>
    <row r="351" spans="1:21">
      <c r="A351" t="s">
        <v>1751</v>
      </c>
      <c r="B351" t="s">
        <v>9629</v>
      </c>
      <c r="C351" t="s">
        <v>1751</v>
      </c>
      <c r="D351">
        <v>20436498</v>
      </c>
      <c r="E351" t="s">
        <v>3190</v>
      </c>
      <c r="F351" t="s">
        <v>1238</v>
      </c>
      <c r="G351" t="s">
        <v>3129</v>
      </c>
      <c r="H351" t="s">
        <v>1252</v>
      </c>
      <c r="J351" s="455">
        <v>46050</v>
      </c>
      <c r="R351" s="455">
        <v>46114</v>
      </c>
      <c r="U351" s="455">
        <v>46050</v>
      </c>
    </row>
    <row r="352" spans="1:21">
      <c r="A352" t="s">
        <v>1751</v>
      </c>
      <c r="B352" t="s">
        <v>9630</v>
      </c>
      <c r="C352" t="s">
        <v>1751</v>
      </c>
      <c r="D352">
        <v>20498668</v>
      </c>
      <c r="E352" t="s">
        <v>3128</v>
      </c>
      <c r="F352" t="s">
        <v>1782</v>
      </c>
      <c r="G352" t="s">
        <v>3134</v>
      </c>
      <c r="H352" t="s">
        <v>1252</v>
      </c>
      <c r="J352" s="455">
        <v>46128</v>
      </c>
      <c r="U352" s="455">
        <v>46135</v>
      </c>
    </row>
    <row r="353" spans="1:21">
      <c r="A353" t="s">
        <v>1751</v>
      </c>
      <c r="B353" t="s">
        <v>9631</v>
      </c>
      <c r="C353" t="s">
        <v>1751</v>
      </c>
      <c r="D353">
        <v>20505720</v>
      </c>
      <c r="E353" t="s">
        <v>3190</v>
      </c>
      <c r="F353" t="s">
        <v>1237</v>
      </c>
      <c r="G353" t="s">
        <v>3137</v>
      </c>
      <c r="H353" t="s">
        <v>1247</v>
      </c>
      <c r="I353" t="s">
        <v>7024</v>
      </c>
      <c r="J353" s="455">
        <v>46134</v>
      </c>
      <c r="R353" s="455">
        <v>46139</v>
      </c>
      <c r="U353" s="455">
        <v>46134</v>
      </c>
    </row>
    <row r="354" spans="1:21">
      <c r="A354" t="s">
        <v>1751</v>
      </c>
      <c r="B354" t="s">
        <v>9631</v>
      </c>
      <c r="C354" t="s">
        <v>1751</v>
      </c>
      <c r="D354">
        <v>20509284</v>
      </c>
      <c r="E354" t="s">
        <v>3133</v>
      </c>
      <c r="F354" t="s">
        <v>1237</v>
      </c>
      <c r="G354" t="s">
        <v>3134</v>
      </c>
      <c r="H354" t="s">
        <v>1247</v>
      </c>
      <c r="I354" t="s">
        <v>3264</v>
      </c>
      <c r="J354" s="455">
        <v>46136</v>
      </c>
      <c r="K354" s="455">
        <v>46136</v>
      </c>
      <c r="L354" s="455">
        <v>46136</v>
      </c>
      <c r="R354" s="455">
        <v>46141</v>
      </c>
      <c r="U354" s="455">
        <v>46142</v>
      </c>
    </row>
    <row r="355" spans="1:21">
      <c r="A355" t="s">
        <v>1751</v>
      </c>
      <c r="B355" t="s">
        <v>1960</v>
      </c>
      <c r="C355" t="s">
        <v>1751</v>
      </c>
      <c r="D355">
        <v>20475799</v>
      </c>
      <c r="E355" t="s">
        <v>3133</v>
      </c>
      <c r="F355" t="s">
        <v>1241</v>
      </c>
      <c r="G355" t="s">
        <v>3134</v>
      </c>
      <c r="H355" t="s">
        <v>1247</v>
      </c>
      <c r="I355" t="s">
        <v>1564</v>
      </c>
      <c r="J355" s="455">
        <v>46100</v>
      </c>
      <c r="K355" s="455">
        <v>46100</v>
      </c>
      <c r="R355" s="455">
        <v>46114</v>
      </c>
      <c r="U355" s="455">
        <v>46100</v>
      </c>
    </row>
    <row r="356" spans="1:21">
      <c r="A356" t="s">
        <v>1751</v>
      </c>
      <c r="B356" t="s">
        <v>8715</v>
      </c>
      <c r="C356" t="s">
        <v>1751</v>
      </c>
      <c r="D356">
        <v>20451073</v>
      </c>
      <c r="E356" t="s">
        <v>3190</v>
      </c>
      <c r="F356" t="s">
        <v>1782</v>
      </c>
      <c r="G356" t="s">
        <v>3141</v>
      </c>
      <c r="H356" t="s">
        <v>1247</v>
      </c>
      <c r="J356" s="455">
        <v>46070</v>
      </c>
      <c r="R356" s="455">
        <v>46114</v>
      </c>
      <c r="U356" s="455">
        <v>46082</v>
      </c>
    </row>
    <row r="357" spans="1:21">
      <c r="A357" t="s">
        <v>1751</v>
      </c>
      <c r="B357" t="s">
        <v>8716</v>
      </c>
      <c r="C357" t="s">
        <v>1751</v>
      </c>
      <c r="D357">
        <v>20449629</v>
      </c>
      <c r="E357" t="s">
        <v>3190</v>
      </c>
      <c r="F357" t="s">
        <v>1782</v>
      </c>
      <c r="G357" t="s">
        <v>3141</v>
      </c>
      <c r="H357" t="s">
        <v>1247</v>
      </c>
      <c r="J357" s="455">
        <v>46069</v>
      </c>
      <c r="R357" s="455">
        <v>46114</v>
      </c>
      <c r="U357" s="455">
        <v>46083</v>
      </c>
    </row>
    <row r="358" spans="1:21">
      <c r="A358" t="s">
        <v>1751</v>
      </c>
      <c r="B358" t="s">
        <v>9632</v>
      </c>
      <c r="C358" t="s">
        <v>1751</v>
      </c>
      <c r="D358">
        <v>20485499</v>
      </c>
      <c r="E358" t="s">
        <v>3190</v>
      </c>
      <c r="F358" t="s">
        <v>1782</v>
      </c>
      <c r="G358" t="s">
        <v>3129</v>
      </c>
      <c r="H358" t="s">
        <v>3131</v>
      </c>
      <c r="J358" s="455">
        <v>46114</v>
      </c>
      <c r="R358" s="455">
        <v>46139</v>
      </c>
      <c r="U358" s="455">
        <v>46127</v>
      </c>
    </row>
    <row r="359" spans="1:21">
      <c r="A359" t="s">
        <v>1751</v>
      </c>
      <c r="B359" t="s">
        <v>8718</v>
      </c>
      <c r="C359" t="s">
        <v>1751</v>
      </c>
      <c r="D359">
        <v>20441010</v>
      </c>
      <c r="E359" t="s">
        <v>3133</v>
      </c>
      <c r="F359" t="s">
        <v>8652</v>
      </c>
      <c r="G359" t="s">
        <v>3134</v>
      </c>
      <c r="H359" t="s">
        <v>1247</v>
      </c>
      <c r="J359" s="455">
        <v>46057</v>
      </c>
      <c r="K359" s="455">
        <v>46057</v>
      </c>
      <c r="R359" s="455">
        <v>46114</v>
      </c>
      <c r="U359" s="455">
        <v>46057</v>
      </c>
    </row>
    <row r="360" spans="1:21">
      <c r="A360" t="s">
        <v>1751</v>
      </c>
      <c r="B360" t="s">
        <v>9163</v>
      </c>
      <c r="C360" t="s">
        <v>1751</v>
      </c>
      <c r="D360">
        <v>20481251</v>
      </c>
      <c r="E360" t="s">
        <v>3190</v>
      </c>
      <c r="F360" t="s">
        <v>1782</v>
      </c>
      <c r="G360" t="s">
        <v>3134</v>
      </c>
      <c r="H360" t="s">
        <v>1252</v>
      </c>
      <c r="J360" s="455">
        <v>46108</v>
      </c>
      <c r="R360" s="455">
        <v>46139</v>
      </c>
      <c r="U360" s="455">
        <v>46126</v>
      </c>
    </row>
    <row r="361" spans="1:21">
      <c r="A361" t="s">
        <v>1751</v>
      </c>
      <c r="B361" t="s">
        <v>9633</v>
      </c>
      <c r="C361" t="s">
        <v>1751</v>
      </c>
      <c r="D361">
        <v>20436443</v>
      </c>
      <c r="E361" t="s">
        <v>3190</v>
      </c>
      <c r="F361" t="s">
        <v>1238</v>
      </c>
      <c r="G361" t="s">
        <v>3141</v>
      </c>
      <c r="H361" t="s">
        <v>1253</v>
      </c>
      <c r="J361" s="455">
        <v>46050</v>
      </c>
      <c r="R361" s="455">
        <v>46114</v>
      </c>
      <c r="U361" s="455">
        <v>46052</v>
      </c>
    </row>
    <row r="362" spans="1:21">
      <c r="A362" t="s">
        <v>1751</v>
      </c>
      <c r="B362" t="s">
        <v>9634</v>
      </c>
      <c r="C362" t="s">
        <v>1751</v>
      </c>
      <c r="D362">
        <v>20489043</v>
      </c>
      <c r="E362" t="s">
        <v>3190</v>
      </c>
      <c r="F362" t="s">
        <v>1782</v>
      </c>
      <c r="G362" t="s">
        <v>3143</v>
      </c>
      <c r="H362" t="s">
        <v>1248</v>
      </c>
      <c r="I362" t="s">
        <v>1952</v>
      </c>
      <c r="J362" s="455">
        <v>46119</v>
      </c>
      <c r="R362" s="455">
        <v>46139</v>
      </c>
      <c r="U362" s="455">
        <v>46119</v>
      </c>
    </row>
    <row r="363" spans="1:21">
      <c r="A363" t="s">
        <v>1751</v>
      </c>
      <c r="B363" t="s">
        <v>8720</v>
      </c>
      <c r="C363" t="s">
        <v>1751</v>
      </c>
      <c r="D363">
        <v>20453775</v>
      </c>
      <c r="E363" t="s">
        <v>3190</v>
      </c>
      <c r="F363" t="s">
        <v>1782</v>
      </c>
      <c r="G363" t="s">
        <v>3141</v>
      </c>
      <c r="H363" t="s">
        <v>1247</v>
      </c>
      <c r="J363" s="455">
        <v>46072</v>
      </c>
      <c r="R363" s="455">
        <v>46114</v>
      </c>
      <c r="U363" s="455">
        <v>46072</v>
      </c>
    </row>
    <row r="364" spans="1:21">
      <c r="A364" t="s">
        <v>1751</v>
      </c>
      <c r="B364" t="s">
        <v>9164</v>
      </c>
      <c r="C364" t="s">
        <v>1751</v>
      </c>
      <c r="D364">
        <v>20481680</v>
      </c>
      <c r="E364" t="s">
        <v>3190</v>
      </c>
      <c r="F364" t="s">
        <v>1241</v>
      </c>
      <c r="G364" t="s">
        <v>3137</v>
      </c>
      <c r="H364" t="s">
        <v>1252</v>
      </c>
      <c r="I364" t="s">
        <v>1952</v>
      </c>
      <c r="J364" s="455">
        <v>46108</v>
      </c>
      <c r="R364" s="455">
        <v>46116</v>
      </c>
      <c r="U364" s="455">
        <v>46108</v>
      </c>
    </row>
    <row r="365" spans="1:21">
      <c r="A365" t="s">
        <v>1751</v>
      </c>
      <c r="B365" t="s">
        <v>9635</v>
      </c>
      <c r="C365" t="s">
        <v>1751</v>
      </c>
      <c r="D365">
        <v>20425138</v>
      </c>
      <c r="E365" t="s">
        <v>3133</v>
      </c>
      <c r="F365" t="s">
        <v>1237</v>
      </c>
      <c r="G365" t="s">
        <v>3134</v>
      </c>
      <c r="H365" t="s">
        <v>1247</v>
      </c>
      <c r="I365" t="s">
        <v>1929</v>
      </c>
      <c r="J365" s="455">
        <v>46036</v>
      </c>
      <c r="K365" s="455">
        <v>46036</v>
      </c>
      <c r="R365" s="455">
        <v>46114</v>
      </c>
      <c r="U365" s="455">
        <v>46036</v>
      </c>
    </row>
    <row r="366" spans="1:21">
      <c r="A366" t="s">
        <v>1751</v>
      </c>
      <c r="B366" t="s">
        <v>9165</v>
      </c>
      <c r="C366" t="s">
        <v>1751</v>
      </c>
      <c r="D366">
        <v>20471917</v>
      </c>
      <c r="E366" t="s">
        <v>3190</v>
      </c>
      <c r="F366" t="s">
        <v>1241</v>
      </c>
      <c r="G366" t="s">
        <v>3134</v>
      </c>
      <c r="H366" t="s">
        <v>1252</v>
      </c>
      <c r="J366" s="455">
        <v>46096</v>
      </c>
      <c r="R366" s="455">
        <v>46114</v>
      </c>
      <c r="U366" s="455">
        <v>46113</v>
      </c>
    </row>
    <row r="367" spans="1:21">
      <c r="A367" t="s">
        <v>1751</v>
      </c>
      <c r="B367" t="s">
        <v>9165</v>
      </c>
      <c r="C367" t="s">
        <v>1751</v>
      </c>
      <c r="D367">
        <v>20495290</v>
      </c>
      <c r="E367" t="s">
        <v>3128</v>
      </c>
      <c r="F367" t="s">
        <v>1241</v>
      </c>
      <c r="G367" t="s">
        <v>3137</v>
      </c>
      <c r="H367" t="s">
        <v>1252</v>
      </c>
      <c r="J367" s="455">
        <v>46126</v>
      </c>
      <c r="U367" s="455">
        <v>46126</v>
      </c>
    </row>
    <row r="368" spans="1:21">
      <c r="A368" t="s">
        <v>1751</v>
      </c>
      <c r="B368" t="s">
        <v>9636</v>
      </c>
      <c r="C368" t="s">
        <v>1751</v>
      </c>
      <c r="D368">
        <v>20424868</v>
      </c>
      <c r="E368" t="s">
        <v>3190</v>
      </c>
      <c r="F368" t="s">
        <v>1782</v>
      </c>
      <c r="G368" t="s">
        <v>3141</v>
      </c>
      <c r="H368" t="s">
        <v>1251</v>
      </c>
      <c r="J368" s="455">
        <v>46036</v>
      </c>
      <c r="R368" s="455">
        <v>46114</v>
      </c>
      <c r="U368" s="455">
        <v>46097</v>
      </c>
    </row>
    <row r="369" spans="1:21">
      <c r="A369" t="s">
        <v>1751</v>
      </c>
      <c r="B369" t="s">
        <v>3392</v>
      </c>
      <c r="C369" t="s">
        <v>1751</v>
      </c>
      <c r="D369">
        <v>20485489</v>
      </c>
      <c r="E369" t="s">
        <v>1897</v>
      </c>
      <c r="F369" t="s">
        <v>1242</v>
      </c>
      <c r="G369" t="s">
        <v>3134</v>
      </c>
      <c r="H369" t="s">
        <v>1247</v>
      </c>
      <c r="I369" t="s">
        <v>1808</v>
      </c>
      <c r="J369" s="455">
        <v>46113</v>
      </c>
      <c r="K369" s="455">
        <v>46113</v>
      </c>
      <c r="U369" s="455">
        <v>46127</v>
      </c>
    </row>
    <row r="370" spans="1:21">
      <c r="A370" t="s">
        <v>1751</v>
      </c>
      <c r="B370" t="s">
        <v>9166</v>
      </c>
      <c r="C370" t="s">
        <v>1751</v>
      </c>
      <c r="D370">
        <v>20483473</v>
      </c>
      <c r="E370" t="s">
        <v>3190</v>
      </c>
      <c r="F370" t="s">
        <v>1241</v>
      </c>
      <c r="G370" t="s">
        <v>3134</v>
      </c>
      <c r="H370" t="s">
        <v>1252</v>
      </c>
      <c r="J370" s="455">
        <v>46111</v>
      </c>
      <c r="R370" s="455">
        <v>46139</v>
      </c>
      <c r="U370" s="455">
        <v>46143</v>
      </c>
    </row>
    <row r="371" spans="1:21">
      <c r="A371" t="s">
        <v>1751</v>
      </c>
      <c r="B371" t="s">
        <v>9167</v>
      </c>
      <c r="C371" t="s">
        <v>1751</v>
      </c>
      <c r="D371">
        <v>20475081</v>
      </c>
      <c r="E371" t="s">
        <v>3190</v>
      </c>
      <c r="F371" t="s">
        <v>1241</v>
      </c>
      <c r="G371" t="s">
        <v>3134</v>
      </c>
      <c r="H371" t="s">
        <v>1252</v>
      </c>
      <c r="J371" s="455">
        <v>46099</v>
      </c>
      <c r="R371" s="455">
        <v>46114</v>
      </c>
      <c r="U371" s="455">
        <v>46100</v>
      </c>
    </row>
    <row r="372" spans="1:21">
      <c r="A372" t="s">
        <v>1751</v>
      </c>
      <c r="B372" t="s">
        <v>9168</v>
      </c>
      <c r="C372" t="s">
        <v>1751</v>
      </c>
      <c r="D372">
        <v>20470283</v>
      </c>
      <c r="E372" t="s">
        <v>3133</v>
      </c>
      <c r="F372" t="s">
        <v>1239</v>
      </c>
      <c r="G372" t="s">
        <v>3143</v>
      </c>
      <c r="H372" t="s">
        <v>3358</v>
      </c>
      <c r="I372" t="s">
        <v>3277</v>
      </c>
      <c r="J372" s="455">
        <v>46093</v>
      </c>
      <c r="K372" s="455">
        <v>46093</v>
      </c>
      <c r="R372" s="455">
        <v>46114</v>
      </c>
      <c r="U372" s="455">
        <v>46116</v>
      </c>
    </row>
    <row r="373" spans="1:21">
      <c r="A373" t="s">
        <v>1751</v>
      </c>
      <c r="B373" t="s">
        <v>2942</v>
      </c>
      <c r="C373" t="s">
        <v>1751</v>
      </c>
      <c r="D373">
        <v>20440608</v>
      </c>
      <c r="E373" t="s">
        <v>3190</v>
      </c>
      <c r="F373" t="s">
        <v>1782</v>
      </c>
      <c r="G373" t="s">
        <v>3141</v>
      </c>
      <c r="H373" t="s">
        <v>1251</v>
      </c>
      <c r="J373" s="455">
        <v>46056</v>
      </c>
      <c r="R373" s="455">
        <v>46114</v>
      </c>
      <c r="U373" s="455">
        <v>46056</v>
      </c>
    </row>
    <row r="374" spans="1:21">
      <c r="A374" t="s">
        <v>1751</v>
      </c>
      <c r="B374" t="s">
        <v>9169</v>
      </c>
      <c r="C374" t="s">
        <v>1751</v>
      </c>
      <c r="D374">
        <v>20477555</v>
      </c>
      <c r="E374" t="s">
        <v>3133</v>
      </c>
      <c r="F374" t="s">
        <v>1242</v>
      </c>
      <c r="G374" t="s">
        <v>3134</v>
      </c>
      <c r="H374" t="s">
        <v>1247</v>
      </c>
      <c r="J374" s="455">
        <v>46102</v>
      </c>
      <c r="K374" s="455">
        <v>46102</v>
      </c>
      <c r="R374" s="455">
        <v>46114</v>
      </c>
      <c r="U374" s="455">
        <v>46102</v>
      </c>
    </row>
    <row r="375" spans="1:21">
      <c r="A375" t="s">
        <v>1751</v>
      </c>
      <c r="B375" t="s">
        <v>9169</v>
      </c>
      <c r="C375" t="s">
        <v>1751</v>
      </c>
      <c r="D375">
        <v>20477531</v>
      </c>
      <c r="E375" t="s">
        <v>3133</v>
      </c>
      <c r="F375" t="s">
        <v>1241</v>
      </c>
      <c r="G375" t="s">
        <v>3134</v>
      </c>
      <c r="H375" t="s">
        <v>1247</v>
      </c>
      <c r="J375" s="455">
        <v>46102</v>
      </c>
      <c r="K375" s="455">
        <v>46102</v>
      </c>
      <c r="R375" s="455">
        <v>46114</v>
      </c>
      <c r="U375" s="455">
        <v>46132</v>
      </c>
    </row>
    <row r="376" spans="1:21">
      <c r="A376" t="s">
        <v>1751</v>
      </c>
      <c r="B376" t="s">
        <v>9637</v>
      </c>
      <c r="C376" t="s">
        <v>1751</v>
      </c>
      <c r="D376">
        <v>20507074</v>
      </c>
      <c r="E376" t="s">
        <v>3128</v>
      </c>
      <c r="F376" t="s">
        <v>1782</v>
      </c>
      <c r="G376" t="s">
        <v>3137</v>
      </c>
      <c r="H376" t="s">
        <v>1252</v>
      </c>
      <c r="J376" s="455">
        <v>46134</v>
      </c>
      <c r="U376" s="455">
        <v>46148</v>
      </c>
    </row>
    <row r="377" spans="1:21">
      <c r="A377" t="s">
        <v>1751</v>
      </c>
      <c r="B377" t="s">
        <v>8721</v>
      </c>
      <c r="C377" t="s">
        <v>1751</v>
      </c>
      <c r="D377">
        <v>20459687</v>
      </c>
      <c r="E377" t="s">
        <v>3190</v>
      </c>
      <c r="F377" t="s">
        <v>1782</v>
      </c>
      <c r="G377" t="s">
        <v>3141</v>
      </c>
      <c r="H377" t="s">
        <v>1247</v>
      </c>
      <c r="J377" s="455">
        <v>46081</v>
      </c>
      <c r="R377" s="455">
        <v>46114</v>
      </c>
      <c r="U377" s="455">
        <v>46101</v>
      </c>
    </row>
    <row r="378" spans="1:21">
      <c r="A378" t="s">
        <v>1751</v>
      </c>
      <c r="B378" t="s">
        <v>9638</v>
      </c>
      <c r="C378" t="s">
        <v>1751</v>
      </c>
      <c r="D378">
        <v>20416900</v>
      </c>
      <c r="E378" t="s">
        <v>3190</v>
      </c>
      <c r="F378" t="s">
        <v>1239</v>
      </c>
      <c r="G378" t="s">
        <v>3129</v>
      </c>
      <c r="H378" t="s">
        <v>1252</v>
      </c>
      <c r="J378" s="455">
        <v>46024</v>
      </c>
      <c r="R378" s="455">
        <v>46114</v>
      </c>
      <c r="U378" s="455">
        <v>46024</v>
      </c>
    </row>
    <row r="379" spans="1:21">
      <c r="A379" t="s">
        <v>1751</v>
      </c>
      <c r="B379" t="s">
        <v>9639</v>
      </c>
      <c r="C379" t="s">
        <v>1751</v>
      </c>
      <c r="D379">
        <v>20513434</v>
      </c>
      <c r="E379" t="s">
        <v>3128</v>
      </c>
      <c r="F379" t="s">
        <v>1782</v>
      </c>
      <c r="G379" t="s">
        <v>3141</v>
      </c>
      <c r="H379" t="s">
        <v>1247</v>
      </c>
      <c r="J379" s="455">
        <v>46142</v>
      </c>
      <c r="U379" s="455">
        <v>46142</v>
      </c>
    </row>
    <row r="380" spans="1:21">
      <c r="A380" t="s">
        <v>1751</v>
      </c>
      <c r="B380" t="s">
        <v>9640</v>
      </c>
      <c r="C380" t="s">
        <v>1751</v>
      </c>
      <c r="D380">
        <v>20438134</v>
      </c>
      <c r="E380" t="s">
        <v>3190</v>
      </c>
      <c r="F380" t="s">
        <v>1237</v>
      </c>
      <c r="G380" t="s">
        <v>3129</v>
      </c>
      <c r="H380" t="s">
        <v>1253</v>
      </c>
      <c r="I380" t="s">
        <v>1925</v>
      </c>
      <c r="J380" s="455">
        <v>46052</v>
      </c>
      <c r="R380" s="455">
        <v>46114</v>
      </c>
      <c r="U380" s="455">
        <v>46069</v>
      </c>
    </row>
    <row r="381" spans="1:21">
      <c r="A381" t="s">
        <v>1751</v>
      </c>
      <c r="B381" t="s">
        <v>9641</v>
      </c>
      <c r="C381" t="s">
        <v>1751</v>
      </c>
      <c r="D381">
        <v>20422240</v>
      </c>
      <c r="E381" t="s">
        <v>3190</v>
      </c>
      <c r="F381" t="s">
        <v>1239</v>
      </c>
      <c r="G381" t="s">
        <v>3143</v>
      </c>
      <c r="H381" t="s">
        <v>1252</v>
      </c>
      <c r="J381" s="455">
        <v>46032</v>
      </c>
      <c r="R381" s="455">
        <v>46114</v>
      </c>
      <c r="U381" s="455">
        <v>46032</v>
      </c>
    </row>
    <row r="382" spans="1:21">
      <c r="A382" t="s">
        <v>1751</v>
      </c>
      <c r="B382" t="s">
        <v>9642</v>
      </c>
      <c r="C382" t="s">
        <v>1751</v>
      </c>
      <c r="D382">
        <v>20495673</v>
      </c>
      <c r="E382" t="s">
        <v>3128</v>
      </c>
      <c r="F382" t="s">
        <v>1242</v>
      </c>
      <c r="G382" t="s">
        <v>3143</v>
      </c>
      <c r="H382" t="s">
        <v>4333</v>
      </c>
      <c r="I382" t="s">
        <v>1952</v>
      </c>
      <c r="J382" s="455">
        <v>46127</v>
      </c>
      <c r="U382" s="455">
        <v>46127</v>
      </c>
    </row>
    <row r="383" spans="1:21">
      <c r="A383" t="s">
        <v>1751</v>
      </c>
      <c r="B383" t="s">
        <v>9170</v>
      </c>
      <c r="C383" t="s">
        <v>1751</v>
      </c>
      <c r="D383">
        <v>20479459</v>
      </c>
      <c r="E383" t="s">
        <v>3190</v>
      </c>
      <c r="F383" t="s">
        <v>1241</v>
      </c>
      <c r="G383" t="s">
        <v>3134</v>
      </c>
      <c r="H383" t="s">
        <v>1252</v>
      </c>
      <c r="J383" s="455">
        <v>46105</v>
      </c>
      <c r="R383" s="455">
        <v>46139</v>
      </c>
      <c r="U383" s="455">
        <v>46113</v>
      </c>
    </row>
    <row r="384" spans="1:21">
      <c r="A384" t="s">
        <v>1751</v>
      </c>
      <c r="B384" t="s">
        <v>2490</v>
      </c>
      <c r="C384" t="s">
        <v>1751</v>
      </c>
      <c r="D384">
        <v>20481273</v>
      </c>
      <c r="E384" t="s">
        <v>3142</v>
      </c>
      <c r="F384" t="s">
        <v>1243</v>
      </c>
      <c r="G384" t="s">
        <v>3134</v>
      </c>
      <c r="H384" t="s">
        <v>1247</v>
      </c>
      <c r="I384" t="s">
        <v>1227</v>
      </c>
      <c r="J384" s="455">
        <v>46108</v>
      </c>
      <c r="K384" s="455">
        <v>46108</v>
      </c>
      <c r="L384" s="455">
        <v>46108</v>
      </c>
      <c r="M384" s="455">
        <v>46113</v>
      </c>
      <c r="N384" s="455">
        <v>46113</v>
      </c>
      <c r="P384" s="455">
        <v>46114</v>
      </c>
      <c r="Q384" s="455">
        <v>46114</v>
      </c>
      <c r="U384" s="455">
        <v>46121</v>
      </c>
    </row>
    <row r="385" spans="1:21">
      <c r="A385" t="s">
        <v>1751</v>
      </c>
      <c r="B385" t="s">
        <v>2490</v>
      </c>
      <c r="C385" t="s">
        <v>1751</v>
      </c>
      <c r="D385">
        <v>20481272</v>
      </c>
      <c r="E385" t="s">
        <v>3133</v>
      </c>
      <c r="F385" t="s">
        <v>1243</v>
      </c>
      <c r="G385" t="s">
        <v>3134</v>
      </c>
      <c r="H385" t="s">
        <v>1247</v>
      </c>
      <c r="J385" s="455">
        <v>46108</v>
      </c>
      <c r="K385" s="455">
        <v>46108</v>
      </c>
      <c r="R385" s="455">
        <v>46122</v>
      </c>
      <c r="U385" s="455">
        <v>46108</v>
      </c>
    </row>
    <row r="386" spans="1:21">
      <c r="A386" t="s">
        <v>1751</v>
      </c>
      <c r="B386" t="s">
        <v>3401</v>
      </c>
      <c r="C386" t="s">
        <v>1751</v>
      </c>
      <c r="D386">
        <v>20488020</v>
      </c>
      <c r="E386" t="s">
        <v>1901</v>
      </c>
      <c r="F386" t="s">
        <v>1241</v>
      </c>
      <c r="G386" t="s">
        <v>3134</v>
      </c>
      <c r="H386" t="s">
        <v>1247</v>
      </c>
      <c r="I386" t="s">
        <v>1559</v>
      </c>
      <c r="J386" s="455">
        <v>46118</v>
      </c>
      <c r="K386" s="455">
        <v>46118</v>
      </c>
      <c r="L386" s="455">
        <v>46118</v>
      </c>
      <c r="U386" s="455">
        <v>46118</v>
      </c>
    </row>
    <row r="387" spans="1:21">
      <c r="A387" t="s">
        <v>1751</v>
      </c>
      <c r="B387" t="s">
        <v>3401</v>
      </c>
      <c r="C387" t="s">
        <v>1751</v>
      </c>
      <c r="D387">
        <v>20417057</v>
      </c>
      <c r="E387" t="s">
        <v>3133</v>
      </c>
      <c r="F387" t="s">
        <v>1237</v>
      </c>
      <c r="G387" t="s">
        <v>3134</v>
      </c>
      <c r="H387" t="s">
        <v>1252</v>
      </c>
      <c r="I387" t="s">
        <v>7169</v>
      </c>
      <c r="J387" s="455">
        <v>46024</v>
      </c>
      <c r="K387" s="455">
        <v>46024</v>
      </c>
      <c r="R387" s="455">
        <v>46114</v>
      </c>
      <c r="U387" s="455">
        <v>46036</v>
      </c>
    </row>
    <row r="388" spans="1:21">
      <c r="A388" t="s">
        <v>1751</v>
      </c>
      <c r="B388" t="s">
        <v>9643</v>
      </c>
      <c r="C388" t="s">
        <v>1751</v>
      </c>
      <c r="D388">
        <v>20485395</v>
      </c>
      <c r="E388" t="s">
        <v>3190</v>
      </c>
      <c r="F388" t="s">
        <v>1241</v>
      </c>
      <c r="G388" t="s">
        <v>3134</v>
      </c>
      <c r="H388" t="s">
        <v>1252</v>
      </c>
      <c r="J388" s="455">
        <v>46113</v>
      </c>
      <c r="R388" s="455">
        <v>46139</v>
      </c>
      <c r="U388" s="455">
        <v>46190</v>
      </c>
    </row>
    <row r="389" spans="1:21">
      <c r="A389" t="s">
        <v>1751</v>
      </c>
      <c r="B389" t="s">
        <v>9644</v>
      </c>
      <c r="C389" t="s">
        <v>1751</v>
      </c>
      <c r="D389">
        <v>20505747</v>
      </c>
      <c r="E389" t="s">
        <v>3128</v>
      </c>
      <c r="F389" t="s">
        <v>1782</v>
      </c>
      <c r="G389" t="s">
        <v>3129</v>
      </c>
      <c r="H389" t="s">
        <v>1247</v>
      </c>
      <c r="J389" s="455">
        <v>46134</v>
      </c>
      <c r="U389" s="455">
        <v>46134</v>
      </c>
    </row>
    <row r="390" spans="1:21">
      <c r="A390" t="s">
        <v>1751</v>
      </c>
      <c r="B390" t="s">
        <v>9644</v>
      </c>
      <c r="C390" t="s">
        <v>1751</v>
      </c>
      <c r="D390">
        <v>20505077</v>
      </c>
      <c r="E390" t="s">
        <v>3128</v>
      </c>
      <c r="F390" t="s">
        <v>1782</v>
      </c>
      <c r="G390" t="s">
        <v>3129</v>
      </c>
      <c r="H390" t="s">
        <v>1252</v>
      </c>
      <c r="I390" t="s">
        <v>1598</v>
      </c>
      <c r="J390" s="455">
        <v>46133</v>
      </c>
      <c r="U390" s="455">
        <v>46133</v>
      </c>
    </row>
    <row r="391" spans="1:21">
      <c r="A391" t="s">
        <v>1751</v>
      </c>
      <c r="B391" t="s">
        <v>9645</v>
      </c>
      <c r="C391" t="s">
        <v>1751</v>
      </c>
      <c r="D391">
        <v>20420764</v>
      </c>
      <c r="E391" t="s">
        <v>3190</v>
      </c>
      <c r="F391" t="s">
        <v>1782</v>
      </c>
      <c r="G391" t="s">
        <v>3137</v>
      </c>
      <c r="H391" t="s">
        <v>1251</v>
      </c>
      <c r="J391" s="455">
        <v>46030</v>
      </c>
      <c r="R391" s="455">
        <v>46114</v>
      </c>
      <c r="U391" s="455">
        <v>46030</v>
      </c>
    </row>
    <row r="392" spans="1:21">
      <c r="A392" t="s">
        <v>1751</v>
      </c>
      <c r="B392" t="s">
        <v>9171</v>
      </c>
      <c r="C392" t="s">
        <v>1751</v>
      </c>
      <c r="D392">
        <v>20460410</v>
      </c>
      <c r="E392" t="s">
        <v>3190</v>
      </c>
      <c r="F392" t="s">
        <v>1239</v>
      </c>
      <c r="G392" t="s">
        <v>3129</v>
      </c>
      <c r="H392" t="s">
        <v>1250</v>
      </c>
      <c r="J392" s="455">
        <v>46083</v>
      </c>
      <c r="R392" s="455">
        <v>46115</v>
      </c>
      <c r="U392" s="455">
        <v>46083</v>
      </c>
    </row>
    <row r="393" spans="1:21">
      <c r="A393" t="s">
        <v>1751</v>
      </c>
      <c r="B393" t="s">
        <v>3403</v>
      </c>
      <c r="C393" t="s">
        <v>1751</v>
      </c>
      <c r="D393">
        <v>20493012</v>
      </c>
      <c r="E393" t="s">
        <v>1897</v>
      </c>
      <c r="F393" t="s">
        <v>1912</v>
      </c>
      <c r="G393" t="s">
        <v>3134</v>
      </c>
      <c r="H393" t="s">
        <v>1250</v>
      </c>
      <c r="J393" s="455">
        <v>46124</v>
      </c>
      <c r="K393" s="455">
        <v>46124</v>
      </c>
      <c r="U393" s="455">
        <v>46135</v>
      </c>
    </row>
    <row r="394" spans="1:21">
      <c r="A394" t="s">
        <v>1751</v>
      </c>
      <c r="B394" t="s">
        <v>9646</v>
      </c>
      <c r="C394" t="s">
        <v>1751</v>
      </c>
      <c r="D394">
        <v>20497183</v>
      </c>
      <c r="E394" t="s">
        <v>3128</v>
      </c>
      <c r="F394" t="s">
        <v>1241</v>
      </c>
      <c r="G394" t="s">
        <v>3134</v>
      </c>
      <c r="H394" t="s">
        <v>1252</v>
      </c>
      <c r="J394" s="455">
        <v>46127</v>
      </c>
      <c r="U394" s="455">
        <v>46190</v>
      </c>
    </row>
    <row r="395" spans="1:21">
      <c r="A395" t="s">
        <v>1751</v>
      </c>
      <c r="B395" t="s">
        <v>9647</v>
      </c>
      <c r="C395" t="s">
        <v>1751</v>
      </c>
      <c r="D395">
        <v>20493349</v>
      </c>
      <c r="E395" t="s">
        <v>3190</v>
      </c>
      <c r="F395" t="s">
        <v>1241</v>
      </c>
      <c r="G395" t="s">
        <v>3134</v>
      </c>
      <c r="H395" t="s">
        <v>1252</v>
      </c>
      <c r="J395" s="455">
        <v>46125</v>
      </c>
      <c r="R395" s="455">
        <v>46139</v>
      </c>
      <c r="U395" s="455">
        <v>46150</v>
      </c>
    </row>
    <row r="396" spans="1:21">
      <c r="A396" t="s">
        <v>1751</v>
      </c>
      <c r="B396" t="s">
        <v>9648</v>
      </c>
      <c r="C396" t="s">
        <v>1751</v>
      </c>
      <c r="D396">
        <v>20493429</v>
      </c>
      <c r="E396" t="s">
        <v>3190</v>
      </c>
      <c r="F396" t="s">
        <v>1241</v>
      </c>
      <c r="G396" t="s">
        <v>3134</v>
      </c>
      <c r="H396" t="s">
        <v>1252</v>
      </c>
      <c r="J396" s="455">
        <v>46125</v>
      </c>
      <c r="R396" s="455">
        <v>46139</v>
      </c>
      <c r="U396" s="455">
        <v>46165</v>
      </c>
    </row>
    <row r="397" spans="1:21">
      <c r="A397" t="s">
        <v>1751</v>
      </c>
      <c r="B397" t="s">
        <v>8723</v>
      </c>
      <c r="C397" t="s">
        <v>1751</v>
      </c>
      <c r="D397">
        <v>20446981</v>
      </c>
      <c r="E397" t="s">
        <v>3190</v>
      </c>
      <c r="F397" t="s">
        <v>1241</v>
      </c>
      <c r="G397" t="s">
        <v>2009</v>
      </c>
      <c r="H397" t="s">
        <v>1247</v>
      </c>
      <c r="J397" s="455">
        <v>46064</v>
      </c>
      <c r="R397" s="455">
        <v>46114</v>
      </c>
      <c r="U397" s="455">
        <v>46113</v>
      </c>
    </row>
    <row r="398" spans="1:21">
      <c r="A398" t="s">
        <v>1751</v>
      </c>
      <c r="B398" t="s">
        <v>8724</v>
      </c>
      <c r="C398" t="s">
        <v>1751</v>
      </c>
      <c r="D398">
        <v>20455489</v>
      </c>
      <c r="E398" t="s">
        <v>3190</v>
      </c>
      <c r="F398" t="s">
        <v>1241</v>
      </c>
      <c r="G398" t="s">
        <v>3137</v>
      </c>
      <c r="H398" t="s">
        <v>1247</v>
      </c>
      <c r="J398" s="455">
        <v>46076</v>
      </c>
      <c r="R398" s="455">
        <v>46114</v>
      </c>
      <c r="U398" s="455">
        <v>46132</v>
      </c>
    </row>
    <row r="399" spans="1:21">
      <c r="A399" t="s">
        <v>1751</v>
      </c>
      <c r="B399" t="s">
        <v>8725</v>
      </c>
      <c r="C399" t="s">
        <v>1751</v>
      </c>
      <c r="D399">
        <v>20450723</v>
      </c>
      <c r="E399" t="s">
        <v>3190</v>
      </c>
      <c r="F399" t="s">
        <v>1782</v>
      </c>
      <c r="G399" t="s">
        <v>3141</v>
      </c>
      <c r="H399" t="s">
        <v>1247</v>
      </c>
      <c r="J399" s="455">
        <v>46070</v>
      </c>
      <c r="R399" s="455">
        <v>46114</v>
      </c>
      <c r="U399" s="455">
        <v>46213</v>
      </c>
    </row>
    <row r="400" spans="1:21">
      <c r="A400" t="s">
        <v>1751</v>
      </c>
      <c r="B400" t="s">
        <v>1916</v>
      </c>
      <c r="C400" t="s">
        <v>1751</v>
      </c>
      <c r="D400">
        <v>20451157</v>
      </c>
      <c r="E400" t="s">
        <v>3133</v>
      </c>
      <c r="F400" t="s">
        <v>1238</v>
      </c>
      <c r="G400" t="s">
        <v>3134</v>
      </c>
      <c r="H400" t="s">
        <v>1252</v>
      </c>
      <c r="I400" t="s">
        <v>1915</v>
      </c>
      <c r="J400" s="455">
        <v>46071</v>
      </c>
      <c r="K400" s="455">
        <v>46071</v>
      </c>
      <c r="R400" s="455">
        <v>46114</v>
      </c>
      <c r="U400" s="455">
        <v>46083</v>
      </c>
    </row>
    <row r="401" spans="1:21">
      <c r="A401" t="s">
        <v>1751</v>
      </c>
      <c r="B401" t="s">
        <v>9649</v>
      </c>
      <c r="C401" t="s">
        <v>1751</v>
      </c>
      <c r="D401">
        <v>20512499</v>
      </c>
      <c r="E401" t="s">
        <v>3128</v>
      </c>
      <c r="F401" t="s">
        <v>1782</v>
      </c>
      <c r="G401" t="s">
        <v>3129</v>
      </c>
      <c r="H401" t="s">
        <v>3131</v>
      </c>
      <c r="J401" s="455">
        <v>46141</v>
      </c>
      <c r="U401" s="455">
        <v>46141</v>
      </c>
    </row>
    <row r="402" spans="1:21">
      <c r="A402" t="s">
        <v>1751</v>
      </c>
      <c r="B402" t="s">
        <v>9650</v>
      </c>
      <c r="C402" t="s">
        <v>1751</v>
      </c>
      <c r="D402">
        <v>20505600</v>
      </c>
      <c r="E402" t="s">
        <v>3128</v>
      </c>
      <c r="F402" t="s">
        <v>1782</v>
      </c>
      <c r="G402" t="s">
        <v>3141</v>
      </c>
      <c r="H402" t="s">
        <v>1252</v>
      </c>
      <c r="J402" s="455">
        <v>46134</v>
      </c>
      <c r="U402" s="455">
        <v>46134</v>
      </c>
    </row>
    <row r="403" spans="1:21">
      <c r="A403" t="s">
        <v>1751</v>
      </c>
      <c r="B403" t="s">
        <v>9651</v>
      </c>
      <c r="C403" t="s">
        <v>1751</v>
      </c>
      <c r="D403">
        <v>20489156</v>
      </c>
      <c r="E403" t="s">
        <v>3190</v>
      </c>
      <c r="F403" t="s">
        <v>1782</v>
      </c>
      <c r="G403" t="s">
        <v>3134</v>
      </c>
      <c r="H403" t="s">
        <v>1252</v>
      </c>
      <c r="J403" s="455">
        <v>46119</v>
      </c>
      <c r="R403" s="455">
        <v>46139</v>
      </c>
      <c r="U403" s="455">
        <v>46173</v>
      </c>
    </row>
    <row r="404" spans="1:21">
      <c r="A404" t="s">
        <v>1751</v>
      </c>
      <c r="B404" t="s">
        <v>9652</v>
      </c>
      <c r="C404" t="s">
        <v>1751</v>
      </c>
      <c r="D404">
        <v>20506321</v>
      </c>
      <c r="E404" t="s">
        <v>3142</v>
      </c>
      <c r="F404" t="s">
        <v>1238</v>
      </c>
      <c r="G404" t="s">
        <v>3134</v>
      </c>
      <c r="H404" t="s">
        <v>1247</v>
      </c>
      <c r="I404" t="s">
        <v>2696</v>
      </c>
      <c r="J404" s="455">
        <v>46134</v>
      </c>
      <c r="K404" s="455">
        <v>46134</v>
      </c>
      <c r="L404" s="455">
        <v>46134</v>
      </c>
      <c r="M404" s="455">
        <v>46141</v>
      </c>
      <c r="N404" s="455">
        <v>46141</v>
      </c>
      <c r="P404" s="455">
        <v>46142</v>
      </c>
      <c r="Q404" s="455">
        <v>46142</v>
      </c>
      <c r="U404" s="455">
        <v>46142</v>
      </c>
    </row>
    <row r="405" spans="1:21">
      <c r="A405" t="s">
        <v>1751</v>
      </c>
      <c r="B405" t="s">
        <v>9173</v>
      </c>
      <c r="C405" t="s">
        <v>1751</v>
      </c>
      <c r="D405">
        <v>20469503</v>
      </c>
      <c r="E405" t="s">
        <v>3190</v>
      </c>
      <c r="F405" t="s">
        <v>1782</v>
      </c>
      <c r="G405" t="s">
        <v>3141</v>
      </c>
      <c r="H405" t="s">
        <v>1252</v>
      </c>
      <c r="J405" s="455">
        <v>46093</v>
      </c>
      <c r="R405" s="455">
        <v>46114</v>
      </c>
      <c r="U405" s="455">
        <v>46093</v>
      </c>
    </row>
    <row r="406" spans="1:21">
      <c r="A406" t="s">
        <v>1751</v>
      </c>
      <c r="B406" t="s">
        <v>9653</v>
      </c>
      <c r="C406" t="s">
        <v>1751</v>
      </c>
      <c r="D406">
        <v>20507538</v>
      </c>
      <c r="E406" t="s">
        <v>3128</v>
      </c>
      <c r="F406" t="s">
        <v>1241</v>
      </c>
      <c r="G406" t="s">
        <v>3134</v>
      </c>
      <c r="H406" t="s">
        <v>3165</v>
      </c>
      <c r="J406" s="455">
        <v>46135</v>
      </c>
      <c r="U406" s="455">
        <v>46174</v>
      </c>
    </row>
    <row r="407" spans="1:21">
      <c r="A407" t="s">
        <v>1751</v>
      </c>
      <c r="B407" t="s">
        <v>9654</v>
      </c>
      <c r="C407" t="s">
        <v>1751</v>
      </c>
      <c r="D407">
        <v>20411167</v>
      </c>
      <c r="E407" t="s">
        <v>3190</v>
      </c>
      <c r="F407" t="s">
        <v>1241</v>
      </c>
      <c r="G407" t="s">
        <v>3137</v>
      </c>
      <c r="H407" t="s">
        <v>1249</v>
      </c>
      <c r="J407" s="455">
        <v>46013</v>
      </c>
      <c r="R407" s="455">
        <v>46114</v>
      </c>
      <c r="U407" s="455">
        <v>46023</v>
      </c>
    </row>
    <row r="408" spans="1:21">
      <c r="A408" t="s">
        <v>1751</v>
      </c>
      <c r="B408" t="s">
        <v>9655</v>
      </c>
      <c r="C408" t="s">
        <v>1751</v>
      </c>
      <c r="D408">
        <v>20491295</v>
      </c>
      <c r="E408" t="s">
        <v>3190</v>
      </c>
      <c r="F408" t="s">
        <v>1241</v>
      </c>
      <c r="G408" t="s">
        <v>3134</v>
      </c>
      <c r="H408" t="s">
        <v>3165</v>
      </c>
      <c r="J408" s="455">
        <v>46121</v>
      </c>
      <c r="R408" s="455">
        <v>46139</v>
      </c>
      <c r="U408" s="455">
        <v>46122</v>
      </c>
    </row>
    <row r="409" spans="1:21">
      <c r="A409" t="s">
        <v>1751</v>
      </c>
      <c r="B409" t="s">
        <v>8728</v>
      </c>
      <c r="C409" t="s">
        <v>1751</v>
      </c>
      <c r="D409">
        <v>20455472</v>
      </c>
      <c r="E409" t="s">
        <v>3190</v>
      </c>
      <c r="F409" t="s">
        <v>1241</v>
      </c>
      <c r="G409" t="s">
        <v>3141</v>
      </c>
      <c r="H409" t="s">
        <v>1247</v>
      </c>
      <c r="J409" s="455">
        <v>46076</v>
      </c>
      <c r="R409" s="455">
        <v>46114</v>
      </c>
      <c r="U409" s="455">
        <v>46153</v>
      </c>
    </row>
    <row r="410" spans="1:21">
      <c r="A410" t="s">
        <v>1751</v>
      </c>
      <c r="B410" t="s">
        <v>8729</v>
      </c>
      <c r="C410" t="s">
        <v>1751</v>
      </c>
      <c r="D410">
        <v>20450235</v>
      </c>
      <c r="E410" t="s">
        <v>3190</v>
      </c>
      <c r="F410" t="s">
        <v>1782</v>
      </c>
      <c r="G410" t="s">
        <v>3129</v>
      </c>
      <c r="H410" t="s">
        <v>1247</v>
      </c>
      <c r="J410" s="455">
        <v>46070</v>
      </c>
      <c r="R410" s="455">
        <v>46114</v>
      </c>
      <c r="U410" s="455">
        <v>46070</v>
      </c>
    </row>
    <row r="411" spans="1:21">
      <c r="A411" t="s">
        <v>1751</v>
      </c>
      <c r="B411" t="s">
        <v>8730</v>
      </c>
      <c r="C411" t="s">
        <v>1751</v>
      </c>
      <c r="D411">
        <v>20448254</v>
      </c>
      <c r="E411" t="s">
        <v>3133</v>
      </c>
      <c r="F411" t="s">
        <v>1782</v>
      </c>
      <c r="G411" t="s">
        <v>3134</v>
      </c>
      <c r="H411" t="s">
        <v>1247</v>
      </c>
      <c r="J411" s="455">
        <v>46066</v>
      </c>
      <c r="K411" s="455">
        <v>46066</v>
      </c>
      <c r="R411" s="455">
        <v>46114</v>
      </c>
      <c r="U411" s="455">
        <v>46066</v>
      </c>
    </row>
    <row r="412" spans="1:21">
      <c r="A412" t="s">
        <v>1751</v>
      </c>
      <c r="B412" t="s">
        <v>8731</v>
      </c>
      <c r="C412" t="s">
        <v>1751</v>
      </c>
      <c r="D412">
        <v>20443572</v>
      </c>
      <c r="E412" t="s">
        <v>3190</v>
      </c>
      <c r="F412" t="s">
        <v>1238</v>
      </c>
      <c r="G412" t="s">
        <v>2009</v>
      </c>
      <c r="H412" t="s">
        <v>1251</v>
      </c>
      <c r="J412" s="455">
        <v>46062</v>
      </c>
      <c r="R412" s="455">
        <v>46114</v>
      </c>
      <c r="U412" s="455">
        <v>46275</v>
      </c>
    </row>
    <row r="413" spans="1:21">
      <c r="A413" t="s">
        <v>1751</v>
      </c>
      <c r="B413" t="s">
        <v>3420</v>
      </c>
      <c r="C413" t="s">
        <v>1751</v>
      </c>
      <c r="D413">
        <v>20468532</v>
      </c>
      <c r="E413" t="s">
        <v>3190</v>
      </c>
      <c r="F413" t="s">
        <v>1782</v>
      </c>
      <c r="G413" t="s">
        <v>3141</v>
      </c>
      <c r="H413" t="s">
        <v>1247</v>
      </c>
      <c r="J413" s="455">
        <v>46092</v>
      </c>
      <c r="R413" s="455">
        <v>46114</v>
      </c>
      <c r="U413" s="455">
        <v>46115</v>
      </c>
    </row>
    <row r="414" spans="1:21">
      <c r="A414" t="s">
        <v>1751</v>
      </c>
      <c r="B414" t="s">
        <v>8732</v>
      </c>
      <c r="C414" t="s">
        <v>1751</v>
      </c>
      <c r="D414">
        <v>20449493</v>
      </c>
      <c r="E414" t="s">
        <v>3190</v>
      </c>
      <c r="F414" t="s">
        <v>1241</v>
      </c>
      <c r="G414" t="s">
        <v>2009</v>
      </c>
      <c r="H414" t="s">
        <v>1247</v>
      </c>
      <c r="J414" s="455">
        <v>46068</v>
      </c>
      <c r="R414" s="455">
        <v>46114</v>
      </c>
      <c r="U414" s="455">
        <v>46111</v>
      </c>
    </row>
    <row r="415" spans="1:21">
      <c r="A415" t="s">
        <v>1751</v>
      </c>
      <c r="B415" t="s">
        <v>9656</v>
      </c>
      <c r="C415" t="s">
        <v>1751</v>
      </c>
      <c r="D415">
        <v>20510476</v>
      </c>
      <c r="E415" t="s">
        <v>3128</v>
      </c>
      <c r="F415" t="s">
        <v>1782</v>
      </c>
      <c r="G415" t="s">
        <v>3141</v>
      </c>
      <c r="H415" t="s">
        <v>1252</v>
      </c>
      <c r="J415" s="455">
        <v>46138</v>
      </c>
      <c r="U415" s="455">
        <v>46138</v>
      </c>
    </row>
    <row r="416" spans="1:21">
      <c r="A416" t="s">
        <v>1751</v>
      </c>
      <c r="B416" t="s">
        <v>9657</v>
      </c>
      <c r="C416" t="s">
        <v>1751</v>
      </c>
      <c r="D416">
        <v>20504888</v>
      </c>
      <c r="E416" t="s">
        <v>3128</v>
      </c>
      <c r="F416" t="s">
        <v>1241</v>
      </c>
      <c r="G416" t="s">
        <v>3129</v>
      </c>
      <c r="H416" t="s">
        <v>1252</v>
      </c>
      <c r="J416" s="455">
        <v>46133</v>
      </c>
      <c r="U416" s="455">
        <v>46162</v>
      </c>
    </row>
    <row r="417" spans="1:21">
      <c r="A417" t="s">
        <v>1751</v>
      </c>
      <c r="B417" t="s">
        <v>9658</v>
      </c>
      <c r="C417" t="s">
        <v>1751</v>
      </c>
      <c r="D417">
        <v>20487896</v>
      </c>
      <c r="E417" t="s">
        <v>3190</v>
      </c>
      <c r="F417" t="s">
        <v>1782</v>
      </c>
      <c r="G417" t="s">
        <v>3129</v>
      </c>
      <c r="H417" t="s">
        <v>1253</v>
      </c>
      <c r="J417" s="455">
        <v>46118</v>
      </c>
      <c r="R417" s="455">
        <v>46139</v>
      </c>
      <c r="U417" s="455">
        <v>46118</v>
      </c>
    </row>
    <row r="418" spans="1:21">
      <c r="A418" t="s">
        <v>1751</v>
      </c>
      <c r="B418" t="s">
        <v>8733</v>
      </c>
      <c r="C418" t="s">
        <v>1751</v>
      </c>
      <c r="D418">
        <v>20454998</v>
      </c>
      <c r="E418" t="s">
        <v>3190</v>
      </c>
      <c r="F418" t="s">
        <v>1241</v>
      </c>
      <c r="G418" t="s">
        <v>3137</v>
      </c>
      <c r="H418" t="s">
        <v>1247</v>
      </c>
      <c r="J418" s="455">
        <v>46074</v>
      </c>
      <c r="R418" s="455">
        <v>46139</v>
      </c>
      <c r="U418" s="455">
        <v>46235</v>
      </c>
    </row>
    <row r="419" spans="1:21">
      <c r="A419" t="s">
        <v>1751</v>
      </c>
      <c r="B419" t="s">
        <v>2673</v>
      </c>
      <c r="C419" t="s">
        <v>1751</v>
      </c>
      <c r="D419">
        <v>20496388</v>
      </c>
      <c r="E419" t="s">
        <v>1897</v>
      </c>
      <c r="F419" t="s">
        <v>3158</v>
      </c>
      <c r="G419" t="s">
        <v>3134</v>
      </c>
      <c r="H419" t="s">
        <v>1247</v>
      </c>
      <c r="I419" t="s">
        <v>1556</v>
      </c>
      <c r="J419" s="455">
        <v>46127</v>
      </c>
      <c r="K419" s="455">
        <v>46127</v>
      </c>
      <c r="U419" s="455">
        <v>46127</v>
      </c>
    </row>
    <row r="420" spans="1:21">
      <c r="A420" t="s">
        <v>1751</v>
      </c>
      <c r="B420" t="s">
        <v>2673</v>
      </c>
      <c r="C420" t="s">
        <v>1751</v>
      </c>
      <c r="D420">
        <v>20496369</v>
      </c>
      <c r="E420" t="s">
        <v>3142</v>
      </c>
      <c r="F420" t="s">
        <v>3158</v>
      </c>
      <c r="G420" t="s">
        <v>3143</v>
      </c>
      <c r="H420" t="s">
        <v>1248</v>
      </c>
      <c r="I420" t="s">
        <v>1556</v>
      </c>
      <c r="J420" s="455">
        <v>46127</v>
      </c>
      <c r="K420" s="455">
        <v>46127</v>
      </c>
      <c r="L420" s="455">
        <v>46127</v>
      </c>
      <c r="M420" s="455">
        <v>46141</v>
      </c>
      <c r="N420" s="455">
        <v>46141</v>
      </c>
      <c r="O420" s="455">
        <v>46141</v>
      </c>
      <c r="P420" s="455">
        <v>46142</v>
      </c>
      <c r="Q420" s="455">
        <v>46142</v>
      </c>
      <c r="U420" s="455">
        <v>46142</v>
      </c>
    </row>
    <row r="421" spans="1:21">
      <c r="A421" t="s">
        <v>1751</v>
      </c>
      <c r="B421" t="s">
        <v>9174</v>
      </c>
      <c r="C421" t="s">
        <v>1751</v>
      </c>
      <c r="D421">
        <v>20478553</v>
      </c>
      <c r="E421" t="s">
        <v>3133</v>
      </c>
      <c r="F421" t="s">
        <v>1242</v>
      </c>
      <c r="G421" t="s">
        <v>3134</v>
      </c>
      <c r="H421" t="s">
        <v>1249</v>
      </c>
      <c r="J421" s="455">
        <v>46104</v>
      </c>
      <c r="K421" s="455">
        <v>46104</v>
      </c>
      <c r="R421" s="455">
        <v>46114</v>
      </c>
      <c r="U421" s="455">
        <v>46113</v>
      </c>
    </row>
    <row r="422" spans="1:21">
      <c r="A422" t="s">
        <v>1751</v>
      </c>
      <c r="B422" t="s">
        <v>1932</v>
      </c>
      <c r="C422" t="s">
        <v>1751</v>
      </c>
      <c r="D422">
        <v>20461789</v>
      </c>
      <c r="E422" t="s">
        <v>3133</v>
      </c>
      <c r="F422" t="s">
        <v>1239</v>
      </c>
      <c r="G422" t="s">
        <v>3134</v>
      </c>
      <c r="H422" t="s">
        <v>1249</v>
      </c>
      <c r="J422" s="455">
        <v>46084</v>
      </c>
      <c r="K422" s="455">
        <v>46084</v>
      </c>
      <c r="R422" s="455">
        <v>46114</v>
      </c>
      <c r="U422" s="455">
        <v>46113</v>
      </c>
    </row>
    <row r="423" spans="1:21">
      <c r="A423" t="s">
        <v>1751</v>
      </c>
      <c r="B423" t="s">
        <v>1932</v>
      </c>
      <c r="C423" t="s">
        <v>1751</v>
      </c>
      <c r="D423">
        <v>20504218</v>
      </c>
      <c r="E423" t="s">
        <v>3133</v>
      </c>
      <c r="F423" t="s">
        <v>1241</v>
      </c>
      <c r="G423" t="s">
        <v>3134</v>
      </c>
      <c r="H423" t="s">
        <v>1249</v>
      </c>
      <c r="I423" t="s">
        <v>1931</v>
      </c>
      <c r="J423" s="455">
        <v>46132</v>
      </c>
      <c r="K423" s="455">
        <v>46132</v>
      </c>
      <c r="R423" s="455">
        <v>46134</v>
      </c>
      <c r="U423" s="455">
        <v>46132</v>
      </c>
    </row>
    <row r="424" spans="1:21">
      <c r="A424" t="s">
        <v>1751</v>
      </c>
      <c r="B424" t="s">
        <v>1932</v>
      </c>
      <c r="C424" t="s">
        <v>1751</v>
      </c>
      <c r="D424">
        <v>20459589</v>
      </c>
      <c r="E424" t="s">
        <v>3142</v>
      </c>
      <c r="F424" t="s">
        <v>1238</v>
      </c>
      <c r="G424" t="s">
        <v>3143</v>
      </c>
      <c r="H424" t="s">
        <v>1249</v>
      </c>
      <c r="I424" t="s">
        <v>1931</v>
      </c>
      <c r="J424" s="455">
        <v>46081</v>
      </c>
      <c r="K424" s="455">
        <v>46085</v>
      </c>
      <c r="L424" s="455">
        <v>46097</v>
      </c>
      <c r="M424" s="455">
        <v>46113</v>
      </c>
      <c r="N424" s="455">
        <v>46113</v>
      </c>
      <c r="O424" s="455">
        <v>46113</v>
      </c>
      <c r="P424" s="455">
        <v>46113</v>
      </c>
      <c r="Q424" s="455">
        <v>46113</v>
      </c>
      <c r="U424" s="455">
        <v>46113</v>
      </c>
    </row>
    <row r="425" spans="1:21">
      <c r="A425" t="s">
        <v>1751</v>
      </c>
      <c r="B425" t="s">
        <v>9175</v>
      </c>
      <c r="C425" t="s">
        <v>1751</v>
      </c>
      <c r="D425">
        <v>20461164</v>
      </c>
      <c r="E425" t="s">
        <v>3133</v>
      </c>
      <c r="F425" t="s">
        <v>1239</v>
      </c>
      <c r="G425" t="s">
        <v>3143</v>
      </c>
      <c r="H425" t="s">
        <v>1249</v>
      </c>
      <c r="J425" s="455">
        <v>46084</v>
      </c>
      <c r="K425" s="455">
        <v>46085</v>
      </c>
      <c r="R425" s="455">
        <v>46116</v>
      </c>
      <c r="U425" s="455">
        <v>46119</v>
      </c>
    </row>
    <row r="426" spans="1:21">
      <c r="A426" t="s">
        <v>1751</v>
      </c>
      <c r="B426" t="s">
        <v>9659</v>
      </c>
      <c r="C426" t="s">
        <v>1751</v>
      </c>
      <c r="D426">
        <v>20506295</v>
      </c>
      <c r="E426" t="s">
        <v>1907</v>
      </c>
      <c r="F426" t="s">
        <v>1799</v>
      </c>
      <c r="G426" t="s">
        <v>3129</v>
      </c>
      <c r="H426" t="s">
        <v>3377</v>
      </c>
      <c r="I426" t="s">
        <v>3265</v>
      </c>
      <c r="J426" s="455">
        <v>46134</v>
      </c>
      <c r="K426" s="455">
        <v>46136</v>
      </c>
      <c r="L426" s="455">
        <v>46136</v>
      </c>
      <c r="U426" s="455">
        <v>46150</v>
      </c>
    </row>
    <row r="427" spans="1:21">
      <c r="A427" t="s">
        <v>1751</v>
      </c>
      <c r="B427" t="s">
        <v>9660</v>
      </c>
      <c r="C427" t="s">
        <v>1751</v>
      </c>
      <c r="D427">
        <v>20498994</v>
      </c>
      <c r="E427" t="s">
        <v>3133</v>
      </c>
      <c r="F427" t="s">
        <v>1782</v>
      </c>
      <c r="G427" t="s">
        <v>3134</v>
      </c>
      <c r="H427" t="s">
        <v>1247</v>
      </c>
      <c r="I427" t="s">
        <v>3179</v>
      </c>
      <c r="J427" s="455">
        <v>46129</v>
      </c>
      <c r="K427" s="455">
        <v>46129</v>
      </c>
      <c r="L427" s="455">
        <v>46129</v>
      </c>
      <c r="R427" s="455">
        <v>46133</v>
      </c>
      <c r="U427" s="455">
        <v>46137</v>
      </c>
    </row>
    <row r="428" spans="1:21">
      <c r="A428" t="s">
        <v>1751</v>
      </c>
      <c r="B428" t="s">
        <v>9176</v>
      </c>
      <c r="C428" t="s">
        <v>1751</v>
      </c>
      <c r="D428">
        <v>20465434</v>
      </c>
      <c r="E428" t="s">
        <v>3190</v>
      </c>
      <c r="F428" t="s">
        <v>1782</v>
      </c>
      <c r="G428" t="s">
        <v>3129</v>
      </c>
      <c r="H428" t="s">
        <v>1247</v>
      </c>
      <c r="J428" s="455">
        <v>46090</v>
      </c>
      <c r="R428" s="455">
        <v>46114</v>
      </c>
      <c r="U428" s="455">
        <v>46090</v>
      </c>
    </row>
    <row r="429" spans="1:21">
      <c r="A429" t="s">
        <v>1751</v>
      </c>
      <c r="B429" t="s">
        <v>9661</v>
      </c>
      <c r="C429" t="s">
        <v>1751</v>
      </c>
      <c r="D429">
        <v>20512184</v>
      </c>
      <c r="E429" t="s">
        <v>3128</v>
      </c>
      <c r="F429" t="s">
        <v>1782</v>
      </c>
      <c r="G429" t="s">
        <v>3129</v>
      </c>
      <c r="H429" t="s">
        <v>3131</v>
      </c>
      <c r="J429" s="455">
        <v>46140</v>
      </c>
      <c r="U429" s="455">
        <v>46140</v>
      </c>
    </row>
    <row r="430" spans="1:21">
      <c r="A430" t="s">
        <v>1751</v>
      </c>
      <c r="B430" t="s">
        <v>9662</v>
      </c>
      <c r="C430" t="s">
        <v>1751</v>
      </c>
      <c r="D430">
        <v>20504465</v>
      </c>
      <c r="E430" t="s">
        <v>3128</v>
      </c>
      <c r="F430" t="s">
        <v>1782</v>
      </c>
      <c r="G430" t="s">
        <v>3134</v>
      </c>
      <c r="H430" t="s">
        <v>3165</v>
      </c>
      <c r="J430" s="455">
        <v>46133</v>
      </c>
      <c r="U430" s="455">
        <v>46167</v>
      </c>
    </row>
    <row r="431" spans="1:21">
      <c r="A431" t="s">
        <v>1751</v>
      </c>
      <c r="B431" t="s">
        <v>9663</v>
      </c>
      <c r="C431" t="s">
        <v>1751</v>
      </c>
      <c r="D431">
        <v>20417571</v>
      </c>
      <c r="E431" t="s">
        <v>3190</v>
      </c>
      <c r="F431" t="s">
        <v>1241</v>
      </c>
      <c r="G431" t="s">
        <v>3141</v>
      </c>
      <c r="H431" t="s">
        <v>1251</v>
      </c>
      <c r="J431" s="455">
        <v>46025</v>
      </c>
      <c r="R431" s="455">
        <v>46114</v>
      </c>
      <c r="U431" s="455">
        <v>46025</v>
      </c>
    </row>
    <row r="432" spans="1:21">
      <c r="A432" t="s">
        <v>1751</v>
      </c>
      <c r="B432" t="s">
        <v>9177</v>
      </c>
      <c r="C432" t="s">
        <v>1751</v>
      </c>
      <c r="D432">
        <v>20478670</v>
      </c>
      <c r="E432" t="s">
        <v>3190</v>
      </c>
      <c r="F432" t="s">
        <v>1241</v>
      </c>
      <c r="G432" t="s">
        <v>3134</v>
      </c>
      <c r="H432" t="s">
        <v>1252</v>
      </c>
      <c r="J432" s="455">
        <v>46104</v>
      </c>
      <c r="R432" s="455">
        <v>46114</v>
      </c>
      <c r="U432" s="455">
        <v>46142</v>
      </c>
    </row>
    <row r="433" spans="1:21">
      <c r="A433" t="s">
        <v>1751</v>
      </c>
      <c r="B433" t="s">
        <v>8735</v>
      </c>
      <c r="C433" t="s">
        <v>1751</v>
      </c>
      <c r="D433">
        <v>20448146</v>
      </c>
      <c r="E433" t="s">
        <v>3190</v>
      </c>
      <c r="F433" t="s">
        <v>1782</v>
      </c>
      <c r="G433" t="s">
        <v>2009</v>
      </c>
      <c r="H433" t="s">
        <v>1247</v>
      </c>
      <c r="J433" s="455">
        <v>46065</v>
      </c>
      <c r="R433" s="455">
        <v>46114</v>
      </c>
      <c r="U433" s="455">
        <v>46095</v>
      </c>
    </row>
    <row r="434" spans="1:21">
      <c r="A434" t="s">
        <v>1751</v>
      </c>
      <c r="B434" t="s">
        <v>9664</v>
      </c>
      <c r="C434" t="s">
        <v>1751</v>
      </c>
      <c r="D434">
        <v>20423391</v>
      </c>
      <c r="E434" t="s">
        <v>3190</v>
      </c>
      <c r="F434" t="s">
        <v>1237</v>
      </c>
      <c r="G434" t="s">
        <v>3143</v>
      </c>
      <c r="H434" t="s">
        <v>1249</v>
      </c>
      <c r="J434" s="455">
        <v>46034</v>
      </c>
      <c r="R434" s="455">
        <v>46114</v>
      </c>
      <c r="U434" s="455">
        <v>46034</v>
      </c>
    </row>
    <row r="435" spans="1:21">
      <c r="A435" t="s">
        <v>1751</v>
      </c>
      <c r="B435" t="s">
        <v>9178</v>
      </c>
      <c r="C435" t="s">
        <v>1751</v>
      </c>
      <c r="D435">
        <v>20483421</v>
      </c>
      <c r="E435" t="s">
        <v>3190</v>
      </c>
      <c r="F435" t="s">
        <v>1241</v>
      </c>
      <c r="G435" t="s">
        <v>3134</v>
      </c>
      <c r="H435" t="s">
        <v>1252</v>
      </c>
      <c r="J435" s="455">
        <v>46111</v>
      </c>
      <c r="R435" s="455">
        <v>46139</v>
      </c>
      <c r="U435" s="455">
        <v>46127</v>
      </c>
    </row>
    <row r="436" spans="1:21">
      <c r="A436" t="s">
        <v>1751</v>
      </c>
      <c r="B436" t="s">
        <v>9665</v>
      </c>
      <c r="C436" t="s">
        <v>1751</v>
      </c>
      <c r="D436">
        <v>20485043</v>
      </c>
      <c r="E436" t="s">
        <v>3190</v>
      </c>
      <c r="F436" t="s">
        <v>1241</v>
      </c>
      <c r="G436" t="s">
        <v>3143</v>
      </c>
      <c r="H436" t="s">
        <v>1252</v>
      </c>
      <c r="I436" t="s">
        <v>3277</v>
      </c>
      <c r="J436" s="455">
        <v>46113</v>
      </c>
      <c r="R436" s="455">
        <v>46114</v>
      </c>
      <c r="U436" s="455">
        <v>46129</v>
      </c>
    </row>
    <row r="437" spans="1:21">
      <c r="A437" t="s">
        <v>1751</v>
      </c>
      <c r="B437" t="s">
        <v>9666</v>
      </c>
      <c r="C437" t="s">
        <v>1751</v>
      </c>
      <c r="D437">
        <v>20500909</v>
      </c>
      <c r="E437" t="s">
        <v>3128</v>
      </c>
      <c r="F437" t="s">
        <v>1782</v>
      </c>
      <c r="G437" t="s">
        <v>3134</v>
      </c>
      <c r="H437" t="s">
        <v>3165</v>
      </c>
      <c r="J437" s="455">
        <v>46130</v>
      </c>
      <c r="U437" s="455">
        <v>46134</v>
      </c>
    </row>
    <row r="438" spans="1:21">
      <c r="A438" t="s">
        <v>1751</v>
      </c>
      <c r="B438" t="s">
        <v>9667</v>
      </c>
      <c r="C438" t="s">
        <v>1751</v>
      </c>
      <c r="D438">
        <v>20417949</v>
      </c>
      <c r="E438" t="s">
        <v>3190</v>
      </c>
      <c r="F438" t="s">
        <v>1239</v>
      </c>
      <c r="G438" t="s">
        <v>3143</v>
      </c>
      <c r="H438" t="s">
        <v>1251</v>
      </c>
      <c r="J438" s="455">
        <v>46026</v>
      </c>
      <c r="R438" s="455">
        <v>46114</v>
      </c>
      <c r="U438" s="455">
        <v>46026</v>
      </c>
    </row>
    <row r="439" spans="1:21">
      <c r="A439" t="s">
        <v>1751</v>
      </c>
      <c r="B439" t="s">
        <v>9668</v>
      </c>
      <c r="C439" t="s">
        <v>1751</v>
      </c>
      <c r="D439">
        <v>20484951</v>
      </c>
      <c r="E439" t="s">
        <v>3190</v>
      </c>
      <c r="F439" t="s">
        <v>1241</v>
      </c>
      <c r="G439" t="s">
        <v>2009</v>
      </c>
      <c r="H439" t="s">
        <v>1251</v>
      </c>
      <c r="J439" s="455">
        <v>46113</v>
      </c>
      <c r="R439" s="455">
        <v>46139</v>
      </c>
      <c r="U439" s="455">
        <v>46143</v>
      </c>
    </row>
    <row r="440" spans="1:21">
      <c r="A440" t="s">
        <v>1751</v>
      </c>
      <c r="B440" t="s">
        <v>9669</v>
      </c>
      <c r="C440" t="s">
        <v>1751</v>
      </c>
      <c r="D440">
        <v>20491901</v>
      </c>
      <c r="E440" t="s">
        <v>3190</v>
      </c>
      <c r="F440" t="s">
        <v>1782</v>
      </c>
      <c r="G440" t="s">
        <v>3141</v>
      </c>
      <c r="H440" t="s">
        <v>1248</v>
      </c>
      <c r="J440" s="455">
        <v>46122</v>
      </c>
      <c r="R440" s="455">
        <v>46139</v>
      </c>
      <c r="U440" s="455">
        <v>46122</v>
      </c>
    </row>
    <row r="441" spans="1:21">
      <c r="A441" t="s">
        <v>1751</v>
      </c>
      <c r="B441" t="s">
        <v>8737</v>
      </c>
      <c r="C441" t="s">
        <v>1751</v>
      </c>
      <c r="D441">
        <v>20457690</v>
      </c>
      <c r="E441" t="s">
        <v>3133</v>
      </c>
      <c r="F441" t="s">
        <v>1799</v>
      </c>
      <c r="G441" t="s">
        <v>3134</v>
      </c>
      <c r="H441" t="s">
        <v>1247</v>
      </c>
      <c r="I441" t="s">
        <v>1808</v>
      </c>
      <c r="J441" s="455">
        <v>46078</v>
      </c>
      <c r="K441" s="455">
        <v>46078</v>
      </c>
      <c r="R441" s="455">
        <v>46114</v>
      </c>
      <c r="U441" s="455">
        <v>46101</v>
      </c>
    </row>
    <row r="442" spans="1:21">
      <c r="A442" t="s">
        <v>1751</v>
      </c>
      <c r="B442" t="s">
        <v>8738</v>
      </c>
      <c r="C442" t="s">
        <v>1751</v>
      </c>
      <c r="D442">
        <v>20455817</v>
      </c>
      <c r="E442" t="s">
        <v>3190</v>
      </c>
      <c r="F442" t="s">
        <v>1782</v>
      </c>
      <c r="G442" t="s">
        <v>3141</v>
      </c>
      <c r="H442" t="s">
        <v>1247</v>
      </c>
      <c r="J442" s="455">
        <v>46076</v>
      </c>
      <c r="R442" s="455">
        <v>46114</v>
      </c>
      <c r="U442" s="455">
        <v>46082</v>
      </c>
    </row>
    <row r="443" spans="1:21">
      <c r="A443" t="s">
        <v>1751</v>
      </c>
      <c r="B443" t="s">
        <v>9670</v>
      </c>
      <c r="C443" t="s">
        <v>1751</v>
      </c>
      <c r="D443">
        <v>20499014</v>
      </c>
      <c r="E443" t="s">
        <v>3190</v>
      </c>
      <c r="F443" t="s">
        <v>1239</v>
      </c>
      <c r="G443" t="s">
        <v>3143</v>
      </c>
      <c r="H443" t="s">
        <v>1249</v>
      </c>
      <c r="I443" t="s">
        <v>6551</v>
      </c>
      <c r="J443" s="455">
        <v>46129</v>
      </c>
      <c r="R443" s="455">
        <v>46139</v>
      </c>
      <c r="U443" s="455">
        <v>46129</v>
      </c>
    </row>
    <row r="444" spans="1:21">
      <c r="A444" t="s">
        <v>1751</v>
      </c>
      <c r="B444" t="s">
        <v>4449</v>
      </c>
      <c r="C444" t="s">
        <v>1751</v>
      </c>
      <c r="D444">
        <v>20487945</v>
      </c>
      <c r="E444" t="s">
        <v>3190</v>
      </c>
      <c r="F444" t="s">
        <v>1241</v>
      </c>
      <c r="G444" t="s">
        <v>3143</v>
      </c>
      <c r="H444" t="s">
        <v>1248</v>
      </c>
      <c r="I444" t="s">
        <v>1952</v>
      </c>
      <c r="J444" s="455">
        <v>46118</v>
      </c>
      <c r="R444" s="455">
        <v>46139</v>
      </c>
      <c r="U444" s="455">
        <v>46118</v>
      </c>
    </row>
    <row r="445" spans="1:21">
      <c r="A445" t="s">
        <v>1751</v>
      </c>
      <c r="B445" t="s">
        <v>9180</v>
      </c>
      <c r="C445" t="s">
        <v>1751</v>
      </c>
      <c r="D445">
        <v>20475525</v>
      </c>
      <c r="E445" t="s">
        <v>3190</v>
      </c>
      <c r="F445" t="s">
        <v>1782</v>
      </c>
      <c r="G445" t="s">
        <v>3143</v>
      </c>
      <c r="H445" t="s">
        <v>1247</v>
      </c>
      <c r="J445" s="455">
        <v>46099</v>
      </c>
      <c r="R445" s="455">
        <v>46114</v>
      </c>
      <c r="U445" s="455">
        <v>46179</v>
      </c>
    </row>
    <row r="446" spans="1:21">
      <c r="A446" t="s">
        <v>1751</v>
      </c>
      <c r="B446" t="s">
        <v>9671</v>
      </c>
      <c r="C446" t="s">
        <v>1751</v>
      </c>
      <c r="D446">
        <v>20434117</v>
      </c>
      <c r="E446" t="s">
        <v>3190</v>
      </c>
      <c r="F446" t="s">
        <v>1782</v>
      </c>
      <c r="G446" t="s">
        <v>3141</v>
      </c>
      <c r="H446" t="s">
        <v>1253</v>
      </c>
      <c r="J446" s="455">
        <v>46046</v>
      </c>
      <c r="R446" s="455">
        <v>46114</v>
      </c>
      <c r="U446" s="455">
        <v>46059</v>
      </c>
    </row>
    <row r="447" spans="1:21">
      <c r="A447" t="s">
        <v>1751</v>
      </c>
      <c r="B447" t="s">
        <v>9672</v>
      </c>
      <c r="C447" t="s">
        <v>1751</v>
      </c>
      <c r="D447">
        <v>20511362</v>
      </c>
      <c r="E447" t="s">
        <v>3128</v>
      </c>
      <c r="F447" t="s">
        <v>1782</v>
      </c>
      <c r="G447" t="s">
        <v>3129</v>
      </c>
      <c r="H447" t="s">
        <v>3131</v>
      </c>
      <c r="J447" s="455">
        <v>46139</v>
      </c>
      <c r="U447" s="455">
        <v>46150</v>
      </c>
    </row>
    <row r="448" spans="1:21">
      <c r="A448" t="s">
        <v>1751</v>
      </c>
      <c r="B448" t="s">
        <v>9672</v>
      </c>
      <c r="C448" t="s">
        <v>1751</v>
      </c>
      <c r="D448">
        <v>20511750</v>
      </c>
      <c r="E448" t="s">
        <v>3128</v>
      </c>
      <c r="F448" t="s">
        <v>1241</v>
      </c>
      <c r="G448" t="s">
        <v>3134</v>
      </c>
      <c r="H448" t="s">
        <v>1252</v>
      </c>
      <c r="J448" s="455">
        <v>46140</v>
      </c>
      <c r="U448" s="455">
        <v>46150</v>
      </c>
    </row>
    <row r="449" spans="1:21">
      <c r="A449" t="s">
        <v>1751</v>
      </c>
      <c r="B449" t="s">
        <v>9673</v>
      </c>
      <c r="C449" t="s">
        <v>1751</v>
      </c>
      <c r="D449">
        <v>20506348</v>
      </c>
      <c r="E449" t="s">
        <v>3128</v>
      </c>
      <c r="F449" t="s">
        <v>1241</v>
      </c>
      <c r="G449" t="s">
        <v>3129</v>
      </c>
      <c r="H449" t="s">
        <v>1253</v>
      </c>
      <c r="J449" s="455">
        <v>46134</v>
      </c>
      <c r="U449" s="455">
        <v>46134</v>
      </c>
    </row>
    <row r="450" spans="1:21">
      <c r="A450" t="s">
        <v>1751</v>
      </c>
      <c r="B450" t="s">
        <v>9181</v>
      </c>
      <c r="C450" t="s">
        <v>1751</v>
      </c>
      <c r="D450">
        <v>20471340</v>
      </c>
      <c r="E450" t="s">
        <v>3190</v>
      </c>
      <c r="F450" t="s">
        <v>1782</v>
      </c>
      <c r="G450" t="s">
        <v>3134</v>
      </c>
      <c r="H450" t="s">
        <v>1252</v>
      </c>
      <c r="J450" s="455">
        <v>46095</v>
      </c>
      <c r="R450" s="455">
        <v>46114</v>
      </c>
      <c r="U450" s="455">
        <v>46096</v>
      </c>
    </row>
    <row r="451" spans="1:21">
      <c r="A451" t="s">
        <v>1751</v>
      </c>
      <c r="B451" t="s">
        <v>8740</v>
      </c>
      <c r="C451" t="s">
        <v>1751</v>
      </c>
      <c r="D451">
        <v>20446215</v>
      </c>
      <c r="E451" t="s">
        <v>3190</v>
      </c>
      <c r="F451" t="s">
        <v>1241</v>
      </c>
      <c r="G451" t="s">
        <v>3129</v>
      </c>
      <c r="H451" t="s">
        <v>1940</v>
      </c>
      <c r="J451" s="455">
        <v>46064</v>
      </c>
      <c r="R451" s="455">
        <v>46115</v>
      </c>
      <c r="U451" s="455">
        <v>46064</v>
      </c>
    </row>
    <row r="452" spans="1:21">
      <c r="A452" t="s">
        <v>1751</v>
      </c>
      <c r="B452" t="s">
        <v>9182</v>
      </c>
      <c r="C452" t="s">
        <v>1751</v>
      </c>
      <c r="D452">
        <v>20480768</v>
      </c>
      <c r="E452" t="s">
        <v>3190</v>
      </c>
      <c r="F452" t="s">
        <v>1782</v>
      </c>
      <c r="G452" t="s">
        <v>3143</v>
      </c>
      <c r="H452" t="s">
        <v>3220</v>
      </c>
      <c r="J452" s="455">
        <v>46107</v>
      </c>
      <c r="R452" s="455">
        <v>46115</v>
      </c>
      <c r="U452" s="455">
        <v>46107</v>
      </c>
    </row>
    <row r="453" spans="1:21">
      <c r="A453" t="s">
        <v>1751</v>
      </c>
      <c r="B453" t="s">
        <v>9182</v>
      </c>
      <c r="C453" t="s">
        <v>1751</v>
      </c>
      <c r="D453">
        <v>20481245</v>
      </c>
      <c r="E453" t="s">
        <v>3133</v>
      </c>
      <c r="F453" t="s">
        <v>1912</v>
      </c>
      <c r="G453" t="s">
        <v>3134</v>
      </c>
      <c r="H453" t="s">
        <v>3515</v>
      </c>
      <c r="J453" s="455">
        <v>46108</v>
      </c>
      <c r="K453" s="455">
        <v>46108</v>
      </c>
      <c r="R453" s="455">
        <v>46115</v>
      </c>
      <c r="U453" s="455">
        <v>46109</v>
      </c>
    </row>
    <row r="454" spans="1:21">
      <c r="A454" t="s">
        <v>1751</v>
      </c>
      <c r="B454" t="s">
        <v>8741</v>
      </c>
      <c r="C454" t="s">
        <v>1751</v>
      </c>
      <c r="D454">
        <v>20457133</v>
      </c>
      <c r="E454" t="s">
        <v>3190</v>
      </c>
      <c r="F454" t="s">
        <v>1782</v>
      </c>
      <c r="G454" t="s">
        <v>3141</v>
      </c>
      <c r="H454" t="s">
        <v>1247</v>
      </c>
      <c r="J454" s="455">
        <v>46078</v>
      </c>
      <c r="R454" s="455">
        <v>46114</v>
      </c>
      <c r="U454" s="455">
        <v>46082</v>
      </c>
    </row>
    <row r="455" spans="1:21">
      <c r="A455" t="s">
        <v>1751</v>
      </c>
      <c r="B455" t="s">
        <v>9674</v>
      </c>
      <c r="C455" t="s">
        <v>1751</v>
      </c>
      <c r="D455">
        <v>20488268</v>
      </c>
      <c r="E455" t="s">
        <v>3190</v>
      </c>
      <c r="F455" t="s">
        <v>1242</v>
      </c>
      <c r="G455" t="s">
        <v>3137</v>
      </c>
      <c r="H455" t="s">
        <v>1247</v>
      </c>
      <c r="I455" t="s">
        <v>1952</v>
      </c>
      <c r="J455" s="455">
        <v>46118</v>
      </c>
      <c r="K455" s="455">
        <v>46120</v>
      </c>
      <c r="R455" s="455">
        <v>46139</v>
      </c>
      <c r="U455" s="455">
        <v>46136</v>
      </c>
    </row>
    <row r="456" spans="1:21">
      <c r="A456" t="s">
        <v>1751</v>
      </c>
      <c r="B456" t="s">
        <v>9674</v>
      </c>
      <c r="C456" t="s">
        <v>1751</v>
      </c>
      <c r="D456">
        <v>20489885</v>
      </c>
      <c r="E456" t="s">
        <v>3133</v>
      </c>
      <c r="F456" t="s">
        <v>1242</v>
      </c>
      <c r="G456" t="s">
        <v>3134</v>
      </c>
      <c r="H456" t="s">
        <v>1940</v>
      </c>
      <c r="I456" t="s">
        <v>3303</v>
      </c>
      <c r="J456" s="455">
        <v>46120</v>
      </c>
      <c r="K456" s="455">
        <v>46120</v>
      </c>
      <c r="L456" s="455">
        <v>46120</v>
      </c>
      <c r="R456" s="455">
        <v>46126</v>
      </c>
      <c r="U456" s="455">
        <v>46136</v>
      </c>
    </row>
    <row r="457" spans="1:21">
      <c r="A457" t="s">
        <v>1751</v>
      </c>
      <c r="B457" t="s">
        <v>9675</v>
      </c>
      <c r="C457" t="s">
        <v>1751</v>
      </c>
      <c r="D457">
        <v>20431789</v>
      </c>
      <c r="E457" t="s">
        <v>3190</v>
      </c>
      <c r="F457" t="s">
        <v>8652</v>
      </c>
      <c r="G457" t="s">
        <v>3143</v>
      </c>
      <c r="H457" t="s">
        <v>1252</v>
      </c>
      <c r="J457" s="455">
        <v>46043</v>
      </c>
      <c r="R457" s="455">
        <v>46114</v>
      </c>
      <c r="U457" s="455">
        <v>46043</v>
      </c>
    </row>
    <row r="458" spans="1:21">
      <c r="A458" t="s">
        <v>1751</v>
      </c>
      <c r="B458" t="s">
        <v>9676</v>
      </c>
      <c r="C458" t="s">
        <v>1751</v>
      </c>
      <c r="D458">
        <v>20487984</v>
      </c>
      <c r="E458" t="s">
        <v>3190</v>
      </c>
      <c r="F458" t="s">
        <v>1782</v>
      </c>
      <c r="G458" t="s">
        <v>3141</v>
      </c>
      <c r="H458" t="s">
        <v>1247</v>
      </c>
      <c r="J458" s="455">
        <v>46118</v>
      </c>
      <c r="R458" s="455">
        <v>46139</v>
      </c>
      <c r="U458" s="455">
        <v>46118</v>
      </c>
    </row>
    <row r="459" spans="1:21">
      <c r="A459" t="s">
        <v>1751</v>
      </c>
      <c r="B459" t="s">
        <v>9677</v>
      </c>
      <c r="C459" t="s">
        <v>1751</v>
      </c>
      <c r="D459">
        <v>20488779</v>
      </c>
      <c r="E459" t="s">
        <v>3190</v>
      </c>
      <c r="F459" t="s">
        <v>1241</v>
      </c>
      <c r="G459" t="s">
        <v>3134</v>
      </c>
      <c r="H459" t="s">
        <v>1252</v>
      </c>
      <c r="J459" s="455">
        <v>46118</v>
      </c>
      <c r="R459" s="455">
        <v>46139</v>
      </c>
      <c r="U459" s="455">
        <v>46143</v>
      </c>
    </row>
    <row r="460" spans="1:21">
      <c r="A460" t="s">
        <v>1751</v>
      </c>
      <c r="B460" t="s">
        <v>8742</v>
      </c>
      <c r="C460" t="s">
        <v>1751</v>
      </c>
      <c r="D460">
        <v>20449106</v>
      </c>
      <c r="E460" t="s">
        <v>3190</v>
      </c>
      <c r="F460" t="s">
        <v>1241</v>
      </c>
      <c r="G460" t="s">
        <v>3137</v>
      </c>
      <c r="H460" t="s">
        <v>1247</v>
      </c>
      <c r="J460" s="455">
        <v>46067</v>
      </c>
      <c r="R460" s="455">
        <v>46114</v>
      </c>
      <c r="U460" s="455">
        <v>46081</v>
      </c>
    </row>
    <row r="461" spans="1:21">
      <c r="A461" t="s">
        <v>1751</v>
      </c>
      <c r="B461" t="s">
        <v>8743</v>
      </c>
      <c r="C461" t="s">
        <v>1751</v>
      </c>
      <c r="D461">
        <v>20450141</v>
      </c>
      <c r="E461" t="s">
        <v>3190</v>
      </c>
      <c r="F461" t="s">
        <v>1241</v>
      </c>
      <c r="G461" t="s">
        <v>3141</v>
      </c>
      <c r="H461" t="s">
        <v>1247</v>
      </c>
      <c r="J461" s="455">
        <v>46069</v>
      </c>
      <c r="R461" s="455">
        <v>46114</v>
      </c>
      <c r="U461" s="455">
        <v>46087</v>
      </c>
    </row>
    <row r="462" spans="1:21">
      <c r="A462" t="s">
        <v>1751</v>
      </c>
      <c r="B462" t="s">
        <v>9678</v>
      </c>
      <c r="C462" t="s">
        <v>1751</v>
      </c>
      <c r="D462">
        <v>20410756</v>
      </c>
      <c r="E462" t="s">
        <v>3190</v>
      </c>
      <c r="F462" t="s">
        <v>1241</v>
      </c>
      <c r="G462" t="s">
        <v>3141</v>
      </c>
      <c r="H462" t="s">
        <v>1252</v>
      </c>
      <c r="J462" s="455">
        <v>46011</v>
      </c>
      <c r="R462" s="455">
        <v>46114</v>
      </c>
      <c r="U462" s="455">
        <v>46020</v>
      </c>
    </row>
    <row r="463" spans="1:21">
      <c r="A463" t="s">
        <v>1751</v>
      </c>
      <c r="B463" t="s">
        <v>9679</v>
      </c>
      <c r="C463" t="s">
        <v>1751</v>
      </c>
      <c r="D463">
        <v>20501905</v>
      </c>
      <c r="E463" t="s">
        <v>3128</v>
      </c>
      <c r="F463" t="s">
        <v>1782</v>
      </c>
      <c r="G463" t="s">
        <v>3134</v>
      </c>
      <c r="H463" t="s">
        <v>1252</v>
      </c>
      <c r="J463" s="455">
        <v>46131</v>
      </c>
      <c r="U463" s="455">
        <v>46157</v>
      </c>
    </row>
    <row r="464" spans="1:21">
      <c r="A464" t="s">
        <v>1751</v>
      </c>
      <c r="B464" t="s">
        <v>2467</v>
      </c>
      <c r="C464" t="s">
        <v>1751</v>
      </c>
      <c r="D464">
        <v>20448528</v>
      </c>
      <c r="E464" t="s">
        <v>3190</v>
      </c>
      <c r="F464" t="s">
        <v>1782</v>
      </c>
      <c r="G464" t="s">
        <v>3141</v>
      </c>
      <c r="H464" t="s">
        <v>3165</v>
      </c>
      <c r="J464" s="455">
        <v>46066</v>
      </c>
      <c r="R464" s="455">
        <v>46114</v>
      </c>
      <c r="U464" s="455">
        <v>46066</v>
      </c>
    </row>
    <row r="465" spans="1:21">
      <c r="A465" t="s">
        <v>1751</v>
      </c>
      <c r="B465" t="s">
        <v>9680</v>
      </c>
      <c r="C465" t="s">
        <v>1751</v>
      </c>
      <c r="D465">
        <v>20488632</v>
      </c>
      <c r="E465" t="s">
        <v>3133</v>
      </c>
      <c r="F465" t="s">
        <v>1243</v>
      </c>
      <c r="G465" t="s">
        <v>3134</v>
      </c>
      <c r="H465" t="s">
        <v>1252</v>
      </c>
      <c r="I465" t="s">
        <v>1784</v>
      </c>
      <c r="J465" s="455">
        <v>46118</v>
      </c>
      <c r="K465" s="455">
        <v>46118</v>
      </c>
      <c r="L465" s="455">
        <v>46118</v>
      </c>
      <c r="R465" s="455">
        <v>46135</v>
      </c>
      <c r="U465" s="455">
        <v>46136</v>
      </c>
    </row>
    <row r="466" spans="1:21">
      <c r="A466" t="s">
        <v>1751</v>
      </c>
      <c r="B466" t="s">
        <v>9183</v>
      </c>
      <c r="C466" t="s">
        <v>1751</v>
      </c>
      <c r="D466">
        <v>20480388</v>
      </c>
      <c r="E466" t="s">
        <v>3133</v>
      </c>
      <c r="F466" t="s">
        <v>1243</v>
      </c>
      <c r="G466" t="s">
        <v>3134</v>
      </c>
      <c r="H466" t="s">
        <v>1247</v>
      </c>
      <c r="I466" t="s">
        <v>1532</v>
      </c>
      <c r="J466" s="455">
        <v>46106</v>
      </c>
      <c r="K466" s="455">
        <v>46106</v>
      </c>
      <c r="L466" s="455">
        <v>46106</v>
      </c>
      <c r="R466" s="455">
        <v>46114</v>
      </c>
      <c r="U466" s="455">
        <v>46113</v>
      </c>
    </row>
    <row r="467" spans="1:21">
      <c r="A467" t="s">
        <v>1751</v>
      </c>
      <c r="B467" t="s">
        <v>8746</v>
      </c>
      <c r="C467" t="s">
        <v>1751</v>
      </c>
      <c r="D467">
        <v>20456145</v>
      </c>
      <c r="E467" t="s">
        <v>3190</v>
      </c>
      <c r="F467" t="s">
        <v>1782</v>
      </c>
      <c r="G467" t="s">
        <v>3141</v>
      </c>
      <c r="H467" t="s">
        <v>1247</v>
      </c>
      <c r="J467" s="455">
        <v>46076</v>
      </c>
      <c r="R467" s="455">
        <v>46114</v>
      </c>
      <c r="U467" s="455">
        <v>46188</v>
      </c>
    </row>
    <row r="468" spans="1:21">
      <c r="A468" t="s">
        <v>1751</v>
      </c>
      <c r="B468" t="s">
        <v>9681</v>
      </c>
      <c r="C468" t="s">
        <v>1751</v>
      </c>
      <c r="D468">
        <v>20504151</v>
      </c>
      <c r="E468" t="s">
        <v>3128</v>
      </c>
      <c r="F468" t="s">
        <v>1782</v>
      </c>
      <c r="G468" t="s">
        <v>3137</v>
      </c>
      <c r="H468" t="s">
        <v>1247</v>
      </c>
      <c r="J468" s="455">
        <v>46132</v>
      </c>
      <c r="U468" s="455">
        <v>46132</v>
      </c>
    </row>
    <row r="469" spans="1:21">
      <c r="A469" t="s">
        <v>1751</v>
      </c>
      <c r="B469" t="s">
        <v>9682</v>
      </c>
      <c r="C469" t="s">
        <v>1751</v>
      </c>
      <c r="D469">
        <v>20426394</v>
      </c>
      <c r="E469" t="s">
        <v>3133</v>
      </c>
      <c r="F469" t="s">
        <v>1799</v>
      </c>
      <c r="G469" t="s">
        <v>3134</v>
      </c>
      <c r="H469" t="s">
        <v>1252</v>
      </c>
      <c r="I469" t="s">
        <v>6565</v>
      </c>
      <c r="J469" s="455">
        <v>46037</v>
      </c>
      <c r="K469" s="455">
        <v>46037</v>
      </c>
      <c r="R469" s="455">
        <v>46114</v>
      </c>
      <c r="U469" s="455">
        <v>46053</v>
      </c>
    </row>
    <row r="470" spans="1:21">
      <c r="A470" t="s">
        <v>1751</v>
      </c>
      <c r="B470" t="s">
        <v>3448</v>
      </c>
      <c r="C470" t="s">
        <v>1751</v>
      </c>
      <c r="D470">
        <v>20500707</v>
      </c>
      <c r="E470" t="s">
        <v>3190</v>
      </c>
      <c r="F470" t="s">
        <v>1782</v>
      </c>
      <c r="G470" t="s">
        <v>3141</v>
      </c>
      <c r="H470" t="s">
        <v>1252</v>
      </c>
      <c r="J470" s="455">
        <v>46130</v>
      </c>
      <c r="R470" s="455">
        <v>46139</v>
      </c>
      <c r="U470" s="455">
        <v>46163</v>
      </c>
    </row>
    <row r="471" spans="1:21">
      <c r="A471" t="s">
        <v>1751</v>
      </c>
      <c r="B471" t="s">
        <v>9683</v>
      </c>
      <c r="C471" t="s">
        <v>1751</v>
      </c>
      <c r="D471">
        <v>20492944</v>
      </c>
      <c r="E471" t="s">
        <v>3190</v>
      </c>
      <c r="F471" t="s">
        <v>1241</v>
      </c>
      <c r="G471" t="s">
        <v>3134</v>
      </c>
      <c r="H471" t="s">
        <v>1252</v>
      </c>
      <c r="J471" s="455">
        <v>46124</v>
      </c>
      <c r="R471" s="455">
        <v>46139</v>
      </c>
      <c r="U471" s="455">
        <v>46127</v>
      </c>
    </row>
    <row r="472" spans="1:21">
      <c r="A472" t="s">
        <v>1751</v>
      </c>
      <c r="B472" t="s">
        <v>8747</v>
      </c>
      <c r="C472" t="s">
        <v>1751</v>
      </c>
      <c r="D472">
        <v>20443810</v>
      </c>
      <c r="E472" t="s">
        <v>3133</v>
      </c>
      <c r="F472" t="s">
        <v>1239</v>
      </c>
      <c r="G472" t="s">
        <v>3143</v>
      </c>
      <c r="H472" t="s">
        <v>1251</v>
      </c>
      <c r="J472" s="455">
        <v>46062</v>
      </c>
      <c r="K472" s="455">
        <v>46062</v>
      </c>
      <c r="R472" s="455">
        <v>46114</v>
      </c>
      <c r="U472" s="455">
        <v>46062</v>
      </c>
    </row>
    <row r="473" spans="1:21">
      <c r="A473" t="s">
        <v>1751</v>
      </c>
      <c r="B473" t="s">
        <v>8748</v>
      </c>
      <c r="C473" t="s">
        <v>1751</v>
      </c>
      <c r="D473">
        <v>20448931</v>
      </c>
      <c r="E473" t="s">
        <v>3133</v>
      </c>
      <c r="F473" t="s">
        <v>1239</v>
      </c>
      <c r="G473" t="s">
        <v>3143</v>
      </c>
      <c r="H473" t="s">
        <v>1249</v>
      </c>
      <c r="I473" t="s">
        <v>5105</v>
      </c>
      <c r="J473" s="455">
        <v>46067</v>
      </c>
      <c r="K473" s="455">
        <v>46076</v>
      </c>
      <c r="R473" s="455">
        <v>46114</v>
      </c>
      <c r="U473" s="455">
        <v>46102</v>
      </c>
    </row>
    <row r="474" spans="1:21">
      <c r="A474" t="s">
        <v>1751</v>
      </c>
      <c r="B474" t="s">
        <v>9684</v>
      </c>
      <c r="C474" t="s">
        <v>1751</v>
      </c>
      <c r="D474">
        <v>20509696</v>
      </c>
      <c r="E474" t="s">
        <v>3128</v>
      </c>
      <c r="F474" t="s">
        <v>1782</v>
      </c>
      <c r="G474" t="s">
        <v>3134</v>
      </c>
      <c r="H474" t="s">
        <v>1252</v>
      </c>
      <c r="J474" s="455">
        <v>46137</v>
      </c>
      <c r="U474" s="455">
        <v>46137</v>
      </c>
    </row>
    <row r="475" spans="1:21">
      <c r="A475" t="s">
        <v>1751</v>
      </c>
      <c r="B475" t="s">
        <v>9685</v>
      </c>
      <c r="C475" t="s">
        <v>1751</v>
      </c>
      <c r="D475">
        <v>20502993</v>
      </c>
      <c r="E475" t="s">
        <v>1907</v>
      </c>
      <c r="F475" t="s">
        <v>1237</v>
      </c>
      <c r="G475" t="s">
        <v>3143</v>
      </c>
      <c r="H475" t="s">
        <v>1252</v>
      </c>
      <c r="I475" t="s">
        <v>2134</v>
      </c>
      <c r="J475" s="455">
        <v>46132</v>
      </c>
      <c r="K475" s="455">
        <v>46132</v>
      </c>
      <c r="L475" s="455">
        <v>46132</v>
      </c>
      <c r="U475" s="455">
        <v>46141</v>
      </c>
    </row>
    <row r="476" spans="1:21">
      <c r="A476" t="s">
        <v>1751</v>
      </c>
      <c r="B476" t="s">
        <v>9685</v>
      </c>
      <c r="C476" t="s">
        <v>1751</v>
      </c>
      <c r="D476">
        <v>20503653</v>
      </c>
      <c r="E476" t="s">
        <v>1897</v>
      </c>
      <c r="F476" t="s">
        <v>1241</v>
      </c>
      <c r="G476" t="s">
        <v>3134</v>
      </c>
      <c r="H476" t="s">
        <v>1247</v>
      </c>
      <c r="I476" t="s">
        <v>6998</v>
      </c>
      <c r="J476" s="455">
        <v>46132</v>
      </c>
      <c r="K476" s="455">
        <v>46132</v>
      </c>
      <c r="U476" s="455">
        <v>46136</v>
      </c>
    </row>
    <row r="477" spans="1:21">
      <c r="A477" t="s">
        <v>1751</v>
      </c>
      <c r="B477" t="s">
        <v>9686</v>
      </c>
      <c r="C477" t="s">
        <v>1751</v>
      </c>
      <c r="D477">
        <v>20420668</v>
      </c>
      <c r="E477" t="s">
        <v>3133</v>
      </c>
      <c r="F477" t="s">
        <v>1239</v>
      </c>
      <c r="G477" t="s">
        <v>3134</v>
      </c>
      <c r="H477" t="s">
        <v>1247</v>
      </c>
      <c r="I477" t="s">
        <v>2533</v>
      </c>
      <c r="J477" s="455">
        <v>46030</v>
      </c>
      <c r="K477" s="455">
        <v>46030</v>
      </c>
      <c r="R477" s="455">
        <v>46114</v>
      </c>
      <c r="U477" s="455">
        <v>46030</v>
      </c>
    </row>
    <row r="478" spans="1:21">
      <c r="A478" t="s">
        <v>1751</v>
      </c>
      <c r="B478" t="s">
        <v>9184</v>
      </c>
      <c r="C478" t="s">
        <v>1751</v>
      </c>
      <c r="D478">
        <v>20472099</v>
      </c>
      <c r="E478" t="s">
        <v>3133</v>
      </c>
      <c r="F478" t="s">
        <v>1912</v>
      </c>
      <c r="G478" t="s">
        <v>3134</v>
      </c>
      <c r="H478" t="s">
        <v>1247</v>
      </c>
      <c r="I478" t="s">
        <v>2615</v>
      </c>
      <c r="J478" s="455">
        <v>46096</v>
      </c>
      <c r="K478" s="455">
        <v>46096</v>
      </c>
      <c r="R478" s="455">
        <v>46115</v>
      </c>
      <c r="U478" s="455">
        <v>46098</v>
      </c>
    </row>
    <row r="479" spans="1:21">
      <c r="A479" t="s">
        <v>1751</v>
      </c>
      <c r="B479" t="s">
        <v>3452</v>
      </c>
      <c r="C479" t="s">
        <v>1751</v>
      </c>
      <c r="D479">
        <v>20490160</v>
      </c>
      <c r="E479" t="s">
        <v>1897</v>
      </c>
      <c r="F479" t="s">
        <v>1241</v>
      </c>
      <c r="G479" t="s">
        <v>3134</v>
      </c>
      <c r="H479" t="s">
        <v>1247</v>
      </c>
      <c r="I479" t="s">
        <v>1808</v>
      </c>
      <c r="J479" s="455">
        <v>46120</v>
      </c>
      <c r="K479" s="455">
        <v>46120</v>
      </c>
      <c r="U479" s="455">
        <v>46120</v>
      </c>
    </row>
    <row r="480" spans="1:21">
      <c r="A480" t="s">
        <v>1751</v>
      </c>
      <c r="B480" t="s">
        <v>9687</v>
      </c>
      <c r="C480" t="s">
        <v>1751</v>
      </c>
      <c r="D480">
        <v>20416653</v>
      </c>
      <c r="E480" t="s">
        <v>3190</v>
      </c>
      <c r="F480" t="s">
        <v>1241</v>
      </c>
      <c r="G480" t="s">
        <v>3129</v>
      </c>
      <c r="H480" t="s">
        <v>1253</v>
      </c>
      <c r="J480" s="455">
        <v>46024</v>
      </c>
      <c r="R480" s="455">
        <v>46114</v>
      </c>
      <c r="U480" s="455">
        <v>46024</v>
      </c>
    </row>
    <row r="481" spans="1:21">
      <c r="A481" t="s">
        <v>1751</v>
      </c>
      <c r="B481" t="s">
        <v>3453</v>
      </c>
      <c r="C481" t="s">
        <v>1751</v>
      </c>
      <c r="D481">
        <v>20507741</v>
      </c>
      <c r="E481" t="s">
        <v>1897</v>
      </c>
      <c r="F481" t="s">
        <v>1238</v>
      </c>
      <c r="G481" t="s">
        <v>3134</v>
      </c>
      <c r="H481" t="s">
        <v>1247</v>
      </c>
      <c r="I481" t="s">
        <v>1539</v>
      </c>
      <c r="J481" s="455">
        <v>46135</v>
      </c>
      <c r="K481" s="455">
        <v>46135</v>
      </c>
      <c r="U481" s="455">
        <v>46135</v>
      </c>
    </row>
    <row r="482" spans="1:21">
      <c r="A482" t="s">
        <v>1751</v>
      </c>
      <c r="B482" t="s">
        <v>9688</v>
      </c>
      <c r="C482" t="s">
        <v>1751</v>
      </c>
      <c r="D482">
        <v>20493266</v>
      </c>
      <c r="E482" t="s">
        <v>3190</v>
      </c>
      <c r="F482" t="s">
        <v>1242</v>
      </c>
      <c r="G482" t="s">
        <v>3143</v>
      </c>
      <c r="H482" t="s">
        <v>1248</v>
      </c>
      <c r="I482" t="s">
        <v>1952</v>
      </c>
      <c r="J482" s="455">
        <v>46125</v>
      </c>
      <c r="R482" s="455">
        <v>46130</v>
      </c>
      <c r="U482" s="455">
        <v>46130</v>
      </c>
    </row>
    <row r="483" spans="1:21">
      <c r="A483" t="s">
        <v>1751</v>
      </c>
      <c r="B483" t="s">
        <v>9185</v>
      </c>
      <c r="C483" t="s">
        <v>1751</v>
      </c>
      <c r="D483">
        <v>20471482</v>
      </c>
      <c r="E483" t="s">
        <v>3190</v>
      </c>
      <c r="F483" t="s">
        <v>1241</v>
      </c>
      <c r="G483" t="s">
        <v>3143</v>
      </c>
      <c r="H483" t="s">
        <v>1250</v>
      </c>
      <c r="I483" t="s">
        <v>1931</v>
      </c>
      <c r="J483" s="455">
        <v>46095</v>
      </c>
      <c r="R483" s="455">
        <v>46114</v>
      </c>
      <c r="U483" s="455">
        <v>46167</v>
      </c>
    </row>
    <row r="484" spans="1:21">
      <c r="A484" t="s">
        <v>1751</v>
      </c>
      <c r="B484" t="s">
        <v>9689</v>
      </c>
      <c r="C484" t="s">
        <v>1751</v>
      </c>
      <c r="D484">
        <v>20490934</v>
      </c>
      <c r="E484" t="s">
        <v>3133</v>
      </c>
      <c r="F484" t="s">
        <v>1243</v>
      </c>
      <c r="G484" t="s">
        <v>3134</v>
      </c>
      <c r="H484" t="s">
        <v>1247</v>
      </c>
      <c r="I484" t="s">
        <v>1532</v>
      </c>
      <c r="J484" s="455">
        <v>46121</v>
      </c>
      <c r="K484" s="455">
        <v>46121</v>
      </c>
      <c r="L484" s="455">
        <v>46121</v>
      </c>
      <c r="R484" s="455">
        <v>46126</v>
      </c>
      <c r="U484" s="455">
        <v>46143</v>
      </c>
    </row>
    <row r="485" spans="1:21">
      <c r="A485" t="s">
        <v>1751</v>
      </c>
      <c r="B485" t="s">
        <v>9690</v>
      </c>
      <c r="C485" t="s">
        <v>1751</v>
      </c>
      <c r="D485">
        <v>20502847</v>
      </c>
      <c r="E485" t="s">
        <v>3190</v>
      </c>
      <c r="F485" t="s">
        <v>1241</v>
      </c>
      <c r="G485" t="s">
        <v>3141</v>
      </c>
      <c r="H485" t="s">
        <v>1252</v>
      </c>
      <c r="J485" s="455">
        <v>46132</v>
      </c>
      <c r="R485" s="455">
        <v>46139</v>
      </c>
      <c r="U485" s="455">
        <v>46192</v>
      </c>
    </row>
    <row r="486" spans="1:21">
      <c r="A486" t="s">
        <v>1751</v>
      </c>
      <c r="B486" t="s">
        <v>8750</v>
      </c>
      <c r="C486" t="s">
        <v>1751</v>
      </c>
      <c r="D486">
        <v>20455547</v>
      </c>
      <c r="E486" t="s">
        <v>3190</v>
      </c>
      <c r="F486" t="s">
        <v>1239</v>
      </c>
      <c r="G486" t="s">
        <v>3129</v>
      </c>
      <c r="H486" t="s">
        <v>3358</v>
      </c>
      <c r="J486" s="455">
        <v>46076</v>
      </c>
      <c r="R486" s="455">
        <v>46115</v>
      </c>
      <c r="U486" s="455">
        <v>46076</v>
      </c>
    </row>
    <row r="487" spans="1:21">
      <c r="A487" t="s">
        <v>1751</v>
      </c>
      <c r="B487" t="s">
        <v>8751</v>
      </c>
      <c r="C487" t="s">
        <v>1751</v>
      </c>
      <c r="D487">
        <v>20459330</v>
      </c>
      <c r="E487" t="s">
        <v>3190</v>
      </c>
      <c r="F487" t="s">
        <v>1241</v>
      </c>
      <c r="G487" t="s">
        <v>3129</v>
      </c>
      <c r="H487" t="s">
        <v>3131</v>
      </c>
      <c r="J487" s="455">
        <v>46081</v>
      </c>
      <c r="R487" s="455">
        <v>46114</v>
      </c>
      <c r="U487" s="455">
        <v>46081</v>
      </c>
    </row>
    <row r="488" spans="1:21">
      <c r="A488" t="s">
        <v>1751</v>
      </c>
      <c r="B488" t="s">
        <v>9186</v>
      </c>
      <c r="C488" t="s">
        <v>1751</v>
      </c>
      <c r="D488">
        <v>20470659</v>
      </c>
      <c r="E488" t="s">
        <v>3190</v>
      </c>
      <c r="F488" t="s">
        <v>1782</v>
      </c>
      <c r="G488" t="s">
        <v>3134</v>
      </c>
      <c r="H488" t="s">
        <v>1252</v>
      </c>
      <c r="J488" s="455">
        <v>46094</v>
      </c>
      <c r="R488" s="455">
        <v>46114</v>
      </c>
      <c r="U488" s="455">
        <v>46156</v>
      </c>
    </row>
    <row r="489" spans="1:21">
      <c r="A489" t="s">
        <v>1751</v>
      </c>
      <c r="B489" t="s">
        <v>9691</v>
      </c>
      <c r="C489" t="s">
        <v>1751</v>
      </c>
      <c r="D489">
        <v>20499067</v>
      </c>
      <c r="E489" t="s">
        <v>3190</v>
      </c>
      <c r="F489" t="s">
        <v>1782</v>
      </c>
      <c r="G489" t="s">
        <v>3129</v>
      </c>
      <c r="H489" t="s">
        <v>1252</v>
      </c>
      <c r="J489" s="455">
        <v>46129</v>
      </c>
      <c r="R489" s="455">
        <v>46139</v>
      </c>
      <c r="U489" s="455">
        <v>46129</v>
      </c>
    </row>
    <row r="490" spans="1:21">
      <c r="A490" t="s">
        <v>1751</v>
      </c>
      <c r="B490" t="s">
        <v>4468</v>
      </c>
      <c r="C490" t="s">
        <v>1751</v>
      </c>
      <c r="D490">
        <v>20507865</v>
      </c>
      <c r="E490" t="s">
        <v>1901</v>
      </c>
      <c r="F490" t="s">
        <v>1799</v>
      </c>
      <c r="G490" t="s">
        <v>3129</v>
      </c>
      <c r="H490" t="s">
        <v>3515</v>
      </c>
      <c r="I490" t="s">
        <v>1818</v>
      </c>
      <c r="J490" s="455">
        <v>46135</v>
      </c>
      <c r="K490" s="455">
        <v>46135</v>
      </c>
      <c r="L490" s="455">
        <v>46135</v>
      </c>
      <c r="O490" s="455">
        <v>46170</v>
      </c>
      <c r="U490" s="455">
        <v>46135</v>
      </c>
    </row>
    <row r="491" spans="1:21">
      <c r="A491" t="s">
        <v>1751</v>
      </c>
      <c r="B491" t="s">
        <v>3461</v>
      </c>
      <c r="C491" t="s">
        <v>1751</v>
      </c>
      <c r="D491">
        <v>20488920</v>
      </c>
      <c r="E491" t="s">
        <v>3190</v>
      </c>
      <c r="F491" t="s">
        <v>1241</v>
      </c>
      <c r="G491" t="s">
        <v>3129</v>
      </c>
      <c r="H491" t="s">
        <v>1253</v>
      </c>
      <c r="J491" s="455">
        <v>46119</v>
      </c>
      <c r="R491" s="455">
        <v>46139</v>
      </c>
      <c r="U491" s="455">
        <v>46119</v>
      </c>
    </row>
    <row r="492" spans="1:21">
      <c r="A492" t="s">
        <v>1751</v>
      </c>
      <c r="B492" t="s">
        <v>3461</v>
      </c>
      <c r="C492" t="s">
        <v>1751</v>
      </c>
      <c r="D492">
        <v>20490391</v>
      </c>
      <c r="E492" t="s">
        <v>1897</v>
      </c>
      <c r="F492" t="s">
        <v>1782</v>
      </c>
      <c r="G492" t="s">
        <v>3134</v>
      </c>
      <c r="H492" t="s">
        <v>1247</v>
      </c>
      <c r="J492" s="455">
        <v>46120</v>
      </c>
      <c r="K492" s="455">
        <v>46120</v>
      </c>
      <c r="U492" s="455">
        <v>46120</v>
      </c>
    </row>
    <row r="493" spans="1:21">
      <c r="A493" t="s">
        <v>1751</v>
      </c>
      <c r="B493" t="s">
        <v>3461</v>
      </c>
      <c r="C493" t="s">
        <v>1751</v>
      </c>
      <c r="D493">
        <v>20490411</v>
      </c>
      <c r="E493" t="s">
        <v>1897</v>
      </c>
      <c r="F493" t="s">
        <v>1241</v>
      </c>
      <c r="G493" t="s">
        <v>3134</v>
      </c>
      <c r="H493" t="s">
        <v>1247</v>
      </c>
      <c r="J493" s="455">
        <v>46120</v>
      </c>
      <c r="K493" s="455">
        <v>46120</v>
      </c>
      <c r="U493" s="455">
        <v>46120</v>
      </c>
    </row>
    <row r="494" spans="1:21">
      <c r="A494" t="s">
        <v>1751</v>
      </c>
      <c r="B494" t="s">
        <v>9692</v>
      </c>
      <c r="C494" t="s">
        <v>1751</v>
      </c>
      <c r="D494">
        <v>20491327</v>
      </c>
      <c r="E494" t="s">
        <v>3133</v>
      </c>
      <c r="F494" t="s">
        <v>1243</v>
      </c>
      <c r="G494" t="s">
        <v>3134</v>
      </c>
      <c r="H494" t="s">
        <v>1247</v>
      </c>
      <c r="I494" t="s">
        <v>1967</v>
      </c>
      <c r="J494" s="455">
        <v>46121</v>
      </c>
      <c r="K494" s="455">
        <v>46121</v>
      </c>
      <c r="L494" s="455">
        <v>46122</v>
      </c>
      <c r="R494" s="455">
        <v>46126</v>
      </c>
      <c r="U494" s="455">
        <v>46143</v>
      </c>
    </row>
    <row r="495" spans="1:21">
      <c r="A495" t="s">
        <v>1751</v>
      </c>
      <c r="B495" t="s">
        <v>9693</v>
      </c>
      <c r="C495" t="s">
        <v>1751</v>
      </c>
      <c r="D495">
        <v>20416172</v>
      </c>
      <c r="E495" t="s">
        <v>3190</v>
      </c>
      <c r="F495" t="s">
        <v>1241</v>
      </c>
      <c r="G495" t="s">
        <v>3129</v>
      </c>
      <c r="H495" t="s">
        <v>1253</v>
      </c>
      <c r="J495" s="455">
        <v>46023</v>
      </c>
      <c r="R495" s="455">
        <v>46114</v>
      </c>
      <c r="U495" s="455">
        <v>46023</v>
      </c>
    </row>
    <row r="496" spans="1:21">
      <c r="A496" t="s">
        <v>1751</v>
      </c>
      <c r="B496" t="s">
        <v>9187</v>
      </c>
      <c r="C496" t="s">
        <v>1751</v>
      </c>
      <c r="D496">
        <v>20464819</v>
      </c>
      <c r="E496" t="s">
        <v>3133</v>
      </c>
      <c r="F496" t="s">
        <v>1782</v>
      </c>
      <c r="G496" t="s">
        <v>3134</v>
      </c>
      <c r="H496" t="s">
        <v>1247</v>
      </c>
      <c r="I496" t="s">
        <v>1834</v>
      </c>
      <c r="J496" s="455">
        <v>46089</v>
      </c>
      <c r="K496" s="455">
        <v>46089</v>
      </c>
      <c r="R496" s="455">
        <v>46114</v>
      </c>
      <c r="U496" s="455">
        <v>46090</v>
      </c>
    </row>
    <row r="497" spans="1:21">
      <c r="A497" t="s">
        <v>1751</v>
      </c>
      <c r="B497" t="s">
        <v>9694</v>
      </c>
      <c r="C497" t="s">
        <v>1751</v>
      </c>
      <c r="D497">
        <v>20493766</v>
      </c>
      <c r="E497" t="s">
        <v>3190</v>
      </c>
      <c r="F497" t="s">
        <v>1241</v>
      </c>
      <c r="G497" t="s">
        <v>3134</v>
      </c>
      <c r="H497" t="s">
        <v>3165</v>
      </c>
      <c r="J497" s="455">
        <v>46125</v>
      </c>
      <c r="R497" s="455">
        <v>46139</v>
      </c>
      <c r="U497" s="455">
        <v>46142</v>
      </c>
    </row>
    <row r="498" spans="1:21">
      <c r="A498" t="s">
        <v>1751</v>
      </c>
      <c r="B498" t="s">
        <v>3462</v>
      </c>
      <c r="C498" t="s">
        <v>1751</v>
      </c>
      <c r="D498">
        <v>20487311</v>
      </c>
      <c r="E498" t="s">
        <v>3133</v>
      </c>
      <c r="F498" t="s">
        <v>1239</v>
      </c>
      <c r="G498" t="s">
        <v>3134</v>
      </c>
      <c r="H498" t="s">
        <v>1252</v>
      </c>
      <c r="I498" t="s">
        <v>3332</v>
      </c>
      <c r="J498" s="455">
        <v>46116</v>
      </c>
      <c r="K498" s="455">
        <v>46117</v>
      </c>
      <c r="L498" s="455">
        <v>46119</v>
      </c>
      <c r="R498" s="455">
        <v>46126</v>
      </c>
      <c r="U498" s="455">
        <v>46149</v>
      </c>
    </row>
    <row r="499" spans="1:21">
      <c r="A499" t="s">
        <v>1751</v>
      </c>
      <c r="B499" t="s">
        <v>3462</v>
      </c>
      <c r="C499" t="s">
        <v>1751</v>
      </c>
      <c r="D499">
        <v>20487736</v>
      </c>
      <c r="E499" t="s">
        <v>1897</v>
      </c>
      <c r="F499" t="s">
        <v>1239</v>
      </c>
      <c r="G499" t="s">
        <v>3134</v>
      </c>
      <c r="H499" t="s">
        <v>1247</v>
      </c>
      <c r="J499" s="455">
        <v>46117</v>
      </c>
      <c r="K499" s="455">
        <v>46117</v>
      </c>
      <c r="U499" s="455">
        <v>46136</v>
      </c>
    </row>
    <row r="500" spans="1:21">
      <c r="A500" t="s">
        <v>1751</v>
      </c>
      <c r="B500" t="s">
        <v>8753</v>
      </c>
      <c r="C500" t="s">
        <v>1751</v>
      </c>
      <c r="D500">
        <v>20455023</v>
      </c>
      <c r="E500" t="s">
        <v>3133</v>
      </c>
      <c r="F500" t="s">
        <v>1237</v>
      </c>
      <c r="G500" t="s">
        <v>3143</v>
      </c>
      <c r="H500" t="s">
        <v>1248</v>
      </c>
      <c r="I500" t="s">
        <v>1546</v>
      </c>
      <c r="J500" s="455">
        <v>46074</v>
      </c>
      <c r="K500" s="455">
        <v>46078</v>
      </c>
      <c r="R500" s="455">
        <v>46114</v>
      </c>
      <c r="U500" s="455">
        <v>46108</v>
      </c>
    </row>
    <row r="501" spans="1:21">
      <c r="A501" t="s">
        <v>1751</v>
      </c>
      <c r="B501" t="s">
        <v>9695</v>
      </c>
      <c r="C501" t="s">
        <v>1751</v>
      </c>
      <c r="D501">
        <v>20431775</v>
      </c>
      <c r="E501" t="s">
        <v>3190</v>
      </c>
      <c r="F501" t="s">
        <v>1237</v>
      </c>
      <c r="G501" t="s">
        <v>3143</v>
      </c>
      <c r="H501" t="s">
        <v>1248</v>
      </c>
      <c r="I501" t="s">
        <v>6543</v>
      </c>
      <c r="J501" s="455">
        <v>46043</v>
      </c>
      <c r="R501" s="455">
        <v>46114</v>
      </c>
      <c r="U501" s="455">
        <v>46043</v>
      </c>
    </row>
    <row r="502" spans="1:21">
      <c r="A502" t="s">
        <v>1751</v>
      </c>
      <c r="B502" t="s">
        <v>8754</v>
      </c>
      <c r="C502" t="s">
        <v>1751</v>
      </c>
      <c r="D502">
        <v>20447916</v>
      </c>
      <c r="E502" t="s">
        <v>3190</v>
      </c>
      <c r="F502" t="s">
        <v>1241</v>
      </c>
      <c r="G502" t="s">
        <v>3137</v>
      </c>
      <c r="H502" t="s">
        <v>1247</v>
      </c>
      <c r="J502" s="455">
        <v>46065</v>
      </c>
      <c r="R502" s="455">
        <v>46114</v>
      </c>
      <c r="U502" s="455">
        <v>46066</v>
      </c>
    </row>
    <row r="503" spans="1:21">
      <c r="A503" t="s">
        <v>1751</v>
      </c>
      <c r="B503" t="s">
        <v>8755</v>
      </c>
      <c r="C503" t="s">
        <v>1751</v>
      </c>
      <c r="D503">
        <v>20440960</v>
      </c>
      <c r="E503" t="s">
        <v>3190</v>
      </c>
      <c r="F503" t="s">
        <v>1239</v>
      </c>
      <c r="G503" t="s">
        <v>3143</v>
      </c>
      <c r="H503" t="s">
        <v>1248</v>
      </c>
      <c r="J503" s="455">
        <v>46057</v>
      </c>
      <c r="R503" s="455">
        <v>46114</v>
      </c>
      <c r="U503" s="455">
        <v>46095</v>
      </c>
    </row>
    <row r="504" spans="1:21">
      <c r="A504" t="s">
        <v>1751</v>
      </c>
      <c r="B504" t="s">
        <v>1900</v>
      </c>
      <c r="C504" t="s">
        <v>1751</v>
      </c>
      <c r="D504">
        <v>20441173</v>
      </c>
      <c r="E504" t="s">
        <v>3133</v>
      </c>
      <c r="F504" t="s">
        <v>1239</v>
      </c>
      <c r="G504" t="s">
        <v>3134</v>
      </c>
      <c r="H504" t="s">
        <v>1248</v>
      </c>
      <c r="I504" t="s">
        <v>1899</v>
      </c>
      <c r="J504" s="455">
        <v>46057</v>
      </c>
      <c r="K504" s="455">
        <v>46057</v>
      </c>
      <c r="L504" s="455">
        <v>46058</v>
      </c>
      <c r="R504" s="455">
        <v>46114</v>
      </c>
      <c r="U504" s="455">
        <v>46088</v>
      </c>
    </row>
    <row r="505" spans="1:21">
      <c r="A505" t="s">
        <v>1751</v>
      </c>
      <c r="B505" t="s">
        <v>9696</v>
      </c>
      <c r="C505" t="s">
        <v>1751</v>
      </c>
      <c r="D505">
        <v>20511359</v>
      </c>
      <c r="E505" t="s">
        <v>3128</v>
      </c>
      <c r="F505" t="s">
        <v>1782</v>
      </c>
      <c r="G505" t="s">
        <v>3141</v>
      </c>
      <c r="H505" t="s">
        <v>1247</v>
      </c>
      <c r="J505" s="455">
        <v>46139</v>
      </c>
      <c r="U505" s="455">
        <v>46153</v>
      </c>
    </row>
    <row r="506" spans="1:21">
      <c r="A506" t="s">
        <v>1751</v>
      </c>
      <c r="B506" t="s">
        <v>9697</v>
      </c>
      <c r="C506" t="s">
        <v>1751</v>
      </c>
      <c r="D506">
        <v>20492690</v>
      </c>
      <c r="E506" t="s">
        <v>3190</v>
      </c>
      <c r="F506" t="s">
        <v>1241</v>
      </c>
      <c r="G506" t="s">
        <v>3134</v>
      </c>
      <c r="H506" t="s">
        <v>3165</v>
      </c>
      <c r="J506" s="455">
        <v>46123</v>
      </c>
      <c r="R506" s="455">
        <v>46139</v>
      </c>
      <c r="U506" s="455">
        <v>46257</v>
      </c>
    </row>
    <row r="507" spans="1:21">
      <c r="A507" t="s">
        <v>1751</v>
      </c>
      <c r="B507" t="s">
        <v>9698</v>
      </c>
      <c r="C507" t="s">
        <v>1751</v>
      </c>
      <c r="D507">
        <v>20500376</v>
      </c>
      <c r="E507" t="s">
        <v>3190</v>
      </c>
      <c r="F507" t="s">
        <v>1782</v>
      </c>
      <c r="G507" t="s">
        <v>3141</v>
      </c>
      <c r="H507" t="s">
        <v>1252</v>
      </c>
      <c r="J507" s="455">
        <v>46129</v>
      </c>
      <c r="R507" s="455">
        <v>46139</v>
      </c>
      <c r="U507" s="455">
        <v>46174</v>
      </c>
    </row>
    <row r="508" spans="1:21">
      <c r="A508" t="s">
        <v>1751</v>
      </c>
      <c r="B508" t="s">
        <v>9699</v>
      </c>
      <c r="C508" t="s">
        <v>1751</v>
      </c>
      <c r="D508">
        <v>20419235</v>
      </c>
      <c r="E508" t="s">
        <v>3133</v>
      </c>
      <c r="F508" t="s">
        <v>1238</v>
      </c>
      <c r="G508" t="s">
        <v>3134</v>
      </c>
      <c r="H508" t="s">
        <v>1247</v>
      </c>
      <c r="J508" s="455">
        <v>46028</v>
      </c>
      <c r="K508" s="455">
        <v>46028</v>
      </c>
      <c r="R508" s="455">
        <v>46114</v>
      </c>
      <c r="U508" s="455">
        <v>46028</v>
      </c>
    </row>
    <row r="509" spans="1:21">
      <c r="A509" t="s">
        <v>1751</v>
      </c>
      <c r="B509" t="s">
        <v>3467</v>
      </c>
      <c r="C509" t="s">
        <v>1751</v>
      </c>
      <c r="D509">
        <v>20486420</v>
      </c>
      <c r="E509" t="s">
        <v>1897</v>
      </c>
      <c r="F509" t="s">
        <v>1241</v>
      </c>
      <c r="G509" t="s">
        <v>3134</v>
      </c>
      <c r="H509" t="s">
        <v>1247</v>
      </c>
      <c r="J509" s="455">
        <v>46115</v>
      </c>
      <c r="K509" s="455">
        <v>46115</v>
      </c>
      <c r="U509" s="455">
        <v>46115</v>
      </c>
    </row>
    <row r="510" spans="1:21">
      <c r="A510" t="s">
        <v>1751</v>
      </c>
      <c r="B510" t="s">
        <v>9188</v>
      </c>
      <c r="C510" t="s">
        <v>1751</v>
      </c>
      <c r="D510">
        <v>20461706</v>
      </c>
      <c r="E510" t="s">
        <v>3190</v>
      </c>
      <c r="F510" t="s">
        <v>1782</v>
      </c>
      <c r="G510" t="s">
        <v>3141</v>
      </c>
      <c r="H510" t="s">
        <v>1247</v>
      </c>
      <c r="J510" s="455">
        <v>46084</v>
      </c>
      <c r="R510" s="455">
        <v>46114</v>
      </c>
      <c r="U510" s="455">
        <v>46084</v>
      </c>
    </row>
    <row r="511" spans="1:21">
      <c r="A511" t="s">
        <v>1751</v>
      </c>
      <c r="B511" t="s">
        <v>9700</v>
      </c>
      <c r="C511" t="s">
        <v>1751</v>
      </c>
      <c r="D511">
        <v>20503669</v>
      </c>
      <c r="E511" t="s">
        <v>3128</v>
      </c>
      <c r="F511" t="s">
        <v>1782</v>
      </c>
      <c r="G511" t="s">
        <v>3129</v>
      </c>
      <c r="H511" t="s">
        <v>3377</v>
      </c>
      <c r="J511" s="455">
        <v>46132</v>
      </c>
      <c r="U511" s="455">
        <v>46132</v>
      </c>
    </row>
    <row r="512" spans="1:21">
      <c r="A512" t="s">
        <v>1751</v>
      </c>
      <c r="B512" t="s">
        <v>8756</v>
      </c>
      <c r="C512" t="s">
        <v>1751</v>
      </c>
      <c r="D512">
        <v>20449295</v>
      </c>
      <c r="E512" t="s">
        <v>3190</v>
      </c>
      <c r="F512" t="s">
        <v>1241</v>
      </c>
      <c r="G512" t="s">
        <v>2009</v>
      </c>
      <c r="H512" t="s">
        <v>1247</v>
      </c>
      <c r="J512" s="455">
        <v>46068</v>
      </c>
      <c r="R512" s="455">
        <v>46114</v>
      </c>
      <c r="U512" s="455">
        <v>46127</v>
      </c>
    </row>
    <row r="513" spans="1:21">
      <c r="A513" t="s">
        <v>1751</v>
      </c>
      <c r="B513" t="s">
        <v>9701</v>
      </c>
      <c r="C513" t="s">
        <v>1751</v>
      </c>
      <c r="D513">
        <v>20414051</v>
      </c>
      <c r="E513" t="s">
        <v>3133</v>
      </c>
      <c r="F513" t="s">
        <v>1241</v>
      </c>
      <c r="G513" t="s">
        <v>3134</v>
      </c>
      <c r="H513" t="s">
        <v>1247</v>
      </c>
      <c r="J513" s="455">
        <v>46019</v>
      </c>
      <c r="K513" s="455">
        <v>46019</v>
      </c>
      <c r="R513" s="455">
        <v>46114</v>
      </c>
      <c r="U513" s="455">
        <v>46019</v>
      </c>
    </row>
    <row r="514" spans="1:21">
      <c r="A514" t="s">
        <v>1751</v>
      </c>
      <c r="B514" t="s">
        <v>9702</v>
      </c>
      <c r="C514" t="s">
        <v>1751</v>
      </c>
      <c r="D514">
        <v>20500910</v>
      </c>
      <c r="E514" t="s">
        <v>3190</v>
      </c>
      <c r="F514" t="s">
        <v>1782</v>
      </c>
      <c r="G514" t="s">
        <v>3134</v>
      </c>
      <c r="H514" t="s">
        <v>3165</v>
      </c>
      <c r="J514" s="455">
        <v>46130</v>
      </c>
      <c r="R514" s="455">
        <v>46139</v>
      </c>
      <c r="U514" s="455">
        <v>46142</v>
      </c>
    </row>
    <row r="515" spans="1:21">
      <c r="A515" t="s">
        <v>1751</v>
      </c>
      <c r="B515" t="s">
        <v>9189</v>
      </c>
      <c r="C515" t="s">
        <v>1751</v>
      </c>
      <c r="D515">
        <v>20472880</v>
      </c>
      <c r="E515" t="s">
        <v>3133</v>
      </c>
      <c r="F515" t="s">
        <v>1782</v>
      </c>
      <c r="G515" t="s">
        <v>3134</v>
      </c>
      <c r="H515" t="s">
        <v>1247</v>
      </c>
      <c r="I515" t="s">
        <v>1952</v>
      </c>
      <c r="J515" s="455">
        <v>46097</v>
      </c>
      <c r="K515" s="455">
        <v>46097</v>
      </c>
      <c r="R515" s="455">
        <v>46116</v>
      </c>
      <c r="U515" s="455">
        <v>46102</v>
      </c>
    </row>
    <row r="516" spans="1:21">
      <c r="A516" t="s">
        <v>1751</v>
      </c>
      <c r="B516" t="s">
        <v>3473</v>
      </c>
      <c r="C516" t="s">
        <v>1751</v>
      </c>
      <c r="D516">
        <v>20513499</v>
      </c>
      <c r="E516" t="s">
        <v>3128</v>
      </c>
      <c r="F516" t="s">
        <v>1239</v>
      </c>
      <c r="G516" t="s">
        <v>3143</v>
      </c>
      <c r="H516" t="s">
        <v>1249</v>
      </c>
      <c r="J516" s="455">
        <v>46142</v>
      </c>
      <c r="U516" s="455">
        <v>46142</v>
      </c>
    </row>
    <row r="517" spans="1:21">
      <c r="A517" t="s">
        <v>1751</v>
      </c>
      <c r="B517" t="s">
        <v>6776</v>
      </c>
      <c r="C517" t="s">
        <v>1751</v>
      </c>
      <c r="D517">
        <v>20415822</v>
      </c>
      <c r="E517" t="s">
        <v>3190</v>
      </c>
      <c r="F517" t="s">
        <v>1782</v>
      </c>
      <c r="G517" t="s">
        <v>3141</v>
      </c>
      <c r="H517" t="s">
        <v>1247</v>
      </c>
      <c r="J517" s="455">
        <v>46022</v>
      </c>
      <c r="R517" s="455">
        <v>46114</v>
      </c>
      <c r="U517" s="455">
        <v>46022</v>
      </c>
    </row>
    <row r="518" spans="1:21">
      <c r="A518" t="s">
        <v>1751</v>
      </c>
      <c r="B518" t="s">
        <v>9190</v>
      </c>
      <c r="C518" t="s">
        <v>1751</v>
      </c>
      <c r="D518">
        <v>20472619</v>
      </c>
      <c r="E518" t="s">
        <v>3190</v>
      </c>
      <c r="F518" t="s">
        <v>1782</v>
      </c>
      <c r="G518" t="s">
        <v>3143</v>
      </c>
      <c r="H518" t="s">
        <v>1252</v>
      </c>
      <c r="I518" t="s">
        <v>2478</v>
      </c>
      <c r="J518" s="455">
        <v>46097</v>
      </c>
      <c r="R518" s="455">
        <v>46114</v>
      </c>
      <c r="U518" s="455">
        <v>46097</v>
      </c>
    </row>
    <row r="519" spans="1:21">
      <c r="A519" t="s">
        <v>1751</v>
      </c>
      <c r="B519" t="s">
        <v>9191</v>
      </c>
      <c r="C519" t="s">
        <v>1751</v>
      </c>
      <c r="D519">
        <v>20466094</v>
      </c>
      <c r="E519" t="s">
        <v>3190</v>
      </c>
      <c r="F519" t="s">
        <v>1782</v>
      </c>
      <c r="G519" t="s">
        <v>3129</v>
      </c>
      <c r="H519" t="s">
        <v>1252</v>
      </c>
      <c r="J519" s="455">
        <v>46091</v>
      </c>
      <c r="R519" s="455">
        <v>46114</v>
      </c>
      <c r="U519" s="455">
        <v>46091</v>
      </c>
    </row>
    <row r="520" spans="1:21">
      <c r="A520" t="s">
        <v>1751</v>
      </c>
      <c r="B520" t="s">
        <v>9192</v>
      </c>
      <c r="C520" t="s">
        <v>1751</v>
      </c>
      <c r="D520">
        <v>20482359</v>
      </c>
      <c r="E520" t="s">
        <v>3133</v>
      </c>
      <c r="F520" t="s">
        <v>1912</v>
      </c>
      <c r="G520" t="s">
        <v>3134</v>
      </c>
      <c r="H520" t="s">
        <v>1247</v>
      </c>
      <c r="I520" t="s">
        <v>5984</v>
      </c>
      <c r="J520" s="455">
        <v>46109</v>
      </c>
      <c r="K520" s="455">
        <v>46109</v>
      </c>
      <c r="R520" s="455">
        <v>46114</v>
      </c>
      <c r="U520" s="455">
        <v>46109</v>
      </c>
    </row>
    <row r="521" spans="1:21">
      <c r="A521" t="s">
        <v>1751</v>
      </c>
      <c r="B521" t="s">
        <v>3475</v>
      </c>
      <c r="C521" t="s">
        <v>1751</v>
      </c>
      <c r="D521">
        <v>20509418</v>
      </c>
      <c r="E521" t="s">
        <v>3133</v>
      </c>
      <c r="F521" t="s">
        <v>1912</v>
      </c>
      <c r="G521" t="s">
        <v>3134</v>
      </c>
      <c r="H521" t="s">
        <v>1247</v>
      </c>
      <c r="I521" t="s">
        <v>1917</v>
      </c>
      <c r="J521" s="455">
        <v>46136</v>
      </c>
      <c r="K521" s="455">
        <v>46136</v>
      </c>
      <c r="R521" s="455">
        <v>46137</v>
      </c>
      <c r="U521" s="455">
        <v>46136</v>
      </c>
    </row>
    <row r="522" spans="1:21">
      <c r="A522" t="s">
        <v>1751</v>
      </c>
      <c r="B522" t="s">
        <v>9193</v>
      </c>
      <c r="C522" t="s">
        <v>1751</v>
      </c>
      <c r="D522">
        <v>20481537</v>
      </c>
      <c r="E522" t="s">
        <v>3190</v>
      </c>
      <c r="F522" t="s">
        <v>1782</v>
      </c>
      <c r="G522" t="s">
        <v>3141</v>
      </c>
      <c r="H522" t="s">
        <v>1252</v>
      </c>
      <c r="J522" s="455">
        <v>46108</v>
      </c>
      <c r="R522" s="455">
        <v>46116</v>
      </c>
      <c r="U522" s="455">
        <v>46335</v>
      </c>
    </row>
    <row r="523" spans="1:21">
      <c r="A523" t="s">
        <v>1751</v>
      </c>
      <c r="B523" t="s">
        <v>9703</v>
      </c>
      <c r="C523" t="s">
        <v>1751</v>
      </c>
      <c r="D523">
        <v>20485593</v>
      </c>
      <c r="E523" t="s">
        <v>3133</v>
      </c>
      <c r="F523" t="s">
        <v>1782</v>
      </c>
      <c r="G523" t="s">
        <v>3134</v>
      </c>
      <c r="H523" t="s">
        <v>1247</v>
      </c>
      <c r="I523" t="s">
        <v>7081</v>
      </c>
      <c r="J523" s="455">
        <v>46114</v>
      </c>
      <c r="K523" s="455">
        <v>46114</v>
      </c>
      <c r="R523" s="455">
        <v>46142</v>
      </c>
      <c r="U523" s="455">
        <v>46114</v>
      </c>
    </row>
    <row r="524" spans="1:21">
      <c r="A524" t="s">
        <v>1751</v>
      </c>
      <c r="B524" t="s">
        <v>9194</v>
      </c>
      <c r="C524" t="s">
        <v>1751</v>
      </c>
      <c r="D524">
        <v>20481751</v>
      </c>
      <c r="E524" t="s">
        <v>3133</v>
      </c>
      <c r="F524" t="s">
        <v>1243</v>
      </c>
      <c r="G524" t="s">
        <v>3134</v>
      </c>
      <c r="H524" t="s">
        <v>1251</v>
      </c>
      <c r="I524" t="s">
        <v>1808</v>
      </c>
      <c r="J524" s="455">
        <v>46108</v>
      </c>
      <c r="K524" s="455">
        <v>46108</v>
      </c>
      <c r="L524" s="455">
        <v>46108</v>
      </c>
      <c r="R524" s="455">
        <v>46113</v>
      </c>
      <c r="U524" s="455">
        <v>46136</v>
      </c>
    </row>
    <row r="525" spans="1:21">
      <c r="A525" t="s">
        <v>1751</v>
      </c>
      <c r="B525" t="s">
        <v>1964</v>
      </c>
      <c r="C525" t="s">
        <v>1751</v>
      </c>
      <c r="D525">
        <v>20476635</v>
      </c>
      <c r="E525" t="s">
        <v>3190</v>
      </c>
      <c r="F525" t="s">
        <v>1782</v>
      </c>
      <c r="G525" t="s">
        <v>3134</v>
      </c>
      <c r="H525" t="s">
        <v>1252</v>
      </c>
      <c r="J525" s="455">
        <v>46101</v>
      </c>
      <c r="R525" s="455">
        <v>46114</v>
      </c>
      <c r="U525" s="455">
        <v>46102</v>
      </c>
    </row>
    <row r="526" spans="1:21">
      <c r="A526" t="s">
        <v>1751</v>
      </c>
      <c r="B526" t="s">
        <v>9704</v>
      </c>
      <c r="C526" t="s">
        <v>1751</v>
      </c>
      <c r="D526">
        <v>20436230</v>
      </c>
      <c r="E526" t="s">
        <v>3190</v>
      </c>
      <c r="F526" t="s">
        <v>1241</v>
      </c>
      <c r="G526" t="s">
        <v>3129</v>
      </c>
      <c r="H526" t="s">
        <v>3131</v>
      </c>
      <c r="J526" s="455">
        <v>46050</v>
      </c>
      <c r="R526" s="455">
        <v>46114</v>
      </c>
      <c r="U526" s="455">
        <v>46050</v>
      </c>
    </row>
    <row r="527" spans="1:21">
      <c r="A527" t="s">
        <v>1751</v>
      </c>
      <c r="B527" t="s">
        <v>8758</v>
      </c>
      <c r="C527" t="s">
        <v>1751</v>
      </c>
      <c r="D527">
        <v>20453239</v>
      </c>
      <c r="E527" t="s">
        <v>3190</v>
      </c>
      <c r="F527" t="s">
        <v>1241</v>
      </c>
      <c r="G527" t="s">
        <v>3129</v>
      </c>
      <c r="H527" t="s">
        <v>1253</v>
      </c>
      <c r="J527" s="455">
        <v>46072</v>
      </c>
      <c r="R527" s="455">
        <v>46114</v>
      </c>
      <c r="U527" s="455">
        <v>46072</v>
      </c>
    </row>
    <row r="528" spans="1:21">
      <c r="A528" t="s">
        <v>1751</v>
      </c>
      <c r="B528" t="s">
        <v>9705</v>
      </c>
      <c r="C528" t="s">
        <v>1751</v>
      </c>
      <c r="D528">
        <v>20500132</v>
      </c>
      <c r="E528" t="s">
        <v>3190</v>
      </c>
      <c r="F528" t="s">
        <v>1782</v>
      </c>
      <c r="G528" t="s">
        <v>3129</v>
      </c>
      <c r="H528" t="s">
        <v>3377</v>
      </c>
      <c r="J528" s="455">
        <v>46129</v>
      </c>
      <c r="R528" s="455">
        <v>46139</v>
      </c>
      <c r="U528" s="455">
        <v>46129</v>
      </c>
    </row>
    <row r="529" spans="1:21">
      <c r="A529" t="s">
        <v>1751</v>
      </c>
      <c r="B529" t="s">
        <v>9195</v>
      </c>
      <c r="C529" t="s">
        <v>1751</v>
      </c>
      <c r="D529">
        <v>20511966</v>
      </c>
      <c r="E529" t="s">
        <v>3128</v>
      </c>
      <c r="F529" t="s">
        <v>1782</v>
      </c>
      <c r="G529" t="s">
        <v>3129</v>
      </c>
      <c r="H529" t="s">
        <v>3131</v>
      </c>
      <c r="J529" s="455">
        <v>46140</v>
      </c>
      <c r="U529" s="455">
        <v>46140</v>
      </c>
    </row>
    <row r="530" spans="1:21">
      <c r="A530" t="s">
        <v>1751</v>
      </c>
      <c r="B530" t="s">
        <v>9706</v>
      </c>
      <c r="C530" t="s">
        <v>1751</v>
      </c>
      <c r="D530">
        <v>20495142</v>
      </c>
      <c r="E530" t="s">
        <v>3190</v>
      </c>
      <c r="F530" t="s">
        <v>1241</v>
      </c>
      <c r="G530" t="s">
        <v>3134</v>
      </c>
      <c r="H530" t="s">
        <v>3165</v>
      </c>
      <c r="J530" s="455">
        <v>46126</v>
      </c>
      <c r="R530" s="455">
        <v>46139</v>
      </c>
      <c r="U530" s="455">
        <v>46172</v>
      </c>
    </row>
    <row r="531" spans="1:21">
      <c r="A531" t="s">
        <v>1751</v>
      </c>
      <c r="B531" t="s">
        <v>9196</v>
      </c>
      <c r="C531" t="s">
        <v>1751</v>
      </c>
      <c r="D531">
        <v>20489811</v>
      </c>
      <c r="E531" t="s">
        <v>3190</v>
      </c>
      <c r="F531" t="s">
        <v>1241</v>
      </c>
      <c r="G531" t="s">
        <v>2009</v>
      </c>
      <c r="H531" t="s">
        <v>1249</v>
      </c>
      <c r="J531" s="455">
        <v>46120</v>
      </c>
      <c r="R531" s="455">
        <v>46139</v>
      </c>
      <c r="U531" s="455">
        <v>46107</v>
      </c>
    </row>
    <row r="532" spans="1:21">
      <c r="A532" t="s">
        <v>1751</v>
      </c>
      <c r="B532" t="s">
        <v>9197</v>
      </c>
      <c r="C532" t="s">
        <v>1751</v>
      </c>
      <c r="D532">
        <v>20482211</v>
      </c>
      <c r="E532" t="s">
        <v>3190</v>
      </c>
      <c r="F532" t="s">
        <v>1782</v>
      </c>
      <c r="G532" t="s">
        <v>3141</v>
      </c>
      <c r="H532" t="s">
        <v>1248</v>
      </c>
      <c r="J532" s="455">
        <v>46109</v>
      </c>
      <c r="R532" s="455">
        <v>46139</v>
      </c>
      <c r="U532" s="455">
        <v>46241</v>
      </c>
    </row>
    <row r="533" spans="1:21">
      <c r="A533" t="s">
        <v>1751</v>
      </c>
      <c r="B533" t="s">
        <v>8759</v>
      </c>
      <c r="C533" t="s">
        <v>1751</v>
      </c>
      <c r="D533">
        <v>20442867</v>
      </c>
      <c r="E533" t="s">
        <v>3133</v>
      </c>
      <c r="F533" t="s">
        <v>1241</v>
      </c>
      <c r="G533" t="s">
        <v>3143</v>
      </c>
      <c r="H533" t="s">
        <v>1248</v>
      </c>
      <c r="I533" t="s">
        <v>3752</v>
      </c>
      <c r="J533" s="455">
        <v>46060</v>
      </c>
      <c r="K533" s="455">
        <v>46062</v>
      </c>
      <c r="R533" s="455">
        <v>46114</v>
      </c>
      <c r="U533" s="455">
        <v>46067</v>
      </c>
    </row>
    <row r="534" spans="1:21">
      <c r="A534" t="s">
        <v>1751</v>
      </c>
      <c r="B534" t="s">
        <v>9707</v>
      </c>
      <c r="C534" t="s">
        <v>1751</v>
      </c>
      <c r="D534">
        <v>20419100</v>
      </c>
      <c r="E534" t="s">
        <v>3133</v>
      </c>
      <c r="F534" t="s">
        <v>1238</v>
      </c>
      <c r="G534" t="s">
        <v>3134</v>
      </c>
      <c r="H534" t="s">
        <v>1247</v>
      </c>
      <c r="I534" t="s">
        <v>3997</v>
      </c>
      <c r="J534" s="455">
        <v>46028</v>
      </c>
      <c r="K534" s="455">
        <v>46028</v>
      </c>
      <c r="R534" s="455">
        <v>46114</v>
      </c>
      <c r="U534" s="455">
        <v>46038</v>
      </c>
    </row>
    <row r="535" spans="1:21">
      <c r="A535" t="s">
        <v>1751</v>
      </c>
      <c r="B535" t="s">
        <v>9198</v>
      </c>
      <c r="C535" t="s">
        <v>1751</v>
      </c>
      <c r="D535">
        <v>20468652</v>
      </c>
      <c r="E535" t="s">
        <v>3190</v>
      </c>
      <c r="F535" t="s">
        <v>1782</v>
      </c>
      <c r="G535" t="s">
        <v>3137</v>
      </c>
      <c r="H535" t="s">
        <v>1247</v>
      </c>
      <c r="J535" s="455">
        <v>46092</v>
      </c>
      <c r="R535" s="455">
        <v>46114</v>
      </c>
      <c r="U535" s="455">
        <v>46092</v>
      </c>
    </row>
    <row r="536" spans="1:21">
      <c r="A536" t="s">
        <v>1751</v>
      </c>
      <c r="B536" t="s">
        <v>9708</v>
      </c>
      <c r="C536" t="s">
        <v>1751</v>
      </c>
      <c r="D536">
        <v>20424491</v>
      </c>
      <c r="E536" t="s">
        <v>3190</v>
      </c>
      <c r="F536" t="s">
        <v>1239</v>
      </c>
      <c r="G536" t="s">
        <v>3143</v>
      </c>
      <c r="H536" t="s">
        <v>1252</v>
      </c>
      <c r="J536" s="455">
        <v>46035</v>
      </c>
      <c r="R536" s="455">
        <v>46114</v>
      </c>
      <c r="U536" s="455">
        <v>46035</v>
      </c>
    </row>
    <row r="537" spans="1:21">
      <c r="A537" t="s">
        <v>1751</v>
      </c>
      <c r="B537" t="s">
        <v>9709</v>
      </c>
      <c r="C537" t="s">
        <v>1751</v>
      </c>
      <c r="D537">
        <v>20430208</v>
      </c>
      <c r="E537" t="s">
        <v>3190</v>
      </c>
      <c r="F537" t="s">
        <v>1782</v>
      </c>
      <c r="G537" t="s">
        <v>3141</v>
      </c>
      <c r="H537" t="s">
        <v>1253</v>
      </c>
      <c r="J537" s="455">
        <v>46041</v>
      </c>
      <c r="R537" s="455">
        <v>46114</v>
      </c>
      <c r="U537" s="455">
        <v>46113</v>
      </c>
    </row>
    <row r="538" spans="1:21">
      <c r="A538" t="s">
        <v>1751</v>
      </c>
      <c r="B538" t="s">
        <v>9710</v>
      </c>
      <c r="C538" t="s">
        <v>1751</v>
      </c>
      <c r="D538">
        <v>20428878</v>
      </c>
      <c r="E538" t="s">
        <v>3190</v>
      </c>
      <c r="F538" t="s">
        <v>1237</v>
      </c>
      <c r="G538" t="s">
        <v>3143</v>
      </c>
      <c r="H538" t="s">
        <v>1248</v>
      </c>
      <c r="I538" t="s">
        <v>1227</v>
      </c>
      <c r="J538" s="455">
        <v>46038</v>
      </c>
      <c r="R538" s="455">
        <v>46114</v>
      </c>
      <c r="U538" s="455">
        <v>46038</v>
      </c>
    </row>
    <row r="539" spans="1:21">
      <c r="A539" t="s">
        <v>1751</v>
      </c>
      <c r="B539" t="s">
        <v>9711</v>
      </c>
      <c r="C539" t="s">
        <v>1751</v>
      </c>
      <c r="D539">
        <v>20429172</v>
      </c>
      <c r="E539" t="s">
        <v>3190</v>
      </c>
      <c r="F539" t="s">
        <v>8652</v>
      </c>
      <c r="G539" t="s">
        <v>3143</v>
      </c>
      <c r="H539" t="s">
        <v>1252</v>
      </c>
      <c r="J539" s="455">
        <v>46038</v>
      </c>
      <c r="R539" s="455">
        <v>46114</v>
      </c>
      <c r="U539" s="455">
        <v>46038</v>
      </c>
    </row>
    <row r="540" spans="1:21">
      <c r="A540" t="s">
        <v>1751</v>
      </c>
      <c r="B540" t="s">
        <v>9712</v>
      </c>
      <c r="C540" t="s">
        <v>1751</v>
      </c>
      <c r="D540">
        <v>20490482</v>
      </c>
      <c r="E540" t="s">
        <v>3190</v>
      </c>
      <c r="F540" t="s">
        <v>1241</v>
      </c>
      <c r="G540" t="s">
        <v>3134</v>
      </c>
      <c r="H540" t="s">
        <v>1252</v>
      </c>
      <c r="J540" s="455">
        <v>46120</v>
      </c>
      <c r="R540" s="455">
        <v>46139</v>
      </c>
      <c r="U540" s="455">
        <v>46188</v>
      </c>
    </row>
    <row r="541" spans="1:21">
      <c r="A541" t="s">
        <v>1751</v>
      </c>
      <c r="B541" t="s">
        <v>8761</v>
      </c>
      <c r="C541" t="s">
        <v>1751</v>
      </c>
      <c r="D541">
        <v>20441362</v>
      </c>
      <c r="E541" t="s">
        <v>3190</v>
      </c>
      <c r="F541" t="s">
        <v>1241</v>
      </c>
      <c r="G541" t="s">
        <v>3137</v>
      </c>
      <c r="H541" t="s">
        <v>1247</v>
      </c>
      <c r="J541" s="455">
        <v>46058</v>
      </c>
      <c r="R541" s="455">
        <v>46114</v>
      </c>
      <c r="U541" s="455">
        <v>46204</v>
      </c>
    </row>
    <row r="542" spans="1:21">
      <c r="A542" t="s">
        <v>1751</v>
      </c>
      <c r="B542" t="s">
        <v>9713</v>
      </c>
      <c r="C542" t="s">
        <v>1751</v>
      </c>
      <c r="D542">
        <v>20423825</v>
      </c>
      <c r="E542" t="s">
        <v>3190</v>
      </c>
      <c r="F542" t="s">
        <v>1239</v>
      </c>
      <c r="G542" t="s">
        <v>3129</v>
      </c>
      <c r="H542" t="s">
        <v>1252</v>
      </c>
      <c r="J542" s="455">
        <v>46035</v>
      </c>
      <c r="R542" s="455">
        <v>46114</v>
      </c>
      <c r="U542" s="455">
        <v>46035</v>
      </c>
    </row>
    <row r="543" spans="1:21">
      <c r="A543" t="s">
        <v>1751</v>
      </c>
      <c r="B543" t="s">
        <v>9714</v>
      </c>
      <c r="C543" t="s">
        <v>1751</v>
      </c>
      <c r="D543">
        <v>20512729</v>
      </c>
      <c r="E543" t="s">
        <v>3128</v>
      </c>
      <c r="F543" t="s">
        <v>1782</v>
      </c>
      <c r="G543" t="s">
        <v>3137</v>
      </c>
      <c r="H543" t="s">
        <v>1252</v>
      </c>
      <c r="J543" s="455">
        <v>46141</v>
      </c>
      <c r="U543" s="455">
        <v>46144</v>
      </c>
    </row>
    <row r="544" spans="1:21">
      <c r="A544" t="s">
        <v>1751</v>
      </c>
      <c r="B544" t="s">
        <v>9715</v>
      </c>
      <c r="C544" t="s">
        <v>1751</v>
      </c>
      <c r="D544">
        <v>20511883</v>
      </c>
      <c r="E544" t="s">
        <v>3128</v>
      </c>
      <c r="F544" t="s">
        <v>1242</v>
      </c>
      <c r="G544" t="s">
        <v>3137</v>
      </c>
      <c r="H544" t="s">
        <v>3165</v>
      </c>
      <c r="J544" s="455">
        <v>46140</v>
      </c>
      <c r="U544" s="455">
        <v>46174</v>
      </c>
    </row>
    <row r="545" spans="1:21">
      <c r="A545" t="s">
        <v>1751</v>
      </c>
      <c r="B545" t="s">
        <v>9716</v>
      </c>
      <c r="C545" t="s">
        <v>1751</v>
      </c>
      <c r="D545">
        <v>20422362</v>
      </c>
      <c r="E545" t="s">
        <v>3190</v>
      </c>
      <c r="F545" t="s">
        <v>1239</v>
      </c>
      <c r="G545" t="s">
        <v>3143</v>
      </c>
      <c r="H545" t="s">
        <v>1251</v>
      </c>
      <c r="J545" s="455">
        <v>46032</v>
      </c>
      <c r="R545" s="455">
        <v>46114</v>
      </c>
      <c r="U545" s="455">
        <v>46032</v>
      </c>
    </row>
    <row r="546" spans="1:21">
      <c r="A546" t="s">
        <v>1751</v>
      </c>
      <c r="B546" t="s">
        <v>9199</v>
      </c>
      <c r="C546" t="s">
        <v>1751</v>
      </c>
      <c r="D546">
        <v>20480280</v>
      </c>
      <c r="E546" t="s">
        <v>3133</v>
      </c>
      <c r="F546" t="s">
        <v>1912</v>
      </c>
      <c r="G546" t="s">
        <v>3134</v>
      </c>
      <c r="H546" t="s">
        <v>1249</v>
      </c>
      <c r="J546" s="455">
        <v>46106</v>
      </c>
      <c r="K546" s="455">
        <v>46106</v>
      </c>
      <c r="R546" s="455">
        <v>46115</v>
      </c>
      <c r="U546" s="455">
        <v>46106</v>
      </c>
    </row>
    <row r="547" spans="1:21">
      <c r="A547" t="s">
        <v>1751</v>
      </c>
      <c r="B547" t="s">
        <v>1966</v>
      </c>
      <c r="C547" t="s">
        <v>1751</v>
      </c>
      <c r="D547">
        <v>20476730</v>
      </c>
      <c r="E547" t="s">
        <v>3133</v>
      </c>
      <c r="F547" t="s">
        <v>1237</v>
      </c>
      <c r="G547" t="s">
        <v>3134</v>
      </c>
      <c r="H547" t="s">
        <v>1247</v>
      </c>
      <c r="I547" t="s">
        <v>2134</v>
      </c>
      <c r="J547" s="455">
        <v>46101</v>
      </c>
      <c r="K547" s="455">
        <v>46101</v>
      </c>
      <c r="L547" s="455">
        <v>46111</v>
      </c>
      <c r="R547" s="455">
        <v>46114</v>
      </c>
      <c r="U547" s="455">
        <v>46111</v>
      </c>
    </row>
    <row r="548" spans="1:21">
      <c r="A548" t="s">
        <v>1751</v>
      </c>
      <c r="B548" t="s">
        <v>9200</v>
      </c>
      <c r="C548" t="s">
        <v>1751</v>
      </c>
      <c r="D548">
        <v>20479122</v>
      </c>
      <c r="E548" t="s">
        <v>3190</v>
      </c>
      <c r="F548" t="s">
        <v>1782</v>
      </c>
      <c r="G548" t="s">
        <v>3129</v>
      </c>
      <c r="H548" t="s">
        <v>1252</v>
      </c>
      <c r="J548" s="455">
        <v>46105</v>
      </c>
      <c r="R548" s="455">
        <v>46114</v>
      </c>
      <c r="U548" s="455">
        <v>46105</v>
      </c>
    </row>
    <row r="549" spans="1:21">
      <c r="A549" t="s">
        <v>1751</v>
      </c>
      <c r="B549" t="s">
        <v>9717</v>
      </c>
      <c r="C549" t="s">
        <v>1751</v>
      </c>
      <c r="D549">
        <v>20412654</v>
      </c>
      <c r="E549" t="s">
        <v>3190</v>
      </c>
      <c r="F549" t="s">
        <v>1782</v>
      </c>
      <c r="G549" t="s">
        <v>3141</v>
      </c>
      <c r="H549" t="s">
        <v>1253</v>
      </c>
      <c r="J549" s="455">
        <v>46017</v>
      </c>
      <c r="R549" s="455">
        <v>46114</v>
      </c>
      <c r="U549" s="455">
        <v>46054</v>
      </c>
    </row>
    <row r="550" spans="1:21">
      <c r="A550" t="s">
        <v>1751</v>
      </c>
      <c r="B550" t="s">
        <v>8762</v>
      </c>
      <c r="C550" t="s">
        <v>1751</v>
      </c>
      <c r="D550">
        <v>20442335</v>
      </c>
      <c r="E550" t="s">
        <v>3190</v>
      </c>
      <c r="F550" t="s">
        <v>1241</v>
      </c>
      <c r="G550" t="s">
        <v>3141</v>
      </c>
      <c r="H550" t="s">
        <v>1247</v>
      </c>
      <c r="J550" s="455">
        <v>46059</v>
      </c>
      <c r="R550" s="455">
        <v>46114</v>
      </c>
      <c r="U550" s="455">
        <v>46082</v>
      </c>
    </row>
    <row r="551" spans="1:21">
      <c r="A551" t="s">
        <v>1751</v>
      </c>
      <c r="B551" t="s">
        <v>9718</v>
      </c>
      <c r="C551" t="s">
        <v>1751</v>
      </c>
      <c r="D551">
        <v>20504316</v>
      </c>
      <c r="E551" t="s">
        <v>3128</v>
      </c>
      <c r="F551" t="s">
        <v>1241</v>
      </c>
      <c r="G551" t="s">
        <v>3141</v>
      </c>
      <c r="H551" t="s">
        <v>1252</v>
      </c>
      <c r="J551" s="455">
        <v>46132</v>
      </c>
      <c r="U551" s="455">
        <v>46134</v>
      </c>
    </row>
    <row r="552" spans="1:21">
      <c r="A552" t="s">
        <v>1751</v>
      </c>
      <c r="B552" t="s">
        <v>8763</v>
      </c>
      <c r="C552" t="s">
        <v>1751</v>
      </c>
      <c r="D552">
        <v>20456528</v>
      </c>
      <c r="E552" t="s">
        <v>3190</v>
      </c>
      <c r="F552" t="s">
        <v>1241</v>
      </c>
      <c r="G552" t="s">
        <v>3137</v>
      </c>
      <c r="H552" t="s">
        <v>1247</v>
      </c>
      <c r="J552" s="455">
        <v>46077</v>
      </c>
      <c r="R552" s="455">
        <v>46114</v>
      </c>
      <c r="U552" s="455">
        <v>46133</v>
      </c>
    </row>
    <row r="553" spans="1:21">
      <c r="A553" t="s">
        <v>1751</v>
      </c>
      <c r="B553" t="s">
        <v>1922</v>
      </c>
      <c r="C553" t="s">
        <v>1751</v>
      </c>
      <c r="D553">
        <v>20456879</v>
      </c>
      <c r="E553" t="s">
        <v>3133</v>
      </c>
      <c r="F553" t="s">
        <v>1237</v>
      </c>
      <c r="G553" t="s">
        <v>3143</v>
      </c>
      <c r="H553" t="s">
        <v>1249</v>
      </c>
      <c r="I553" t="s">
        <v>1921</v>
      </c>
      <c r="J553" s="455">
        <v>46077</v>
      </c>
      <c r="K553" s="455">
        <v>46077</v>
      </c>
      <c r="R553" s="455">
        <v>46114</v>
      </c>
      <c r="U553" s="455">
        <v>46109</v>
      </c>
    </row>
    <row r="554" spans="1:21">
      <c r="A554" t="s">
        <v>1751</v>
      </c>
      <c r="B554" t="s">
        <v>9719</v>
      </c>
      <c r="C554" t="s">
        <v>1751</v>
      </c>
      <c r="D554">
        <v>20488685</v>
      </c>
      <c r="E554" t="s">
        <v>3190</v>
      </c>
      <c r="F554" t="s">
        <v>1782</v>
      </c>
      <c r="G554" t="s">
        <v>3134</v>
      </c>
      <c r="H554" t="s">
        <v>1252</v>
      </c>
      <c r="J554" s="455">
        <v>46118</v>
      </c>
      <c r="R554" s="455">
        <v>46139</v>
      </c>
      <c r="U554" s="455">
        <v>46143</v>
      </c>
    </row>
    <row r="555" spans="1:21">
      <c r="A555" t="s">
        <v>1751</v>
      </c>
      <c r="B555" t="s">
        <v>8765</v>
      </c>
      <c r="C555" t="s">
        <v>1751</v>
      </c>
      <c r="D555">
        <v>20454108</v>
      </c>
      <c r="E555" t="s">
        <v>3190</v>
      </c>
      <c r="F555" t="s">
        <v>1782</v>
      </c>
      <c r="G555" t="s">
        <v>3129</v>
      </c>
      <c r="H555" t="s">
        <v>1253</v>
      </c>
      <c r="J555" s="455">
        <v>46073</v>
      </c>
      <c r="R555" s="455">
        <v>46114</v>
      </c>
      <c r="U555" s="455">
        <v>46073</v>
      </c>
    </row>
    <row r="556" spans="1:21">
      <c r="A556" t="s">
        <v>1751</v>
      </c>
      <c r="B556" t="s">
        <v>9720</v>
      </c>
      <c r="C556" t="s">
        <v>1751</v>
      </c>
      <c r="D556">
        <v>20428780</v>
      </c>
      <c r="E556" t="s">
        <v>3133</v>
      </c>
      <c r="F556" t="s">
        <v>1237</v>
      </c>
      <c r="G556" t="s">
        <v>3134</v>
      </c>
      <c r="H556" t="s">
        <v>1247</v>
      </c>
      <c r="I556" t="s">
        <v>2556</v>
      </c>
      <c r="J556" s="455">
        <v>46038</v>
      </c>
      <c r="K556" s="455">
        <v>46038</v>
      </c>
      <c r="R556" s="455">
        <v>46114</v>
      </c>
      <c r="U556" s="455">
        <v>46038</v>
      </c>
    </row>
    <row r="557" spans="1:21">
      <c r="A557" t="s">
        <v>1751</v>
      </c>
      <c r="B557" t="s">
        <v>9201</v>
      </c>
      <c r="C557" t="s">
        <v>1751</v>
      </c>
      <c r="D557">
        <v>20471667</v>
      </c>
      <c r="E557" t="s">
        <v>3190</v>
      </c>
      <c r="F557" t="s">
        <v>1782</v>
      </c>
      <c r="G557" t="s">
        <v>3134</v>
      </c>
      <c r="H557" t="s">
        <v>1252</v>
      </c>
      <c r="J557" s="455">
        <v>46095</v>
      </c>
      <c r="R557" s="455">
        <v>46114</v>
      </c>
      <c r="U557" s="455">
        <v>46155</v>
      </c>
    </row>
    <row r="558" spans="1:21">
      <c r="A558" t="s">
        <v>1751</v>
      </c>
      <c r="B558" t="s">
        <v>9721</v>
      </c>
      <c r="C558" t="s">
        <v>1751</v>
      </c>
      <c r="D558">
        <v>20506911</v>
      </c>
      <c r="E558" t="s">
        <v>3128</v>
      </c>
      <c r="F558" t="s">
        <v>1782</v>
      </c>
      <c r="G558" t="s">
        <v>3129</v>
      </c>
      <c r="H558" t="s">
        <v>3377</v>
      </c>
      <c r="J558" s="455">
        <v>46134</v>
      </c>
      <c r="U558" s="455">
        <v>46134</v>
      </c>
    </row>
    <row r="559" spans="1:21">
      <c r="A559" t="s">
        <v>1751</v>
      </c>
      <c r="B559" t="s">
        <v>9722</v>
      </c>
      <c r="C559" t="s">
        <v>1751</v>
      </c>
      <c r="D559">
        <v>20487907</v>
      </c>
      <c r="E559" t="s">
        <v>3190</v>
      </c>
      <c r="F559" t="s">
        <v>1237</v>
      </c>
      <c r="G559" t="s">
        <v>3143</v>
      </c>
      <c r="H559" t="s">
        <v>1252</v>
      </c>
      <c r="J559" s="455">
        <v>46118</v>
      </c>
      <c r="R559" s="455">
        <v>46139</v>
      </c>
      <c r="U559" s="455">
        <v>46134</v>
      </c>
    </row>
    <row r="560" spans="1:21">
      <c r="A560" t="s">
        <v>1751</v>
      </c>
      <c r="B560" t="s">
        <v>9723</v>
      </c>
      <c r="C560" t="s">
        <v>1751</v>
      </c>
      <c r="D560">
        <v>20509569</v>
      </c>
      <c r="E560" t="s">
        <v>3128</v>
      </c>
      <c r="F560" t="s">
        <v>1241</v>
      </c>
      <c r="G560" t="s">
        <v>3141</v>
      </c>
      <c r="H560" t="s">
        <v>1247</v>
      </c>
      <c r="J560" s="455">
        <v>46137</v>
      </c>
      <c r="U560" s="455">
        <v>46137</v>
      </c>
    </row>
    <row r="561" spans="1:21">
      <c r="A561" t="s">
        <v>1751</v>
      </c>
      <c r="B561" t="s">
        <v>9724</v>
      </c>
      <c r="C561" t="s">
        <v>1751</v>
      </c>
      <c r="D561">
        <v>20487245</v>
      </c>
      <c r="E561" t="s">
        <v>3190</v>
      </c>
      <c r="F561" t="s">
        <v>1241</v>
      </c>
      <c r="G561" t="s">
        <v>2009</v>
      </c>
      <c r="H561" t="s">
        <v>1247</v>
      </c>
      <c r="J561" s="455">
        <v>46116</v>
      </c>
      <c r="R561" s="455">
        <v>46139</v>
      </c>
      <c r="U561" s="455">
        <v>46116</v>
      </c>
    </row>
    <row r="562" spans="1:21">
      <c r="A562" t="s">
        <v>1751</v>
      </c>
      <c r="B562" t="s">
        <v>8766</v>
      </c>
      <c r="C562" t="s">
        <v>1751</v>
      </c>
      <c r="D562">
        <v>20457573</v>
      </c>
      <c r="E562" t="s">
        <v>3190</v>
      </c>
      <c r="F562" t="s">
        <v>1241</v>
      </c>
      <c r="G562" t="s">
        <v>3137</v>
      </c>
      <c r="H562" t="s">
        <v>1247</v>
      </c>
      <c r="J562" s="455">
        <v>46078</v>
      </c>
      <c r="R562" s="455">
        <v>46114</v>
      </c>
      <c r="U562" s="455">
        <v>46284</v>
      </c>
    </row>
    <row r="563" spans="1:21">
      <c r="A563" t="s">
        <v>1751</v>
      </c>
      <c r="B563" t="s">
        <v>9725</v>
      </c>
      <c r="C563" t="s">
        <v>1751</v>
      </c>
      <c r="D563">
        <v>20505066</v>
      </c>
      <c r="E563" t="s">
        <v>3128</v>
      </c>
      <c r="F563" t="s">
        <v>1782</v>
      </c>
      <c r="G563" t="s">
        <v>3137</v>
      </c>
      <c r="H563" t="s">
        <v>1247</v>
      </c>
      <c r="J563" s="455">
        <v>46133</v>
      </c>
      <c r="U563" s="455">
        <v>46204</v>
      </c>
    </row>
    <row r="564" spans="1:21">
      <c r="A564" t="s">
        <v>1751</v>
      </c>
      <c r="B564" t="s">
        <v>9202</v>
      </c>
      <c r="C564" t="s">
        <v>1751</v>
      </c>
      <c r="D564">
        <v>20475768</v>
      </c>
      <c r="E564" t="s">
        <v>3190</v>
      </c>
      <c r="F564" t="s">
        <v>1238</v>
      </c>
      <c r="G564" t="s">
        <v>3129</v>
      </c>
      <c r="H564" t="s">
        <v>3131</v>
      </c>
      <c r="I564" t="s">
        <v>2137</v>
      </c>
      <c r="J564" s="455">
        <v>46100</v>
      </c>
      <c r="R564" s="455">
        <v>46114</v>
      </c>
      <c r="U564" s="455">
        <v>46143</v>
      </c>
    </row>
    <row r="565" spans="1:21">
      <c r="A565" t="s">
        <v>1751</v>
      </c>
      <c r="B565" t="s">
        <v>8767</v>
      </c>
      <c r="C565" t="s">
        <v>1751</v>
      </c>
      <c r="D565">
        <v>20444274</v>
      </c>
      <c r="E565" t="s">
        <v>3190</v>
      </c>
      <c r="F565" t="s">
        <v>1241</v>
      </c>
      <c r="G565" t="s">
        <v>2009</v>
      </c>
      <c r="H565" t="s">
        <v>1247</v>
      </c>
      <c r="J565" s="455">
        <v>46063</v>
      </c>
      <c r="R565" s="455">
        <v>46114</v>
      </c>
      <c r="U565" s="455">
        <v>46082</v>
      </c>
    </row>
    <row r="566" spans="1:21">
      <c r="A566" t="s">
        <v>1751</v>
      </c>
      <c r="B566" t="s">
        <v>3496</v>
      </c>
      <c r="C566" t="s">
        <v>1751</v>
      </c>
      <c r="D566">
        <v>20510770</v>
      </c>
      <c r="E566" t="s">
        <v>3128</v>
      </c>
      <c r="F566" t="s">
        <v>1237</v>
      </c>
      <c r="G566" t="s">
        <v>3143</v>
      </c>
      <c r="H566" t="s">
        <v>1252</v>
      </c>
      <c r="J566" s="455">
        <v>46139</v>
      </c>
      <c r="L566" s="455">
        <v>46173</v>
      </c>
      <c r="O566" s="455">
        <v>46186</v>
      </c>
      <c r="U566" s="455">
        <v>46150</v>
      </c>
    </row>
    <row r="567" spans="1:21">
      <c r="A567" t="s">
        <v>1751</v>
      </c>
      <c r="B567" t="s">
        <v>9203</v>
      </c>
      <c r="C567" t="s">
        <v>1751</v>
      </c>
      <c r="D567">
        <v>20475261</v>
      </c>
      <c r="E567" t="s">
        <v>3190</v>
      </c>
      <c r="F567" t="s">
        <v>1241</v>
      </c>
      <c r="G567" t="s">
        <v>3134</v>
      </c>
      <c r="H567" t="s">
        <v>1252</v>
      </c>
      <c r="J567" s="455">
        <v>46099</v>
      </c>
      <c r="R567" s="455">
        <v>46114</v>
      </c>
      <c r="U567" s="455">
        <v>46158</v>
      </c>
    </row>
    <row r="568" spans="1:21">
      <c r="A568" t="s">
        <v>1751</v>
      </c>
      <c r="B568" t="s">
        <v>3498</v>
      </c>
      <c r="C568" t="s">
        <v>1751</v>
      </c>
      <c r="D568">
        <v>20484776</v>
      </c>
      <c r="E568" t="s">
        <v>1897</v>
      </c>
      <c r="F568" t="s">
        <v>1782</v>
      </c>
      <c r="G568" t="s">
        <v>3134</v>
      </c>
      <c r="H568" t="s">
        <v>1247</v>
      </c>
      <c r="I568" t="s">
        <v>1784</v>
      </c>
      <c r="J568" s="455">
        <v>46113</v>
      </c>
      <c r="K568" s="455">
        <v>46113</v>
      </c>
      <c r="U568" s="455">
        <v>46115</v>
      </c>
    </row>
    <row r="569" spans="1:21">
      <c r="A569" t="s">
        <v>1751</v>
      </c>
      <c r="B569" t="s">
        <v>9726</v>
      </c>
      <c r="C569" t="s">
        <v>1751</v>
      </c>
      <c r="D569">
        <v>20438343</v>
      </c>
      <c r="E569" t="s">
        <v>3190</v>
      </c>
      <c r="F569" t="s">
        <v>1782</v>
      </c>
      <c r="G569" t="s">
        <v>3137</v>
      </c>
      <c r="H569" t="s">
        <v>1251</v>
      </c>
      <c r="J569" s="455">
        <v>46053</v>
      </c>
      <c r="R569" s="455">
        <v>46114</v>
      </c>
      <c r="U569" s="455">
        <v>46092</v>
      </c>
    </row>
    <row r="570" spans="1:21">
      <c r="A570" t="s">
        <v>1751</v>
      </c>
      <c r="B570" t="s">
        <v>9727</v>
      </c>
      <c r="C570" t="s">
        <v>1751</v>
      </c>
      <c r="D570">
        <v>20491849</v>
      </c>
      <c r="E570" t="s">
        <v>3190</v>
      </c>
      <c r="F570" t="s">
        <v>1782</v>
      </c>
      <c r="G570" t="s">
        <v>3134</v>
      </c>
      <c r="H570" t="s">
        <v>1252</v>
      </c>
      <c r="J570" s="455">
        <v>46122</v>
      </c>
      <c r="R570" s="455">
        <v>46139</v>
      </c>
      <c r="U570" s="455">
        <v>46122</v>
      </c>
    </row>
    <row r="571" spans="1:21">
      <c r="A571" t="s">
        <v>1751</v>
      </c>
      <c r="B571" t="s">
        <v>9728</v>
      </c>
      <c r="C571" t="s">
        <v>1751</v>
      </c>
      <c r="D571">
        <v>20418558</v>
      </c>
      <c r="E571" t="s">
        <v>3190</v>
      </c>
      <c r="F571" t="s">
        <v>1782</v>
      </c>
      <c r="G571" t="s">
        <v>3137</v>
      </c>
      <c r="H571" t="s">
        <v>1252</v>
      </c>
      <c r="J571" s="455">
        <v>46027</v>
      </c>
      <c r="R571" s="455">
        <v>46114</v>
      </c>
      <c r="U571" s="455">
        <v>46027</v>
      </c>
    </row>
    <row r="572" spans="1:21">
      <c r="A572" t="s">
        <v>1751</v>
      </c>
      <c r="B572" t="s">
        <v>9729</v>
      </c>
      <c r="C572" t="s">
        <v>1751</v>
      </c>
      <c r="D572">
        <v>20422297</v>
      </c>
      <c r="E572" t="s">
        <v>3190</v>
      </c>
      <c r="F572" t="s">
        <v>1238</v>
      </c>
      <c r="G572" t="s">
        <v>3143</v>
      </c>
      <c r="H572" t="s">
        <v>1252</v>
      </c>
      <c r="J572" s="455">
        <v>46032</v>
      </c>
      <c r="R572" s="455">
        <v>46114</v>
      </c>
      <c r="U572" s="455">
        <v>46032</v>
      </c>
    </row>
    <row r="573" spans="1:21">
      <c r="A573" t="s">
        <v>1751</v>
      </c>
      <c r="B573" t="s">
        <v>8768</v>
      </c>
      <c r="C573" t="s">
        <v>1751</v>
      </c>
      <c r="D573">
        <v>20441167</v>
      </c>
      <c r="E573" t="s">
        <v>3190</v>
      </c>
      <c r="F573" t="s">
        <v>1782</v>
      </c>
      <c r="G573" t="s">
        <v>3141</v>
      </c>
      <c r="H573" t="s">
        <v>1247</v>
      </c>
      <c r="J573" s="455">
        <v>46057</v>
      </c>
      <c r="R573" s="455">
        <v>46114</v>
      </c>
      <c r="U573" s="455">
        <v>46143</v>
      </c>
    </row>
    <row r="574" spans="1:21">
      <c r="A574" t="s">
        <v>1751</v>
      </c>
      <c r="B574" t="s">
        <v>9730</v>
      </c>
      <c r="C574" t="s">
        <v>1751</v>
      </c>
      <c r="D574">
        <v>20490785</v>
      </c>
      <c r="E574" t="s">
        <v>3190</v>
      </c>
      <c r="F574" t="s">
        <v>1782</v>
      </c>
      <c r="G574" t="s">
        <v>3134</v>
      </c>
      <c r="H574" t="s">
        <v>3165</v>
      </c>
      <c r="J574" s="455">
        <v>46121</v>
      </c>
      <c r="R574" s="455">
        <v>46139</v>
      </c>
      <c r="U574" s="455">
        <v>46122</v>
      </c>
    </row>
    <row r="575" spans="1:21">
      <c r="A575" t="s">
        <v>1751</v>
      </c>
      <c r="B575" t="s">
        <v>9731</v>
      </c>
      <c r="C575" t="s">
        <v>1751</v>
      </c>
      <c r="D575">
        <v>20508989</v>
      </c>
      <c r="E575" t="s">
        <v>3128</v>
      </c>
      <c r="F575" t="s">
        <v>1782</v>
      </c>
      <c r="G575" t="s">
        <v>3134</v>
      </c>
      <c r="H575" t="s">
        <v>3165</v>
      </c>
      <c r="J575" s="455">
        <v>46136</v>
      </c>
      <c r="U575" s="455">
        <v>46137</v>
      </c>
    </row>
    <row r="576" spans="1:21">
      <c r="A576" t="s">
        <v>1751</v>
      </c>
      <c r="B576" t="s">
        <v>8769</v>
      </c>
      <c r="C576" t="s">
        <v>1751</v>
      </c>
      <c r="D576">
        <v>20447913</v>
      </c>
      <c r="E576" t="s">
        <v>3190</v>
      </c>
      <c r="F576" t="s">
        <v>1239</v>
      </c>
      <c r="G576" t="s">
        <v>3143</v>
      </c>
      <c r="H576" t="s">
        <v>1251</v>
      </c>
      <c r="J576" s="455">
        <v>46065</v>
      </c>
      <c r="R576" s="455">
        <v>46115</v>
      </c>
      <c r="U576" s="455">
        <v>46065</v>
      </c>
    </row>
    <row r="577" spans="1:21">
      <c r="A577" t="s">
        <v>1751</v>
      </c>
      <c r="B577" t="s">
        <v>9204</v>
      </c>
      <c r="C577" t="s">
        <v>1751</v>
      </c>
      <c r="D577">
        <v>20479649</v>
      </c>
      <c r="E577" t="s">
        <v>3190</v>
      </c>
      <c r="F577" t="s">
        <v>1782</v>
      </c>
      <c r="G577" t="s">
        <v>3134</v>
      </c>
      <c r="H577" t="s">
        <v>1252</v>
      </c>
      <c r="J577" s="455">
        <v>46106</v>
      </c>
      <c r="R577" s="455">
        <v>46114</v>
      </c>
      <c r="U577" s="455">
        <v>46108</v>
      </c>
    </row>
    <row r="578" spans="1:21">
      <c r="A578" t="s">
        <v>1751</v>
      </c>
      <c r="B578" t="s">
        <v>8771</v>
      </c>
      <c r="C578" t="s">
        <v>1751</v>
      </c>
      <c r="D578">
        <v>20449099</v>
      </c>
      <c r="E578" t="s">
        <v>3190</v>
      </c>
      <c r="F578" t="s">
        <v>1241</v>
      </c>
      <c r="G578" t="s">
        <v>3129</v>
      </c>
      <c r="H578" t="s">
        <v>1253</v>
      </c>
      <c r="J578" s="455">
        <v>46067</v>
      </c>
      <c r="R578" s="455">
        <v>46114</v>
      </c>
      <c r="U578" s="455">
        <v>46067</v>
      </c>
    </row>
    <row r="579" spans="1:21">
      <c r="A579" t="s">
        <v>1751</v>
      </c>
      <c r="B579" t="s">
        <v>9732</v>
      </c>
      <c r="C579" t="s">
        <v>1751</v>
      </c>
      <c r="D579">
        <v>20513712</v>
      </c>
      <c r="E579" t="s">
        <v>3128</v>
      </c>
      <c r="F579" t="s">
        <v>1241</v>
      </c>
      <c r="G579" t="s">
        <v>3137</v>
      </c>
      <c r="H579" t="s">
        <v>1252</v>
      </c>
      <c r="J579" s="455">
        <v>46142</v>
      </c>
      <c r="U579" s="455">
        <v>46142</v>
      </c>
    </row>
    <row r="580" spans="1:21">
      <c r="A580" t="s">
        <v>1751</v>
      </c>
      <c r="B580" t="s">
        <v>9205</v>
      </c>
      <c r="C580" t="s">
        <v>1751</v>
      </c>
      <c r="D580">
        <v>20478665</v>
      </c>
      <c r="E580" t="s">
        <v>3190</v>
      </c>
      <c r="F580" t="s">
        <v>1241</v>
      </c>
      <c r="G580" t="s">
        <v>3134</v>
      </c>
      <c r="H580" t="s">
        <v>1252</v>
      </c>
      <c r="J580" s="455">
        <v>46104</v>
      </c>
      <c r="R580" s="455">
        <v>46114</v>
      </c>
      <c r="U580" s="455">
        <v>46113</v>
      </c>
    </row>
    <row r="581" spans="1:21">
      <c r="A581" t="s">
        <v>1751</v>
      </c>
      <c r="B581" t="s">
        <v>9733</v>
      </c>
      <c r="C581" t="s">
        <v>1751</v>
      </c>
      <c r="D581">
        <v>20513571</v>
      </c>
      <c r="E581" t="s">
        <v>3128</v>
      </c>
      <c r="F581" t="s">
        <v>1237</v>
      </c>
      <c r="G581" t="s">
        <v>3143</v>
      </c>
      <c r="H581" t="s">
        <v>1252</v>
      </c>
      <c r="I581" t="s">
        <v>1952</v>
      </c>
      <c r="J581" s="455">
        <v>46142</v>
      </c>
      <c r="U581" s="455">
        <v>46142</v>
      </c>
    </row>
    <row r="582" spans="1:21">
      <c r="A582" t="s">
        <v>1751</v>
      </c>
      <c r="B582" t="s">
        <v>9733</v>
      </c>
      <c r="C582" t="s">
        <v>1751</v>
      </c>
      <c r="D582">
        <v>20499930</v>
      </c>
      <c r="E582" t="s">
        <v>3190</v>
      </c>
      <c r="F582" t="s">
        <v>1782</v>
      </c>
      <c r="G582" t="s">
        <v>3129</v>
      </c>
      <c r="H582" t="s">
        <v>1252</v>
      </c>
      <c r="J582" s="455">
        <v>46129</v>
      </c>
      <c r="R582" s="455">
        <v>46139</v>
      </c>
      <c r="U582" s="455">
        <v>46129</v>
      </c>
    </row>
    <row r="583" spans="1:21">
      <c r="A583" t="s">
        <v>1751</v>
      </c>
      <c r="B583" t="s">
        <v>9734</v>
      </c>
      <c r="C583" t="s">
        <v>1751</v>
      </c>
      <c r="D583">
        <v>20492829</v>
      </c>
      <c r="E583" t="s">
        <v>3190</v>
      </c>
      <c r="F583" t="s">
        <v>1241</v>
      </c>
      <c r="G583" t="s">
        <v>3134</v>
      </c>
      <c r="H583" t="s">
        <v>1252</v>
      </c>
      <c r="J583" s="455">
        <v>46124</v>
      </c>
      <c r="R583" s="455">
        <v>46139</v>
      </c>
      <c r="U583" s="455">
        <v>46143</v>
      </c>
    </row>
    <row r="584" spans="1:21">
      <c r="A584" t="s">
        <v>1751</v>
      </c>
      <c r="B584" t="s">
        <v>1955</v>
      </c>
      <c r="C584" t="s">
        <v>1751</v>
      </c>
      <c r="D584">
        <v>20473012</v>
      </c>
      <c r="E584" t="s">
        <v>3133</v>
      </c>
      <c r="F584" t="s">
        <v>1241</v>
      </c>
      <c r="G584" t="s">
        <v>3134</v>
      </c>
      <c r="H584" t="s">
        <v>1252</v>
      </c>
      <c r="I584" t="s">
        <v>1954</v>
      </c>
      <c r="J584" s="455">
        <v>46098</v>
      </c>
      <c r="K584" s="455">
        <v>46098</v>
      </c>
      <c r="R584" s="455">
        <v>46114</v>
      </c>
      <c r="U584" s="455">
        <v>46107</v>
      </c>
    </row>
    <row r="585" spans="1:21">
      <c r="A585" t="s">
        <v>1751</v>
      </c>
      <c r="B585" t="s">
        <v>9206</v>
      </c>
      <c r="C585" t="s">
        <v>1751</v>
      </c>
      <c r="D585">
        <v>20472652</v>
      </c>
      <c r="E585" t="s">
        <v>3190</v>
      </c>
      <c r="F585" t="s">
        <v>1782</v>
      </c>
      <c r="G585" t="s">
        <v>3134</v>
      </c>
      <c r="H585" t="s">
        <v>1252</v>
      </c>
      <c r="J585" s="455">
        <v>46097</v>
      </c>
      <c r="R585" s="455">
        <v>46114</v>
      </c>
      <c r="U585" s="455">
        <v>46100</v>
      </c>
    </row>
    <row r="586" spans="1:21">
      <c r="A586" t="s">
        <v>1751</v>
      </c>
      <c r="B586" t="s">
        <v>8772</v>
      </c>
      <c r="C586" t="s">
        <v>1751</v>
      </c>
      <c r="D586">
        <v>20444743</v>
      </c>
      <c r="E586" t="s">
        <v>3190</v>
      </c>
      <c r="F586" t="s">
        <v>1241</v>
      </c>
      <c r="G586" t="s">
        <v>2009</v>
      </c>
      <c r="H586" t="s">
        <v>3220</v>
      </c>
      <c r="J586" s="455">
        <v>46063</v>
      </c>
      <c r="R586" s="455">
        <v>46114</v>
      </c>
      <c r="U586" s="455">
        <v>46129</v>
      </c>
    </row>
    <row r="587" spans="1:21">
      <c r="A587" t="s">
        <v>1751</v>
      </c>
      <c r="B587" t="s">
        <v>8773</v>
      </c>
      <c r="C587" t="s">
        <v>1751</v>
      </c>
      <c r="D587">
        <v>20459496</v>
      </c>
      <c r="E587" t="s">
        <v>3190</v>
      </c>
      <c r="F587" t="s">
        <v>1241</v>
      </c>
      <c r="G587" t="s">
        <v>3141</v>
      </c>
      <c r="H587" t="s">
        <v>1247</v>
      </c>
      <c r="J587" s="455">
        <v>46081</v>
      </c>
      <c r="R587" s="455">
        <v>46114</v>
      </c>
      <c r="U587" s="455">
        <v>46098</v>
      </c>
    </row>
    <row r="588" spans="1:21">
      <c r="A588" t="s">
        <v>1751</v>
      </c>
      <c r="B588" t="s">
        <v>9207</v>
      </c>
      <c r="C588" t="s">
        <v>1751</v>
      </c>
      <c r="D588">
        <v>20476034</v>
      </c>
      <c r="E588" t="s">
        <v>3190</v>
      </c>
      <c r="F588" t="s">
        <v>1782</v>
      </c>
      <c r="G588" t="s">
        <v>3134</v>
      </c>
      <c r="H588" t="s">
        <v>1252</v>
      </c>
      <c r="J588" s="455">
        <v>46100</v>
      </c>
      <c r="R588" s="455">
        <v>46114</v>
      </c>
      <c r="U588" s="455">
        <v>46174</v>
      </c>
    </row>
    <row r="589" spans="1:21">
      <c r="A589" t="s">
        <v>1751</v>
      </c>
      <c r="B589" t="s">
        <v>8775</v>
      </c>
      <c r="C589" t="s">
        <v>1751</v>
      </c>
      <c r="D589">
        <v>20457891</v>
      </c>
      <c r="E589" t="s">
        <v>3190</v>
      </c>
      <c r="F589" t="s">
        <v>1782</v>
      </c>
      <c r="G589" t="s">
        <v>3141</v>
      </c>
      <c r="H589" t="s">
        <v>1251</v>
      </c>
      <c r="J589" s="455">
        <v>46079</v>
      </c>
      <c r="R589" s="455">
        <v>46114</v>
      </c>
      <c r="U589" s="455">
        <v>46079</v>
      </c>
    </row>
    <row r="590" spans="1:21">
      <c r="A590" t="s">
        <v>1751</v>
      </c>
      <c r="B590" t="s">
        <v>3510</v>
      </c>
      <c r="C590" t="s">
        <v>1751</v>
      </c>
      <c r="D590">
        <v>20492800</v>
      </c>
      <c r="E590" t="s">
        <v>1897</v>
      </c>
      <c r="F590" t="s">
        <v>1912</v>
      </c>
      <c r="G590" t="s">
        <v>3134</v>
      </c>
      <c r="H590" t="s">
        <v>1247</v>
      </c>
      <c r="I590" t="s">
        <v>2127</v>
      </c>
      <c r="J590" s="455">
        <v>46124</v>
      </c>
      <c r="K590" s="455">
        <v>46124</v>
      </c>
      <c r="U590" s="455">
        <v>46136</v>
      </c>
    </row>
    <row r="591" spans="1:21">
      <c r="A591" t="s">
        <v>1751</v>
      </c>
      <c r="B591" t="s">
        <v>8776</v>
      </c>
      <c r="C591" t="s">
        <v>1751</v>
      </c>
      <c r="D591">
        <v>20459732</v>
      </c>
      <c r="E591" t="s">
        <v>3190</v>
      </c>
      <c r="F591" t="s">
        <v>1238</v>
      </c>
      <c r="G591" t="s">
        <v>3143</v>
      </c>
      <c r="H591" t="s">
        <v>1249</v>
      </c>
      <c r="J591" s="455">
        <v>46081</v>
      </c>
      <c r="R591" s="455">
        <v>46114</v>
      </c>
      <c r="U591" s="455">
        <v>46081</v>
      </c>
    </row>
    <row r="592" spans="1:21">
      <c r="A592" t="s">
        <v>1751</v>
      </c>
      <c r="B592" t="s">
        <v>9735</v>
      </c>
      <c r="C592" t="s">
        <v>1751</v>
      </c>
      <c r="D592">
        <v>20429647</v>
      </c>
      <c r="E592" t="s">
        <v>3190</v>
      </c>
      <c r="F592" t="s">
        <v>1238</v>
      </c>
      <c r="G592" t="s">
        <v>3143</v>
      </c>
      <c r="H592" t="s">
        <v>1252</v>
      </c>
      <c r="J592" s="455">
        <v>46039</v>
      </c>
      <c r="R592" s="455">
        <v>46114</v>
      </c>
      <c r="U592" s="455">
        <v>46039</v>
      </c>
    </row>
    <row r="593" spans="1:21">
      <c r="A593" t="s">
        <v>1751</v>
      </c>
      <c r="B593" t="s">
        <v>9736</v>
      </c>
      <c r="C593" t="s">
        <v>1751</v>
      </c>
      <c r="D593">
        <v>20510187</v>
      </c>
      <c r="E593" t="s">
        <v>3128</v>
      </c>
      <c r="F593" t="s">
        <v>1782</v>
      </c>
      <c r="G593" t="s">
        <v>3129</v>
      </c>
      <c r="H593" t="s">
        <v>1252</v>
      </c>
      <c r="J593" s="455">
        <v>46138</v>
      </c>
      <c r="U593" s="455">
        <v>46138</v>
      </c>
    </row>
    <row r="594" spans="1:21">
      <c r="A594" t="s">
        <v>1751</v>
      </c>
      <c r="B594" t="s">
        <v>9737</v>
      </c>
      <c r="C594" t="s">
        <v>1751</v>
      </c>
      <c r="D594">
        <v>20497547</v>
      </c>
      <c r="E594" t="s">
        <v>3190</v>
      </c>
      <c r="F594" t="s">
        <v>1241</v>
      </c>
      <c r="G594" t="s">
        <v>2009</v>
      </c>
      <c r="H594" t="s">
        <v>1248</v>
      </c>
      <c r="J594" s="455">
        <v>46128</v>
      </c>
      <c r="R594" s="455">
        <v>46139</v>
      </c>
      <c r="U594" s="455">
        <v>46174</v>
      </c>
    </row>
    <row r="595" spans="1:21">
      <c r="A595" t="s">
        <v>1751</v>
      </c>
      <c r="B595" t="s">
        <v>9738</v>
      </c>
      <c r="C595" t="s">
        <v>1751</v>
      </c>
      <c r="D595">
        <v>20492181</v>
      </c>
      <c r="E595" t="s">
        <v>3190</v>
      </c>
      <c r="F595" t="s">
        <v>1241</v>
      </c>
      <c r="G595" t="s">
        <v>3134</v>
      </c>
      <c r="H595" t="s">
        <v>1252</v>
      </c>
      <c r="J595" s="455">
        <v>46123</v>
      </c>
      <c r="R595" s="455">
        <v>46139</v>
      </c>
      <c r="U595" s="455">
        <v>46123</v>
      </c>
    </row>
    <row r="596" spans="1:21">
      <c r="A596" t="s">
        <v>1751</v>
      </c>
      <c r="B596" t="s">
        <v>9208</v>
      </c>
      <c r="C596" t="s">
        <v>1751</v>
      </c>
      <c r="D596">
        <v>20478845</v>
      </c>
      <c r="E596" t="s">
        <v>3190</v>
      </c>
      <c r="F596" t="s">
        <v>1782</v>
      </c>
      <c r="G596" t="s">
        <v>3134</v>
      </c>
      <c r="H596" t="s">
        <v>1252</v>
      </c>
      <c r="J596" s="455">
        <v>46105</v>
      </c>
      <c r="R596" s="455">
        <v>46114</v>
      </c>
      <c r="U596" s="455">
        <v>46174</v>
      </c>
    </row>
    <row r="597" spans="1:21">
      <c r="A597" t="s">
        <v>1751</v>
      </c>
      <c r="B597" t="s">
        <v>9739</v>
      </c>
      <c r="C597" t="s">
        <v>1751</v>
      </c>
      <c r="D597">
        <v>20420775</v>
      </c>
      <c r="E597" t="s">
        <v>3190</v>
      </c>
      <c r="F597" t="s">
        <v>1782</v>
      </c>
      <c r="G597" t="s">
        <v>3129</v>
      </c>
      <c r="H597" t="s">
        <v>1253</v>
      </c>
      <c r="J597" s="455">
        <v>46030</v>
      </c>
      <c r="R597" s="455">
        <v>46114</v>
      </c>
      <c r="U597" s="455">
        <v>46030</v>
      </c>
    </row>
    <row r="598" spans="1:21">
      <c r="A598" t="s">
        <v>1751</v>
      </c>
      <c r="B598" t="s">
        <v>9740</v>
      </c>
      <c r="C598" t="s">
        <v>1751</v>
      </c>
      <c r="D598">
        <v>20412707</v>
      </c>
      <c r="E598" t="s">
        <v>3190</v>
      </c>
      <c r="F598" t="s">
        <v>1241</v>
      </c>
      <c r="G598" t="s">
        <v>3129</v>
      </c>
      <c r="H598" t="s">
        <v>1253</v>
      </c>
      <c r="J598" s="455">
        <v>46017</v>
      </c>
      <c r="R598" s="455">
        <v>46114</v>
      </c>
      <c r="U598" s="455">
        <v>46024</v>
      </c>
    </row>
    <row r="599" spans="1:21">
      <c r="A599" t="s">
        <v>1751</v>
      </c>
      <c r="B599" t="s">
        <v>9209</v>
      </c>
      <c r="C599" t="s">
        <v>1751</v>
      </c>
      <c r="D599">
        <v>20472080</v>
      </c>
      <c r="E599" t="s">
        <v>3133</v>
      </c>
      <c r="F599" t="s">
        <v>1912</v>
      </c>
      <c r="G599" t="s">
        <v>3134</v>
      </c>
      <c r="H599" t="s">
        <v>1247</v>
      </c>
      <c r="J599" s="455">
        <v>46096</v>
      </c>
      <c r="K599" s="455">
        <v>46096</v>
      </c>
      <c r="R599" s="455">
        <v>46114</v>
      </c>
      <c r="U599" s="455">
        <v>46096</v>
      </c>
    </row>
    <row r="600" spans="1:21">
      <c r="A600" t="s">
        <v>1751</v>
      </c>
      <c r="B600" t="s">
        <v>9741</v>
      </c>
      <c r="C600" t="s">
        <v>1751</v>
      </c>
      <c r="D600">
        <v>20414884</v>
      </c>
      <c r="E600" t="s">
        <v>3190</v>
      </c>
      <c r="F600" t="s">
        <v>1241</v>
      </c>
      <c r="G600" t="s">
        <v>3129</v>
      </c>
      <c r="H600" t="s">
        <v>1252</v>
      </c>
      <c r="J600" s="455">
        <v>46020</v>
      </c>
      <c r="R600" s="455">
        <v>46114</v>
      </c>
      <c r="U600" s="455">
        <v>46031</v>
      </c>
    </row>
    <row r="601" spans="1:21">
      <c r="A601" t="s">
        <v>1751</v>
      </c>
      <c r="B601" t="s">
        <v>9742</v>
      </c>
      <c r="C601" t="s">
        <v>1751</v>
      </c>
      <c r="D601">
        <v>20493370</v>
      </c>
      <c r="E601" t="s">
        <v>3190</v>
      </c>
      <c r="F601" t="s">
        <v>1241</v>
      </c>
      <c r="G601" t="s">
        <v>3134</v>
      </c>
      <c r="H601" t="s">
        <v>3165</v>
      </c>
      <c r="J601" s="455">
        <v>46125</v>
      </c>
      <c r="R601" s="455">
        <v>46139</v>
      </c>
      <c r="U601" s="455">
        <v>46126</v>
      </c>
    </row>
    <row r="602" spans="1:21">
      <c r="A602" t="s">
        <v>1751</v>
      </c>
      <c r="B602" t="s">
        <v>9743</v>
      </c>
      <c r="C602" t="s">
        <v>1751</v>
      </c>
      <c r="D602">
        <v>20493150</v>
      </c>
      <c r="E602" t="s">
        <v>3190</v>
      </c>
      <c r="F602" t="s">
        <v>1241</v>
      </c>
      <c r="G602" t="s">
        <v>3137</v>
      </c>
      <c r="H602" t="s">
        <v>1252</v>
      </c>
      <c r="I602" t="s">
        <v>1551</v>
      </c>
      <c r="J602" s="455">
        <v>46125</v>
      </c>
      <c r="R602" s="455">
        <v>46139</v>
      </c>
      <c r="U602" s="455">
        <v>46143</v>
      </c>
    </row>
    <row r="603" spans="1:21">
      <c r="A603" t="s">
        <v>1751</v>
      </c>
      <c r="B603" t="s">
        <v>9744</v>
      </c>
      <c r="C603" t="s">
        <v>1751</v>
      </c>
      <c r="D603">
        <v>20488022</v>
      </c>
      <c r="E603" t="s">
        <v>3190</v>
      </c>
      <c r="F603" t="s">
        <v>1782</v>
      </c>
      <c r="G603" t="s">
        <v>3129</v>
      </c>
      <c r="H603" t="s">
        <v>3131</v>
      </c>
      <c r="J603" s="455">
        <v>46118</v>
      </c>
      <c r="R603" s="455">
        <v>46139</v>
      </c>
      <c r="U603" s="455">
        <v>46118</v>
      </c>
    </row>
    <row r="604" spans="1:21">
      <c r="A604" t="s">
        <v>1751</v>
      </c>
      <c r="B604" t="s">
        <v>8777</v>
      </c>
      <c r="C604" t="s">
        <v>1751</v>
      </c>
      <c r="D604">
        <v>20455080</v>
      </c>
      <c r="E604" t="s">
        <v>3190</v>
      </c>
      <c r="F604" t="s">
        <v>1782</v>
      </c>
      <c r="G604" t="s">
        <v>3141</v>
      </c>
      <c r="H604" t="s">
        <v>1247</v>
      </c>
      <c r="J604" s="455">
        <v>46074</v>
      </c>
      <c r="R604" s="455">
        <v>46114</v>
      </c>
      <c r="U604" s="455">
        <v>46099</v>
      </c>
    </row>
    <row r="605" spans="1:21">
      <c r="A605" t="s">
        <v>1751</v>
      </c>
      <c r="B605" t="s">
        <v>9745</v>
      </c>
      <c r="C605" t="s">
        <v>1751</v>
      </c>
      <c r="D605">
        <v>20510511</v>
      </c>
      <c r="E605" t="s">
        <v>3128</v>
      </c>
      <c r="F605" t="s">
        <v>1241</v>
      </c>
      <c r="G605" t="s">
        <v>3137</v>
      </c>
      <c r="H605" t="s">
        <v>1252</v>
      </c>
      <c r="J605" s="455">
        <v>46138</v>
      </c>
      <c r="U605" s="455">
        <v>46204</v>
      </c>
    </row>
    <row r="606" spans="1:21">
      <c r="A606" t="s">
        <v>1751</v>
      </c>
      <c r="B606" t="s">
        <v>9746</v>
      </c>
      <c r="C606" t="s">
        <v>1751</v>
      </c>
      <c r="D606">
        <v>20513302</v>
      </c>
      <c r="E606" t="s">
        <v>3128</v>
      </c>
      <c r="F606" t="s">
        <v>1782</v>
      </c>
      <c r="G606" t="s">
        <v>3137</v>
      </c>
      <c r="H606" t="s">
        <v>1252</v>
      </c>
      <c r="J606" s="455">
        <v>46142</v>
      </c>
      <c r="U606" s="455">
        <v>46143</v>
      </c>
    </row>
    <row r="607" spans="1:21">
      <c r="A607" t="s">
        <v>1751</v>
      </c>
      <c r="B607" t="s">
        <v>9746</v>
      </c>
      <c r="C607" t="s">
        <v>1751</v>
      </c>
      <c r="D607">
        <v>20513303</v>
      </c>
      <c r="E607" t="s">
        <v>3128</v>
      </c>
      <c r="F607" t="s">
        <v>1782</v>
      </c>
      <c r="G607" t="s">
        <v>3134</v>
      </c>
      <c r="H607" t="s">
        <v>1252</v>
      </c>
      <c r="J607" s="455">
        <v>46142</v>
      </c>
      <c r="U607" s="455">
        <v>46143</v>
      </c>
    </row>
    <row r="608" spans="1:21">
      <c r="A608" t="s">
        <v>1751</v>
      </c>
      <c r="B608" t="s">
        <v>9747</v>
      </c>
      <c r="C608" t="s">
        <v>1751</v>
      </c>
      <c r="D608">
        <v>20500285</v>
      </c>
      <c r="E608" t="s">
        <v>3190</v>
      </c>
      <c r="F608" t="s">
        <v>1782</v>
      </c>
      <c r="G608" t="s">
        <v>3134</v>
      </c>
      <c r="H608" t="s">
        <v>3165</v>
      </c>
      <c r="J608" s="455">
        <v>46129</v>
      </c>
      <c r="R608" s="455">
        <v>46139</v>
      </c>
      <c r="U608" s="455">
        <v>46131</v>
      </c>
    </row>
    <row r="609" spans="1:21">
      <c r="A609" t="s">
        <v>1751</v>
      </c>
      <c r="B609" t="s">
        <v>3530</v>
      </c>
      <c r="C609" t="s">
        <v>1751</v>
      </c>
      <c r="D609">
        <v>20501465</v>
      </c>
      <c r="E609" t="s">
        <v>1897</v>
      </c>
      <c r="F609" t="s">
        <v>1241</v>
      </c>
      <c r="G609" t="s">
        <v>3134</v>
      </c>
      <c r="H609" t="s">
        <v>1247</v>
      </c>
      <c r="J609" s="455">
        <v>46131</v>
      </c>
      <c r="K609" s="455">
        <v>46131</v>
      </c>
      <c r="U609" s="455">
        <v>46131</v>
      </c>
    </row>
    <row r="610" spans="1:21">
      <c r="A610" t="s">
        <v>1751</v>
      </c>
      <c r="B610" t="s">
        <v>9748</v>
      </c>
      <c r="C610" t="s">
        <v>1751</v>
      </c>
      <c r="D610">
        <v>20484880</v>
      </c>
      <c r="E610" t="s">
        <v>3190</v>
      </c>
      <c r="F610" t="s">
        <v>1241</v>
      </c>
      <c r="G610" t="s">
        <v>3134</v>
      </c>
      <c r="H610" t="s">
        <v>1252</v>
      </c>
      <c r="J610" s="455">
        <v>46113</v>
      </c>
      <c r="R610" s="455">
        <v>46139</v>
      </c>
      <c r="U610" s="455">
        <v>46137</v>
      </c>
    </row>
    <row r="611" spans="1:21">
      <c r="A611" t="s">
        <v>1751</v>
      </c>
      <c r="B611" t="s">
        <v>1946</v>
      </c>
      <c r="C611" t="s">
        <v>1751</v>
      </c>
      <c r="D611">
        <v>20470630</v>
      </c>
      <c r="E611" t="s">
        <v>3133</v>
      </c>
      <c r="F611" t="s">
        <v>1241</v>
      </c>
      <c r="G611" t="s">
        <v>3134</v>
      </c>
      <c r="H611" t="s">
        <v>1250</v>
      </c>
      <c r="I611" t="s">
        <v>1945</v>
      </c>
      <c r="J611" s="455">
        <v>46094</v>
      </c>
      <c r="K611" s="455">
        <v>46094</v>
      </c>
      <c r="R611" s="455">
        <v>46114</v>
      </c>
      <c r="U611" s="455">
        <v>46112</v>
      </c>
    </row>
    <row r="612" spans="1:21">
      <c r="A612" t="s">
        <v>1751</v>
      </c>
      <c r="B612" t="s">
        <v>9749</v>
      </c>
      <c r="C612" t="s">
        <v>1751</v>
      </c>
      <c r="D612">
        <v>20493086</v>
      </c>
      <c r="E612" t="s">
        <v>1897</v>
      </c>
      <c r="F612" t="s">
        <v>1242</v>
      </c>
      <c r="G612" t="s">
        <v>3134</v>
      </c>
      <c r="H612" t="s">
        <v>1247</v>
      </c>
      <c r="I612" t="s">
        <v>1551</v>
      </c>
      <c r="J612" s="455">
        <v>46124</v>
      </c>
      <c r="K612" s="455">
        <v>46124</v>
      </c>
      <c r="U612" s="455">
        <v>46142</v>
      </c>
    </row>
    <row r="613" spans="1:21">
      <c r="A613" t="s">
        <v>1751</v>
      </c>
      <c r="B613" t="s">
        <v>9750</v>
      </c>
      <c r="C613" t="s">
        <v>1751</v>
      </c>
      <c r="D613">
        <v>20498132</v>
      </c>
      <c r="E613" t="s">
        <v>3190</v>
      </c>
      <c r="F613" t="s">
        <v>1782</v>
      </c>
      <c r="G613" t="s">
        <v>3129</v>
      </c>
      <c r="H613" t="s">
        <v>3131</v>
      </c>
      <c r="J613" s="455">
        <v>46128</v>
      </c>
      <c r="R613" s="455">
        <v>46139</v>
      </c>
      <c r="U613" s="455">
        <v>46128</v>
      </c>
    </row>
    <row r="614" spans="1:21">
      <c r="A614" t="s">
        <v>1751</v>
      </c>
      <c r="B614" t="s">
        <v>9751</v>
      </c>
      <c r="C614" t="s">
        <v>1751</v>
      </c>
      <c r="D614">
        <v>20511652</v>
      </c>
      <c r="E614" t="s">
        <v>3128</v>
      </c>
      <c r="F614" t="s">
        <v>1782</v>
      </c>
      <c r="G614" t="s">
        <v>3137</v>
      </c>
      <c r="H614" t="s">
        <v>1252</v>
      </c>
      <c r="J614" s="455">
        <v>46140</v>
      </c>
      <c r="U614" s="455">
        <v>46204</v>
      </c>
    </row>
    <row r="615" spans="1:21">
      <c r="A615" t="s">
        <v>1751</v>
      </c>
      <c r="B615" t="s">
        <v>8781</v>
      </c>
      <c r="C615" t="s">
        <v>1751</v>
      </c>
      <c r="D615">
        <v>20450095</v>
      </c>
      <c r="E615" t="s">
        <v>3190</v>
      </c>
      <c r="F615" t="s">
        <v>1782</v>
      </c>
      <c r="G615" t="s">
        <v>3141</v>
      </c>
      <c r="H615" t="s">
        <v>1247</v>
      </c>
      <c r="J615" s="455">
        <v>46069</v>
      </c>
      <c r="R615" s="455">
        <v>46114</v>
      </c>
      <c r="U615" s="455">
        <v>46120</v>
      </c>
    </row>
    <row r="616" spans="1:21">
      <c r="A616" t="s">
        <v>1751</v>
      </c>
      <c r="B616" t="s">
        <v>9752</v>
      </c>
      <c r="C616" t="s">
        <v>1751</v>
      </c>
      <c r="D616">
        <v>20498686</v>
      </c>
      <c r="E616" t="s">
        <v>3190</v>
      </c>
      <c r="F616" t="s">
        <v>1241</v>
      </c>
      <c r="G616" t="s">
        <v>3134</v>
      </c>
      <c r="H616" t="s">
        <v>1252</v>
      </c>
      <c r="J616" s="455">
        <v>46128</v>
      </c>
      <c r="R616" s="455">
        <v>46139</v>
      </c>
      <c r="U616" s="455">
        <v>46135</v>
      </c>
    </row>
    <row r="617" spans="1:21">
      <c r="A617" t="s">
        <v>1751</v>
      </c>
      <c r="B617" t="s">
        <v>9214</v>
      </c>
      <c r="C617" t="s">
        <v>1751</v>
      </c>
      <c r="D617">
        <v>20484035</v>
      </c>
      <c r="E617" t="s">
        <v>3190</v>
      </c>
      <c r="F617" t="s">
        <v>1782</v>
      </c>
      <c r="G617" t="s">
        <v>3137</v>
      </c>
      <c r="H617" t="s">
        <v>1940</v>
      </c>
      <c r="I617" t="s">
        <v>6998</v>
      </c>
      <c r="J617" s="455">
        <v>46112</v>
      </c>
      <c r="R617" s="455">
        <v>46120</v>
      </c>
      <c r="U617" s="455">
        <v>46112</v>
      </c>
    </row>
    <row r="618" spans="1:21">
      <c r="A618" t="s">
        <v>1751</v>
      </c>
      <c r="B618" t="s">
        <v>9215</v>
      </c>
      <c r="C618" t="s">
        <v>1751</v>
      </c>
      <c r="D618">
        <v>20481392</v>
      </c>
      <c r="E618" t="s">
        <v>3190</v>
      </c>
      <c r="F618" t="s">
        <v>1782</v>
      </c>
      <c r="G618" t="s">
        <v>3134</v>
      </c>
      <c r="H618" t="s">
        <v>1252</v>
      </c>
      <c r="J618" s="455">
        <v>46108</v>
      </c>
      <c r="R618" s="455">
        <v>46139</v>
      </c>
      <c r="U618" s="455">
        <v>46113</v>
      </c>
    </row>
    <row r="619" spans="1:21">
      <c r="A619" t="s">
        <v>1751</v>
      </c>
      <c r="B619" t="s">
        <v>9753</v>
      </c>
      <c r="C619" t="s">
        <v>1751</v>
      </c>
      <c r="D619">
        <v>20508429</v>
      </c>
      <c r="E619" t="s">
        <v>3128</v>
      </c>
      <c r="F619" t="s">
        <v>1782</v>
      </c>
      <c r="G619" t="s">
        <v>3134</v>
      </c>
      <c r="H619" t="s">
        <v>3165</v>
      </c>
      <c r="J619" s="455">
        <v>46135</v>
      </c>
      <c r="U619" s="455">
        <v>46168</v>
      </c>
    </row>
    <row r="620" spans="1:21">
      <c r="A620" t="s">
        <v>1751</v>
      </c>
      <c r="B620" t="s">
        <v>9216</v>
      </c>
      <c r="C620" t="s">
        <v>1751</v>
      </c>
      <c r="D620">
        <v>20472400</v>
      </c>
      <c r="E620" t="s">
        <v>3190</v>
      </c>
      <c r="F620" t="s">
        <v>1241</v>
      </c>
      <c r="G620" t="s">
        <v>3143</v>
      </c>
      <c r="H620" t="s">
        <v>1248</v>
      </c>
      <c r="I620" t="s">
        <v>1952</v>
      </c>
      <c r="J620" s="455">
        <v>46097</v>
      </c>
      <c r="R620" s="455">
        <v>46114</v>
      </c>
      <c r="U620" s="455">
        <v>46203</v>
      </c>
    </row>
    <row r="621" spans="1:21">
      <c r="A621" t="s">
        <v>1751</v>
      </c>
      <c r="B621" t="s">
        <v>9754</v>
      </c>
      <c r="C621" t="s">
        <v>1751</v>
      </c>
      <c r="D621">
        <v>20417954</v>
      </c>
      <c r="E621" t="s">
        <v>3190</v>
      </c>
      <c r="F621" t="s">
        <v>1237</v>
      </c>
      <c r="G621" t="s">
        <v>3129</v>
      </c>
      <c r="H621" t="s">
        <v>1253</v>
      </c>
      <c r="J621" s="455">
        <v>46026</v>
      </c>
      <c r="R621" s="455">
        <v>46114</v>
      </c>
      <c r="U621" s="455">
        <v>46026</v>
      </c>
    </row>
    <row r="622" spans="1:21">
      <c r="A622" t="s">
        <v>1751</v>
      </c>
      <c r="B622" t="s">
        <v>4536</v>
      </c>
      <c r="C622" t="s">
        <v>1751</v>
      </c>
      <c r="D622">
        <v>20481785</v>
      </c>
      <c r="E622" t="s">
        <v>3190</v>
      </c>
      <c r="F622" t="s">
        <v>1782</v>
      </c>
      <c r="G622" t="s">
        <v>3134</v>
      </c>
      <c r="H622" t="s">
        <v>1252</v>
      </c>
      <c r="J622" s="455">
        <v>46108</v>
      </c>
      <c r="R622" s="455">
        <v>46139</v>
      </c>
      <c r="U622" s="455">
        <v>46169</v>
      </c>
    </row>
    <row r="623" spans="1:21">
      <c r="A623" t="s">
        <v>1751</v>
      </c>
      <c r="B623" t="s">
        <v>9217</v>
      </c>
      <c r="C623" t="s">
        <v>1751</v>
      </c>
      <c r="D623">
        <v>20478291</v>
      </c>
      <c r="E623" t="s">
        <v>3190</v>
      </c>
      <c r="F623" t="s">
        <v>1782</v>
      </c>
      <c r="G623" t="s">
        <v>3129</v>
      </c>
      <c r="H623" t="s">
        <v>3131</v>
      </c>
      <c r="I623" t="s">
        <v>1952</v>
      </c>
      <c r="J623" s="455">
        <v>46104</v>
      </c>
      <c r="R623" s="455">
        <v>46139</v>
      </c>
      <c r="U623" s="455">
        <v>46204</v>
      </c>
    </row>
    <row r="624" spans="1:21">
      <c r="A624" t="s">
        <v>1751</v>
      </c>
      <c r="B624" t="s">
        <v>9755</v>
      </c>
      <c r="C624" t="s">
        <v>1751</v>
      </c>
      <c r="D624">
        <v>20505785</v>
      </c>
      <c r="E624" t="s">
        <v>3128</v>
      </c>
      <c r="F624" t="s">
        <v>1242</v>
      </c>
      <c r="G624" t="s">
        <v>3143</v>
      </c>
      <c r="H624" t="s">
        <v>1247</v>
      </c>
      <c r="I624" t="s">
        <v>1952</v>
      </c>
      <c r="J624" s="455">
        <v>46134</v>
      </c>
      <c r="U624" s="455">
        <v>46134</v>
      </c>
    </row>
    <row r="625" spans="1:21">
      <c r="A625" t="s">
        <v>1751</v>
      </c>
      <c r="B625" t="s">
        <v>9756</v>
      </c>
      <c r="C625" t="s">
        <v>1751</v>
      </c>
      <c r="D625">
        <v>20422999</v>
      </c>
      <c r="E625" t="s">
        <v>3133</v>
      </c>
      <c r="F625" t="s">
        <v>1237</v>
      </c>
      <c r="G625" t="s">
        <v>3134</v>
      </c>
      <c r="H625" t="s">
        <v>1247</v>
      </c>
      <c r="I625" t="s">
        <v>3307</v>
      </c>
      <c r="J625" s="455">
        <v>46034</v>
      </c>
      <c r="K625" s="455">
        <v>46034</v>
      </c>
      <c r="R625" s="455">
        <v>46114</v>
      </c>
      <c r="U625" s="455">
        <v>46055</v>
      </c>
    </row>
    <row r="626" spans="1:21">
      <c r="A626" t="s">
        <v>1751</v>
      </c>
      <c r="B626" t="s">
        <v>1970</v>
      </c>
      <c r="C626" t="s">
        <v>1751</v>
      </c>
      <c r="D626">
        <v>20478380</v>
      </c>
      <c r="E626" t="s">
        <v>3133</v>
      </c>
      <c r="F626" t="s">
        <v>1241</v>
      </c>
      <c r="G626" t="s">
        <v>3143</v>
      </c>
      <c r="H626" t="s">
        <v>1252</v>
      </c>
      <c r="I626" t="s">
        <v>1969</v>
      </c>
      <c r="J626" s="455">
        <v>46104</v>
      </c>
      <c r="K626" s="455">
        <v>46104</v>
      </c>
      <c r="R626" s="455">
        <v>46114</v>
      </c>
      <c r="U626" s="455">
        <v>46164</v>
      </c>
    </row>
    <row r="627" spans="1:21">
      <c r="A627" t="s">
        <v>1751</v>
      </c>
      <c r="B627" t="s">
        <v>9757</v>
      </c>
      <c r="C627" t="s">
        <v>1751</v>
      </c>
      <c r="D627">
        <v>20509116</v>
      </c>
      <c r="E627" t="s">
        <v>3128</v>
      </c>
      <c r="F627" t="s">
        <v>1782</v>
      </c>
      <c r="G627" t="s">
        <v>3134</v>
      </c>
      <c r="H627" t="s">
        <v>3165</v>
      </c>
      <c r="J627" s="455">
        <v>46136</v>
      </c>
      <c r="U627" s="455">
        <v>46137</v>
      </c>
    </row>
    <row r="628" spans="1:21">
      <c r="A628" t="s">
        <v>1751</v>
      </c>
      <c r="B628" t="s">
        <v>1953</v>
      </c>
      <c r="C628" t="s">
        <v>1751</v>
      </c>
      <c r="D628">
        <v>20472349</v>
      </c>
      <c r="E628" t="s">
        <v>3142</v>
      </c>
      <c r="F628" t="s">
        <v>1799</v>
      </c>
      <c r="G628" t="s">
        <v>3143</v>
      </c>
      <c r="H628" t="s">
        <v>1252</v>
      </c>
      <c r="I628" t="s">
        <v>1965</v>
      </c>
      <c r="J628" s="455">
        <v>46097</v>
      </c>
      <c r="K628" s="455">
        <v>46104</v>
      </c>
      <c r="L628" s="455">
        <v>46110</v>
      </c>
      <c r="M628" s="455">
        <v>46127</v>
      </c>
      <c r="N628" s="455">
        <v>46129</v>
      </c>
      <c r="P628" s="455">
        <v>46129</v>
      </c>
      <c r="Q628" s="455">
        <v>46129</v>
      </c>
      <c r="U628" s="455">
        <v>46129</v>
      </c>
    </row>
    <row r="629" spans="1:21">
      <c r="A629" t="s">
        <v>1751</v>
      </c>
      <c r="B629" t="s">
        <v>9758</v>
      </c>
      <c r="C629" t="s">
        <v>1751</v>
      </c>
      <c r="D629">
        <v>20509472</v>
      </c>
      <c r="E629" t="s">
        <v>3128</v>
      </c>
      <c r="F629" t="s">
        <v>1782</v>
      </c>
      <c r="G629" t="s">
        <v>3141</v>
      </c>
      <c r="H629" t="s">
        <v>1252</v>
      </c>
      <c r="J629" s="455">
        <v>46137</v>
      </c>
      <c r="U629" s="455">
        <v>46203</v>
      </c>
    </row>
    <row r="630" spans="1:21">
      <c r="A630" t="s">
        <v>1751</v>
      </c>
      <c r="B630" t="s">
        <v>9759</v>
      </c>
      <c r="C630" t="s">
        <v>1751</v>
      </c>
      <c r="D630">
        <v>20495340</v>
      </c>
      <c r="E630" t="s">
        <v>3128</v>
      </c>
      <c r="F630" t="s">
        <v>1241</v>
      </c>
      <c r="G630" t="s">
        <v>3134</v>
      </c>
      <c r="H630" t="s">
        <v>1252</v>
      </c>
      <c r="J630" s="455">
        <v>46126</v>
      </c>
      <c r="U630" s="455">
        <v>46143</v>
      </c>
    </row>
    <row r="631" spans="1:21">
      <c r="A631" t="s">
        <v>1751</v>
      </c>
      <c r="B631" t="s">
        <v>9760</v>
      </c>
      <c r="C631" t="s">
        <v>1751</v>
      </c>
      <c r="D631">
        <v>20417342</v>
      </c>
      <c r="E631" t="s">
        <v>3133</v>
      </c>
      <c r="F631" t="s">
        <v>1238</v>
      </c>
      <c r="G631" t="s">
        <v>3134</v>
      </c>
      <c r="H631" t="s">
        <v>1247</v>
      </c>
      <c r="I631" t="s">
        <v>1929</v>
      </c>
      <c r="J631" s="455">
        <v>46025</v>
      </c>
      <c r="K631" s="455">
        <v>46025</v>
      </c>
      <c r="R631" s="455">
        <v>46114</v>
      </c>
      <c r="U631" s="455">
        <v>46025</v>
      </c>
    </row>
    <row r="632" spans="1:21">
      <c r="A632" t="s">
        <v>1751</v>
      </c>
      <c r="B632" t="s">
        <v>9761</v>
      </c>
      <c r="C632" t="s">
        <v>1751</v>
      </c>
      <c r="D632">
        <v>20510632</v>
      </c>
      <c r="E632" t="s">
        <v>3128</v>
      </c>
      <c r="F632" t="s">
        <v>1782</v>
      </c>
      <c r="G632" t="s">
        <v>3141</v>
      </c>
      <c r="H632" t="s">
        <v>1252</v>
      </c>
      <c r="J632" s="455">
        <v>46139</v>
      </c>
      <c r="U632" s="455">
        <v>46140</v>
      </c>
    </row>
    <row r="633" spans="1:21">
      <c r="A633" t="s">
        <v>1751</v>
      </c>
      <c r="B633" t="s">
        <v>9762</v>
      </c>
      <c r="C633" t="s">
        <v>1751</v>
      </c>
      <c r="D633">
        <v>20500360</v>
      </c>
      <c r="E633" t="s">
        <v>3128</v>
      </c>
      <c r="F633" t="s">
        <v>1782</v>
      </c>
      <c r="G633" t="s">
        <v>3137</v>
      </c>
      <c r="H633" t="s">
        <v>1252</v>
      </c>
      <c r="J633" s="455">
        <v>46129</v>
      </c>
      <c r="U633" s="455">
        <v>46143</v>
      </c>
    </row>
    <row r="634" spans="1:21">
      <c r="A634" t="s">
        <v>1751</v>
      </c>
      <c r="B634" t="s">
        <v>9219</v>
      </c>
      <c r="C634" t="s">
        <v>1751</v>
      </c>
      <c r="D634">
        <v>20462211</v>
      </c>
      <c r="E634" t="s">
        <v>3190</v>
      </c>
      <c r="F634" t="s">
        <v>1237</v>
      </c>
      <c r="G634" t="s">
        <v>2009</v>
      </c>
      <c r="H634" t="s">
        <v>1251</v>
      </c>
      <c r="J634" s="455">
        <v>46085</v>
      </c>
      <c r="R634" s="455">
        <v>46114</v>
      </c>
      <c r="U634" s="455">
        <v>46085</v>
      </c>
    </row>
    <row r="635" spans="1:21">
      <c r="A635" t="s">
        <v>1751</v>
      </c>
      <c r="B635" t="s">
        <v>9763</v>
      </c>
      <c r="C635" t="s">
        <v>1751</v>
      </c>
      <c r="D635">
        <v>20437096</v>
      </c>
      <c r="E635" t="s">
        <v>3190</v>
      </c>
      <c r="F635" t="s">
        <v>1241</v>
      </c>
      <c r="G635" t="s">
        <v>3129</v>
      </c>
      <c r="H635" t="s">
        <v>1252</v>
      </c>
      <c r="J635" s="455">
        <v>46051</v>
      </c>
      <c r="R635" s="455">
        <v>46114</v>
      </c>
      <c r="U635" s="455">
        <v>46054</v>
      </c>
    </row>
    <row r="636" spans="1:21">
      <c r="A636" t="s">
        <v>1751</v>
      </c>
      <c r="B636" t="s">
        <v>9764</v>
      </c>
      <c r="C636" t="s">
        <v>1751</v>
      </c>
      <c r="D636">
        <v>20437847</v>
      </c>
      <c r="E636" t="s">
        <v>3190</v>
      </c>
      <c r="F636" t="s">
        <v>1799</v>
      </c>
      <c r="G636" t="s">
        <v>3143</v>
      </c>
      <c r="H636" t="s">
        <v>3165</v>
      </c>
      <c r="J636" s="455">
        <v>46052</v>
      </c>
      <c r="R636" s="455">
        <v>46114</v>
      </c>
      <c r="U636" s="455">
        <v>46052</v>
      </c>
    </row>
    <row r="637" spans="1:21">
      <c r="A637" t="s">
        <v>1751</v>
      </c>
      <c r="B637" t="s">
        <v>9220</v>
      </c>
      <c r="C637" t="s">
        <v>1751</v>
      </c>
      <c r="D637">
        <v>20460751</v>
      </c>
      <c r="E637" t="s">
        <v>3190</v>
      </c>
      <c r="F637" t="s">
        <v>1241</v>
      </c>
      <c r="G637" t="s">
        <v>3129</v>
      </c>
      <c r="H637" t="s">
        <v>1252</v>
      </c>
      <c r="J637" s="455">
        <v>46083</v>
      </c>
      <c r="R637" s="455">
        <v>46114</v>
      </c>
      <c r="U637" s="455">
        <v>46083</v>
      </c>
    </row>
    <row r="638" spans="1:21">
      <c r="A638" t="s">
        <v>1751</v>
      </c>
      <c r="B638" t="s">
        <v>9765</v>
      </c>
      <c r="C638" t="s">
        <v>1751</v>
      </c>
      <c r="D638">
        <v>20513635</v>
      </c>
      <c r="E638" t="s">
        <v>3128</v>
      </c>
      <c r="F638" t="s">
        <v>1241</v>
      </c>
      <c r="G638" t="s">
        <v>2009</v>
      </c>
      <c r="H638" t="s">
        <v>1252</v>
      </c>
      <c r="J638" s="455">
        <v>46142</v>
      </c>
      <c r="U638" s="455">
        <v>46435</v>
      </c>
    </row>
    <row r="639" spans="1:21">
      <c r="A639" t="s">
        <v>1751</v>
      </c>
      <c r="B639" t="s">
        <v>7109</v>
      </c>
      <c r="C639" t="s">
        <v>1751</v>
      </c>
      <c r="D639">
        <v>20448431</v>
      </c>
      <c r="E639" t="s">
        <v>3133</v>
      </c>
      <c r="F639" t="s">
        <v>1241</v>
      </c>
      <c r="G639" t="s">
        <v>3134</v>
      </c>
      <c r="H639" t="s">
        <v>1252</v>
      </c>
      <c r="I639" t="s">
        <v>1780</v>
      </c>
      <c r="J639" s="455">
        <v>46066</v>
      </c>
      <c r="K639" s="455">
        <v>46066</v>
      </c>
      <c r="R639" s="455">
        <v>46114</v>
      </c>
      <c r="U639" s="455">
        <v>46066</v>
      </c>
    </row>
    <row r="640" spans="1:21">
      <c r="A640" t="s">
        <v>1751</v>
      </c>
      <c r="B640" t="s">
        <v>8783</v>
      </c>
      <c r="C640" t="s">
        <v>1751</v>
      </c>
      <c r="D640">
        <v>20453300</v>
      </c>
      <c r="E640" t="s">
        <v>3190</v>
      </c>
      <c r="F640" t="s">
        <v>1241</v>
      </c>
      <c r="G640" t="s">
        <v>3129</v>
      </c>
      <c r="H640" t="s">
        <v>3487</v>
      </c>
      <c r="J640" s="455">
        <v>46072</v>
      </c>
      <c r="R640" s="455">
        <v>46114</v>
      </c>
      <c r="U640" s="455">
        <v>46087</v>
      </c>
    </row>
    <row r="641" spans="1:21">
      <c r="A641" t="s">
        <v>1751</v>
      </c>
      <c r="B641" t="s">
        <v>9766</v>
      </c>
      <c r="C641" t="s">
        <v>1751</v>
      </c>
      <c r="D641">
        <v>20512173</v>
      </c>
      <c r="E641" t="s">
        <v>3128</v>
      </c>
      <c r="F641" t="s">
        <v>1782</v>
      </c>
      <c r="G641" t="s">
        <v>3134</v>
      </c>
      <c r="H641" t="s">
        <v>3165</v>
      </c>
      <c r="J641" s="455">
        <v>46140</v>
      </c>
      <c r="U641" s="455">
        <v>46141</v>
      </c>
    </row>
    <row r="642" spans="1:21">
      <c r="A642" t="s">
        <v>1751</v>
      </c>
      <c r="B642" t="s">
        <v>6544</v>
      </c>
      <c r="C642" t="s">
        <v>1751</v>
      </c>
      <c r="D642">
        <v>20461090</v>
      </c>
      <c r="E642" t="s">
        <v>3133</v>
      </c>
      <c r="F642" t="s">
        <v>1241</v>
      </c>
      <c r="G642" t="s">
        <v>3134</v>
      </c>
      <c r="H642" t="s">
        <v>1247</v>
      </c>
      <c r="J642" s="455">
        <v>46084</v>
      </c>
      <c r="K642" s="455">
        <v>46084</v>
      </c>
      <c r="R642" s="455">
        <v>46114</v>
      </c>
      <c r="U642" s="455">
        <v>46084</v>
      </c>
    </row>
    <row r="643" spans="1:21">
      <c r="A643" t="s">
        <v>1751</v>
      </c>
      <c r="B643" t="s">
        <v>8785</v>
      </c>
      <c r="C643" t="s">
        <v>1751</v>
      </c>
      <c r="D643">
        <v>20453840</v>
      </c>
      <c r="E643" t="s">
        <v>3190</v>
      </c>
      <c r="F643" t="s">
        <v>1782</v>
      </c>
      <c r="G643" t="s">
        <v>3137</v>
      </c>
      <c r="H643" t="s">
        <v>1247</v>
      </c>
      <c r="J643" s="455">
        <v>46072</v>
      </c>
      <c r="R643" s="455">
        <v>46114</v>
      </c>
      <c r="U643" s="455">
        <v>46118</v>
      </c>
    </row>
    <row r="644" spans="1:21">
      <c r="A644" t="s">
        <v>1751</v>
      </c>
      <c r="B644" t="s">
        <v>9767</v>
      </c>
      <c r="C644" t="s">
        <v>1751</v>
      </c>
      <c r="D644">
        <v>20504922</v>
      </c>
      <c r="E644" t="s">
        <v>3128</v>
      </c>
      <c r="F644" t="s">
        <v>1782</v>
      </c>
      <c r="G644" t="s">
        <v>3137</v>
      </c>
      <c r="H644" t="s">
        <v>1252</v>
      </c>
      <c r="J644" s="455">
        <v>46133</v>
      </c>
      <c r="U644" s="455">
        <v>46174</v>
      </c>
    </row>
    <row r="645" spans="1:21">
      <c r="A645" t="s">
        <v>1751</v>
      </c>
      <c r="B645" t="s">
        <v>9768</v>
      </c>
      <c r="C645" t="s">
        <v>1751</v>
      </c>
      <c r="D645">
        <v>20510113</v>
      </c>
      <c r="E645" t="s">
        <v>3128</v>
      </c>
      <c r="F645" t="s">
        <v>1782</v>
      </c>
      <c r="G645" t="s">
        <v>3134</v>
      </c>
      <c r="H645" t="s">
        <v>1252</v>
      </c>
      <c r="J645" s="455">
        <v>46138</v>
      </c>
      <c r="U645" s="455">
        <v>46152</v>
      </c>
    </row>
    <row r="646" spans="1:21">
      <c r="A646" t="s">
        <v>1751</v>
      </c>
      <c r="B646" t="s">
        <v>8787</v>
      </c>
      <c r="C646" t="s">
        <v>1751</v>
      </c>
      <c r="D646">
        <v>20440444</v>
      </c>
      <c r="E646" t="s">
        <v>3190</v>
      </c>
      <c r="F646" t="s">
        <v>1239</v>
      </c>
      <c r="G646" t="s">
        <v>3143</v>
      </c>
      <c r="H646" t="s">
        <v>1251</v>
      </c>
      <c r="J646" s="455">
        <v>46056</v>
      </c>
      <c r="R646" s="455">
        <v>46114</v>
      </c>
      <c r="U646" s="455">
        <v>46056</v>
      </c>
    </row>
    <row r="647" spans="1:21">
      <c r="A647" t="s">
        <v>1751</v>
      </c>
      <c r="B647" t="s">
        <v>8788</v>
      </c>
      <c r="C647" t="s">
        <v>1751</v>
      </c>
      <c r="D647">
        <v>20453286</v>
      </c>
      <c r="E647" t="s">
        <v>3190</v>
      </c>
      <c r="F647" t="s">
        <v>1239</v>
      </c>
      <c r="G647" t="s">
        <v>3129</v>
      </c>
      <c r="H647" t="s">
        <v>1248</v>
      </c>
      <c r="J647" s="455">
        <v>46072</v>
      </c>
      <c r="R647" s="455">
        <v>46115</v>
      </c>
      <c r="U647" s="455">
        <v>46101</v>
      </c>
    </row>
    <row r="648" spans="1:21">
      <c r="A648" t="s">
        <v>1751</v>
      </c>
      <c r="B648" t="s">
        <v>9769</v>
      </c>
      <c r="C648" t="s">
        <v>1751</v>
      </c>
      <c r="D648">
        <v>20487462</v>
      </c>
      <c r="E648" t="s">
        <v>3128</v>
      </c>
      <c r="F648" t="s">
        <v>1241</v>
      </c>
      <c r="G648" t="s">
        <v>3134</v>
      </c>
      <c r="H648" t="s">
        <v>1252</v>
      </c>
      <c r="J648" s="455">
        <v>46117</v>
      </c>
      <c r="U648" s="455">
        <v>46137</v>
      </c>
    </row>
    <row r="649" spans="1:21">
      <c r="A649" t="s">
        <v>1751</v>
      </c>
      <c r="B649" t="s">
        <v>9221</v>
      </c>
      <c r="C649" t="s">
        <v>1751</v>
      </c>
      <c r="D649">
        <v>20460526</v>
      </c>
      <c r="E649" t="s">
        <v>3190</v>
      </c>
      <c r="F649" t="s">
        <v>1782</v>
      </c>
      <c r="G649" t="s">
        <v>3141</v>
      </c>
      <c r="H649" t="s">
        <v>1247</v>
      </c>
      <c r="J649" s="455">
        <v>46083</v>
      </c>
      <c r="R649" s="455">
        <v>46114</v>
      </c>
      <c r="U649" s="455">
        <v>46116</v>
      </c>
    </row>
    <row r="650" spans="1:21">
      <c r="A650" t="s">
        <v>1751</v>
      </c>
      <c r="B650" t="s">
        <v>8789</v>
      </c>
      <c r="C650" t="s">
        <v>1751</v>
      </c>
      <c r="D650">
        <v>20449432</v>
      </c>
      <c r="E650" t="s">
        <v>3190</v>
      </c>
      <c r="F650" t="s">
        <v>1782</v>
      </c>
      <c r="G650" t="s">
        <v>2009</v>
      </c>
      <c r="H650" t="s">
        <v>1247</v>
      </c>
      <c r="J650" s="455">
        <v>46068</v>
      </c>
      <c r="R650" s="455">
        <v>46114</v>
      </c>
      <c r="U650" s="455">
        <v>46237</v>
      </c>
    </row>
    <row r="651" spans="1:21">
      <c r="A651" t="s">
        <v>1751</v>
      </c>
      <c r="B651" t="s">
        <v>8790</v>
      </c>
      <c r="C651" t="s">
        <v>1751</v>
      </c>
      <c r="D651">
        <v>20443361</v>
      </c>
      <c r="E651" t="s">
        <v>3190</v>
      </c>
      <c r="F651" t="s">
        <v>1241</v>
      </c>
      <c r="G651" t="s">
        <v>3141</v>
      </c>
      <c r="H651" t="s">
        <v>1247</v>
      </c>
      <c r="J651" s="455">
        <v>46061</v>
      </c>
      <c r="R651" s="455">
        <v>46114</v>
      </c>
      <c r="U651" s="455">
        <v>46157</v>
      </c>
    </row>
    <row r="652" spans="1:21">
      <c r="A652" t="s">
        <v>1751</v>
      </c>
      <c r="B652" t="s">
        <v>9770</v>
      </c>
      <c r="C652" t="s">
        <v>1751</v>
      </c>
      <c r="D652">
        <v>20412297</v>
      </c>
      <c r="E652" t="s">
        <v>3190</v>
      </c>
      <c r="F652" t="s">
        <v>1241</v>
      </c>
      <c r="G652" t="s">
        <v>3129</v>
      </c>
      <c r="H652" t="s">
        <v>1252</v>
      </c>
      <c r="J652" s="455">
        <v>46015</v>
      </c>
      <c r="R652" s="455">
        <v>46114</v>
      </c>
      <c r="U652" s="455">
        <v>46022</v>
      </c>
    </row>
    <row r="653" spans="1:21">
      <c r="A653" t="s">
        <v>1751</v>
      </c>
      <c r="B653" t="s">
        <v>9771</v>
      </c>
      <c r="C653" t="s">
        <v>1751</v>
      </c>
      <c r="D653">
        <v>20508372</v>
      </c>
      <c r="E653" t="s">
        <v>3128</v>
      </c>
      <c r="F653" t="s">
        <v>1799</v>
      </c>
      <c r="G653" t="s">
        <v>3143</v>
      </c>
      <c r="H653" t="s">
        <v>1248</v>
      </c>
      <c r="J653" s="455">
        <v>46135</v>
      </c>
      <c r="U653" s="455">
        <v>46174</v>
      </c>
    </row>
    <row r="654" spans="1:21">
      <c r="A654" t="s">
        <v>1751</v>
      </c>
      <c r="B654" t="s">
        <v>9222</v>
      </c>
      <c r="C654" t="s">
        <v>1751</v>
      </c>
      <c r="D654">
        <v>20479316</v>
      </c>
      <c r="E654" t="s">
        <v>3190</v>
      </c>
      <c r="F654" t="s">
        <v>1782</v>
      </c>
      <c r="G654" t="s">
        <v>3134</v>
      </c>
      <c r="H654" t="s">
        <v>1252</v>
      </c>
      <c r="J654" s="455">
        <v>46105</v>
      </c>
      <c r="R654" s="455">
        <v>46114</v>
      </c>
      <c r="U654" s="455">
        <v>46113</v>
      </c>
    </row>
    <row r="655" spans="1:21">
      <c r="A655" t="s">
        <v>1751</v>
      </c>
      <c r="B655" t="s">
        <v>8791</v>
      </c>
      <c r="C655" t="s">
        <v>1751</v>
      </c>
      <c r="D655">
        <v>20458166</v>
      </c>
      <c r="E655" t="s">
        <v>3133</v>
      </c>
      <c r="F655" t="s">
        <v>1242</v>
      </c>
      <c r="G655" t="s">
        <v>3134</v>
      </c>
      <c r="H655" t="s">
        <v>1247</v>
      </c>
      <c r="J655" s="455">
        <v>46079</v>
      </c>
      <c r="K655" s="455">
        <v>46079</v>
      </c>
      <c r="R655" s="455">
        <v>46114</v>
      </c>
      <c r="U655" s="455">
        <v>46079</v>
      </c>
    </row>
    <row r="656" spans="1:21">
      <c r="A656" t="s">
        <v>1751</v>
      </c>
      <c r="B656" t="s">
        <v>9772</v>
      </c>
      <c r="C656" t="s">
        <v>1751</v>
      </c>
      <c r="D656">
        <v>20432661</v>
      </c>
      <c r="E656" t="s">
        <v>3190</v>
      </c>
      <c r="F656" t="s">
        <v>1239</v>
      </c>
      <c r="G656" t="s">
        <v>3143</v>
      </c>
      <c r="H656" t="s">
        <v>1248</v>
      </c>
      <c r="J656" s="455">
        <v>46044</v>
      </c>
      <c r="R656" s="455">
        <v>46114</v>
      </c>
      <c r="U656" s="455">
        <v>46044</v>
      </c>
    </row>
    <row r="657" spans="1:21">
      <c r="A657" t="s">
        <v>1751</v>
      </c>
      <c r="B657" t="s">
        <v>9773</v>
      </c>
      <c r="C657" t="s">
        <v>1751</v>
      </c>
      <c r="D657">
        <v>20506972</v>
      </c>
      <c r="E657" t="s">
        <v>3128</v>
      </c>
      <c r="F657" t="s">
        <v>1782</v>
      </c>
      <c r="G657" t="s">
        <v>3134</v>
      </c>
      <c r="H657" t="s">
        <v>1252</v>
      </c>
      <c r="J657" s="455">
        <v>46134</v>
      </c>
      <c r="U657" s="455">
        <v>46194</v>
      </c>
    </row>
    <row r="658" spans="1:21">
      <c r="A658" t="s">
        <v>1751</v>
      </c>
      <c r="B658" t="s">
        <v>8792</v>
      </c>
      <c r="C658" t="s">
        <v>1751</v>
      </c>
      <c r="D658">
        <v>20446907</v>
      </c>
      <c r="E658" t="s">
        <v>3190</v>
      </c>
      <c r="F658" t="s">
        <v>1782</v>
      </c>
      <c r="G658" t="s">
        <v>2009</v>
      </c>
      <c r="H658" t="s">
        <v>1247</v>
      </c>
      <c r="J658" s="455">
        <v>46064</v>
      </c>
      <c r="R658" s="455">
        <v>46114</v>
      </c>
      <c r="U658" s="455">
        <v>46083</v>
      </c>
    </row>
    <row r="659" spans="1:21">
      <c r="A659" t="s">
        <v>1751</v>
      </c>
      <c r="B659" t="s">
        <v>9774</v>
      </c>
      <c r="C659" t="s">
        <v>1751</v>
      </c>
      <c r="D659">
        <v>20490436</v>
      </c>
      <c r="E659" t="s">
        <v>3190</v>
      </c>
      <c r="F659" t="s">
        <v>1241</v>
      </c>
      <c r="G659" t="s">
        <v>3134</v>
      </c>
      <c r="H659" t="s">
        <v>1252</v>
      </c>
      <c r="J659" s="455">
        <v>46120</v>
      </c>
      <c r="R659" s="455">
        <v>46139</v>
      </c>
      <c r="U659" s="455">
        <v>46134</v>
      </c>
    </row>
    <row r="660" spans="1:21">
      <c r="A660" t="s">
        <v>1751</v>
      </c>
      <c r="B660" t="s">
        <v>9775</v>
      </c>
      <c r="C660" t="s">
        <v>1751</v>
      </c>
      <c r="D660">
        <v>20491138</v>
      </c>
      <c r="E660" t="s">
        <v>3190</v>
      </c>
      <c r="F660" t="s">
        <v>1241</v>
      </c>
      <c r="G660" t="s">
        <v>3134</v>
      </c>
      <c r="H660" t="s">
        <v>1252</v>
      </c>
      <c r="J660" s="455">
        <v>46121</v>
      </c>
      <c r="R660" s="455">
        <v>46139</v>
      </c>
      <c r="U660" s="455">
        <v>46167</v>
      </c>
    </row>
    <row r="661" spans="1:21">
      <c r="A661" t="s">
        <v>1751</v>
      </c>
      <c r="B661" t="s">
        <v>9223</v>
      </c>
      <c r="C661" t="s">
        <v>1751</v>
      </c>
      <c r="D661">
        <v>20480495</v>
      </c>
      <c r="E661" t="s">
        <v>3190</v>
      </c>
      <c r="F661" t="s">
        <v>1237</v>
      </c>
      <c r="G661" t="s">
        <v>3134</v>
      </c>
      <c r="H661" t="s">
        <v>1252</v>
      </c>
      <c r="I661" t="s">
        <v>1831</v>
      </c>
      <c r="J661" s="455">
        <v>46107</v>
      </c>
      <c r="R661" s="455">
        <v>46116</v>
      </c>
      <c r="U661" s="455">
        <v>46447</v>
      </c>
    </row>
    <row r="662" spans="1:21">
      <c r="A662" t="s">
        <v>1751</v>
      </c>
      <c r="B662" t="s">
        <v>9776</v>
      </c>
      <c r="C662" t="s">
        <v>1751</v>
      </c>
      <c r="D662">
        <v>20509120</v>
      </c>
      <c r="E662" t="s">
        <v>3128</v>
      </c>
      <c r="F662" t="s">
        <v>1241</v>
      </c>
      <c r="G662" t="s">
        <v>2009</v>
      </c>
      <c r="H662" t="s">
        <v>1249</v>
      </c>
      <c r="J662" s="455">
        <v>46136</v>
      </c>
      <c r="U662" s="455">
        <v>46266</v>
      </c>
    </row>
    <row r="663" spans="1:21">
      <c r="A663" t="s">
        <v>1751</v>
      </c>
      <c r="B663" t="s">
        <v>3570</v>
      </c>
      <c r="C663" t="s">
        <v>1751</v>
      </c>
      <c r="D663">
        <v>20490620</v>
      </c>
      <c r="E663" t="s">
        <v>1897</v>
      </c>
      <c r="F663" t="s">
        <v>1782</v>
      </c>
      <c r="G663" t="s">
        <v>3134</v>
      </c>
      <c r="H663" t="s">
        <v>1252</v>
      </c>
      <c r="J663" s="455">
        <v>46121</v>
      </c>
      <c r="K663" s="455">
        <v>46132</v>
      </c>
      <c r="U663" s="455">
        <v>46333</v>
      </c>
    </row>
    <row r="664" spans="1:21">
      <c r="A664" t="s">
        <v>1751</v>
      </c>
      <c r="B664" t="s">
        <v>3570</v>
      </c>
      <c r="C664" t="s">
        <v>1751</v>
      </c>
      <c r="D664">
        <v>20503002</v>
      </c>
      <c r="E664" t="s">
        <v>1897</v>
      </c>
      <c r="F664" t="s">
        <v>1799</v>
      </c>
      <c r="G664" t="s">
        <v>3134</v>
      </c>
      <c r="H664" t="s">
        <v>1247</v>
      </c>
      <c r="J664" s="455">
        <v>46132</v>
      </c>
      <c r="K664" s="455">
        <v>46132</v>
      </c>
      <c r="U664" s="455">
        <v>46174</v>
      </c>
    </row>
    <row r="665" spans="1:21">
      <c r="A665" t="s">
        <v>1751</v>
      </c>
      <c r="B665" t="s">
        <v>9224</v>
      </c>
      <c r="C665" t="s">
        <v>1751</v>
      </c>
      <c r="D665">
        <v>20476234</v>
      </c>
      <c r="E665" t="s">
        <v>3190</v>
      </c>
      <c r="F665" t="s">
        <v>1799</v>
      </c>
      <c r="G665" t="s">
        <v>3129</v>
      </c>
      <c r="H665" t="s">
        <v>3131</v>
      </c>
      <c r="J665" s="455">
        <v>46100</v>
      </c>
      <c r="R665" s="455">
        <v>46114</v>
      </c>
      <c r="U665" s="455">
        <v>46116</v>
      </c>
    </row>
    <row r="666" spans="1:21">
      <c r="A666" t="s">
        <v>1751</v>
      </c>
      <c r="B666" t="s">
        <v>9777</v>
      </c>
      <c r="C666" t="s">
        <v>1751</v>
      </c>
      <c r="D666">
        <v>20507611</v>
      </c>
      <c r="E666" t="s">
        <v>3128</v>
      </c>
      <c r="F666" t="s">
        <v>1782</v>
      </c>
      <c r="G666" t="s">
        <v>3134</v>
      </c>
      <c r="H666" t="s">
        <v>3165</v>
      </c>
      <c r="J666" s="455">
        <v>46135</v>
      </c>
      <c r="U666" s="455">
        <v>46136</v>
      </c>
    </row>
    <row r="667" spans="1:21">
      <c r="A667" t="s">
        <v>1751</v>
      </c>
      <c r="B667" t="s">
        <v>9225</v>
      </c>
      <c r="C667" t="s">
        <v>1751</v>
      </c>
      <c r="D667">
        <v>20480409</v>
      </c>
      <c r="E667" t="s">
        <v>3190</v>
      </c>
      <c r="F667" t="s">
        <v>1241</v>
      </c>
      <c r="G667" t="s">
        <v>3134</v>
      </c>
      <c r="H667" t="s">
        <v>1252</v>
      </c>
      <c r="J667" s="455">
        <v>46107</v>
      </c>
      <c r="R667" s="455">
        <v>46114</v>
      </c>
      <c r="U667" s="455">
        <v>46108</v>
      </c>
    </row>
    <row r="668" spans="1:21">
      <c r="A668" t="s">
        <v>1751</v>
      </c>
      <c r="B668" t="s">
        <v>9778</v>
      </c>
      <c r="C668" t="s">
        <v>1751</v>
      </c>
      <c r="D668">
        <v>20499182</v>
      </c>
      <c r="E668" t="s">
        <v>3128</v>
      </c>
      <c r="F668" t="s">
        <v>1782</v>
      </c>
      <c r="G668" t="s">
        <v>3137</v>
      </c>
      <c r="H668" t="s">
        <v>1252</v>
      </c>
      <c r="J668" s="455">
        <v>46129</v>
      </c>
      <c r="U668" s="455">
        <v>46179</v>
      </c>
    </row>
    <row r="669" spans="1:21">
      <c r="A669" t="s">
        <v>1751</v>
      </c>
      <c r="B669" t="s">
        <v>9226</v>
      </c>
      <c r="C669" t="s">
        <v>1751</v>
      </c>
      <c r="D669">
        <v>20478793</v>
      </c>
      <c r="E669" t="s">
        <v>3190</v>
      </c>
      <c r="F669" t="s">
        <v>1782</v>
      </c>
      <c r="G669" t="s">
        <v>3134</v>
      </c>
      <c r="H669" t="s">
        <v>1252</v>
      </c>
      <c r="J669" s="455">
        <v>46105</v>
      </c>
      <c r="R669" s="455">
        <v>46114</v>
      </c>
      <c r="U669" s="455">
        <v>46113</v>
      </c>
    </row>
    <row r="670" spans="1:21">
      <c r="A670" t="s">
        <v>1751</v>
      </c>
      <c r="B670" t="s">
        <v>9227</v>
      </c>
      <c r="C670" t="s">
        <v>1751</v>
      </c>
      <c r="D670">
        <v>20472068</v>
      </c>
      <c r="E670" t="s">
        <v>3190</v>
      </c>
      <c r="F670" t="s">
        <v>1241</v>
      </c>
      <c r="G670" t="s">
        <v>3141</v>
      </c>
      <c r="H670" t="s">
        <v>1247</v>
      </c>
      <c r="J670" s="455">
        <v>46096</v>
      </c>
      <c r="R670" s="455">
        <v>46114</v>
      </c>
      <c r="U670" s="455">
        <v>46113</v>
      </c>
    </row>
    <row r="671" spans="1:21">
      <c r="A671" t="s">
        <v>1751</v>
      </c>
      <c r="B671" t="s">
        <v>8793</v>
      </c>
      <c r="C671" t="s">
        <v>1751</v>
      </c>
      <c r="D671">
        <v>20448297</v>
      </c>
      <c r="E671" t="s">
        <v>3190</v>
      </c>
      <c r="F671" t="s">
        <v>1241</v>
      </c>
      <c r="G671" t="s">
        <v>3129</v>
      </c>
      <c r="H671" t="s">
        <v>3131</v>
      </c>
      <c r="J671" s="455">
        <v>46066</v>
      </c>
      <c r="R671" s="455">
        <v>46114</v>
      </c>
      <c r="U671" s="455">
        <v>46066</v>
      </c>
    </row>
    <row r="672" spans="1:21">
      <c r="A672" t="s">
        <v>1751</v>
      </c>
      <c r="B672" t="s">
        <v>9228</v>
      </c>
      <c r="C672" t="s">
        <v>1751</v>
      </c>
      <c r="D672">
        <v>20479321</v>
      </c>
      <c r="E672" t="s">
        <v>3190</v>
      </c>
      <c r="F672" t="s">
        <v>1241</v>
      </c>
      <c r="G672" t="s">
        <v>3141</v>
      </c>
      <c r="H672" t="s">
        <v>1248</v>
      </c>
      <c r="J672" s="455">
        <v>46105</v>
      </c>
      <c r="R672" s="455">
        <v>46114</v>
      </c>
      <c r="U672" s="455">
        <v>46105</v>
      </c>
    </row>
    <row r="673" spans="1:21">
      <c r="A673" t="s">
        <v>1751</v>
      </c>
      <c r="B673" t="s">
        <v>3573</v>
      </c>
      <c r="C673" t="s">
        <v>1751</v>
      </c>
      <c r="D673">
        <v>20461497</v>
      </c>
      <c r="E673" t="s">
        <v>3190</v>
      </c>
      <c r="F673" t="s">
        <v>1782</v>
      </c>
      <c r="G673" t="s">
        <v>3141</v>
      </c>
      <c r="H673" t="s">
        <v>1248</v>
      </c>
      <c r="J673" s="455">
        <v>46084</v>
      </c>
      <c r="R673" s="455">
        <v>46114</v>
      </c>
      <c r="U673" s="455">
        <v>46115</v>
      </c>
    </row>
    <row r="674" spans="1:21">
      <c r="A674" t="s">
        <v>1751</v>
      </c>
      <c r="B674" t="s">
        <v>9779</v>
      </c>
      <c r="C674" t="s">
        <v>1751</v>
      </c>
      <c r="D674">
        <v>20418287</v>
      </c>
      <c r="E674" t="s">
        <v>3133</v>
      </c>
      <c r="F674" t="s">
        <v>1799</v>
      </c>
      <c r="G674" t="s">
        <v>3134</v>
      </c>
      <c r="H674" t="s">
        <v>1247</v>
      </c>
      <c r="J674" s="455">
        <v>46027</v>
      </c>
      <c r="K674" s="455">
        <v>46027</v>
      </c>
      <c r="R674" s="455">
        <v>46114</v>
      </c>
      <c r="U674" s="455">
        <v>46027</v>
      </c>
    </row>
    <row r="675" spans="1:21">
      <c r="A675" t="s">
        <v>1751</v>
      </c>
      <c r="B675" t="s">
        <v>9780</v>
      </c>
      <c r="C675" t="s">
        <v>1751</v>
      </c>
      <c r="D675">
        <v>20409979</v>
      </c>
      <c r="E675" t="s">
        <v>3190</v>
      </c>
      <c r="F675" t="s">
        <v>1238</v>
      </c>
      <c r="G675" t="s">
        <v>3143</v>
      </c>
      <c r="H675" t="s">
        <v>1248</v>
      </c>
      <c r="J675" s="455">
        <v>46010</v>
      </c>
      <c r="R675" s="455">
        <v>46114</v>
      </c>
      <c r="U675" s="455">
        <v>46085</v>
      </c>
    </row>
    <row r="676" spans="1:21">
      <c r="A676" t="s">
        <v>1751</v>
      </c>
      <c r="B676" t="s">
        <v>8794</v>
      </c>
      <c r="C676" t="s">
        <v>1751</v>
      </c>
      <c r="D676">
        <v>20441592</v>
      </c>
      <c r="E676" t="s">
        <v>3190</v>
      </c>
      <c r="F676" t="s">
        <v>1241</v>
      </c>
      <c r="G676" t="s">
        <v>3129</v>
      </c>
      <c r="H676" t="s">
        <v>1253</v>
      </c>
      <c r="J676" s="455">
        <v>46058</v>
      </c>
      <c r="R676" s="455">
        <v>46114</v>
      </c>
      <c r="U676" s="455">
        <v>46112</v>
      </c>
    </row>
    <row r="677" spans="1:21">
      <c r="A677" t="s">
        <v>1751</v>
      </c>
      <c r="B677" t="s">
        <v>3577</v>
      </c>
      <c r="C677" t="s">
        <v>1751</v>
      </c>
      <c r="D677">
        <v>20498307</v>
      </c>
      <c r="E677" t="s">
        <v>3190</v>
      </c>
      <c r="F677" t="s">
        <v>3158</v>
      </c>
      <c r="G677" t="s">
        <v>3143</v>
      </c>
      <c r="H677" t="s">
        <v>1248</v>
      </c>
      <c r="J677" s="455">
        <v>46128</v>
      </c>
      <c r="K677" s="455">
        <v>46128</v>
      </c>
      <c r="R677" s="455">
        <v>46130</v>
      </c>
      <c r="U677" s="455">
        <v>46158</v>
      </c>
    </row>
    <row r="678" spans="1:21">
      <c r="A678" t="s">
        <v>1751</v>
      </c>
      <c r="B678" t="s">
        <v>3577</v>
      </c>
      <c r="C678" t="s">
        <v>1751</v>
      </c>
      <c r="D678">
        <v>20498331</v>
      </c>
      <c r="E678" t="s">
        <v>3133</v>
      </c>
      <c r="F678" t="s">
        <v>3158</v>
      </c>
      <c r="G678" t="s">
        <v>3134</v>
      </c>
      <c r="H678" t="s">
        <v>1247</v>
      </c>
      <c r="I678" t="s">
        <v>1834</v>
      </c>
      <c r="J678" s="455">
        <v>46128</v>
      </c>
      <c r="K678" s="455">
        <v>46128</v>
      </c>
      <c r="L678" s="455">
        <v>46128</v>
      </c>
      <c r="R678" s="455">
        <v>46135</v>
      </c>
      <c r="U678" s="455">
        <v>46158</v>
      </c>
    </row>
    <row r="679" spans="1:21">
      <c r="A679" t="s">
        <v>1751</v>
      </c>
      <c r="B679" t="s">
        <v>9781</v>
      </c>
      <c r="C679" t="s">
        <v>1751</v>
      </c>
      <c r="D679">
        <v>20493193</v>
      </c>
      <c r="E679" t="s">
        <v>3190</v>
      </c>
      <c r="F679" t="s">
        <v>1241</v>
      </c>
      <c r="G679" t="s">
        <v>3143</v>
      </c>
      <c r="H679" t="s">
        <v>1247</v>
      </c>
      <c r="I679" t="s">
        <v>3303</v>
      </c>
      <c r="J679" s="455">
        <v>46125</v>
      </c>
      <c r="R679" s="455">
        <v>46130</v>
      </c>
      <c r="U679" s="455">
        <v>46136</v>
      </c>
    </row>
    <row r="680" spans="1:21">
      <c r="A680" t="s">
        <v>1751</v>
      </c>
      <c r="B680" t="s">
        <v>9782</v>
      </c>
      <c r="C680" t="s">
        <v>1751</v>
      </c>
      <c r="D680">
        <v>20410496</v>
      </c>
      <c r="E680" t="s">
        <v>3190</v>
      </c>
      <c r="F680" t="s">
        <v>1241</v>
      </c>
      <c r="G680" t="s">
        <v>3129</v>
      </c>
      <c r="H680" t="s">
        <v>1253</v>
      </c>
      <c r="J680" s="455">
        <v>46011</v>
      </c>
      <c r="R680" s="455">
        <v>46114</v>
      </c>
      <c r="U680" s="455">
        <v>46011</v>
      </c>
    </row>
    <row r="681" spans="1:21">
      <c r="A681" t="s">
        <v>1751</v>
      </c>
      <c r="B681" t="s">
        <v>8795</v>
      </c>
      <c r="C681" t="s">
        <v>1751</v>
      </c>
      <c r="D681">
        <v>20448539</v>
      </c>
      <c r="E681" t="s">
        <v>3190</v>
      </c>
      <c r="F681" t="s">
        <v>1241</v>
      </c>
      <c r="G681" t="s">
        <v>3141</v>
      </c>
      <c r="H681" t="s">
        <v>1251</v>
      </c>
      <c r="J681" s="455">
        <v>46066</v>
      </c>
      <c r="R681" s="455">
        <v>46114</v>
      </c>
      <c r="U681" s="455">
        <v>46113</v>
      </c>
    </row>
    <row r="682" spans="1:21">
      <c r="A682" t="s">
        <v>1751</v>
      </c>
      <c r="B682" t="s">
        <v>8796</v>
      </c>
      <c r="C682" t="s">
        <v>1751</v>
      </c>
      <c r="D682">
        <v>20443523</v>
      </c>
      <c r="E682" t="s">
        <v>3133</v>
      </c>
      <c r="F682" t="s">
        <v>1239</v>
      </c>
      <c r="G682" t="s">
        <v>3134</v>
      </c>
      <c r="H682" t="s">
        <v>1247</v>
      </c>
      <c r="J682" s="455">
        <v>46062</v>
      </c>
      <c r="K682" s="455">
        <v>46062</v>
      </c>
      <c r="R682" s="455">
        <v>46114</v>
      </c>
      <c r="U682" s="455">
        <v>46062</v>
      </c>
    </row>
    <row r="683" spans="1:21">
      <c r="A683" t="s">
        <v>1751</v>
      </c>
      <c r="B683" t="s">
        <v>8796</v>
      </c>
      <c r="C683" t="s">
        <v>1751</v>
      </c>
      <c r="D683">
        <v>20443511</v>
      </c>
      <c r="E683" t="s">
        <v>3133</v>
      </c>
      <c r="F683" t="s">
        <v>1799</v>
      </c>
      <c r="G683" t="s">
        <v>3129</v>
      </c>
      <c r="H683" t="s">
        <v>1252</v>
      </c>
      <c r="J683" s="455">
        <v>46062</v>
      </c>
      <c r="K683" s="455">
        <v>46062</v>
      </c>
      <c r="R683" s="455">
        <v>46114</v>
      </c>
      <c r="U683" s="455">
        <v>46062</v>
      </c>
    </row>
    <row r="684" spans="1:21">
      <c r="A684" t="s">
        <v>1751</v>
      </c>
      <c r="B684" t="s">
        <v>9783</v>
      </c>
      <c r="C684" t="s">
        <v>1751</v>
      </c>
      <c r="D684">
        <v>20512356</v>
      </c>
      <c r="E684" t="s">
        <v>3128</v>
      </c>
      <c r="F684" t="s">
        <v>1782</v>
      </c>
      <c r="G684" t="s">
        <v>3141</v>
      </c>
      <c r="H684" t="s">
        <v>1247</v>
      </c>
      <c r="J684" s="455">
        <v>46140</v>
      </c>
      <c r="U684" s="455">
        <v>46140</v>
      </c>
    </row>
    <row r="685" spans="1:21">
      <c r="A685" t="s">
        <v>1751</v>
      </c>
      <c r="B685" t="s">
        <v>4561</v>
      </c>
      <c r="C685" t="s">
        <v>1751</v>
      </c>
      <c r="D685">
        <v>20480119</v>
      </c>
      <c r="E685" t="s">
        <v>3190</v>
      </c>
      <c r="F685" t="s">
        <v>1782</v>
      </c>
      <c r="G685" t="s">
        <v>3134</v>
      </c>
      <c r="H685" t="s">
        <v>1252</v>
      </c>
      <c r="J685" s="455">
        <v>46106</v>
      </c>
      <c r="R685" s="455">
        <v>46114</v>
      </c>
      <c r="U685" s="455">
        <v>46143</v>
      </c>
    </row>
    <row r="686" spans="1:21">
      <c r="A686" t="s">
        <v>1751</v>
      </c>
      <c r="B686" t="s">
        <v>8797</v>
      </c>
      <c r="C686" t="s">
        <v>1751</v>
      </c>
      <c r="D686">
        <v>20457540</v>
      </c>
      <c r="E686" t="s">
        <v>3190</v>
      </c>
      <c r="F686" t="s">
        <v>1237</v>
      </c>
      <c r="G686" t="s">
        <v>3143</v>
      </c>
      <c r="H686" t="s">
        <v>1248</v>
      </c>
      <c r="J686" s="455">
        <v>46078</v>
      </c>
      <c r="R686" s="455">
        <v>46114</v>
      </c>
      <c r="U686" s="455">
        <v>46078</v>
      </c>
    </row>
    <row r="687" spans="1:21">
      <c r="A687" t="s">
        <v>1751</v>
      </c>
      <c r="B687" t="s">
        <v>9784</v>
      </c>
      <c r="C687" t="s">
        <v>1751</v>
      </c>
      <c r="D687">
        <v>20493600</v>
      </c>
      <c r="E687" t="s">
        <v>3190</v>
      </c>
      <c r="F687" t="s">
        <v>1241</v>
      </c>
      <c r="G687" t="s">
        <v>3134</v>
      </c>
      <c r="H687" t="s">
        <v>1252</v>
      </c>
      <c r="J687" s="455">
        <v>46125</v>
      </c>
      <c r="R687" s="455">
        <v>46139</v>
      </c>
      <c r="U687" s="455">
        <v>46132</v>
      </c>
    </row>
    <row r="688" spans="1:21">
      <c r="A688" t="s">
        <v>1751</v>
      </c>
      <c r="B688" t="s">
        <v>9785</v>
      </c>
      <c r="C688" t="s">
        <v>1751</v>
      </c>
      <c r="D688">
        <v>20428399</v>
      </c>
      <c r="E688" t="s">
        <v>3190</v>
      </c>
      <c r="F688" t="s">
        <v>1241</v>
      </c>
      <c r="G688" t="s">
        <v>3137</v>
      </c>
      <c r="H688" t="s">
        <v>1247</v>
      </c>
      <c r="J688" s="455">
        <v>46037</v>
      </c>
      <c r="R688" s="455">
        <v>46139</v>
      </c>
      <c r="U688" s="455">
        <v>46037</v>
      </c>
    </row>
    <row r="689" spans="1:21">
      <c r="A689" t="s">
        <v>1751</v>
      </c>
      <c r="B689" t="s">
        <v>3583</v>
      </c>
      <c r="C689" t="s">
        <v>1751</v>
      </c>
      <c r="D689">
        <v>20497217</v>
      </c>
      <c r="E689" t="s">
        <v>1897</v>
      </c>
      <c r="F689" t="s">
        <v>1242</v>
      </c>
      <c r="G689" t="s">
        <v>3134</v>
      </c>
      <c r="H689" t="s">
        <v>1247</v>
      </c>
      <c r="I689" t="s">
        <v>1903</v>
      </c>
      <c r="J689" s="455">
        <v>46128</v>
      </c>
      <c r="K689" s="455">
        <v>46128</v>
      </c>
      <c r="U689" s="455">
        <v>46144</v>
      </c>
    </row>
    <row r="690" spans="1:21">
      <c r="A690" t="s">
        <v>1751</v>
      </c>
      <c r="B690" t="s">
        <v>9229</v>
      </c>
      <c r="C690" t="s">
        <v>1751</v>
      </c>
      <c r="D690">
        <v>20465460</v>
      </c>
      <c r="E690" t="s">
        <v>3190</v>
      </c>
      <c r="F690" t="s">
        <v>1241</v>
      </c>
      <c r="G690" t="s">
        <v>3129</v>
      </c>
      <c r="H690" t="s">
        <v>1252</v>
      </c>
      <c r="J690" s="455">
        <v>46090</v>
      </c>
      <c r="R690" s="455">
        <v>46114</v>
      </c>
      <c r="U690" s="455">
        <v>46090</v>
      </c>
    </row>
    <row r="691" spans="1:21">
      <c r="A691" t="s">
        <v>1751</v>
      </c>
      <c r="B691" t="s">
        <v>3584</v>
      </c>
      <c r="C691" t="s">
        <v>1751</v>
      </c>
      <c r="D691">
        <v>20507837</v>
      </c>
      <c r="E691" t="s">
        <v>3133</v>
      </c>
      <c r="F691" t="s">
        <v>1238</v>
      </c>
      <c r="G691" t="s">
        <v>3134</v>
      </c>
      <c r="H691" t="s">
        <v>1247</v>
      </c>
      <c r="I691" t="s">
        <v>1570</v>
      </c>
      <c r="J691" s="455">
        <v>46135</v>
      </c>
      <c r="K691" s="455">
        <v>46135</v>
      </c>
      <c r="R691" s="455">
        <v>46137</v>
      </c>
      <c r="U691" s="455">
        <v>46135</v>
      </c>
    </row>
    <row r="692" spans="1:21">
      <c r="A692" t="s">
        <v>1751</v>
      </c>
      <c r="B692" t="s">
        <v>3584</v>
      </c>
      <c r="C692" t="s">
        <v>1751</v>
      </c>
      <c r="D692">
        <v>20505687</v>
      </c>
      <c r="E692" t="s">
        <v>1897</v>
      </c>
      <c r="F692" t="s">
        <v>1782</v>
      </c>
      <c r="G692" t="s">
        <v>3137</v>
      </c>
      <c r="H692" t="s">
        <v>1252</v>
      </c>
      <c r="I692" t="s">
        <v>1818</v>
      </c>
      <c r="J692" s="455">
        <v>46134</v>
      </c>
      <c r="K692" s="455">
        <v>46135</v>
      </c>
      <c r="U692" s="455">
        <v>46146</v>
      </c>
    </row>
    <row r="693" spans="1:21">
      <c r="A693" t="s">
        <v>1751</v>
      </c>
      <c r="B693" t="s">
        <v>3589</v>
      </c>
      <c r="C693" t="s">
        <v>1751</v>
      </c>
      <c r="D693">
        <v>20510689</v>
      </c>
      <c r="E693" t="s">
        <v>1897</v>
      </c>
      <c r="F693" t="s">
        <v>1912</v>
      </c>
      <c r="G693" t="s">
        <v>3134</v>
      </c>
      <c r="H693" t="s">
        <v>1247</v>
      </c>
      <c r="I693" t="s">
        <v>1950</v>
      </c>
      <c r="J693" s="455">
        <v>46139</v>
      </c>
      <c r="K693" s="455">
        <v>46139</v>
      </c>
      <c r="U693" s="455">
        <v>46139</v>
      </c>
    </row>
    <row r="694" spans="1:21">
      <c r="A694" t="s">
        <v>1751</v>
      </c>
      <c r="B694" t="s">
        <v>9786</v>
      </c>
      <c r="C694" t="s">
        <v>1751</v>
      </c>
      <c r="D694">
        <v>20410647</v>
      </c>
      <c r="E694" t="s">
        <v>3190</v>
      </c>
      <c r="F694" t="s">
        <v>1782</v>
      </c>
      <c r="G694" t="s">
        <v>3129</v>
      </c>
      <c r="H694" t="s">
        <v>1252</v>
      </c>
      <c r="J694" s="455">
        <v>46011</v>
      </c>
      <c r="R694" s="455">
        <v>46114</v>
      </c>
      <c r="U694" s="455">
        <v>46011</v>
      </c>
    </row>
    <row r="695" spans="1:21">
      <c r="A695" t="s">
        <v>1751</v>
      </c>
      <c r="B695" t="s">
        <v>9787</v>
      </c>
      <c r="C695" t="s">
        <v>1751</v>
      </c>
      <c r="D695">
        <v>20418683</v>
      </c>
      <c r="E695" t="s">
        <v>3190</v>
      </c>
      <c r="F695" t="s">
        <v>1238</v>
      </c>
      <c r="G695" t="s">
        <v>3143</v>
      </c>
      <c r="H695" t="s">
        <v>1252</v>
      </c>
      <c r="J695" s="455">
        <v>46027</v>
      </c>
      <c r="R695" s="455">
        <v>46114</v>
      </c>
      <c r="U695" s="455">
        <v>46027</v>
      </c>
    </row>
    <row r="696" spans="1:21">
      <c r="A696" t="s">
        <v>1751</v>
      </c>
      <c r="B696" t="s">
        <v>9788</v>
      </c>
      <c r="C696" t="s">
        <v>1751</v>
      </c>
      <c r="D696">
        <v>20492241</v>
      </c>
      <c r="E696" t="s">
        <v>3190</v>
      </c>
      <c r="F696" t="s">
        <v>1241</v>
      </c>
      <c r="G696" t="s">
        <v>3134</v>
      </c>
      <c r="H696" t="s">
        <v>1252</v>
      </c>
      <c r="J696" s="455">
        <v>46123</v>
      </c>
      <c r="R696" s="455">
        <v>46139</v>
      </c>
      <c r="U696" s="455">
        <v>46213</v>
      </c>
    </row>
    <row r="697" spans="1:21">
      <c r="A697" t="s">
        <v>1751</v>
      </c>
      <c r="B697" t="s">
        <v>8798</v>
      </c>
      <c r="C697" t="s">
        <v>1751</v>
      </c>
      <c r="D697">
        <v>20450048</v>
      </c>
      <c r="E697" t="s">
        <v>3190</v>
      </c>
      <c r="F697" t="s">
        <v>1782</v>
      </c>
      <c r="G697" t="s">
        <v>3141</v>
      </c>
      <c r="H697" t="s">
        <v>1247</v>
      </c>
      <c r="J697" s="455">
        <v>46069</v>
      </c>
      <c r="R697" s="455">
        <v>46114</v>
      </c>
      <c r="U697" s="455">
        <v>46070</v>
      </c>
    </row>
    <row r="698" spans="1:21">
      <c r="A698" t="s">
        <v>1751</v>
      </c>
      <c r="B698" t="s">
        <v>9789</v>
      </c>
      <c r="C698" t="s">
        <v>1751</v>
      </c>
      <c r="D698">
        <v>20429196</v>
      </c>
      <c r="E698" t="s">
        <v>3190</v>
      </c>
      <c r="F698" t="s">
        <v>1241</v>
      </c>
      <c r="G698" t="s">
        <v>3137</v>
      </c>
      <c r="H698" t="s">
        <v>1251</v>
      </c>
      <c r="J698" s="455">
        <v>46038</v>
      </c>
      <c r="R698" s="455">
        <v>46114</v>
      </c>
      <c r="U698" s="455">
        <v>46068</v>
      </c>
    </row>
    <row r="699" spans="1:21">
      <c r="A699" t="s">
        <v>1751</v>
      </c>
      <c r="B699" t="s">
        <v>9790</v>
      </c>
      <c r="C699" t="s">
        <v>1751</v>
      </c>
      <c r="D699">
        <v>20512850</v>
      </c>
      <c r="E699" t="s">
        <v>3128</v>
      </c>
      <c r="F699" t="s">
        <v>1242</v>
      </c>
      <c r="G699" t="s">
        <v>3129</v>
      </c>
      <c r="H699" t="s">
        <v>1248</v>
      </c>
      <c r="J699" s="455">
        <v>46141</v>
      </c>
      <c r="U699" s="455">
        <v>46150</v>
      </c>
    </row>
    <row r="700" spans="1:21">
      <c r="A700" t="s">
        <v>1751</v>
      </c>
      <c r="B700" t="s">
        <v>9230</v>
      </c>
      <c r="C700" t="s">
        <v>1751</v>
      </c>
      <c r="D700">
        <v>20482315</v>
      </c>
      <c r="E700" t="s">
        <v>3133</v>
      </c>
      <c r="F700" t="s">
        <v>1912</v>
      </c>
      <c r="G700" t="s">
        <v>3134</v>
      </c>
      <c r="H700" t="s">
        <v>1247</v>
      </c>
      <c r="I700" t="s">
        <v>3055</v>
      </c>
      <c r="J700" s="455">
        <v>46109</v>
      </c>
      <c r="K700" s="455">
        <v>46109</v>
      </c>
      <c r="R700" s="455">
        <v>46114</v>
      </c>
      <c r="U700" s="455">
        <v>46109</v>
      </c>
    </row>
    <row r="701" spans="1:21">
      <c r="A701" t="s">
        <v>1751</v>
      </c>
      <c r="B701" t="s">
        <v>9791</v>
      </c>
      <c r="C701" t="s">
        <v>1751</v>
      </c>
      <c r="D701">
        <v>20504181</v>
      </c>
      <c r="E701" t="s">
        <v>3128</v>
      </c>
      <c r="F701" t="s">
        <v>1782</v>
      </c>
      <c r="G701" t="s">
        <v>3134</v>
      </c>
      <c r="H701" t="s">
        <v>1252</v>
      </c>
      <c r="J701" s="455">
        <v>46132</v>
      </c>
      <c r="U701" s="455">
        <v>46139</v>
      </c>
    </row>
    <row r="702" spans="1:21">
      <c r="A702" t="s">
        <v>1751</v>
      </c>
      <c r="B702" t="s">
        <v>9792</v>
      </c>
      <c r="C702" t="s">
        <v>1751</v>
      </c>
      <c r="D702">
        <v>20505666</v>
      </c>
      <c r="E702" t="s">
        <v>3133</v>
      </c>
      <c r="F702" t="s">
        <v>1243</v>
      </c>
      <c r="G702" t="s">
        <v>3134</v>
      </c>
      <c r="H702" t="s">
        <v>1247</v>
      </c>
      <c r="I702" t="s">
        <v>1554</v>
      </c>
      <c r="J702" s="455">
        <v>46134</v>
      </c>
      <c r="K702" s="455">
        <v>46134</v>
      </c>
      <c r="R702" s="455">
        <v>46137</v>
      </c>
      <c r="U702" s="455">
        <v>46134</v>
      </c>
    </row>
    <row r="703" spans="1:21">
      <c r="A703" t="s">
        <v>1751</v>
      </c>
      <c r="B703" t="s">
        <v>9792</v>
      </c>
      <c r="C703" t="s">
        <v>1751</v>
      </c>
      <c r="D703">
        <v>20505670</v>
      </c>
      <c r="E703" t="s">
        <v>3133</v>
      </c>
      <c r="F703" t="s">
        <v>1782</v>
      </c>
      <c r="G703" t="s">
        <v>3134</v>
      </c>
      <c r="H703" t="s">
        <v>1247</v>
      </c>
      <c r="I703" t="s">
        <v>3262</v>
      </c>
      <c r="J703" s="455">
        <v>46134</v>
      </c>
      <c r="K703" s="455">
        <v>46134</v>
      </c>
      <c r="R703" s="455">
        <v>46134</v>
      </c>
      <c r="U703" s="455">
        <v>46134</v>
      </c>
    </row>
    <row r="704" spans="1:21">
      <c r="A704" t="s">
        <v>1751</v>
      </c>
      <c r="B704" t="s">
        <v>9792</v>
      </c>
      <c r="C704" t="s">
        <v>1751</v>
      </c>
      <c r="D704">
        <v>20505693</v>
      </c>
      <c r="E704" t="s">
        <v>3133</v>
      </c>
      <c r="F704" t="s">
        <v>1243</v>
      </c>
      <c r="G704" t="s">
        <v>3134</v>
      </c>
      <c r="H704" t="s">
        <v>1247</v>
      </c>
      <c r="I704" t="s">
        <v>1554</v>
      </c>
      <c r="J704" s="455">
        <v>46134</v>
      </c>
      <c r="K704" s="455">
        <v>46134</v>
      </c>
      <c r="L704" s="455">
        <v>46134</v>
      </c>
      <c r="S704" s="455">
        <v>46135</v>
      </c>
      <c r="U704" s="455">
        <v>46142</v>
      </c>
    </row>
    <row r="705" spans="1:21">
      <c r="A705" t="s">
        <v>1751</v>
      </c>
      <c r="B705" t="s">
        <v>9793</v>
      </c>
      <c r="C705" t="s">
        <v>1751</v>
      </c>
      <c r="D705">
        <v>20494492</v>
      </c>
      <c r="E705" t="s">
        <v>3190</v>
      </c>
      <c r="F705" t="s">
        <v>1241</v>
      </c>
      <c r="G705" t="s">
        <v>3134</v>
      </c>
      <c r="H705" t="s">
        <v>3165</v>
      </c>
      <c r="J705" s="455">
        <v>46126</v>
      </c>
      <c r="R705" s="455">
        <v>46139</v>
      </c>
      <c r="U705" s="455">
        <v>46127</v>
      </c>
    </row>
    <row r="706" spans="1:21">
      <c r="A706" t="s">
        <v>1751</v>
      </c>
      <c r="B706" t="s">
        <v>9794</v>
      </c>
      <c r="C706" t="s">
        <v>1751</v>
      </c>
      <c r="D706">
        <v>20426517</v>
      </c>
      <c r="E706" t="s">
        <v>3190</v>
      </c>
      <c r="F706" t="s">
        <v>1782</v>
      </c>
      <c r="G706" t="s">
        <v>2009</v>
      </c>
      <c r="H706" t="s">
        <v>1251</v>
      </c>
      <c r="J706" s="455">
        <v>46037</v>
      </c>
      <c r="R706" s="455">
        <v>46114</v>
      </c>
      <c r="U706" s="455">
        <v>46037</v>
      </c>
    </row>
    <row r="707" spans="1:21">
      <c r="A707" t="s">
        <v>1751</v>
      </c>
      <c r="B707" t="s">
        <v>9795</v>
      </c>
      <c r="C707" t="s">
        <v>1751</v>
      </c>
      <c r="D707">
        <v>20428823</v>
      </c>
      <c r="E707" t="s">
        <v>3190</v>
      </c>
      <c r="F707" t="s">
        <v>1782</v>
      </c>
      <c r="G707" t="s">
        <v>3129</v>
      </c>
      <c r="H707" t="s">
        <v>3131</v>
      </c>
      <c r="J707" s="455">
        <v>46038</v>
      </c>
      <c r="R707" s="455">
        <v>46114</v>
      </c>
      <c r="U707" s="455">
        <v>46038</v>
      </c>
    </row>
    <row r="708" spans="1:21">
      <c r="A708" t="s">
        <v>1751</v>
      </c>
      <c r="B708" t="s">
        <v>9796</v>
      </c>
      <c r="C708" t="s">
        <v>1751</v>
      </c>
      <c r="D708">
        <v>20437531</v>
      </c>
      <c r="E708" t="s">
        <v>3190</v>
      </c>
      <c r="F708" t="s">
        <v>1241</v>
      </c>
      <c r="G708" t="s">
        <v>3143</v>
      </c>
      <c r="H708" t="s">
        <v>1248</v>
      </c>
      <c r="J708" s="455">
        <v>46052</v>
      </c>
      <c r="R708" s="455">
        <v>46114</v>
      </c>
      <c r="U708" s="455">
        <v>46052</v>
      </c>
    </row>
    <row r="709" spans="1:21">
      <c r="A709" t="s">
        <v>1751</v>
      </c>
      <c r="B709" t="s">
        <v>8800</v>
      </c>
      <c r="C709" t="s">
        <v>1751</v>
      </c>
      <c r="D709">
        <v>20457003</v>
      </c>
      <c r="E709" t="s">
        <v>3190</v>
      </c>
      <c r="F709" t="s">
        <v>1241</v>
      </c>
      <c r="G709" t="s">
        <v>3129</v>
      </c>
      <c r="H709" t="s">
        <v>3131</v>
      </c>
      <c r="J709" s="455">
        <v>46077</v>
      </c>
      <c r="R709" s="455">
        <v>46114</v>
      </c>
      <c r="U709" s="455">
        <v>46077</v>
      </c>
    </row>
    <row r="710" spans="1:21">
      <c r="A710" t="s">
        <v>1751</v>
      </c>
      <c r="B710" t="s">
        <v>8800</v>
      </c>
      <c r="C710" t="s">
        <v>1751</v>
      </c>
      <c r="D710">
        <v>20424126</v>
      </c>
      <c r="E710" t="s">
        <v>3190</v>
      </c>
      <c r="F710" t="s">
        <v>1241</v>
      </c>
      <c r="G710" t="s">
        <v>3129</v>
      </c>
      <c r="H710" t="s">
        <v>3131</v>
      </c>
      <c r="J710" s="455">
        <v>46035</v>
      </c>
      <c r="R710" s="455">
        <v>46114</v>
      </c>
      <c r="U710" s="455">
        <v>46035</v>
      </c>
    </row>
    <row r="711" spans="1:21">
      <c r="A711" t="s">
        <v>1751</v>
      </c>
      <c r="B711" t="s">
        <v>9231</v>
      </c>
      <c r="C711" t="s">
        <v>1751</v>
      </c>
      <c r="D711">
        <v>20464167</v>
      </c>
      <c r="E711" t="s">
        <v>3190</v>
      </c>
      <c r="F711" t="s">
        <v>1782</v>
      </c>
      <c r="G711" t="s">
        <v>3141</v>
      </c>
      <c r="H711" t="s">
        <v>1247</v>
      </c>
      <c r="J711" s="455">
        <v>46088</v>
      </c>
      <c r="R711" s="455">
        <v>46114</v>
      </c>
      <c r="U711" s="455">
        <v>46100</v>
      </c>
    </row>
    <row r="712" spans="1:21">
      <c r="A712" t="s">
        <v>1751</v>
      </c>
      <c r="B712" t="s">
        <v>9797</v>
      </c>
      <c r="C712" t="s">
        <v>1751</v>
      </c>
      <c r="D712">
        <v>20416575</v>
      </c>
      <c r="E712" t="s">
        <v>3190</v>
      </c>
      <c r="F712" t="s">
        <v>1241</v>
      </c>
      <c r="G712" t="s">
        <v>3129</v>
      </c>
      <c r="H712" t="s">
        <v>1247</v>
      </c>
      <c r="J712" s="455">
        <v>46024</v>
      </c>
      <c r="R712" s="455">
        <v>46114</v>
      </c>
      <c r="U712" s="455">
        <v>46024</v>
      </c>
    </row>
    <row r="713" spans="1:21">
      <c r="A713" t="s">
        <v>1751</v>
      </c>
      <c r="B713" t="s">
        <v>8801</v>
      </c>
      <c r="C713" t="s">
        <v>1751</v>
      </c>
      <c r="D713">
        <v>20454124</v>
      </c>
      <c r="E713" t="s">
        <v>3190</v>
      </c>
      <c r="F713" t="s">
        <v>1241</v>
      </c>
      <c r="G713" t="s">
        <v>3141</v>
      </c>
      <c r="H713" t="s">
        <v>1247</v>
      </c>
      <c r="J713" s="455">
        <v>46073</v>
      </c>
      <c r="R713" s="455">
        <v>46114</v>
      </c>
      <c r="U713" s="455">
        <v>46082</v>
      </c>
    </row>
    <row r="714" spans="1:21">
      <c r="A714" t="s">
        <v>1751</v>
      </c>
      <c r="B714" t="s">
        <v>3600</v>
      </c>
      <c r="C714" t="s">
        <v>1751</v>
      </c>
      <c r="D714">
        <v>20489133</v>
      </c>
      <c r="E714" t="s">
        <v>1897</v>
      </c>
      <c r="F714" t="s">
        <v>1241</v>
      </c>
      <c r="G714" t="s">
        <v>3134</v>
      </c>
      <c r="H714" t="s">
        <v>1252</v>
      </c>
      <c r="I714" t="s">
        <v>1969</v>
      </c>
      <c r="J714" s="455">
        <v>46119</v>
      </c>
      <c r="K714" s="455">
        <v>46119</v>
      </c>
      <c r="U714" s="455">
        <v>46143</v>
      </c>
    </row>
    <row r="715" spans="1:21">
      <c r="A715" t="s">
        <v>1751</v>
      </c>
      <c r="B715" t="s">
        <v>9798</v>
      </c>
      <c r="C715" t="s">
        <v>1751</v>
      </c>
      <c r="D715">
        <v>20421574</v>
      </c>
      <c r="E715" t="s">
        <v>3190</v>
      </c>
      <c r="F715" t="s">
        <v>1237</v>
      </c>
      <c r="G715" t="s">
        <v>3141</v>
      </c>
      <c r="H715" t="s">
        <v>1252</v>
      </c>
      <c r="I715" t="s">
        <v>1943</v>
      </c>
      <c r="J715" s="455">
        <v>46031</v>
      </c>
      <c r="R715" s="455">
        <v>46114</v>
      </c>
      <c r="U715" s="455">
        <v>46031</v>
      </c>
    </row>
    <row r="716" spans="1:21">
      <c r="A716" t="s">
        <v>1751</v>
      </c>
      <c r="B716" t="s">
        <v>9799</v>
      </c>
      <c r="C716" t="s">
        <v>1751</v>
      </c>
      <c r="D716">
        <v>20505152</v>
      </c>
      <c r="E716" t="s">
        <v>3128</v>
      </c>
      <c r="F716" t="s">
        <v>1242</v>
      </c>
      <c r="G716" t="s">
        <v>2009</v>
      </c>
      <c r="H716" t="s">
        <v>1247</v>
      </c>
      <c r="I716" t="s">
        <v>1952</v>
      </c>
      <c r="J716" s="455">
        <v>46133</v>
      </c>
      <c r="U716" s="455">
        <v>46133</v>
      </c>
    </row>
    <row r="717" spans="1:21">
      <c r="A717" t="s">
        <v>1751</v>
      </c>
      <c r="B717" t="s">
        <v>9232</v>
      </c>
      <c r="C717" t="s">
        <v>1751</v>
      </c>
      <c r="D717">
        <v>20462994</v>
      </c>
      <c r="E717" t="s">
        <v>3190</v>
      </c>
      <c r="F717" t="s">
        <v>1239</v>
      </c>
      <c r="G717" t="s">
        <v>3143</v>
      </c>
      <c r="H717" t="s">
        <v>1251</v>
      </c>
      <c r="J717" s="455">
        <v>46086</v>
      </c>
      <c r="R717" s="455">
        <v>46114</v>
      </c>
      <c r="U717" s="455">
        <v>46095</v>
      </c>
    </row>
    <row r="718" spans="1:21">
      <c r="A718" t="s">
        <v>1751</v>
      </c>
      <c r="B718" t="s">
        <v>9800</v>
      </c>
      <c r="C718" t="s">
        <v>1751</v>
      </c>
      <c r="D718">
        <v>20495353</v>
      </c>
      <c r="E718" t="s">
        <v>3128</v>
      </c>
      <c r="F718" t="s">
        <v>1241</v>
      </c>
      <c r="G718" t="s">
        <v>3134</v>
      </c>
      <c r="H718" t="s">
        <v>1252</v>
      </c>
      <c r="J718" s="455">
        <v>46126</v>
      </c>
      <c r="U718" s="455">
        <v>46176</v>
      </c>
    </row>
    <row r="719" spans="1:21">
      <c r="A719" t="s">
        <v>1751</v>
      </c>
      <c r="B719" t="s">
        <v>9801</v>
      </c>
      <c r="C719" t="s">
        <v>1751</v>
      </c>
      <c r="D719">
        <v>20424987</v>
      </c>
      <c r="E719" t="s">
        <v>3190</v>
      </c>
      <c r="F719" t="s">
        <v>1238</v>
      </c>
      <c r="G719" t="s">
        <v>3143</v>
      </c>
      <c r="H719" t="s">
        <v>1252</v>
      </c>
      <c r="J719" s="455">
        <v>46036</v>
      </c>
      <c r="R719" s="455">
        <v>46114</v>
      </c>
      <c r="U719" s="455">
        <v>46036</v>
      </c>
    </row>
    <row r="720" spans="1:21">
      <c r="A720" t="s">
        <v>1751</v>
      </c>
      <c r="B720" t="s">
        <v>8802</v>
      </c>
      <c r="C720" t="s">
        <v>1751</v>
      </c>
      <c r="D720">
        <v>20441675</v>
      </c>
      <c r="E720" t="s">
        <v>3190</v>
      </c>
      <c r="F720" t="s">
        <v>1237</v>
      </c>
      <c r="G720" t="s">
        <v>2009</v>
      </c>
      <c r="H720" t="s">
        <v>1252</v>
      </c>
      <c r="J720" s="455">
        <v>46058</v>
      </c>
      <c r="R720" s="455">
        <v>46114</v>
      </c>
      <c r="U720" s="455">
        <v>46080</v>
      </c>
    </row>
    <row r="721" spans="1:21">
      <c r="A721" t="s">
        <v>1751</v>
      </c>
      <c r="B721" t="s">
        <v>7178</v>
      </c>
      <c r="C721" t="s">
        <v>1751</v>
      </c>
      <c r="D721">
        <v>20509523</v>
      </c>
      <c r="E721" t="s">
        <v>3133</v>
      </c>
      <c r="F721" t="s">
        <v>1241</v>
      </c>
      <c r="G721" t="s">
        <v>3134</v>
      </c>
      <c r="H721" t="s">
        <v>1247</v>
      </c>
      <c r="I721" t="s">
        <v>1818</v>
      </c>
      <c r="J721" s="455">
        <v>46137</v>
      </c>
      <c r="K721" s="455">
        <v>46137</v>
      </c>
      <c r="R721" s="455">
        <v>46137</v>
      </c>
      <c r="U721" s="455">
        <v>46137</v>
      </c>
    </row>
    <row r="722" spans="1:21">
      <c r="A722" t="s">
        <v>1751</v>
      </c>
      <c r="B722" t="s">
        <v>7178</v>
      </c>
      <c r="C722" t="s">
        <v>1751</v>
      </c>
      <c r="D722">
        <v>20508390</v>
      </c>
      <c r="E722" t="s">
        <v>2011</v>
      </c>
      <c r="F722" t="s">
        <v>1243</v>
      </c>
      <c r="G722" t="s">
        <v>2009</v>
      </c>
      <c r="H722" t="s">
        <v>1247</v>
      </c>
      <c r="I722" t="s">
        <v>1570</v>
      </c>
      <c r="J722" s="455">
        <v>46135</v>
      </c>
      <c r="K722" s="455">
        <v>46137</v>
      </c>
      <c r="L722" s="455">
        <v>46137</v>
      </c>
      <c r="M722" s="455">
        <v>46141</v>
      </c>
      <c r="N722" s="455">
        <v>46141</v>
      </c>
      <c r="O722" s="455">
        <v>46143</v>
      </c>
      <c r="U722" s="455">
        <v>46142</v>
      </c>
    </row>
    <row r="723" spans="1:21">
      <c r="A723" t="s">
        <v>1751</v>
      </c>
      <c r="B723" t="s">
        <v>9802</v>
      </c>
      <c r="C723" t="s">
        <v>1751</v>
      </c>
      <c r="D723">
        <v>20415925</v>
      </c>
      <c r="E723" t="s">
        <v>3133</v>
      </c>
      <c r="F723" t="s">
        <v>1237</v>
      </c>
      <c r="G723" t="s">
        <v>3134</v>
      </c>
      <c r="H723" t="s">
        <v>1247</v>
      </c>
      <c r="J723" s="455">
        <v>46022</v>
      </c>
      <c r="K723" s="455">
        <v>46022</v>
      </c>
      <c r="R723" s="455">
        <v>46114</v>
      </c>
      <c r="U723" s="455">
        <v>46022</v>
      </c>
    </row>
    <row r="724" spans="1:21">
      <c r="A724" t="s">
        <v>1751</v>
      </c>
      <c r="B724" t="s">
        <v>9233</v>
      </c>
      <c r="C724" t="s">
        <v>1751</v>
      </c>
      <c r="D724">
        <v>20462879</v>
      </c>
      <c r="E724" t="s">
        <v>3190</v>
      </c>
      <c r="F724" t="s">
        <v>1242</v>
      </c>
      <c r="G724" t="s">
        <v>3143</v>
      </c>
      <c r="H724" t="s">
        <v>1248</v>
      </c>
      <c r="J724" s="455">
        <v>46086</v>
      </c>
      <c r="R724" s="455">
        <v>46115</v>
      </c>
      <c r="U724" s="455">
        <v>46086</v>
      </c>
    </row>
    <row r="725" spans="1:21">
      <c r="A725" t="s">
        <v>1751</v>
      </c>
      <c r="B725" t="s">
        <v>9233</v>
      </c>
      <c r="C725" t="s">
        <v>1751</v>
      </c>
      <c r="D725">
        <v>20495737</v>
      </c>
      <c r="E725" t="s">
        <v>3128</v>
      </c>
      <c r="F725" t="s">
        <v>1241</v>
      </c>
      <c r="G725" t="s">
        <v>3129</v>
      </c>
      <c r="H725" t="s">
        <v>1253</v>
      </c>
      <c r="J725" s="455">
        <v>46127</v>
      </c>
      <c r="U725" s="455">
        <v>46127</v>
      </c>
    </row>
    <row r="726" spans="1:21">
      <c r="A726" t="s">
        <v>1751</v>
      </c>
      <c r="B726" t="s">
        <v>9234</v>
      </c>
      <c r="C726" t="s">
        <v>1751</v>
      </c>
      <c r="D726">
        <v>20477258</v>
      </c>
      <c r="E726" t="s">
        <v>3190</v>
      </c>
      <c r="F726" t="s">
        <v>1782</v>
      </c>
      <c r="G726" t="s">
        <v>3134</v>
      </c>
      <c r="H726" t="s">
        <v>1252</v>
      </c>
      <c r="J726" s="455">
        <v>46102</v>
      </c>
      <c r="R726" s="455">
        <v>46114</v>
      </c>
      <c r="U726" s="455">
        <v>46103</v>
      </c>
    </row>
    <row r="727" spans="1:21">
      <c r="A727" t="s">
        <v>1751</v>
      </c>
      <c r="B727" t="s">
        <v>9803</v>
      </c>
      <c r="C727" t="s">
        <v>1751</v>
      </c>
      <c r="D727">
        <v>20507604</v>
      </c>
      <c r="E727" t="s">
        <v>3128</v>
      </c>
      <c r="F727" t="s">
        <v>1241</v>
      </c>
      <c r="G727" t="s">
        <v>3137</v>
      </c>
      <c r="H727" t="s">
        <v>1252</v>
      </c>
      <c r="J727" s="455">
        <v>46135</v>
      </c>
      <c r="U727" s="455">
        <v>46225</v>
      </c>
    </row>
    <row r="728" spans="1:21">
      <c r="A728" t="s">
        <v>1751</v>
      </c>
      <c r="B728" t="s">
        <v>3610</v>
      </c>
      <c r="C728" t="s">
        <v>1751</v>
      </c>
      <c r="D728">
        <v>20509092</v>
      </c>
      <c r="E728" t="s">
        <v>3128</v>
      </c>
      <c r="F728" t="s">
        <v>1782</v>
      </c>
      <c r="G728" t="s">
        <v>3134</v>
      </c>
      <c r="H728" t="s">
        <v>3165</v>
      </c>
      <c r="J728" s="455">
        <v>46136</v>
      </c>
      <c r="U728" s="455">
        <v>46137</v>
      </c>
    </row>
    <row r="729" spans="1:21">
      <c r="A729" t="s">
        <v>1751</v>
      </c>
      <c r="B729" t="s">
        <v>9235</v>
      </c>
      <c r="C729" t="s">
        <v>1751</v>
      </c>
      <c r="D729">
        <v>20470884</v>
      </c>
      <c r="E729" t="s">
        <v>3190</v>
      </c>
      <c r="F729" t="s">
        <v>1782</v>
      </c>
      <c r="G729" t="s">
        <v>3134</v>
      </c>
      <c r="H729" t="s">
        <v>1252</v>
      </c>
      <c r="J729" s="455">
        <v>46094</v>
      </c>
      <c r="R729" s="455">
        <v>46114</v>
      </c>
      <c r="U729" s="455">
        <v>46098</v>
      </c>
    </row>
    <row r="730" spans="1:21">
      <c r="A730" t="s">
        <v>1751</v>
      </c>
      <c r="B730" t="s">
        <v>8804</v>
      </c>
      <c r="C730" t="s">
        <v>1751</v>
      </c>
      <c r="D730">
        <v>20442547</v>
      </c>
      <c r="E730" t="s">
        <v>3190</v>
      </c>
      <c r="F730" t="s">
        <v>1238</v>
      </c>
      <c r="G730" t="s">
        <v>3141</v>
      </c>
      <c r="H730" t="s">
        <v>1247</v>
      </c>
      <c r="J730" s="455">
        <v>46059</v>
      </c>
      <c r="R730" s="455">
        <v>46114</v>
      </c>
      <c r="U730" s="455">
        <v>46073</v>
      </c>
    </row>
    <row r="731" spans="1:21">
      <c r="A731" t="s">
        <v>1751</v>
      </c>
      <c r="B731" t="s">
        <v>9236</v>
      </c>
      <c r="C731" t="s">
        <v>1751</v>
      </c>
      <c r="D731">
        <v>20481613</v>
      </c>
      <c r="E731" t="s">
        <v>3190</v>
      </c>
      <c r="F731" t="s">
        <v>1241</v>
      </c>
      <c r="G731" t="s">
        <v>3134</v>
      </c>
      <c r="H731" t="s">
        <v>1252</v>
      </c>
      <c r="J731" s="455">
        <v>46108</v>
      </c>
      <c r="R731" s="455">
        <v>46139</v>
      </c>
      <c r="U731" s="455">
        <v>46142</v>
      </c>
    </row>
    <row r="732" spans="1:21">
      <c r="A732" t="s">
        <v>1751</v>
      </c>
      <c r="B732" t="s">
        <v>8805</v>
      </c>
      <c r="C732" t="s">
        <v>1751</v>
      </c>
      <c r="D732">
        <v>20458398</v>
      </c>
      <c r="E732" t="s">
        <v>3190</v>
      </c>
      <c r="F732" t="s">
        <v>1239</v>
      </c>
      <c r="G732" t="s">
        <v>3129</v>
      </c>
      <c r="H732" t="s">
        <v>1252</v>
      </c>
      <c r="J732" s="455">
        <v>46079</v>
      </c>
      <c r="R732" s="455">
        <v>46115</v>
      </c>
      <c r="U732" s="455">
        <v>46079</v>
      </c>
    </row>
    <row r="733" spans="1:21">
      <c r="A733" t="s">
        <v>1751</v>
      </c>
      <c r="B733" t="s">
        <v>9804</v>
      </c>
      <c r="C733" t="s">
        <v>1751</v>
      </c>
      <c r="D733">
        <v>20506888</v>
      </c>
      <c r="E733" t="s">
        <v>3128</v>
      </c>
      <c r="F733" t="s">
        <v>1782</v>
      </c>
      <c r="G733" t="s">
        <v>3141</v>
      </c>
      <c r="H733" t="s">
        <v>1252</v>
      </c>
      <c r="J733" s="455">
        <v>46134</v>
      </c>
      <c r="U733" s="455">
        <v>46173</v>
      </c>
    </row>
    <row r="734" spans="1:21">
      <c r="A734" t="s">
        <v>1751</v>
      </c>
      <c r="B734" t="s">
        <v>9805</v>
      </c>
      <c r="C734" t="s">
        <v>1751</v>
      </c>
      <c r="D734">
        <v>20422265</v>
      </c>
      <c r="E734" t="s">
        <v>3190</v>
      </c>
      <c r="F734" t="s">
        <v>1237</v>
      </c>
      <c r="G734" t="s">
        <v>3143</v>
      </c>
      <c r="H734" t="s">
        <v>1251</v>
      </c>
      <c r="I734" t="s">
        <v>3552</v>
      </c>
      <c r="J734" s="455">
        <v>46032</v>
      </c>
      <c r="R734" s="455">
        <v>46114</v>
      </c>
      <c r="U734" s="455">
        <v>46032</v>
      </c>
    </row>
    <row r="735" spans="1:21">
      <c r="A735" t="s">
        <v>1751</v>
      </c>
      <c r="B735" t="s">
        <v>9806</v>
      </c>
      <c r="C735" t="s">
        <v>1751</v>
      </c>
      <c r="D735">
        <v>20496384</v>
      </c>
      <c r="E735" t="s">
        <v>3190</v>
      </c>
      <c r="F735" t="s">
        <v>1241</v>
      </c>
      <c r="G735" t="s">
        <v>3134</v>
      </c>
      <c r="H735" t="s">
        <v>1252</v>
      </c>
      <c r="J735" s="455">
        <v>46127</v>
      </c>
      <c r="R735" s="455">
        <v>46139</v>
      </c>
      <c r="U735" s="455">
        <v>46151</v>
      </c>
    </row>
    <row r="736" spans="1:21">
      <c r="A736" t="s">
        <v>1751</v>
      </c>
      <c r="B736" t="s">
        <v>8806</v>
      </c>
      <c r="C736" t="s">
        <v>1751</v>
      </c>
      <c r="D736">
        <v>20443287</v>
      </c>
      <c r="E736" t="s">
        <v>3190</v>
      </c>
      <c r="F736" t="s">
        <v>1241</v>
      </c>
      <c r="G736" t="s">
        <v>3141</v>
      </c>
      <c r="H736" t="s">
        <v>1247</v>
      </c>
      <c r="J736" s="455">
        <v>46061</v>
      </c>
      <c r="R736" s="455">
        <v>46114</v>
      </c>
      <c r="U736" s="455">
        <v>46113</v>
      </c>
    </row>
    <row r="737" spans="1:21">
      <c r="A737" t="s">
        <v>1751</v>
      </c>
      <c r="B737" t="s">
        <v>9807</v>
      </c>
      <c r="C737" t="s">
        <v>1751</v>
      </c>
      <c r="D737">
        <v>20417399</v>
      </c>
      <c r="E737" t="s">
        <v>3190</v>
      </c>
      <c r="F737" t="s">
        <v>1782</v>
      </c>
      <c r="G737" t="s">
        <v>3129</v>
      </c>
      <c r="H737" t="s">
        <v>1252</v>
      </c>
      <c r="J737" s="455">
        <v>46025</v>
      </c>
      <c r="R737" s="455">
        <v>46114</v>
      </c>
      <c r="U737" s="455">
        <v>46025</v>
      </c>
    </row>
    <row r="738" spans="1:21">
      <c r="A738" t="s">
        <v>1751</v>
      </c>
      <c r="B738" t="s">
        <v>1107</v>
      </c>
      <c r="C738" t="s">
        <v>1751</v>
      </c>
      <c r="D738">
        <v>20467150</v>
      </c>
      <c r="E738" t="s">
        <v>2011</v>
      </c>
      <c r="F738" t="s">
        <v>1243</v>
      </c>
      <c r="G738" t="s">
        <v>3134</v>
      </c>
      <c r="H738" t="s">
        <v>1248</v>
      </c>
      <c r="I738" t="s">
        <v>1573</v>
      </c>
      <c r="J738" s="455">
        <v>46092</v>
      </c>
      <c r="K738" s="455">
        <v>46092</v>
      </c>
      <c r="L738" s="455">
        <v>46097</v>
      </c>
      <c r="M738" s="455">
        <v>46106</v>
      </c>
      <c r="N738" s="455">
        <v>46106</v>
      </c>
      <c r="O738" s="455">
        <v>46111</v>
      </c>
      <c r="P738" s="455">
        <v>46113</v>
      </c>
      <c r="Q738" s="455">
        <v>46113</v>
      </c>
      <c r="U738" s="455">
        <v>46143</v>
      </c>
    </row>
    <row r="739" spans="1:21">
      <c r="A739" t="s">
        <v>1751</v>
      </c>
      <c r="B739" t="s">
        <v>8807</v>
      </c>
      <c r="C739" t="s">
        <v>1751</v>
      </c>
      <c r="D739">
        <v>20443187</v>
      </c>
      <c r="E739" t="s">
        <v>3190</v>
      </c>
      <c r="F739" t="s">
        <v>1782</v>
      </c>
      <c r="G739" t="s">
        <v>3129</v>
      </c>
      <c r="H739" t="s">
        <v>1253</v>
      </c>
      <c r="J739" s="455">
        <v>46061</v>
      </c>
      <c r="R739" s="455">
        <v>46114</v>
      </c>
      <c r="U739" s="455">
        <v>46082</v>
      </c>
    </row>
    <row r="740" spans="1:21">
      <c r="A740" t="s">
        <v>1751</v>
      </c>
      <c r="B740" t="s">
        <v>9808</v>
      </c>
      <c r="C740" t="s">
        <v>1751</v>
      </c>
      <c r="D740">
        <v>20512838</v>
      </c>
      <c r="E740" t="s">
        <v>3128</v>
      </c>
      <c r="F740" t="s">
        <v>1782</v>
      </c>
      <c r="G740" t="s">
        <v>3141</v>
      </c>
      <c r="H740" t="s">
        <v>1247</v>
      </c>
      <c r="J740" s="455">
        <v>46141</v>
      </c>
      <c r="U740" s="455">
        <v>46141</v>
      </c>
    </row>
    <row r="741" spans="1:21">
      <c r="A741" t="s">
        <v>1751</v>
      </c>
      <c r="B741" t="s">
        <v>9238</v>
      </c>
      <c r="C741" t="s">
        <v>1751</v>
      </c>
      <c r="D741">
        <v>20482050</v>
      </c>
      <c r="E741" t="s">
        <v>3133</v>
      </c>
      <c r="F741" t="s">
        <v>1238</v>
      </c>
      <c r="G741" t="s">
        <v>3134</v>
      </c>
      <c r="H741" t="s">
        <v>1247</v>
      </c>
      <c r="I741" t="s">
        <v>1917</v>
      </c>
      <c r="J741" s="455">
        <v>46109</v>
      </c>
      <c r="K741" s="455">
        <v>46109</v>
      </c>
      <c r="L741" s="455">
        <v>46109</v>
      </c>
      <c r="R741" s="455">
        <v>46113</v>
      </c>
      <c r="U741" s="455">
        <v>46114</v>
      </c>
    </row>
    <row r="742" spans="1:21">
      <c r="A742" t="s">
        <v>1751</v>
      </c>
      <c r="B742" t="s">
        <v>9809</v>
      </c>
      <c r="C742" t="s">
        <v>1751</v>
      </c>
      <c r="D742">
        <v>20435543</v>
      </c>
      <c r="E742" t="s">
        <v>3190</v>
      </c>
      <c r="F742" t="s">
        <v>1241</v>
      </c>
      <c r="G742" t="s">
        <v>3129</v>
      </c>
      <c r="H742" t="s">
        <v>1252</v>
      </c>
      <c r="J742" s="455">
        <v>46049</v>
      </c>
      <c r="R742" s="455">
        <v>46114</v>
      </c>
      <c r="U742" s="455">
        <v>46063</v>
      </c>
    </row>
    <row r="743" spans="1:21">
      <c r="A743" t="s">
        <v>1751</v>
      </c>
      <c r="B743" t="s">
        <v>9810</v>
      </c>
      <c r="C743" t="s">
        <v>1751</v>
      </c>
      <c r="D743">
        <v>20502896</v>
      </c>
      <c r="E743" t="s">
        <v>1907</v>
      </c>
      <c r="F743" t="s">
        <v>1241</v>
      </c>
      <c r="G743" t="s">
        <v>3129</v>
      </c>
      <c r="H743" t="s">
        <v>1253</v>
      </c>
      <c r="I743" t="s">
        <v>1524</v>
      </c>
      <c r="J743" s="455">
        <v>46132</v>
      </c>
      <c r="K743" s="455">
        <v>46132</v>
      </c>
      <c r="L743" s="455">
        <v>46135</v>
      </c>
      <c r="U743" s="455">
        <v>46140</v>
      </c>
    </row>
    <row r="744" spans="1:21">
      <c r="A744" t="s">
        <v>1751</v>
      </c>
      <c r="B744" t="s">
        <v>8808</v>
      </c>
      <c r="C744" t="s">
        <v>1751</v>
      </c>
      <c r="D744">
        <v>20444140</v>
      </c>
      <c r="E744" t="s">
        <v>3190</v>
      </c>
      <c r="F744" t="s">
        <v>1782</v>
      </c>
      <c r="G744" t="s">
        <v>3141</v>
      </c>
      <c r="H744" t="s">
        <v>1247</v>
      </c>
      <c r="J744" s="455">
        <v>46062</v>
      </c>
      <c r="R744" s="455">
        <v>46114</v>
      </c>
      <c r="U744" s="455">
        <v>46132</v>
      </c>
    </row>
    <row r="745" spans="1:21">
      <c r="A745" t="s">
        <v>1751</v>
      </c>
      <c r="B745" t="s">
        <v>9239</v>
      </c>
      <c r="C745" t="s">
        <v>1751</v>
      </c>
      <c r="D745">
        <v>20478492</v>
      </c>
      <c r="E745" t="s">
        <v>3190</v>
      </c>
      <c r="F745" t="s">
        <v>1241</v>
      </c>
      <c r="G745" t="s">
        <v>3129</v>
      </c>
      <c r="H745" t="s">
        <v>3131</v>
      </c>
      <c r="J745" s="455">
        <v>46104</v>
      </c>
      <c r="R745" s="455">
        <v>46114</v>
      </c>
      <c r="U745" s="455">
        <v>46266</v>
      </c>
    </row>
    <row r="746" spans="1:21">
      <c r="A746" t="s">
        <v>1751</v>
      </c>
      <c r="B746" t="s">
        <v>8810</v>
      </c>
      <c r="C746" t="s">
        <v>1751</v>
      </c>
      <c r="D746">
        <v>20438908</v>
      </c>
      <c r="E746" t="s">
        <v>3133</v>
      </c>
      <c r="F746" t="s">
        <v>1241</v>
      </c>
      <c r="G746" t="s">
        <v>3134</v>
      </c>
      <c r="H746" t="s">
        <v>1247</v>
      </c>
      <c r="J746" s="455">
        <v>46054</v>
      </c>
      <c r="K746" s="455">
        <v>46054</v>
      </c>
      <c r="R746" s="455">
        <v>46114</v>
      </c>
      <c r="U746" s="455">
        <v>46113</v>
      </c>
    </row>
    <row r="747" spans="1:21">
      <c r="A747" t="s">
        <v>1751</v>
      </c>
      <c r="B747" t="s">
        <v>9811</v>
      </c>
      <c r="C747" t="s">
        <v>1751</v>
      </c>
      <c r="D747">
        <v>20430696</v>
      </c>
      <c r="E747" t="s">
        <v>3190</v>
      </c>
      <c r="F747" t="s">
        <v>1782</v>
      </c>
      <c r="G747" t="s">
        <v>2009</v>
      </c>
      <c r="H747" t="s">
        <v>1252</v>
      </c>
      <c r="J747" s="455">
        <v>46042</v>
      </c>
      <c r="R747" s="455">
        <v>46114</v>
      </c>
      <c r="U747" s="455">
        <v>46042</v>
      </c>
    </row>
    <row r="748" spans="1:21">
      <c r="A748" t="s">
        <v>1751</v>
      </c>
      <c r="B748" t="s">
        <v>9240</v>
      </c>
      <c r="C748" t="s">
        <v>1751</v>
      </c>
      <c r="D748">
        <v>20483062</v>
      </c>
      <c r="E748" t="s">
        <v>3190</v>
      </c>
      <c r="F748" t="s">
        <v>1237</v>
      </c>
      <c r="G748" t="s">
        <v>3143</v>
      </c>
      <c r="H748" t="s">
        <v>1248</v>
      </c>
      <c r="I748" t="s">
        <v>1227</v>
      </c>
      <c r="J748" s="455">
        <v>46111</v>
      </c>
      <c r="R748" s="455">
        <v>46139</v>
      </c>
      <c r="U748" s="455">
        <v>46136</v>
      </c>
    </row>
    <row r="749" spans="1:21">
      <c r="A749" t="s">
        <v>1751</v>
      </c>
      <c r="B749" t="s">
        <v>9812</v>
      </c>
      <c r="C749" t="s">
        <v>1751</v>
      </c>
      <c r="D749">
        <v>20416608</v>
      </c>
      <c r="E749" t="s">
        <v>3133</v>
      </c>
      <c r="F749" t="s">
        <v>1237</v>
      </c>
      <c r="G749" t="s">
        <v>3134</v>
      </c>
      <c r="H749" t="s">
        <v>1247</v>
      </c>
      <c r="I749" t="s">
        <v>3752</v>
      </c>
      <c r="J749" s="455">
        <v>46024</v>
      </c>
      <c r="K749" s="455">
        <v>46024</v>
      </c>
      <c r="R749" s="455">
        <v>46114</v>
      </c>
      <c r="U749" s="455">
        <v>46024</v>
      </c>
    </row>
    <row r="750" spans="1:21">
      <c r="A750" t="s">
        <v>1751</v>
      </c>
      <c r="B750" t="s">
        <v>9241</v>
      </c>
      <c r="C750" t="s">
        <v>1751</v>
      </c>
      <c r="D750">
        <v>20483770</v>
      </c>
      <c r="E750" t="s">
        <v>3190</v>
      </c>
      <c r="F750" t="s">
        <v>1241</v>
      </c>
      <c r="G750" t="s">
        <v>3134</v>
      </c>
      <c r="H750" t="s">
        <v>1252</v>
      </c>
      <c r="J750" s="455">
        <v>46112</v>
      </c>
      <c r="R750" s="455">
        <v>46139</v>
      </c>
      <c r="U750" s="455">
        <v>46142</v>
      </c>
    </row>
    <row r="751" spans="1:21">
      <c r="A751" t="s">
        <v>1751</v>
      </c>
      <c r="B751" t="s">
        <v>9813</v>
      </c>
      <c r="C751" t="s">
        <v>1751</v>
      </c>
      <c r="D751">
        <v>20510545</v>
      </c>
      <c r="E751" t="s">
        <v>3128</v>
      </c>
      <c r="F751" t="s">
        <v>1782</v>
      </c>
      <c r="G751" t="s">
        <v>3137</v>
      </c>
      <c r="H751" t="s">
        <v>1252</v>
      </c>
      <c r="J751" s="455">
        <v>46139</v>
      </c>
      <c r="U751" s="455">
        <v>46174</v>
      </c>
    </row>
    <row r="752" spans="1:21">
      <c r="A752" t="s">
        <v>1751</v>
      </c>
      <c r="B752" t="s">
        <v>9814</v>
      </c>
      <c r="C752" t="s">
        <v>1751</v>
      </c>
      <c r="D752">
        <v>20428753</v>
      </c>
      <c r="E752" t="s">
        <v>3190</v>
      </c>
      <c r="F752" t="s">
        <v>1239</v>
      </c>
      <c r="G752" t="s">
        <v>3143</v>
      </c>
      <c r="H752" t="s">
        <v>1251</v>
      </c>
      <c r="J752" s="455">
        <v>46038</v>
      </c>
      <c r="R752" s="455">
        <v>46114</v>
      </c>
      <c r="U752" s="455">
        <v>46038</v>
      </c>
    </row>
    <row r="753" spans="1:21">
      <c r="A753" t="s">
        <v>1751</v>
      </c>
      <c r="B753" t="s">
        <v>7025</v>
      </c>
      <c r="C753" t="s">
        <v>1751</v>
      </c>
      <c r="D753">
        <v>20443912</v>
      </c>
      <c r="E753" t="s">
        <v>3142</v>
      </c>
      <c r="F753" t="s">
        <v>1237</v>
      </c>
      <c r="G753" t="s">
        <v>3143</v>
      </c>
      <c r="H753" t="s">
        <v>1251</v>
      </c>
      <c r="I753" t="s">
        <v>7024</v>
      </c>
      <c r="J753" s="455">
        <v>46062</v>
      </c>
      <c r="K753" s="455">
        <v>46109</v>
      </c>
      <c r="L753" s="455">
        <v>46111</v>
      </c>
      <c r="M753" s="455">
        <v>46126</v>
      </c>
      <c r="N753" s="455">
        <v>46127</v>
      </c>
      <c r="O753" s="455">
        <v>46129</v>
      </c>
      <c r="P753" s="455">
        <v>46129</v>
      </c>
      <c r="Q753" s="455">
        <v>46129</v>
      </c>
      <c r="U753" s="455">
        <v>46143</v>
      </c>
    </row>
    <row r="754" spans="1:21">
      <c r="A754" t="s">
        <v>1751</v>
      </c>
      <c r="B754" t="s">
        <v>8812</v>
      </c>
      <c r="C754" t="s">
        <v>1751</v>
      </c>
      <c r="D754">
        <v>20442804</v>
      </c>
      <c r="E754" t="s">
        <v>3190</v>
      </c>
      <c r="F754" t="s">
        <v>1782</v>
      </c>
      <c r="G754" t="s">
        <v>3141</v>
      </c>
      <c r="H754" t="s">
        <v>1247</v>
      </c>
      <c r="J754" s="455">
        <v>46060</v>
      </c>
      <c r="R754" s="455">
        <v>46114</v>
      </c>
      <c r="U754" s="455">
        <v>46063</v>
      </c>
    </row>
    <row r="755" spans="1:21">
      <c r="A755" t="s">
        <v>1751</v>
      </c>
      <c r="B755" t="s">
        <v>9815</v>
      </c>
      <c r="C755" t="s">
        <v>1751</v>
      </c>
      <c r="D755">
        <v>20512472</v>
      </c>
      <c r="E755" t="s">
        <v>3128</v>
      </c>
      <c r="F755" t="s">
        <v>1782</v>
      </c>
      <c r="G755" t="s">
        <v>3134</v>
      </c>
      <c r="H755" t="s">
        <v>3165</v>
      </c>
      <c r="J755" s="455">
        <v>46141</v>
      </c>
      <c r="U755" s="455">
        <v>46220</v>
      </c>
    </row>
    <row r="756" spans="1:21">
      <c r="A756" t="s">
        <v>1751</v>
      </c>
      <c r="B756" t="s">
        <v>9816</v>
      </c>
      <c r="C756" t="s">
        <v>1751</v>
      </c>
      <c r="D756">
        <v>20501521</v>
      </c>
      <c r="E756" t="s">
        <v>3190</v>
      </c>
      <c r="F756" t="s">
        <v>1782</v>
      </c>
      <c r="G756" t="s">
        <v>3141</v>
      </c>
      <c r="H756" t="s">
        <v>1247</v>
      </c>
      <c r="J756" s="455">
        <v>46131</v>
      </c>
      <c r="R756" s="455">
        <v>46139</v>
      </c>
      <c r="U756" s="455">
        <v>46131</v>
      </c>
    </row>
    <row r="757" spans="1:21">
      <c r="A757" t="s">
        <v>1751</v>
      </c>
      <c r="B757" t="s">
        <v>9817</v>
      </c>
      <c r="C757" t="s">
        <v>1751</v>
      </c>
      <c r="D757">
        <v>20414615</v>
      </c>
      <c r="E757" t="s">
        <v>3133</v>
      </c>
      <c r="F757" t="s">
        <v>1799</v>
      </c>
      <c r="G757" t="s">
        <v>3134</v>
      </c>
      <c r="H757" t="s">
        <v>1252</v>
      </c>
      <c r="I757" t="s">
        <v>1943</v>
      </c>
      <c r="J757" s="455">
        <v>46020</v>
      </c>
      <c r="K757" s="455">
        <v>46020</v>
      </c>
      <c r="R757" s="455">
        <v>46114</v>
      </c>
      <c r="U757" s="455">
        <v>46020</v>
      </c>
    </row>
    <row r="758" spans="1:21">
      <c r="A758" t="s">
        <v>1751</v>
      </c>
      <c r="B758" t="s">
        <v>8815</v>
      </c>
      <c r="C758" t="s">
        <v>1751</v>
      </c>
      <c r="D758">
        <v>20449581</v>
      </c>
      <c r="E758" t="s">
        <v>3190</v>
      </c>
      <c r="F758" t="s">
        <v>1241</v>
      </c>
      <c r="G758" t="s">
        <v>3137</v>
      </c>
      <c r="H758" t="s">
        <v>1247</v>
      </c>
      <c r="J758" s="455">
        <v>46068</v>
      </c>
      <c r="R758" s="455">
        <v>46114</v>
      </c>
      <c r="U758" s="455">
        <v>46265</v>
      </c>
    </row>
    <row r="759" spans="1:21">
      <c r="A759" t="s">
        <v>1751</v>
      </c>
      <c r="B759" t="s">
        <v>9818</v>
      </c>
      <c r="C759" t="s">
        <v>1751</v>
      </c>
      <c r="D759">
        <v>20410352</v>
      </c>
      <c r="E759" t="s">
        <v>3190</v>
      </c>
      <c r="F759" t="s">
        <v>1782</v>
      </c>
      <c r="G759" t="s">
        <v>3129</v>
      </c>
      <c r="H759" t="s">
        <v>1252</v>
      </c>
      <c r="J759" s="455">
        <v>46011</v>
      </c>
      <c r="R759" s="455">
        <v>46114</v>
      </c>
      <c r="U759" s="455">
        <v>46011</v>
      </c>
    </row>
    <row r="760" spans="1:21">
      <c r="A760" t="s">
        <v>1751</v>
      </c>
      <c r="B760" t="s">
        <v>9819</v>
      </c>
      <c r="C760" t="s">
        <v>1751</v>
      </c>
      <c r="D760">
        <v>20488003</v>
      </c>
      <c r="E760" t="s">
        <v>3133</v>
      </c>
      <c r="F760" t="s">
        <v>1912</v>
      </c>
      <c r="G760" t="s">
        <v>3134</v>
      </c>
      <c r="H760" t="s">
        <v>1247</v>
      </c>
      <c r="I760" t="s">
        <v>3332</v>
      </c>
      <c r="J760" s="455">
        <v>46118</v>
      </c>
      <c r="K760" s="455">
        <v>46118</v>
      </c>
      <c r="R760" s="455">
        <v>46122</v>
      </c>
      <c r="U760" s="455">
        <v>46158</v>
      </c>
    </row>
    <row r="761" spans="1:21">
      <c r="A761" t="s">
        <v>1751</v>
      </c>
      <c r="B761" t="s">
        <v>9819</v>
      </c>
      <c r="C761" t="s">
        <v>1751</v>
      </c>
      <c r="D761">
        <v>20487357</v>
      </c>
      <c r="E761" t="s">
        <v>3133</v>
      </c>
      <c r="F761" t="s">
        <v>1243</v>
      </c>
      <c r="G761" t="s">
        <v>3134</v>
      </c>
      <c r="H761" t="s">
        <v>1252</v>
      </c>
      <c r="I761" t="s">
        <v>2419</v>
      </c>
      <c r="J761" s="455">
        <v>46116</v>
      </c>
      <c r="K761" s="455">
        <v>46118</v>
      </c>
      <c r="L761" s="455">
        <v>46118</v>
      </c>
      <c r="M761" s="455">
        <v>46135</v>
      </c>
      <c r="N761" s="455">
        <v>46135</v>
      </c>
      <c r="R761" s="455">
        <v>46136</v>
      </c>
      <c r="U761" s="455">
        <v>46158</v>
      </c>
    </row>
    <row r="762" spans="1:21">
      <c r="A762" t="s">
        <v>1751</v>
      </c>
      <c r="B762" t="s">
        <v>8816</v>
      </c>
      <c r="C762" t="s">
        <v>1751</v>
      </c>
      <c r="D762">
        <v>20443014</v>
      </c>
      <c r="E762" t="s">
        <v>3190</v>
      </c>
      <c r="F762" t="s">
        <v>1782</v>
      </c>
      <c r="G762" t="s">
        <v>3141</v>
      </c>
      <c r="H762" t="s">
        <v>1251</v>
      </c>
      <c r="J762" s="455">
        <v>46060</v>
      </c>
      <c r="R762" s="455">
        <v>46114</v>
      </c>
      <c r="U762" s="455">
        <v>46163</v>
      </c>
    </row>
    <row r="763" spans="1:21">
      <c r="A763" t="s">
        <v>1751</v>
      </c>
      <c r="B763" t="s">
        <v>3632</v>
      </c>
      <c r="C763" t="s">
        <v>1751</v>
      </c>
      <c r="D763">
        <v>20480147</v>
      </c>
      <c r="E763" t="s">
        <v>3142</v>
      </c>
      <c r="F763" t="s">
        <v>1243</v>
      </c>
      <c r="G763" t="s">
        <v>3134</v>
      </c>
      <c r="H763" t="s">
        <v>1247</v>
      </c>
      <c r="I763" t="s">
        <v>1933</v>
      </c>
      <c r="J763" s="455">
        <v>46106</v>
      </c>
      <c r="K763" s="455">
        <v>46106</v>
      </c>
      <c r="L763" s="455">
        <v>46106</v>
      </c>
      <c r="M763" s="455">
        <v>46129</v>
      </c>
      <c r="N763" s="455">
        <v>46129</v>
      </c>
      <c r="P763" s="455">
        <v>46129</v>
      </c>
      <c r="Q763" s="455">
        <v>46130</v>
      </c>
      <c r="U763" s="455">
        <v>46130</v>
      </c>
    </row>
    <row r="764" spans="1:21">
      <c r="A764" t="s">
        <v>1751</v>
      </c>
      <c r="B764" t="s">
        <v>9242</v>
      </c>
      <c r="C764" t="s">
        <v>1751</v>
      </c>
      <c r="D764">
        <v>20475459</v>
      </c>
      <c r="E764" t="s">
        <v>3190</v>
      </c>
      <c r="F764" t="s">
        <v>1241</v>
      </c>
      <c r="G764" t="s">
        <v>3134</v>
      </c>
      <c r="H764" t="s">
        <v>1252</v>
      </c>
      <c r="J764" s="455">
        <v>46099</v>
      </c>
      <c r="R764" s="455">
        <v>46114</v>
      </c>
      <c r="U764" s="455">
        <v>46100</v>
      </c>
    </row>
    <row r="765" spans="1:21">
      <c r="A765" t="s">
        <v>1751</v>
      </c>
      <c r="B765" t="s">
        <v>9243</v>
      </c>
      <c r="C765" t="s">
        <v>1751</v>
      </c>
      <c r="D765">
        <v>20479712</v>
      </c>
      <c r="E765" t="s">
        <v>3190</v>
      </c>
      <c r="F765" t="s">
        <v>1782</v>
      </c>
      <c r="G765" t="s">
        <v>3134</v>
      </c>
      <c r="H765" t="s">
        <v>1252</v>
      </c>
      <c r="J765" s="455">
        <v>46106</v>
      </c>
      <c r="R765" s="455">
        <v>46114</v>
      </c>
      <c r="U765" s="455">
        <v>46409</v>
      </c>
    </row>
    <row r="766" spans="1:21">
      <c r="A766" t="s">
        <v>1751</v>
      </c>
      <c r="B766" t="s">
        <v>9820</v>
      </c>
      <c r="C766" t="s">
        <v>1751</v>
      </c>
      <c r="D766">
        <v>20497154</v>
      </c>
      <c r="E766" t="s">
        <v>3190</v>
      </c>
      <c r="F766" t="s">
        <v>1241</v>
      </c>
      <c r="G766" t="s">
        <v>3134</v>
      </c>
      <c r="H766" t="s">
        <v>1252</v>
      </c>
      <c r="J766" s="455">
        <v>46127</v>
      </c>
      <c r="R766" s="455">
        <v>46139</v>
      </c>
      <c r="U766" s="455">
        <v>46357</v>
      </c>
    </row>
    <row r="767" spans="1:21">
      <c r="A767" t="s">
        <v>1751</v>
      </c>
      <c r="B767" t="s">
        <v>9244</v>
      </c>
      <c r="C767" t="s">
        <v>1751</v>
      </c>
      <c r="D767">
        <v>20475396</v>
      </c>
      <c r="E767" t="s">
        <v>3190</v>
      </c>
      <c r="F767" t="s">
        <v>1241</v>
      </c>
      <c r="G767" t="s">
        <v>3141</v>
      </c>
      <c r="H767" t="s">
        <v>1251</v>
      </c>
      <c r="J767" s="455">
        <v>46099</v>
      </c>
      <c r="R767" s="455">
        <v>46114</v>
      </c>
      <c r="U767" s="455">
        <v>46157</v>
      </c>
    </row>
    <row r="768" spans="1:21">
      <c r="A768" t="s">
        <v>1751</v>
      </c>
      <c r="B768" t="s">
        <v>9245</v>
      </c>
      <c r="C768" t="s">
        <v>1751</v>
      </c>
      <c r="D768">
        <v>20465900</v>
      </c>
      <c r="E768" t="s">
        <v>3190</v>
      </c>
      <c r="F768" t="s">
        <v>1782</v>
      </c>
      <c r="G768" t="s">
        <v>3141</v>
      </c>
      <c r="H768" t="s">
        <v>1247</v>
      </c>
      <c r="J768" s="455">
        <v>46091</v>
      </c>
      <c r="R768" s="455">
        <v>46114</v>
      </c>
      <c r="U768" s="455">
        <v>46091</v>
      </c>
    </row>
    <row r="769" spans="1:21">
      <c r="A769" t="s">
        <v>1751</v>
      </c>
      <c r="B769" t="s">
        <v>9246</v>
      </c>
      <c r="C769" t="s">
        <v>1751</v>
      </c>
      <c r="D769">
        <v>20477550</v>
      </c>
      <c r="E769" t="s">
        <v>3190</v>
      </c>
      <c r="F769" t="s">
        <v>1782</v>
      </c>
      <c r="G769" t="s">
        <v>3134</v>
      </c>
      <c r="H769" t="s">
        <v>1252</v>
      </c>
      <c r="J769" s="455">
        <v>46102</v>
      </c>
      <c r="R769" s="455">
        <v>46114</v>
      </c>
      <c r="U769" s="455">
        <v>46133</v>
      </c>
    </row>
    <row r="770" spans="1:21">
      <c r="A770" t="s">
        <v>1751</v>
      </c>
      <c r="B770" t="s">
        <v>9821</v>
      </c>
      <c r="C770" t="s">
        <v>1751</v>
      </c>
      <c r="D770">
        <v>20510378</v>
      </c>
      <c r="E770" t="s">
        <v>3128</v>
      </c>
      <c r="F770" t="s">
        <v>1782</v>
      </c>
      <c r="G770" t="s">
        <v>3134</v>
      </c>
      <c r="H770" t="s">
        <v>1252</v>
      </c>
      <c r="J770" s="455">
        <v>46138</v>
      </c>
      <c r="U770" s="455">
        <v>46235</v>
      </c>
    </row>
    <row r="771" spans="1:21">
      <c r="A771" t="s">
        <v>1751</v>
      </c>
      <c r="B771" t="s">
        <v>9822</v>
      </c>
      <c r="C771" t="s">
        <v>1751</v>
      </c>
      <c r="D771">
        <v>20501410</v>
      </c>
      <c r="E771" t="s">
        <v>3190</v>
      </c>
      <c r="F771" t="s">
        <v>1782</v>
      </c>
      <c r="G771" t="s">
        <v>3141</v>
      </c>
      <c r="H771" t="s">
        <v>1252</v>
      </c>
      <c r="J771" s="455">
        <v>46131</v>
      </c>
      <c r="R771" s="455">
        <v>46139</v>
      </c>
      <c r="U771" s="455">
        <v>46178</v>
      </c>
    </row>
    <row r="772" spans="1:21">
      <c r="A772" t="s">
        <v>1751</v>
      </c>
      <c r="B772" t="s">
        <v>1949</v>
      </c>
      <c r="C772" t="s">
        <v>1751</v>
      </c>
      <c r="D772">
        <v>20471501</v>
      </c>
      <c r="E772" t="s">
        <v>3133</v>
      </c>
      <c r="F772" t="s">
        <v>1241</v>
      </c>
      <c r="G772" t="s">
        <v>3143</v>
      </c>
      <c r="H772" t="s">
        <v>1249</v>
      </c>
      <c r="I772" t="s">
        <v>1559</v>
      </c>
      <c r="J772" s="455">
        <v>46095</v>
      </c>
      <c r="K772" s="455">
        <v>46095</v>
      </c>
      <c r="R772" s="455">
        <v>46115</v>
      </c>
      <c r="U772" s="455">
        <v>46095</v>
      </c>
    </row>
    <row r="773" spans="1:21">
      <c r="A773" t="s">
        <v>1751</v>
      </c>
      <c r="B773" t="s">
        <v>1949</v>
      </c>
      <c r="C773" t="s">
        <v>1751</v>
      </c>
      <c r="D773">
        <v>20471688</v>
      </c>
      <c r="E773" t="s">
        <v>3133</v>
      </c>
      <c r="F773" t="s">
        <v>1242</v>
      </c>
      <c r="G773" t="s">
        <v>3134</v>
      </c>
      <c r="H773" t="s">
        <v>1249</v>
      </c>
      <c r="I773" t="s">
        <v>1559</v>
      </c>
      <c r="J773" s="455">
        <v>46095</v>
      </c>
      <c r="K773" s="455">
        <v>46095</v>
      </c>
      <c r="R773" s="455">
        <v>46114</v>
      </c>
      <c r="U773" s="455">
        <v>46116</v>
      </c>
    </row>
    <row r="774" spans="1:21">
      <c r="A774" t="s">
        <v>1751</v>
      </c>
      <c r="B774" t="s">
        <v>9247</v>
      </c>
      <c r="C774" t="s">
        <v>1751</v>
      </c>
      <c r="D774">
        <v>20477765</v>
      </c>
      <c r="E774" t="s">
        <v>3190</v>
      </c>
      <c r="F774" t="s">
        <v>1782</v>
      </c>
      <c r="G774" t="s">
        <v>3134</v>
      </c>
      <c r="H774" t="s">
        <v>1252</v>
      </c>
      <c r="J774" s="455">
        <v>46103</v>
      </c>
      <c r="R774" s="455">
        <v>46114</v>
      </c>
      <c r="U774" s="455">
        <v>46115</v>
      </c>
    </row>
    <row r="775" spans="1:21">
      <c r="A775" t="s">
        <v>1751</v>
      </c>
      <c r="B775" t="s">
        <v>9823</v>
      </c>
      <c r="C775" t="s">
        <v>1751</v>
      </c>
      <c r="D775">
        <v>20497527</v>
      </c>
      <c r="E775" t="s">
        <v>3190</v>
      </c>
      <c r="F775" t="s">
        <v>1241</v>
      </c>
      <c r="G775" t="s">
        <v>3129</v>
      </c>
      <c r="H775" t="s">
        <v>1252</v>
      </c>
      <c r="I775" t="s">
        <v>6442</v>
      </c>
      <c r="J775" s="455">
        <v>46128</v>
      </c>
      <c r="R775" s="455">
        <v>46139</v>
      </c>
      <c r="U775" s="455">
        <v>46113</v>
      </c>
    </row>
    <row r="776" spans="1:21">
      <c r="A776" t="s">
        <v>1751</v>
      </c>
      <c r="B776" t="s">
        <v>9824</v>
      </c>
      <c r="C776" t="s">
        <v>1751</v>
      </c>
      <c r="D776">
        <v>20507655</v>
      </c>
      <c r="E776" t="s">
        <v>3128</v>
      </c>
      <c r="F776" t="s">
        <v>1241</v>
      </c>
      <c r="G776" t="s">
        <v>3129</v>
      </c>
      <c r="H776" t="s">
        <v>1253</v>
      </c>
      <c r="J776" s="455">
        <v>46135</v>
      </c>
      <c r="U776" s="455">
        <v>46121</v>
      </c>
    </row>
    <row r="777" spans="1:21">
      <c r="A777" t="s">
        <v>1751</v>
      </c>
      <c r="B777" t="s">
        <v>9248</v>
      </c>
      <c r="C777" t="s">
        <v>1751</v>
      </c>
      <c r="D777">
        <v>20476419</v>
      </c>
      <c r="E777" t="s">
        <v>3190</v>
      </c>
      <c r="F777" t="s">
        <v>1241</v>
      </c>
      <c r="G777" t="s">
        <v>3134</v>
      </c>
      <c r="H777" t="s">
        <v>1252</v>
      </c>
      <c r="J777" s="455">
        <v>46100</v>
      </c>
      <c r="R777" s="455">
        <v>46114</v>
      </c>
      <c r="U777" s="455">
        <v>46189</v>
      </c>
    </row>
    <row r="778" spans="1:21">
      <c r="A778" t="s">
        <v>1751</v>
      </c>
      <c r="B778" t="s">
        <v>9825</v>
      </c>
      <c r="C778" t="s">
        <v>1751</v>
      </c>
      <c r="D778">
        <v>20501919</v>
      </c>
      <c r="E778" t="s">
        <v>3128</v>
      </c>
      <c r="F778" t="s">
        <v>1782</v>
      </c>
      <c r="G778" t="s">
        <v>3134</v>
      </c>
      <c r="H778" t="s">
        <v>3165</v>
      </c>
      <c r="J778" s="455">
        <v>46132</v>
      </c>
      <c r="U778" s="455">
        <v>46152</v>
      </c>
    </row>
    <row r="779" spans="1:21">
      <c r="A779" t="s">
        <v>1751</v>
      </c>
      <c r="B779" t="s">
        <v>9826</v>
      </c>
      <c r="C779" t="s">
        <v>1751</v>
      </c>
      <c r="D779">
        <v>20507287</v>
      </c>
      <c r="E779" t="s">
        <v>3128</v>
      </c>
      <c r="F779" t="s">
        <v>1782</v>
      </c>
      <c r="G779" t="s">
        <v>3141</v>
      </c>
      <c r="H779" t="s">
        <v>1252</v>
      </c>
      <c r="J779" s="455">
        <v>46134</v>
      </c>
      <c r="U779" s="455">
        <v>46158</v>
      </c>
    </row>
    <row r="780" spans="1:21">
      <c r="A780" t="s">
        <v>1751</v>
      </c>
      <c r="B780" t="s">
        <v>9827</v>
      </c>
      <c r="C780" t="s">
        <v>1751</v>
      </c>
      <c r="D780">
        <v>20509511</v>
      </c>
      <c r="E780" t="s">
        <v>1907</v>
      </c>
      <c r="F780" t="s">
        <v>1243</v>
      </c>
      <c r="G780" t="s">
        <v>3134</v>
      </c>
      <c r="H780" t="s">
        <v>1247</v>
      </c>
      <c r="I780" t="s">
        <v>1784</v>
      </c>
      <c r="J780" s="455">
        <v>46137</v>
      </c>
      <c r="K780" s="455">
        <v>46137</v>
      </c>
      <c r="L780" s="455">
        <v>46137</v>
      </c>
      <c r="U780" s="455">
        <v>46141</v>
      </c>
    </row>
    <row r="781" spans="1:21">
      <c r="A781" t="s">
        <v>1751</v>
      </c>
      <c r="B781" t="s">
        <v>9828</v>
      </c>
      <c r="C781" t="s">
        <v>1751</v>
      </c>
      <c r="D781">
        <v>20508913</v>
      </c>
      <c r="E781" t="s">
        <v>3128</v>
      </c>
      <c r="F781" t="s">
        <v>1242</v>
      </c>
      <c r="G781" t="s">
        <v>3129</v>
      </c>
      <c r="H781" t="s">
        <v>1252</v>
      </c>
      <c r="J781" s="455">
        <v>46136</v>
      </c>
      <c r="U781" s="455">
        <v>46150</v>
      </c>
    </row>
    <row r="782" spans="1:21">
      <c r="A782" t="s">
        <v>1751</v>
      </c>
      <c r="B782" t="s">
        <v>9829</v>
      </c>
      <c r="C782" t="s">
        <v>1751</v>
      </c>
      <c r="D782">
        <v>20411072</v>
      </c>
      <c r="E782" t="s">
        <v>3190</v>
      </c>
      <c r="F782" t="s">
        <v>1782</v>
      </c>
      <c r="G782" t="s">
        <v>3137</v>
      </c>
      <c r="H782" t="s">
        <v>1251</v>
      </c>
      <c r="J782" s="455">
        <v>46013</v>
      </c>
      <c r="R782" s="455">
        <v>46114</v>
      </c>
      <c r="U782" s="455">
        <v>46013</v>
      </c>
    </row>
    <row r="783" spans="1:21">
      <c r="A783" t="s">
        <v>1751</v>
      </c>
      <c r="B783" t="s">
        <v>9830</v>
      </c>
      <c r="C783" t="s">
        <v>1751</v>
      </c>
      <c r="D783">
        <v>20420222</v>
      </c>
      <c r="E783" t="s">
        <v>3190</v>
      </c>
      <c r="F783" t="s">
        <v>1238</v>
      </c>
      <c r="G783" t="s">
        <v>3143</v>
      </c>
      <c r="H783" t="s">
        <v>1252</v>
      </c>
      <c r="J783" s="455">
        <v>46029</v>
      </c>
      <c r="R783" s="455">
        <v>46114</v>
      </c>
      <c r="U783" s="455">
        <v>46029</v>
      </c>
    </row>
    <row r="784" spans="1:21">
      <c r="A784" t="s">
        <v>1751</v>
      </c>
      <c r="B784" t="s">
        <v>9831</v>
      </c>
      <c r="C784" t="s">
        <v>1751</v>
      </c>
      <c r="D784">
        <v>20489451</v>
      </c>
      <c r="E784" t="s">
        <v>3190</v>
      </c>
      <c r="F784" t="s">
        <v>1782</v>
      </c>
      <c r="G784" t="s">
        <v>3141</v>
      </c>
      <c r="H784" t="s">
        <v>1252</v>
      </c>
      <c r="J784" s="455">
        <v>46119</v>
      </c>
      <c r="R784" s="455">
        <v>46139</v>
      </c>
      <c r="U784" s="455">
        <v>46209</v>
      </c>
    </row>
    <row r="785" spans="1:21">
      <c r="A785" t="s">
        <v>1751</v>
      </c>
      <c r="B785" t="s">
        <v>9832</v>
      </c>
      <c r="C785" t="s">
        <v>1751</v>
      </c>
      <c r="D785">
        <v>20507099</v>
      </c>
      <c r="E785" t="s">
        <v>3128</v>
      </c>
      <c r="F785" t="s">
        <v>1782</v>
      </c>
      <c r="G785" t="s">
        <v>3134</v>
      </c>
      <c r="H785" t="s">
        <v>3165</v>
      </c>
      <c r="J785" s="455">
        <v>46134</v>
      </c>
      <c r="U785" s="455">
        <v>46173</v>
      </c>
    </row>
    <row r="786" spans="1:21">
      <c r="A786" t="s">
        <v>1751</v>
      </c>
      <c r="B786" t="s">
        <v>3649</v>
      </c>
      <c r="C786" t="s">
        <v>1751</v>
      </c>
      <c r="D786">
        <v>20483575</v>
      </c>
      <c r="E786" t="s">
        <v>1897</v>
      </c>
      <c r="F786" t="s">
        <v>1241</v>
      </c>
      <c r="G786" t="s">
        <v>3129</v>
      </c>
      <c r="H786" t="s">
        <v>1252</v>
      </c>
      <c r="I786" t="s">
        <v>3582</v>
      </c>
      <c r="J786" s="455">
        <v>46111</v>
      </c>
      <c r="K786" s="455">
        <v>46118</v>
      </c>
      <c r="U786" s="455">
        <v>46142</v>
      </c>
    </row>
    <row r="787" spans="1:21">
      <c r="A787" t="s">
        <v>1751</v>
      </c>
      <c r="B787" t="s">
        <v>3649</v>
      </c>
      <c r="C787" t="s">
        <v>1751</v>
      </c>
      <c r="D787">
        <v>20510754</v>
      </c>
      <c r="E787" t="s">
        <v>3128</v>
      </c>
      <c r="F787" t="s">
        <v>1782</v>
      </c>
      <c r="G787" t="s">
        <v>3129</v>
      </c>
      <c r="H787" t="s">
        <v>1253</v>
      </c>
      <c r="J787" s="455">
        <v>46139</v>
      </c>
      <c r="U787" s="455">
        <v>46139</v>
      </c>
    </row>
    <row r="788" spans="1:21">
      <c r="A788" t="s">
        <v>1751</v>
      </c>
      <c r="B788" t="s">
        <v>3649</v>
      </c>
      <c r="C788" t="s">
        <v>1751</v>
      </c>
      <c r="D788">
        <v>20488188</v>
      </c>
      <c r="E788" t="s">
        <v>1897</v>
      </c>
      <c r="F788" t="s">
        <v>1241</v>
      </c>
      <c r="G788" t="s">
        <v>3134</v>
      </c>
      <c r="H788" t="s">
        <v>1247</v>
      </c>
      <c r="I788" t="s">
        <v>3582</v>
      </c>
      <c r="J788" s="455">
        <v>46118</v>
      </c>
      <c r="K788" s="455">
        <v>46118</v>
      </c>
      <c r="U788" s="455">
        <v>46142</v>
      </c>
    </row>
    <row r="789" spans="1:21">
      <c r="A789" t="s">
        <v>1751</v>
      </c>
      <c r="B789" t="s">
        <v>9249</v>
      </c>
      <c r="C789" t="s">
        <v>1751</v>
      </c>
      <c r="D789">
        <v>20482233</v>
      </c>
      <c r="E789" t="s">
        <v>3133</v>
      </c>
      <c r="F789" t="s">
        <v>1912</v>
      </c>
      <c r="G789" t="s">
        <v>3134</v>
      </c>
      <c r="H789" t="s">
        <v>1247</v>
      </c>
      <c r="I789" t="s">
        <v>6618</v>
      </c>
      <c r="J789" s="455">
        <v>46109</v>
      </c>
      <c r="K789" s="455">
        <v>46109</v>
      </c>
      <c r="R789" s="455">
        <v>46114</v>
      </c>
      <c r="U789" s="455">
        <v>46160</v>
      </c>
    </row>
    <row r="790" spans="1:21">
      <c r="A790" t="s">
        <v>1751</v>
      </c>
      <c r="B790" t="s">
        <v>9250</v>
      </c>
      <c r="C790" t="s">
        <v>1751</v>
      </c>
      <c r="D790">
        <v>20477898</v>
      </c>
      <c r="E790" t="s">
        <v>3190</v>
      </c>
      <c r="F790" t="s">
        <v>1782</v>
      </c>
      <c r="G790" t="s">
        <v>3134</v>
      </c>
      <c r="H790" t="s">
        <v>1252</v>
      </c>
      <c r="J790" s="455">
        <v>46103</v>
      </c>
      <c r="R790" s="455">
        <v>46114</v>
      </c>
      <c r="U790" s="455">
        <v>46108</v>
      </c>
    </row>
    <row r="791" spans="1:21">
      <c r="A791" t="s">
        <v>1751</v>
      </c>
      <c r="B791" t="s">
        <v>9833</v>
      </c>
      <c r="C791" t="s">
        <v>1751</v>
      </c>
      <c r="D791">
        <v>20501447</v>
      </c>
      <c r="E791" t="s">
        <v>3128</v>
      </c>
      <c r="F791" t="s">
        <v>1782</v>
      </c>
      <c r="G791" t="s">
        <v>3134</v>
      </c>
      <c r="H791" t="s">
        <v>3165</v>
      </c>
      <c r="J791" s="455">
        <v>46131</v>
      </c>
      <c r="U791" s="455">
        <v>46132</v>
      </c>
    </row>
    <row r="792" spans="1:21">
      <c r="A792" t="s">
        <v>1751</v>
      </c>
      <c r="B792" t="s">
        <v>9251</v>
      </c>
      <c r="C792" t="s">
        <v>1751</v>
      </c>
      <c r="D792">
        <v>20414491</v>
      </c>
      <c r="E792" t="s">
        <v>3133</v>
      </c>
      <c r="F792" t="s">
        <v>1243</v>
      </c>
      <c r="G792" t="s">
        <v>3129</v>
      </c>
      <c r="H792" t="s">
        <v>1253</v>
      </c>
      <c r="J792" s="455">
        <v>46020</v>
      </c>
      <c r="K792" s="455">
        <v>46086</v>
      </c>
      <c r="R792" s="455">
        <v>46114</v>
      </c>
      <c r="U792" s="455">
        <v>46160</v>
      </c>
    </row>
    <row r="793" spans="1:21">
      <c r="A793" t="s">
        <v>1751</v>
      </c>
      <c r="B793" t="s">
        <v>9251</v>
      </c>
      <c r="C793" t="s">
        <v>1751</v>
      </c>
      <c r="D793">
        <v>20461800</v>
      </c>
      <c r="E793" t="s">
        <v>3133</v>
      </c>
      <c r="F793" t="s">
        <v>1243</v>
      </c>
      <c r="G793" t="s">
        <v>3134</v>
      </c>
      <c r="H793" t="s">
        <v>1247</v>
      </c>
      <c r="I793" t="s">
        <v>3872</v>
      </c>
      <c r="J793" s="455">
        <v>46084</v>
      </c>
      <c r="K793" s="455">
        <v>46084</v>
      </c>
      <c r="L793" s="455">
        <v>46084</v>
      </c>
      <c r="R793" s="455">
        <v>46120</v>
      </c>
      <c r="U793" s="455">
        <v>46160</v>
      </c>
    </row>
    <row r="794" spans="1:21">
      <c r="A794" t="s">
        <v>1751</v>
      </c>
      <c r="B794" t="s">
        <v>9252</v>
      </c>
      <c r="C794" t="s">
        <v>1751</v>
      </c>
      <c r="D794">
        <v>20465305</v>
      </c>
      <c r="E794" t="s">
        <v>3133</v>
      </c>
      <c r="F794" t="s">
        <v>1799</v>
      </c>
      <c r="G794" t="s">
        <v>3134</v>
      </c>
      <c r="H794" t="s">
        <v>1248</v>
      </c>
      <c r="I794" t="s">
        <v>1818</v>
      </c>
      <c r="J794" s="455">
        <v>46090</v>
      </c>
      <c r="K794" s="455">
        <v>46090</v>
      </c>
      <c r="R794" s="455">
        <v>46114</v>
      </c>
      <c r="U794" s="455">
        <v>46090</v>
      </c>
    </row>
    <row r="795" spans="1:21">
      <c r="A795" t="s">
        <v>1751</v>
      </c>
      <c r="B795" t="s">
        <v>8819</v>
      </c>
      <c r="C795" t="s">
        <v>1751</v>
      </c>
      <c r="D795">
        <v>20449224</v>
      </c>
      <c r="E795" t="s">
        <v>3190</v>
      </c>
      <c r="F795" t="s">
        <v>1782</v>
      </c>
      <c r="G795" t="s">
        <v>2009</v>
      </c>
      <c r="H795" t="s">
        <v>1251</v>
      </c>
      <c r="J795" s="455">
        <v>46067</v>
      </c>
      <c r="R795" s="455">
        <v>46114</v>
      </c>
      <c r="U795" s="455">
        <v>46067</v>
      </c>
    </row>
    <row r="796" spans="1:21">
      <c r="A796" t="s">
        <v>1751</v>
      </c>
      <c r="B796" t="s">
        <v>9834</v>
      </c>
      <c r="C796" t="s">
        <v>1751</v>
      </c>
      <c r="D796">
        <v>20500275</v>
      </c>
      <c r="E796" t="s">
        <v>3128</v>
      </c>
      <c r="F796" t="s">
        <v>1782</v>
      </c>
      <c r="G796" t="s">
        <v>3134</v>
      </c>
      <c r="H796" t="s">
        <v>3165</v>
      </c>
      <c r="J796" s="455">
        <v>46129</v>
      </c>
      <c r="U796" s="455">
        <v>46131</v>
      </c>
    </row>
    <row r="797" spans="1:21">
      <c r="A797" t="s">
        <v>1751</v>
      </c>
      <c r="B797" t="s">
        <v>9834</v>
      </c>
      <c r="C797" t="s">
        <v>1751</v>
      </c>
      <c r="D797">
        <v>20500274</v>
      </c>
      <c r="E797" t="s">
        <v>3128</v>
      </c>
      <c r="F797" t="s">
        <v>1782</v>
      </c>
      <c r="G797" t="s">
        <v>3134</v>
      </c>
      <c r="H797" t="s">
        <v>3165</v>
      </c>
      <c r="J797" s="455">
        <v>46129</v>
      </c>
      <c r="U797" s="455">
        <v>46131</v>
      </c>
    </row>
    <row r="798" spans="1:21">
      <c r="A798" t="s">
        <v>1751</v>
      </c>
      <c r="B798" t="s">
        <v>8820</v>
      </c>
      <c r="C798" t="s">
        <v>1751</v>
      </c>
      <c r="D798">
        <v>20442365</v>
      </c>
      <c r="E798" t="s">
        <v>3133</v>
      </c>
      <c r="F798" t="s">
        <v>1799</v>
      </c>
      <c r="G798" t="s">
        <v>3134</v>
      </c>
      <c r="H798" t="s">
        <v>1247</v>
      </c>
      <c r="J798" s="455">
        <v>46059</v>
      </c>
      <c r="K798" s="455">
        <v>46059</v>
      </c>
      <c r="R798" s="455">
        <v>46114</v>
      </c>
      <c r="U798" s="455">
        <v>46080</v>
      </c>
    </row>
    <row r="799" spans="1:21">
      <c r="A799" t="s">
        <v>1751</v>
      </c>
      <c r="B799" t="s">
        <v>9253</v>
      </c>
      <c r="C799" t="s">
        <v>1751</v>
      </c>
      <c r="D799">
        <v>20482388</v>
      </c>
      <c r="E799" t="s">
        <v>3190</v>
      </c>
      <c r="F799" t="s">
        <v>1782</v>
      </c>
      <c r="G799" t="s">
        <v>3134</v>
      </c>
      <c r="H799" t="s">
        <v>1252</v>
      </c>
      <c r="J799" s="455">
        <v>46109</v>
      </c>
      <c r="R799" s="455">
        <v>46139</v>
      </c>
      <c r="U799" s="455">
        <v>46143</v>
      </c>
    </row>
    <row r="800" spans="1:21">
      <c r="A800" t="s">
        <v>1751</v>
      </c>
      <c r="B800" t="s">
        <v>9254</v>
      </c>
      <c r="C800" t="s">
        <v>1751</v>
      </c>
      <c r="D800">
        <v>20466156</v>
      </c>
      <c r="E800" t="s">
        <v>3190</v>
      </c>
      <c r="F800" t="s">
        <v>1782</v>
      </c>
      <c r="G800" t="s">
        <v>3137</v>
      </c>
      <c r="H800" t="s">
        <v>1247</v>
      </c>
      <c r="J800" s="455">
        <v>46091</v>
      </c>
      <c r="R800" s="455">
        <v>46114</v>
      </c>
      <c r="U800" s="455">
        <v>46095</v>
      </c>
    </row>
    <row r="801" spans="1:21">
      <c r="A801" t="s">
        <v>1751</v>
      </c>
      <c r="B801" t="s">
        <v>9255</v>
      </c>
      <c r="C801" t="s">
        <v>1751</v>
      </c>
      <c r="D801">
        <v>20470438</v>
      </c>
      <c r="E801" t="s">
        <v>3133</v>
      </c>
      <c r="F801" t="s">
        <v>1782</v>
      </c>
      <c r="G801" t="s">
        <v>3134</v>
      </c>
      <c r="H801" t="s">
        <v>1252</v>
      </c>
      <c r="J801" s="455">
        <v>46093</v>
      </c>
      <c r="K801" s="455">
        <v>46093</v>
      </c>
      <c r="R801" s="455">
        <v>46115</v>
      </c>
      <c r="U801" s="455">
        <v>46095</v>
      </c>
    </row>
    <row r="802" spans="1:21">
      <c r="A802" t="s">
        <v>1751</v>
      </c>
      <c r="B802" t="s">
        <v>9835</v>
      </c>
      <c r="C802" t="s">
        <v>1751</v>
      </c>
      <c r="D802">
        <v>20511271</v>
      </c>
      <c r="E802" t="s">
        <v>3128</v>
      </c>
      <c r="F802" t="s">
        <v>1782</v>
      </c>
      <c r="G802" t="s">
        <v>3141</v>
      </c>
      <c r="H802" t="s">
        <v>1252</v>
      </c>
      <c r="J802" s="455">
        <v>46139</v>
      </c>
      <c r="U802" s="455">
        <v>46174</v>
      </c>
    </row>
    <row r="803" spans="1:21">
      <c r="A803" t="s">
        <v>1751</v>
      </c>
      <c r="B803" t="s">
        <v>9836</v>
      </c>
      <c r="C803" t="s">
        <v>1751</v>
      </c>
      <c r="D803">
        <v>20420103</v>
      </c>
      <c r="E803" t="s">
        <v>3190</v>
      </c>
      <c r="F803" t="s">
        <v>1782</v>
      </c>
      <c r="G803" t="s">
        <v>3129</v>
      </c>
      <c r="H803" t="s">
        <v>3131</v>
      </c>
      <c r="J803" s="455">
        <v>46029</v>
      </c>
      <c r="R803" s="455">
        <v>46114</v>
      </c>
      <c r="U803" s="455">
        <v>46029</v>
      </c>
    </row>
    <row r="804" spans="1:21">
      <c r="A804" t="s">
        <v>1751</v>
      </c>
      <c r="B804" t="s">
        <v>9837</v>
      </c>
      <c r="C804" t="s">
        <v>1751</v>
      </c>
      <c r="D804">
        <v>20488658</v>
      </c>
      <c r="E804" t="s">
        <v>3190</v>
      </c>
      <c r="F804" t="s">
        <v>1782</v>
      </c>
      <c r="G804" t="s">
        <v>3134</v>
      </c>
      <c r="H804" t="s">
        <v>1252</v>
      </c>
      <c r="J804" s="455">
        <v>46118</v>
      </c>
      <c r="R804" s="455">
        <v>46139</v>
      </c>
      <c r="U804" s="455">
        <v>46119</v>
      </c>
    </row>
    <row r="805" spans="1:21">
      <c r="A805" t="s">
        <v>1751</v>
      </c>
      <c r="B805" t="s">
        <v>4619</v>
      </c>
      <c r="C805" t="s">
        <v>1751</v>
      </c>
      <c r="D805">
        <v>20504934</v>
      </c>
      <c r="E805" t="s">
        <v>3128</v>
      </c>
      <c r="F805" t="s">
        <v>1782</v>
      </c>
      <c r="G805" t="s">
        <v>3129</v>
      </c>
      <c r="H805" t="s">
        <v>3131</v>
      </c>
      <c r="J805" s="455">
        <v>46133</v>
      </c>
      <c r="U805" s="455">
        <v>46133</v>
      </c>
    </row>
    <row r="806" spans="1:21">
      <c r="A806" t="s">
        <v>1751</v>
      </c>
      <c r="B806" t="s">
        <v>8821</v>
      </c>
      <c r="C806" t="s">
        <v>1751</v>
      </c>
      <c r="D806">
        <v>20443070</v>
      </c>
      <c r="E806" t="s">
        <v>3190</v>
      </c>
      <c r="F806" t="s">
        <v>1782</v>
      </c>
      <c r="G806" t="s">
        <v>3141</v>
      </c>
      <c r="H806" t="s">
        <v>1247</v>
      </c>
      <c r="J806" s="455">
        <v>46060</v>
      </c>
      <c r="R806" s="455">
        <v>46114</v>
      </c>
      <c r="U806" s="455">
        <v>46068</v>
      </c>
    </row>
    <row r="807" spans="1:21">
      <c r="A807" t="s">
        <v>1751</v>
      </c>
      <c r="B807" t="s">
        <v>9257</v>
      </c>
      <c r="C807" t="s">
        <v>1751</v>
      </c>
      <c r="D807">
        <v>20480916</v>
      </c>
      <c r="E807" t="s">
        <v>3190</v>
      </c>
      <c r="F807" t="s">
        <v>1782</v>
      </c>
      <c r="G807" t="s">
        <v>3129</v>
      </c>
      <c r="H807" t="s">
        <v>1252</v>
      </c>
      <c r="J807" s="455">
        <v>46107</v>
      </c>
      <c r="R807" s="455">
        <v>46115</v>
      </c>
      <c r="U807" s="455">
        <v>46107</v>
      </c>
    </row>
    <row r="808" spans="1:21">
      <c r="A808" t="s">
        <v>1751</v>
      </c>
      <c r="B808" t="s">
        <v>9258</v>
      </c>
      <c r="C808" t="s">
        <v>1751</v>
      </c>
      <c r="D808">
        <v>20481005</v>
      </c>
      <c r="E808" t="s">
        <v>3133</v>
      </c>
      <c r="F808" t="s">
        <v>1912</v>
      </c>
      <c r="G808" t="s">
        <v>3134</v>
      </c>
      <c r="H808" t="s">
        <v>1252</v>
      </c>
      <c r="J808" s="455">
        <v>46107</v>
      </c>
      <c r="K808" s="455">
        <v>46107</v>
      </c>
      <c r="R808" s="455">
        <v>46115</v>
      </c>
      <c r="U808" s="455">
        <v>46107</v>
      </c>
    </row>
    <row r="809" spans="1:21">
      <c r="A809" t="s">
        <v>1751</v>
      </c>
      <c r="B809" t="s">
        <v>8822</v>
      </c>
      <c r="C809" t="s">
        <v>1751</v>
      </c>
      <c r="D809">
        <v>20444578</v>
      </c>
      <c r="E809" t="s">
        <v>3190</v>
      </c>
      <c r="F809" t="s">
        <v>1241</v>
      </c>
      <c r="G809" t="s">
        <v>2009</v>
      </c>
      <c r="H809" t="s">
        <v>1247</v>
      </c>
      <c r="J809" s="455">
        <v>46063</v>
      </c>
      <c r="R809" s="455">
        <v>46114</v>
      </c>
      <c r="U809" s="455">
        <v>46072</v>
      </c>
    </row>
    <row r="810" spans="1:21">
      <c r="A810" t="s">
        <v>1751</v>
      </c>
      <c r="B810" t="s">
        <v>9259</v>
      </c>
      <c r="C810" t="s">
        <v>1751</v>
      </c>
      <c r="D810">
        <v>20475240</v>
      </c>
      <c r="E810" t="s">
        <v>3190</v>
      </c>
      <c r="F810" t="s">
        <v>1241</v>
      </c>
      <c r="G810" t="s">
        <v>3143</v>
      </c>
      <c r="H810" t="s">
        <v>1252</v>
      </c>
      <c r="I810" t="s">
        <v>1831</v>
      </c>
      <c r="J810" s="455">
        <v>46099</v>
      </c>
      <c r="R810" s="455">
        <v>46114</v>
      </c>
      <c r="U810" s="455">
        <v>46099</v>
      </c>
    </row>
    <row r="811" spans="1:21">
      <c r="A811" t="s">
        <v>1751</v>
      </c>
      <c r="B811" t="s">
        <v>9838</v>
      </c>
      <c r="C811" t="s">
        <v>1751</v>
      </c>
      <c r="D811">
        <v>20411782</v>
      </c>
      <c r="E811" t="s">
        <v>3190</v>
      </c>
      <c r="F811" t="s">
        <v>1241</v>
      </c>
      <c r="G811" t="s">
        <v>3137</v>
      </c>
      <c r="H811" t="s">
        <v>1251</v>
      </c>
      <c r="J811" s="455">
        <v>46014</v>
      </c>
      <c r="R811" s="455">
        <v>46114</v>
      </c>
      <c r="U811" s="455">
        <v>46150</v>
      </c>
    </row>
    <row r="812" spans="1:21">
      <c r="A812" t="s">
        <v>1751</v>
      </c>
      <c r="B812" t="s">
        <v>9839</v>
      </c>
      <c r="C812" t="s">
        <v>1751</v>
      </c>
      <c r="D812">
        <v>20425571</v>
      </c>
      <c r="E812" t="s">
        <v>3190</v>
      </c>
      <c r="F812" t="s">
        <v>1238</v>
      </c>
      <c r="G812" t="s">
        <v>3143</v>
      </c>
      <c r="H812" t="s">
        <v>1248</v>
      </c>
      <c r="J812" s="455">
        <v>46036</v>
      </c>
      <c r="R812" s="455">
        <v>46114</v>
      </c>
      <c r="U812" s="455">
        <v>46045</v>
      </c>
    </row>
    <row r="813" spans="1:21">
      <c r="A813" t="s">
        <v>1751</v>
      </c>
      <c r="B813" t="s">
        <v>9840</v>
      </c>
      <c r="C813" t="s">
        <v>1751</v>
      </c>
      <c r="D813">
        <v>20435201</v>
      </c>
      <c r="E813" t="s">
        <v>3190</v>
      </c>
      <c r="F813" t="s">
        <v>1238</v>
      </c>
      <c r="G813" t="s">
        <v>3129</v>
      </c>
      <c r="H813" t="s">
        <v>1251</v>
      </c>
      <c r="J813" s="455">
        <v>46048</v>
      </c>
      <c r="R813" s="455">
        <v>46114</v>
      </c>
      <c r="U813" s="455">
        <v>46048</v>
      </c>
    </row>
    <row r="814" spans="1:21">
      <c r="A814" t="s">
        <v>1751</v>
      </c>
      <c r="B814" t="s">
        <v>9841</v>
      </c>
      <c r="C814" t="s">
        <v>1751</v>
      </c>
      <c r="D814">
        <v>20507209</v>
      </c>
      <c r="E814" t="s">
        <v>3128</v>
      </c>
      <c r="F814" t="s">
        <v>1782</v>
      </c>
      <c r="G814" t="s">
        <v>3141</v>
      </c>
      <c r="H814" t="s">
        <v>1252</v>
      </c>
      <c r="J814" s="455">
        <v>46134</v>
      </c>
      <c r="U814" s="455">
        <v>46204</v>
      </c>
    </row>
    <row r="815" spans="1:21">
      <c r="A815" t="s">
        <v>1751</v>
      </c>
      <c r="B815" t="s">
        <v>8824</v>
      </c>
      <c r="C815" t="s">
        <v>1751</v>
      </c>
      <c r="D815">
        <v>20452705</v>
      </c>
      <c r="E815" t="s">
        <v>3190</v>
      </c>
      <c r="F815" t="s">
        <v>1782</v>
      </c>
      <c r="G815" t="s">
        <v>3141</v>
      </c>
      <c r="H815" t="s">
        <v>1247</v>
      </c>
      <c r="J815" s="455">
        <v>46071</v>
      </c>
      <c r="R815" s="455">
        <v>46114</v>
      </c>
      <c r="U815" s="455">
        <v>46083</v>
      </c>
    </row>
    <row r="816" spans="1:21">
      <c r="A816" t="s">
        <v>1751</v>
      </c>
      <c r="B816" t="s">
        <v>9842</v>
      </c>
      <c r="C816" t="s">
        <v>1751</v>
      </c>
      <c r="D816">
        <v>20486287</v>
      </c>
      <c r="E816" t="s">
        <v>3190</v>
      </c>
      <c r="F816" t="s">
        <v>1782</v>
      </c>
      <c r="G816" t="s">
        <v>3134</v>
      </c>
      <c r="H816" t="s">
        <v>1252</v>
      </c>
      <c r="J816" s="455">
        <v>46114</v>
      </c>
      <c r="R816" s="455">
        <v>46115</v>
      </c>
      <c r="U816" s="455">
        <v>46118</v>
      </c>
    </row>
    <row r="817" spans="1:21">
      <c r="A817" t="s">
        <v>1751</v>
      </c>
      <c r="B817" t="s">
        <v>9843</v>
      </c>
      <c r="C817" t="s">
        <v>1751</v>
      </c>
      <c r="D817">
        <v>20504031</v>
      </c>
      <c r="E817" t="s">
        <v>3133</v>
      </c>
      <c r="F817" t="s">
        <v>1242</v>
      </c>
      <c r="G817" t="s">
        <v>3134</v>
      </c>
      <c r="H817" t="s">
        <v>1252</v>
      </c>
      <c r="I817" t="s">
        <v>3363</v>
      </c>
      <c r="J817" s="455">
        <v>46132</v>
      </c>
      <c r="K817" s="455">
        <v>46132</v>
      </c>
      <c r="L817" s="455">
        <v>46134</v>
      </c>
      <c r="R817" s="455">
        <v>46135</v>
      </c>
      <c r="U817" s="455">
        <v>46142</v>
      </c>
    </row>
    <row r="818" spans="1:21">
      <c r="A818" t="s">
        <v>1751</v>
      </c>
      <c r="B818" t="s">
        <v>9260</v>
      </c>
      <c r="C818" t="s">
        <v>1751</v>
      </c>
      <c r="D818">
        <v>20471679</v>
      </c>
      <c r="E818" t="s">
        <v>3190</v>
      </c>
      <c r="F818" t="s">
        <v>1782</v>
      </c>
      <c r="G818" t="s">
        <v>3134</v>
      </c>
      <c r="H818" t="s">
        <v>1252</v>
      </c>
      <c r="J818" s="455">
        <v>46095</v>
      </c>
      <c r="R818" s="455">
        <v>46114</v>
      </c>
      <c r="U818" s="455">
        <v>46097</v>
      </c>
    </row>
    <row r="819" spans="1:21">
      <c r="A819" t="s">
        <v>1751</v>
      </c>
      <c r="B819" t="s">
        <v>9260</v>
      </c>
      <c r="C819" t="s">
        <v>1751</v>
      </c>
      <c r="D819">
        <v>20478889</v>
      </c>
      <c r="E819" t="s">
        <v>3190</v>
      </c>
      <c r="F819" t="s">
        <v>1241</v>
      </c>
      <c r="G819" t="s">
        <v>3134</v>
      </c>
      <c r="H819" t="s">
        <v>1252</v>
      </c>
      <c r="J819" s="455">
        <v>46105</v>
      </c>
      <c r="R819" s="455">
        <v>46114</v>
      </c>
      <c r="U819" s="455">
        <v>46165</v>
      </c>
    </row>
    <row r="820" spans="1:21">
      <c r="A820" t="s">
        <v>1751</v>
      </c>
      <c r="B820" t="s">
        <v>9261</v>
      </c>
      <c r="C820" t="s">
        <v>1751</v>
      </c>
      <c r="D820">
        <v>20464379</v>
      </c>
      <c r="E820" t="s">
        <v>3190</v>
      </c>
      <c r="F820" t="s">
        <v>1241</v>
      </c>
      <c r="G820" t="s">
        <v>3143</v>
      </c>
      <c r="H820" t="s">
        <v>1247</v>
      </c>
      <c r="I820" t="s">
        <v>1952</v>
      </c>
      <c r="J820" s="455">
        <v>46088</v>
      </c>
      <c r="R820" s="455">
        <v>46114</v>
      </c>
      <c r="U820" s="455">
        <v>46095</v>
      </c>
    </row>
    <row r="821" spans="1:21">
      <c r="A821" t="s">
        <v>1751</v>
      </c>
      <c r="B821" t="s">
        <v>9844</v>
      </c>
      <c r="C821" t="s">
        <v>1751</v>
      </c>
      <c r="D821">
        <v>20504219</v>
      </c>
      <c r="E821" t="s">
        <v>3128</v>
      </c>
      <c r="F821" t="s">
        <v>1782</v>
      </c>
      <c r="G821" t="s">
        <v>3141</v>
      </c>
      <c r="H821" t="s">
        <v>1252</v>
      </c>
      <c r="J821" s="455">
        <v>46132</v>
      </c>
      <c r="U821" s="455">
        <v>46224</v>
      </c>
    </row>
    <row r="822" spans="1:21">
      <c r="A822" t="s">
        <v>1751</v>
      </c>
      <c r="B822" t="s">
        <v>3672</v>
      </c>
      <c r="C822" t="s">
        <v>1751</v>
      </c>
      <c r="D822">
        <v>20480963</v>
      </c>
      <c r="E822" t="s">
        <v>3190</v>
      </c>
      <c r="F822" t="s">
        <v>1241</v>
      </c>
      <c r="G822" t="s">
        <v>3134</v>
      </c>
      <c r="H822" t="s">
        <v>1252</v>
      </c>
      <c r="J822" s="455">
        <v>46107</v>
      </c>
      <c r="R822" s="455">
        <v>46139</v>
      </c>
      <c r="U822" s="455">
        <v>46138</v>
      </c>
    </row>
    <row r="823" spans="1:21">
      <c r="A823" t="s">
        <v>1751</v>
      </c>
      <c r="B823" t="s">
        <v>3672</v>
      </c>
      <c r="C823" t="s">
        <v>1751</v>
      </c>
      <c r="D823">
        <v>20482609</v>
      </c>
      <c r="E823" t="s">
        <v>3190</v>
      </c>
      <c r="F823" t="s">
        <v>1782</v>
      </c>
      <c r="G823" t="s">
        <v>3134</v>
      </c>
      <c r="H823" t="s">
        <v>1252</v>
      </c>
      <c r="J823" s="455">
        <v>46110</v>
      </c>
      <c r="R823" s="455">
        <v>46139</v>
      </c>
      <c r="U823" s="455">
        <v>46141</v>
      </c>
    </row>
    <row r="824" spans="1:21">
      <c r="A824" t="s">
        <v>1751</v>
      </c>
      <c r="B824" t="s">
        <v>9845</v>
      </c>
      <c r="C824" t="s">
        <v>1751</v>
      </c>
      <c r="D824">
        <v>20501613</v>
      </c>
      <c r="E824" t="s">
        <v>3190</v>
      </c>
      <c r="F824" t="s">
        <v>1782</v>
      </c>
      <c r="G824" t="s">
        <v>3134</v>
      </c>
      <c r="H824" t="s">
        <v>3165</v>
      </c>
      <c r="J824" s="455">
        <v>46131</v>
      </c>
      <c r="R824" s="455">
        <v>46139</v>
      </c>
      <c r="U824" s="455">
        <v>46132</v>
      </c>
    </row>
    <row r="825" spans="1:21">
      <c r="A825" t="s">
        <v>1751</v>
      </c>
      <c r="B825" t="s">
        <v>9262</v>
      </c>
      <c r="C825" t="s">
        <v>1751</v>
      </c>
      <c r="D825">
        <v>20472828</v>
      </c>
      <c r="E825" t="s">
        <v>3190</v>
      </c>
      <c r="F825" t="s">
        <v>1782</v>
      </c>
      <c r="G825" t="s">
        <v>3134</v>
      </c>
      <c r="H825" t="s">
        <v>1252</v>
      </c>
      <c r="J825" s="455">
        <v>46097</v>
      </c>
      <c r="R825" s="455">
        <v>46114</v>
      </c>
      <c r="U825" s="455">
        <v>46140</v>
      </c>
    </row>
    <row r="826" spans="1:21">
      <c r="A826" t="s">
        <v>1751</v>
      </c>
      <c r="B826" t="s">
        <v>9846</v>
      </c>
      <c r="C826" t="s">
        <v>1751</v>
      </c>
      <c r="D826">
        <v>20491023</v>
      </c>
      <c r="E826" t="s">
        <v>3190</v>
      </c>
      <c r="F826" t="s">
        <v>1241</v>
      </c>
      <c r="G826" t="s">
        <v>3134</v>
      </c>
      <c r="H826" t="s">
        <v>1252</v>
      </c>
      <c r="J826" s="455">
        <v>46121</v>
      </c>
      <c r="R826" s="455">
        <v>46139</v>
      </c>
      <c r="U826" s="455">
        <v>46128</v>
      </c>
    </row>
    <row r="827" spans="1:21">
      <c r="A827" t="s">
        <v>1751</v>
      </c>
      <c r="B827" t="s">
        <v>9263</v>
      </c>
      <c r="C827" t="s">
        <v>1751</v>
      </c>
      <c r="D827">
        <v>20477959</v>
      </c>
      <c r="E827" t="s">
        <v>3190</v>
      </c>
      <c r="F827" t="s">
        <v>1782</v>
      </c>
      <c r="G827" t="s">
        <v>3134</v>
      </c>
      <c r="H827" t="s">
        <v>1252</v>
      </c>
      <c r="J827" s="455">
        <v>46103</v>
      </c>
      <c r="R827" s="455">
        <v>46114</v>
      </c>
      <c r="U827" s="455">
        <v>46164</v>
      </c>
    </row>
    <row r="828" spans="1:21">
      <c r="A828" t="s">
        <v>1751</v>
      </c>
      <c r="B828" t="s">
        <v>9847</v>
      </c>
      <c r="C828" t="s">
        <v>1751</v>
      </c>
      <c r="D828">
        <v>20491069</v>
      </c>
      <c r="E828" t="s">
        <v>3190</v>
      </c>
      <c r="F828" t="s">
        <v>1241</v>
      </c>
      <c r="G828" t="s">
        <v>3134</v>
      </c>
      <c r="H828" t="s">
        <v>3165</v>
      </c>
      <c r="J828" s="455">
        <v>46121</v>
      </c>
      <c r="R828" s="455">
        <v>46139</v>
      </c>
      <c r="U828" s="455">
        <v>46122</v>
      </c>
    </row>
    <row r="829" spans="1:21">
      <c r="A829" t="s">
        <v>1751</v>
      </c>
      <c r="B829" t="s">
        <v>8826</v>
      </c>
      <c r="C829" t="s">
        <v>1751</v>
      </c>
      <c r="D829">
        <v>20455295</v>
      </c>
      <c r="E829" t="s">
        <v>3190</v>
      </c>
      <c r="F829" t="s">
        <v>1241</v>
      </c>
      <c r="G829" t="s">
        <v>3141</v>
      </c>
      <c r="H829" t="s">
        <v>1247</v>
      </c>
      <c r="J829" s="455">
        <v>46075</v>
      </c>
      <c r="R829" s="455">
        <v>46114</v>
      </c>
      <c r="U829" s="455">
        <v>46174</v>
      </c>
    </row>
    <row r="830" spans="1:21">
      <c r="A830" t="s">
        <v>1751</v>
      </c>
      <c r="B830" t="s">
        <v>9848</v>
      </c>
      <c r="C830" t="s">
        <v>1751</v>
      </c>
      <c r="D830">
        <v>20494431</v>
      </c>
      <c r="E830" t="s">
        <v>3190</v>
      </c>
      <c r="F830" t="s">
        <v>1782</v>
      </c>
      <c r="G830" t="s">
        <v>3129</v>
      </c>
      <c r="H830" t="s">
        <v>3131</v>
      </c>
      <c r="J830" s="455">
        <v>46126</v>
      </c>
      <c r="R830" s="455">
        <v>46139</v>
      </c>
      <c r="U830" s="455">
        <v>46126</v>
      </c>
    </row>
    <row r="831" spans="1:21">
      <c r="A831" t="s">
        <v>1751</v>
      </c>
      <c r="B831" t="s">
        <v>8827</v>
      </c>
      <c r="C831" t="s">
        <v>1751</v>
      </c>
      <c r="D831">
        <v>20441373</v>
      </c>
      <c r="E831" t="s">
        <v>3190</v>
      </c>
      <c r="F831" t="s">
        <v>1241</v>
      </c>
      <c r="G831" t="s">
        <v>3141</v>
      </c>
      <c r="H831" t="s">
        <v>1247</v>
      </c>
      <c r="J831" s="455">
        <v>46058</v>
      </c>
      <c r="R831" s="455">
        <v>46114</v>
      </c>
      <c r="U831" s="455">
        <v>46335</v>
      </c>
    </row>
    <row r="832" spans="1:21">
      <c r="A832" t="s">
        <v>1751</v>
      </c>
      <c r="B832" t="s">
        <v>9849</v>
      </c>
      <c r="C832" t="s">
        <v>1751</v>
      </c>
      <c r="D832">
        <v>20492723</v>
      </c>
      <c r="E832" t="s">
        <v>3190</v>
      </c>
      <c r="F832" t="s">
        <v>1241</v>
      </c>
      <c r="G832" t="s">
        <v>3134</v>
      </c>
      <c r="H832" t="s">
        <v>3165</v>
      </c>
      <c r="J832" s="455">
        <v>46123</v>
      </c>
      <c r="R832" s="455">
        <v>46139</v>
      </c>
      <c r="U832" s="455">
        <v>46200</v>
      </c>
    </row>
    <row r="833" spans="1:21">
      <c r="A833" t="s">
        <v>1751</v>
      </c>
      <c r="B833" t="s">
        <v>1788</v>
      </c>
      <c r="C833" t="s">
        <v>1751</v>
      </c>
      <c r="D833">
        <v>20461703</v>
      </c>
      <c r="E833" t="s">
        <v>3142</v>
      </c>
      <c r="F833" t="s">
        <v>1243</v>
      </c>
      <c r="G833" t="s">
        <v>3134</v>
      </c>
      <c r="H833" t="s">
        <v>1247</v>
      </c>
      <c r="I833" t="s">
        <v>1961</v>
      </c>
      <c r="J833" s="455">
        <v>46084</v>
      </c>
      <c r="K833" s="455">
        <v>46084</v>
      </c>
      <c r="L833" s="455">
        <v>46085</v>
      </c>
      <c r="M833" s="455">
        <v>46099</v>
      </c>
      <c r="N833" s="455">
        <v>46099</v>
      </c>
      <c r="P833" s="455">
        <v>46109</v>
      </c>
      <c r="Q833" s="455">
        <v>46109</v>
      </c>
      <c r="U833" s="455">
        <v>46122</v>
      </c>
    </row>
    <row r="834" spans="1:21">
      <c r="A834" t="s">
        <v>1751</v>
      </c>
      <c r="B834" t="s">
        <v>9850</v>
      </c>
      <c r="C834" t="s">
        <v>1751</v>
      </c>
      <c r="D834">
        <v>20429282</v>
      </c>
      <c r="E834" t="s">
        <v>3190</v>
      </c>
      <c r="F834" t="s">
        <v>1241</v>
      </c>
      <c r="G834" t="s">
        <v>3137</v>
      </c>
      <c r="H834" t="s">
        <v>1252</v>
      </c>
      <c r="J834" s="455">
        <v>46038</v>
      </c>
      <c r="R834" s="455">
        <v>46114</v>
      </c>
      <c r="U834" s="455">
        <v>46038</v>
      </c>
    </row>
    <row r="835" spans="1:21">
      <c r="A835" t="s">
        <v>1751</v>
      </c>
      <c r="B835" t="s">
        <v>3677</v>
      </c>
      <c r="C835" t="s">
        <v>1751</v>
      </c>
      <c r="D835">
        <v>20417738</v>
      </c>
      <c r="E835" t="s">
        <v>3133</v>
      </c>
      <c r="F835" t="s">
        <v>1799</v>
      </c>
      <c r="G835" t="s">
        <v>3134</v>
      </c>
      <c r="H835" t="s">
        <v>1247</v>
      </c>
      <c r="I835" t="s">
        <v>1961</v>
      </c>
      <c r="J835" s="455">
        <v>46025</v>
      </c>
      <c r="K835" s="455">
        <v>46025</v>
      </c>
      <c r="R835" s="455">
        <v>46114</v>
      </c>
      <c r="U835" s="455">
        <v>46098</v>
      </c>
    </row>
    <row r="836" spans="1:21">
      <c r="A836" t="s">
        <v>1751</v>
      </c>
      <c r="B836" t="s">
        <v>9264</v>
      </c>
      <c r="C836" t="s">
        <v>1751</v>
      </c>
      <c r="D836">
        <v>20481220</v>
      </c>
      <c r="E836" t="s">
        <v>3190</v>
      </c>
      <c r="F836" t="s">
        <v>1782</v>
      </c>
      <c r="G836" t="s">
        <v>3129</v>
      </c>
      <c r="H836" t="s">
        <v>1253</v>
      </c>
      <c r="J836" s="455">
        <v>46108</v>
      </c>
      <c r="R836" s="455">
        <v>46116</v>
      </c>
      <c r="U836" s="455">
        <v>46113</v>
      </c>
    </row>
    <row r="837" spans="1:21">
      <c r="A837" t="s">
        <v>1751</v>
      </c>
      <c r="B837" t="s">
        <v>8828</v>
      </c>
      <c r="C837" t="s">
        <v>1751</v>
      </c>
      <c r="D837">
        <v>20454196</v>
      </c>
      <c r="E837" t="s">
        <v>3133</v>
      </c>
      <c r="F837" t="s">
        <v>1912</v>
      </c>
      <c r="G837" t="s">
        <v>3134</v>
      </c>
      <c r="H837" t="s">
        <v>1247</v>
      </c>
      <c r="J837" s="455">
        <v>46073</v>
      </c>
      <c r="K837" s="455">
        <v>46073</v>
      </c>
      <c r="R837" s="455">
        <v>46114</v>
      </c>
      <c r="U837" s="455">
        <v>46073</v>
      </c>
    </row>
    <row r="838" spans="1:21">
      <c r="A838" t="s">
        <v>1751</v>
      </c>
      <c r="B838" t="s">
        <v>9265</v>
      </c>
      <c r="C838" t="s">
        <v>1751</v>
      </c>
      <c r="D838">
        <v>20474349</v>
      </c>
      <c r="E838" t="s">
        <v>3190</v>
      </c>
      <c r="F838" t="s">
        <v>1241</v>
      </c>
      <c r="G838" t="s">
        <v>3129</v>
      </c>
      <c r="H838" t="s">
        <v>1252</v>
      </c>
      <c r="J838" s="455">
        <v>46099</v>
      </c>
      <c r="R838" s="455">
        <v>46114</v>
      </c>
      <c r="U838" s="455">
        <v>46142</v>
      </c>
    </row>
    <row r="839" spans="1:21">
      <c r="A839" t="s">
        <v>1751</v>
      </c>
      <c r="B839" t="s">
        <v>9266</v>
      </c>
      <c r="C839" t="s">
        <v>1751</v>
      </c>
      <c r="D839">
        <v>20472597</v>
      </c>
      <c r="E839" t="s">
        <v>3190</v>
      </c>
      <c r="F839" t="s">
        <v>1782</v>
      </c>
      <c r="G839" t="s">
        <v>3134</v>
      </c>
      <c r="H839" t="s">
        <v>1252</v>
      </c>
      <c r="J839" s="455">
        <v>46097</v>
      </c>
      <c r="R839" s="455">
        <v>46114</v>
      </c>
      <c r="U839" s="455">
        <v>46113</v>
      </c>
    </row>
    <row r="840" spans="1:21">
      <c r="A840" t="s">
        <v>1751</v>
      </c>
      <c r="B840" t="s">
        <v>9851</v>
      </c>
      <c r="C840" t="s">
        <v>1751</v>
      </c>
      <c r="D840">
        <v>20490991</v>
      </c>
      <c r="E840" t="s">
        <v>3190</v>
      </c>
      <c r="F840" t="s">
        <v>1782</v>
      </c>
      <c r="G840" t="s">
        <v>3134</v>
      </c>
      <c r="H840" t="s">
        <v>1252</v>
      </c>
      <c r="J840" s="455">
        <v>46121</v>
      </c>
      <c r="R840" s="455">
        <v>46139</v>
      </c>
      <c r="U840" s="455">
        <v>46174</v>
      </c>
    </row>
    <row r="841" spans="1:21">
      <c r="A841" t="s">
        <v>1751</v>
      </c>
      <c r="B841" t="s">
        <v>8831</v>
      </c>
      <c r="C841" t="s">
        <v>1751</v>
      </c>
      <c r="D841">
        <v>20445900</v>
      </c>
      <c r="E841" t="s">
        <v>3190</v>
      </c>
      <c r="F841" t="s">
        <v>1241</v>
      </c>
      <c r="G841" t="s">
        <v>2009</v>
      </c>
      <c r="H841" t="s">
        <v>1247</v>
      </c>
      <c r="J841" s="455">
        <v>46064</v>
      </c>
      <c r="R841" s="455">
        <v>46114</v>
      </c>
      <c r="U841" s="455">
        <v>46099</v>
      </c>
    </row>
    <row r="842" spans="1:21">
      <c r="A842" t="s">
        <v>1751</v>
      </c>
      <c r="B842" t="s">
        <v>9852</v>
      </c>
      <c r="C842" t="s">
        <v>1751</v>
      </c>
      <c r="D842">
        <v>20500944</v>
      </c>
      <c r="E842" t="s">
        <v>3190</v>
      </c>
      <c r="F842" t="s">
        <v>1782</v>
      </c>
      <c r="G842" t="s">
        <v>3134</v>
      </c>
      <c r="H842" t="s">
        <v>1252</v>
      </c>
      <c r="J842" s="455">
        <v>46130</v>
      </c>
      <c r="R842" s="455">
        <v>46139</v>
      </c>
      <c r="U842" s="455">
        <v>46242</v>
      </c>
    </row>
    <row r="843" spans="1:21">
      <c r="A843" t="s">
        <v>1751</v>
      </c>
      <c r="B843" t="s">
        <v>9267</v>
      </c>
      <c r="C843" t="s">
        <v>1751</v>
      </c>
      <c r="D843">
        <v>20476808</v>
      </c>
      <c r="E843" t="s">
        <v>3190</v>
      </c>
      <c r="F843" t="s">
        <v>1241</v>
      </c>
      <c r="G843" t="s">
        <v>3134</v>
      </c>
      <c r="H843" t="s">
        <v>1252</v>
      </c>
      <c r="J843" s="455">
        <v>46101</v>
      </c>
      <c r="R843" s="455">
        <v>46139</v>
      </c>
      <c r="U843" s="455">
        <v>46146</v>
      </c>
    </row>
    <row r="844" spans="1:21">
      <c r="A844" t="s">
        <v>1751</v>
      </c>
      <c r="B844" t="s">
        <v>9853</v>
      </c>
      <c r="C844" t="s">
        <v>1751</v>
      </c>
      <c r="D844">
        <v>20489585</v>
      </c>
      <c r="E844" t="s">
        <v>3190</v>
      </c>
      <c r="F844" t="s">
        <v>1782</v>
      </c>
      <c r="G844" t="s">
        <v>3134</v>
      </c>
      <c r="H844" t="s">
        <v>1252</v>
      </c>
      <c r="J844" s="455">
        <v>46119</v>
      </c>
      <c r="R844" s="455">
        <v>46139</v>
      </c>
      <c r="U844" s="455">
        <v>46172</v>
      </c>
    </row>
    <row r="845" spans="1:21">
      <c r="A845" t="s">
        <v>1751</v>
      </c>
      <c r="B845" t="s">
        <v>8832</v>
      </c>
      <c r="C845" t="s">
        <v>1751</v>
      </c>
      <c r="D845">
        <v>20452237</v>
      </c>
      <c r="E845" t="s">
        <v>3190</v>
      </c>
      <c r="F845" t="s">
        <v>1782</v>
      </c>
      <c r="G845" t="s">
        <v>3141</v>
      </c>
      <c r="H845" t="s">
        <v>1247</v>
      </c>
      <c r="J845" s="455">
        <v>46071</v>
      </c>
      <c r="R845" s="455">
        <v>46114</v>
      </c>
      <c r="U845" s="455">
        <v>46173</v>
      </c>
    </row>
    <row r="846" spans="1:21">
      <c r="A846" t="s">
        <v>1751</v>
      </c>
      <c r="B846" t="s">
        <v>8833</v>
      </c>
      <c r="C846" t="s">
        <v>1751</v>
      </c>
      <c r="D846">
        <v>20442545</v>
      </c>
      <c r="E846" t="s">
        <v>3190</v>
      </c>
      <c r="F846" t="s">
        <v>1239</v>
      </c>
      <c r="G846" t="s">
        <v>3141</v>
      </c>
      <c r="H846" t="s">
        <v>3165</v>
      </c>
      <c r="J846" s="455">
        <v>46059</v>
      </c>
      <c r="R846" s="455">
        <v>46114</v>
      </c>
      <c r="U846" s="455">
        <v>46059</v>
      </c>
    </row>
    <row r="847" spans="1:21">
      <c r="A847" t="s">
        <v>1751</v>
      </c>
      <c r="B847" t="s">
        <v>9854</v>
      </c>
      <c r="C847" t="s">
        <v>1751</v>
      </c>
      <c r="D847">
        <v>20493023</v>
      </c>
      <c r="E847" t="s">
        <v>3190</v>
      </c>
      <c r="F847" t="s">
        <v>1241</v>
      </c>
      <c r="G847" t="s">
        <v>3134</v>
      </c>
      <c r="H847" t="s">
        <v>1252</v>
      </c>
      <c r="J847" s="455">
        <v>46124</v>
      </c>
      <c r="R847" s="455">
        <v>46139</v>
      </c>
      <c r="U847" s="455">
        <v>46204</v>
      </c>
    </row>
    <row r="848" spans="1:21">
      <c r="A848" t="s">
        <v>1751</v>
      </c>
      <c r="B848" t="s">
        <v>9855</v>
      </c>
      <c r="C848" t="s">
        <v>1751</v>
      </c>
      <c r="D848">
        <v>20501604</v>
      </c>
      <c r="E848" t="s">
        <v>3190</v>
      </c>
      <c r="F848" t="s">
        <v>1782</v>
      </c>
      <c r="G848" t="s">
        <v>3134</v>
      </c>
      <c r="H848" t="s">
        <v>3165</v>
      </c>
      <c r="J848" s="455">
        <v>46131</v>
      </c>
      <c r="R848" s="455">
        <v>46139</v>
      </c>
      <c r="U848" s="455">
        <v>46234</v>
      </c>
    </row>
    <row r="849" spans="1:21">
      <c r="A849" t="s">
        <v>1751</v>
      </c>
      <c r="B849" t="s">
        <v>8835</v>
      </c>
      <c r="C849" t="s">
        <v>1751</v>
      </c>
      <c r="D849">
        <v>20442646</v>
      </c>
      <c r="E849" t="s">
        <v>3190</v>
      </c>
      <c r="F849" t="s">
        <v>1782</v>
      </c>
      <c r="G849" t="s">
        <v>3129</v>
      </c>
      <c r="H849" t="s">
        <v>1252</v>
      </c>
      <c r="J849" s="455">
        <v>46060</v>
      </c>
      <c r="R849" s="455">
        <v>46114</v>
      </c>
      <c r="U849" s="455">
        <v>46143</v>
      </c>
    </row>
    <row r="850" spans="1:21">
      <c r="A850" t="s">
        <v>1751</v>
      </c>
      <c r="B850" t="s">
        <v>8835</v>
      </c>
      <c r="C850" t="s">
        <v>1751</v>
      </c>
      <c r="D850">
        <v>20495299</v>
      </c>
      <c r="E850" t="s">
        <v>3128</v>
      </c>
      <c r="F850" t="s">
        <v>1912</v>
      </c>
      <c r="G850" t="s">
        <v>3137</v>
      </c>
      <c r="H850" t="s">
        <v>1252</v>
      </c>
      <c r="J850" s="455">
        <v>46126</v>
      </c>
      <c r="U850" s="455">
        <v>46174</v>
      </c>
    </row>
    <row r="851" spans="1:21">
      <c r="A851" t="s">
        <v>1751</v>
      </c>
      <c r="B851" t="s">
        <v>9856</v>
      </c>
      <c r="C851" t="s">
        <v>1751</v>
      </c>
      <c r="D851">
        <v>20423664</v>
      </c>
      <c r="E851" t="s">
        <v>3190</v>
      </c>
      <c r="F851" t="s">
        <v>1782</v>
      </c>
      <c r="G851" t="s">
        <v>3141</v>
      </c>
      <c r="H851" t="s">
        <v>3165</v>
      </c>
      <c r="J851" s="455">
        <v>46034</v>
      </c>
      <c r="R851" s="455">
        <v>46114</v>
      </c>
      <c r="U851" s="455">
        <v>46034</v>
      </c>
    </row>
    <row r="852" spans="1:21">
      <c r="A852" t="s">
        <v>1751</v>
      </c>
      <c r="B852" t="s">
        <v>9268</v>
      </c>
      <c r="C852" t="s">
        <v>1751</v>
      </c>
      <c r="D852">
        <v>20484177</v>
      </c>
      <c r="E852" t="s">
        <v>3190</v>
      </c>
      <c r="F852" t="s">
        <v>1237</v>
      </c>
      <c r="G852" t="s">
        <v>3141</v>
      </c>
      <c r="H852" t="s">
        <v>1251</v>
      </c>
      <c r="I852" t="s">
        <v>3277</v>
      </c>
      <c r="J852" s="455">
        <v>46112</v>
      </c>
      <c r="R852" s="455">
        <v>46114</v>
      </c>
      <c r="U852" s="455">
        <v>46112</v>
      </c>
    </row>
    <row r="853" spans="1:21">
      <c r="A853" t="s">
        <v>1751</v>
      </c>
      <c r="B853" t="s">
        <v>9857</v>
      </c>
      <c r="C853" t="s">
        <v>1751</v>
      </c>
      <c r="D853">
        <v>20500496</v>
      </c>
      <c r="E853" t="s">
        <v>3190</v>
      </c>
      <c r="F853" t="s">
        <v>1782</v>
      </c>
      <c r="G853" t="s">
        <v>3134</v>
      </c>
      <c r="H853" t="s">
        <v>3165</v>
      </c>
      <c r="J853" s="455">
        <v>46130</v>
      </c>
      <c r="R853" s="455">
        <v>46139</v>
      </c>
      <c r="U853" s="455">
        <v>46266</v>
      </c>
    </row>
    <row r="854" spans="1:21">
      <c r="A854" t="s">
        <v>1751</v>
      </c>
      <c r="B854" t="s">
        <v>9858</v>
      </c>
      <c r="C854" t="s">
        <v>1751</v>
      </c>
      <c r="D854">
        <v>20422315</v>
      </c>
      <c r="E854" t="s">
        <v>3190</v>
      </c>
      <c r="F854" t="s">
        <v>1237</v>
      </c>
      <c r="G854" t="s">
        <v>3143</v>
      </c>
      <c r="H854" t="s">
        <v>1252</v>
      </c>
      <c r="J854" s="455">
        <v>46032</v>
      </c>
      <c r="R854" s="455">
        <v>46114</v>
      </c>
      <c r="U854" s="455">
        <v>46032</v>
      </c>
    </row>
    <row r="855" spans="1:21">
      <c r="A855" t="s">
        <v>1751</v>
      </c>
      <c r="B855" t="s">
        <v>9269</v>
      </c>
      <c r="C855" t="s">
        <v>1751</v>
      </c>
      <c r="D855">
        <v>20481773</v>
      </c>
      <c r="E855" t="s">
        <v>3190</v>
      </c>
      <c r="F855" t="s">
        <v>1782</v>
      </c>
      <c r="G855" t="s">
        <v>3134</v>
      </c>
      <c r="H855" t="s">
        <v>1252</v>
      </c>
      <c r="J855" s="455">
        <v>46108</v>
      </c>
      <c r="R855" s="455">
        <v>46116</v>
      </c>
      <c r="U855" s="455">
        <v>46132</v>
      </c>
    </row>
    <row r="856" spans="1:21">
      <c r="A856" t="s">
        <v>1751</v>
      </c>
      <c r="B856" t="s">
        <v>9270</v>
      </c>
      <c r="C856" t="s">
        <v>1751</v>
      </c>
      <c r="D856">
        <v>20476493</v>
      </c>
      <c r="E856" t="s">
        <v>3190</v>
      </c>
      <c r="F856" t="s">
        <v>1782</v>
      </c>
      <c r="G856" t="s">
        <v>3137</v>
      </c>
      <c r="H856" t="s">
        <v>1247</v>
      </c>
      <c r="J856" s="455">
        <v>46101</v>
      </c>
      <c r="R856" s="455">
        <v>46116</v>
      </c>
      <c r="U856" s="455">
        <v>46101</v>
      </c>
    </row>
    <row r="857" spans="1:21">
      <c r="A857" t="s">
        <v>1751</v>
      </c>
      <c r="B857" t="s">
        <v>9859</v>
      </c>
      <c r="C857" t="s">
        <v>1751</v>
      </c>
      <c r="D857">
        <v>20436879</v>
      </c>
      <c r="E857" t="s">
        <v>3190</v>
      </c>
      <c r="F857" t="s">
        <v>1782</v>
      </c>
      <c r="G857" t="s">
        <v>3129</v>
      </c>
      <c r="H857" t="s">
        <v>3131</v>
      </c>
      <c r="J857" s="455">
        <v>46051</v>
      </c>
      <c r="R857" s="455">
        <v>46114</v>
      </c>
      <c r="U857" s="455">
        <v>46051</v>
      </c>
    </row>
    <row r="858" spans="1:21">
      <c r="A858" t="s">
        <v>1751</v>
      </c>
      <c r="B858" t="s">
        <v>1936</v>
      </c>
      <c r="C858" t="s">
        <v>1751</v>
      </c>
      <c r="D858">
        <v>20460821</v>
      </c>
      <c r="E858" t="s">
        <v>3133</v>
      </c>
      <c r="F858" t="s">
        <v>1241</v>
      </c>
      <c r="G858" t="s">
        <v>3134</v>
      </c>
      <c r="H858" t="s">
        <v>1247</v>
      </c>
      <c r="I858" t="s">
        <v>1935</v>
      </c>
      <c r="J858" s="455">
        <v>46083</v>
      </c>
      <c r="K858" s="455">
        <v>46083</v>
      </c>
      <c r="R858" s="455">
        <v>46114</v>
      </c>
      <c r="U858" s="455">
        <v>46088</v>
      </c>
    </row>
    <row r="859" spans="1:21">
      <c r="A859" t="s">
        <v>1751</v>
      </c>
      <c r="B859" t="s">
        <v>6705</v>
      </c>
      <c r="C859" t="s">
        <v>1751</v>
      </c>
      <c r="D859">
        <v>20418338</v>
      </c>
      <c r="E859" t="s">
        <v>3190</v>
      </c>
      <c r="F859" t="s">
        <v>1782</v>
      </c>
      <c r="G859" t="s">
        <v>3141</v>
      </c>
      <c r="H859" t="s">
        <v>1247</v>
      </c>
      <c r="J859" s="455">
        <v>46027</v>
      </c>
      <c r="R859" s="455">
        <v>46114</v>
      </c>
      <c r="U859" s="455">
        <v>46027</v>
      </c>
    </row>
    <row r="860" spans="1:21">
      <c r="A860" t="s">
        <v>1751</v>
      </c>
      <c r="B860" t="s">
        <v>8836</v>
      </c>
      <c r="C860" t="s">
        <v>1751</v>
      </c>
      <c r="D860">
        <v>20442316</v>
      </c>
      <c r="E860" t="s">
        <v>3190</v>
      </c>
      <c r="F860" t="s">
        <v>1241</v>
      </c>
      <c r="G860" t="s">
        <v>3143</v>
      </c>
      <c r="H860" t="s">
        <v>3358</v>
      </c>
      <c r="J860" s="455">
        <v>46059</v>
      </c>
      <c r="R860" s="455">
        <v>46114</v>
      </c>
      <c r="U860" s="455">
        <v>46073</v>
      </c>
    </row>
    <row r="861" spans="1:21">
      <c r="A861" t="s">
        <v>1751</v>
      </c>
      <c r="B861" t="s">
        <v>8837</v>
      </c>
      <c r="C861" t="s">
        <v>1751</v>
      </c>
      <c r="D861">
        <v>20448313</v>
      </c>
      <c r="E861" t="s">
        <v>3133</v>
      </c>
      <c r="F861" t="s">
        <v>8652</v>
      </c>
      <c r="G861" t="s">
        <v>3143</v>
      </c>
      <c r="H861" t="s">
        <v>1251</v>
      </c>
      <c r="J861" s="455">
        <v>46066</v>
      </c>
      <c r="K861" s="455">
        <v>46066</v>
      </c>
      <c r="R861" s="455">
        <v>46114</v>
      </c>
      <c r="U861" s="455">
        <v>46081</v>
      </c>
    </row>
    <row r="862" spans="1:21">
      <c r="A862" t="s">
        <v>1751</v>
      </c>
      <c r="B862" t="s">
        <v>9860</v>
      </c>
      <c r="C862" t="s">
        <v>1751</v>
      </c>
      <c r="D862">
        <v>20436936</v>
      </c>
      <c r="E862" t="s">
        <v>3190</v>
      </c>
      <c r="F862" t="s">
        <v>1238</v>
      </c>
      <c r="G862" t="s">
        <v>3141</v>
      </c>
      <c r="H862" t="s">
        <v>1251</v>
      </c>
      <c r="J862" s="455">
        <v>46051</v>
      </c>
      <c r="R862" s="455">
        <v>46114</v>
      </c>
      <c r="U862" s="455">
        <v>46073</v>
      </c>
    </row>
    <row r="863" spans="1:21">
      <c r="A863" t="s">
        <v>1751</v>
      </c>
      <c r="B863" t="s">
        <v>9861</v>
      </c>
      <c r="C863" t="s">
        <v>1751</v>
      </c>
      <c r="D863">
        <v>20492453</v>
      </c>
      <c r="E863" t="s">
        <v>3190</v>
      </c>
      <c r="F863" t="s">
        <v>1241</v>
      </c>
      <c r="G863" t="s">
        <v>2009</v>
      </c>
      <c r="H863" t="s">
        <v>1248</v>
      </c>
      <c r="J863" s="455">
        <v>46123</v>
      </c>
      <c r="R863" s="455">
        <v>46123</v>
      </c>
      <c r="U863" s="455">
        <v>46151</v>
      </c>
    </row>
    <row r="864" spans="1:21">
      <c r="A864" t="s">
        <v>1751</v>
      </c>
      <c r="B864" t="s">
        <v>9862</v>
      </c>
      <c r="C864" t="s">
        <v>1751</v>
      </c>
      <c r="D864">
        <v>20419641</v>
      </c>
      <c r="E864" t="s">
        <v>3190</v>
      </c>
      <c r="F864" t="s">
        <v>1241</v>
      </c>
      <c r="G864" t="s">
        <v>3143</v>
      </c>
      <c r="H864" t="s">
        <v>1252</v>
      </c>
      <c r="J864" s="455">
        <v>46028</v>
      </c>
      <c r="R864" s="455">
        <v>46139</v>
      </c>
      <c r="U864" s="455">
        <v>46028</v>
      </c>
    </row>
    <row r="865" spans="1:21">
      <c r="A865" t="s">
        <v>1751</v>
      </c>
      <c r="B865" t="s">
        <v>9271</v>
      </c>
      <c r="C865" t="s">
        <v>1751</v>
      </c>
      <c r="D865">
        <v>20459957</v>
      </c>
      <c r="E865" t="s">
        <v>3190</v>
      </c>
      <c r="F865" t="s">
        <v>1241</v>
      </c>
      <c r="G865" t="s">
        <v>3137</v>
      </c>
      <c r="H865" t="s">
        <v>1247</v>
      </c>
      <c r="J865" s="455">
        <v>46082</v>
      </c>
      <c r="R865" s="455">
        <v>46139</v>
      </c>
      <c r="U865" s="455">
        <v>46143</v>
      </c>
    </row>
    <row r="866" spans="1:21">
      <c r="A866" t="s">
        <v>1751</v>
      </c>
      <c r="B866" t="s">
        <v>8840</v>
      </c>
      <c r="C866" t="s">
        <v>1751</v>
      </c>
      <c r="D866">
        <v>20444279</v>
      </c>
      <c r="E866" t="s">
        <v>3190</v>
      </c>
      <c r="F866" t="s">
        <v>1241</v>
      </c>
      <c r="G866" t="s">
        <v>3129</v>
      </c>
      <c r="H866" t="s">
        <v>1252</v>
      </c>
      <c r="J866" s="455">
        <v>46063</v>
      </c>
      <c r="R866" s="455">
        <v>46114</v>
      </c>
      <c r="U866" s="455">
        <v>46078</v>
      </c>
    </row>
    <row r="867" spans="1:21">
      <c r="A867" t="s">
        <v>1751</v>
      </c>
      <c r="B867" t="s">
        <v>8841</v>
      </c>
      <c r="C867" t="s">
        <v>1751</v>
      </c>
      <c r="D867">
        <v>20449857</v>
      </c>
      <c r="E867" t="s">
        <v>3190</v>
      </c>
      <c r="F867" t="s">
        <v>1782</v>
      </c>
      <c r="G867" t="s">
        <v>3141</v>
      </c>
      <c r="H867" t="s">
        <v>1247</v>
      </c>
      <c r="J867" s="455">
        <v>46069</v>
      </c>
      <c r="R867" s="455">
        <v>46114</v>
      </c>
      <c r="U867" s="455">
        <v>46081</v>
      </c>
    </row>
    <row r="868" spans="1:21">
      <c r="A868" t="s">
        <v>1751</v>
      </c>
      <c r="B868" t="s">
        <v>9863</v>
      </c>
      <c r="C868" t="s">
        <v>1751</v>
      </c>
      <c r="D868">
        <v>20487174</v>
      </c>
      <c r="E868" t="s">
        <v>3190</v>
      </c>
      <c r="F868" t="s">
        <v>1243</v>
      </c>
      <c r="G868" t="s">
        <v>3143</v>
      </c>
      <c r="H868" t="s">
        <v>1248</v>
      </c>
      <c r="J868" s="455">
        <v>46116</v>
      </c>
      <c r="R868" s="455">
        <v>46139</v>
      </c>
      <c r="U868" s="455">
        <v>46116</v>
      </c>
    </row>
    <row r="869" spans="1:21">
      <c r="A869" t="s">
        <v>1751</v>
      </c>
      <c r="B869" t="s">
        <v>9272</v>
      </c>
      <c r="C869" t="s">
        <v>1751</v>
      </c>
      <c r="D869">
        <v>20480961</v>
      </c>
      <c r="E869" t="s">
        <v>3133</v>
      </c>
      <c r="F869" t="s">
        <v>1912</v>
      </c>
      <c r="G869" t="s">
        <v>3134</v>
      </c>
      <c r="H869" t="s">
        <v>1251</v>
      </c>
      <c r="I869" t="s">
        <v>5773</v>
      </c>
      <c r="J869" s="455">
        <v>46107</v>
      </c>
      <c r="K869" s="455">
        <v>46107</v>
      </c>
      <c r="R869" s="455">
        <v>46115</v>
      </c>
      <c r="U869" s="455">
        <v>46107</v>
      </c>
    </row>
    <row r="870" spans="1:21">
      <c r="A870" t="s">
        <v>1751</v>
      </c>
      <c r="B870" t="s">
        <v>9864</v>
      </c>
      <c r="C870" t="s">
        <v>1751</v>
      </c>
      <c r="D870">
        <v>20415420</v>
      </c>
      <c r="E870" t="s">
        <v>3190</v>
      </c>
      <c r="F870" t="s">
        <v>1241</v>
      </c>
      <c r="G870" t="s">
        <v>3129</v>
      </c>
      <c r="H870" t="s">
        <v>4333</v>
      </c>
      <c r="J870" s="455">
        <v>46021</v>
      </c>
      <c r="R870" s="455">
        <v>46114</v>
      </c>
      <c r="U870" s="455">
        <v>46021</v>
      </c>
    </row>
    <row r="871" spans="1:21">
      <c r="A871" t="s">
        <v>1751</v>
      </c>
      <c r="B871" t="s">
        <v>9865</v>
      </c>
      <c r="C871" t="s">
        <v>1751</v>
      </c>
      <c r="D871">
        <v>20413409</v>
      </c>
      <c r="E871" t="s">
        <v>3190</v>
      </c>
      <c r="F871" t="s">
        <v>1241</v>
      </c>
      <c r="G871" t="s">
        <v>3129</v>
      </c>
      <c r="H871" t="s">
        <v>1252</v>
      </c>
      <c r="J871" s="455">
        <v>46018</v>
      </c>
      <c r="R871" s="455">
        <v>46114</v>
      </c>
      <c r="U871" s="455">
        <v>46018</v>
      </c>
    </row>
    <row r="872" spans="1:21">
      <c r="A872" t="s">
        <v>1751</v>
      </c>
      <c r="B872" t="s">
        <v>3698</v>
      </c>
      <c r="C872" t="s">
        <v>1751</v>
      </c>
      <c r="D872">
        <v>20510828</v>
      </c>
      <c r="E872" t="s">
        <v>1897</v>
      </c>
      <c r="F872" t="s">
        <v>1912</v>
      </c>
      <c r="G872" t="s">
        <v>3134</v>
      </c>
      <c r="H872" t="s">
        <v>1247</v>
      </c>
      <c r="I872" t="s">
        <v>4273</v>
      </c>
      <c r="J872" s="455">
        <v>46139</v>
      </c>
      <c r="K872" s="455">
        <v>46139</v>
      </c>
      <c r="U872" s="455">
        <v>46139</v>
      </c>
    </row>
    <row r="873" spans="1:21">
      <c r="A873" t="s">
        <v>1751</v>
      </c>
      <c r="B873" t="s">
        <v>3698</v>
      </c>
      <c r="C873" t="s">
        <v>1751</v>
      </c>
      <c r="D873">
        <v>20504425</v>
      </c>
      <c r="E873" t="s">
        <v>1897</v>
      </c>
      <c r="F873" t="s">
        <v>1782</v>
      </c>
      <c r="G873" t="s">
        <v>3129</v>
      </c>
      <c r="H873" t="s">
        <v>3377</v>
      </c>
      <c r="I873" t="s">
        <v>1834</v>
      </c>
      <c r="J873" s="455">
        <v>46133</v>
      </c>
      <c r="K873" s="455">
        <v>46137</v>
      </c>
      <c r="U873" s="455">
        <v>46148</v>
      </c>
    </row>
    <row r="874" spans="1:21">
      <c r="A874" t="s">
        <v>1751</v>
      </c>
      <c r="B874" t="s">
        <v>3698</v>
      </c>
      <c r="C874" t="s">
        <v>1751</v>
      </c>
      <c r="D874">
        <v>20509546</v>
      </c>
      <c r="E874" t="s">
        <v>1897</v>
      </c>
      <c r="F874" t="s">
        <v>1242</v>
      </c>
      <c r="G874" t="s">
        <v>3134</v>
      </c>
      <c r="H874" t="s">
        <v>1247</v>
      </c>
      <c r="J874" s="455">
        <v>46137</v>
      </c>
      <c r="K874" s="455">
        <v>46137</v>
      </c>
      <c r="U874" s="455">
        <v>46137</v>
      </c>
    </row>
    <row r="875" spans="1:21">
      <c r="A875" t="s">
        <v>1751</v>
      </c>
      <c r="B875" t="s">
        <v>3698</v>
      </c>
      <c r="C875" t="s">
        <v>1751</v>
      </c>
      <c r="D875">
        <v>20509574</v>
      </c>
      <c r="E875" t="s">
        <v>3133</v>
      </c>
      <c r="F875" t="s">
        <v>1238</v>
      </c>
      <c r="G875" t="s">
        <v>3134</v>
      </c>
      <c r="H875" t="s">
        <v>1247</v>
      </c>
      <c r="I875" t="s">
        <v>1834</v>
      </c>
      <c r="J875" s="455">
        <v>46137</v>
      </c>
      <c r="K875" s="455">
        <v>46137</v>
      </c>
      <c r="R875" s="455">
        <v>46137</v>
      </c>
      <c r="U875" s="455">
        <v>46137</v>
      </c>
    </row>
    <row r="876" spans="1:21">
      <c r="A876" t="s">
        <v>1751</v>
      </c>
      <c r="B876" t="s">
        <v>9866</v>
      </c>
      <c r="C876" t="s">
        <v>1751</v>
      </c>
      <c r="D876">
        <v>20417338</v>
      </c>
      <c r="E876" t="s">
        <v>3133</v>
      </c>
      <c r="F876" t="s">
        <v>1238</v>
      </c>
      <c r="G876" t="s">
        <v>3134</v>
      </c>
      <c r="H876" t="s">
        <v>4280</v>
      </c>
      <c r="J876" s="455">
        <v>46025</v>
      </c>
      <c r="K876" s="455">
        <v>46025</v>
      </c>
      <c r="R876" s="455">
        <v>46114</v>
      </c>
      <c r="U876" s="455">
        <v>46025</v>
      </c>
    </row>
    <row r="877" spans="1:21">
      <c r="A877" t="s">
        <v>1751</v>
      </c>
      <c r="B877" t="s">
        <v>7108</v>
      </c>
      <c r="C877" t="s">
        <v>1751</v>
      </c>
      <c r="D877">
        <v>20504098</v>
      </c>
      <c r="E877" t="s">
        <v>3133</v>
      </c>
      <c r="F877" t="s">
        <v>1241</v>
      </c>
      <c r="G877" t="s">
        <v>3134</v>
      </c>
      <c r="H877" t="s">
        <v>1247</v>
      </c>
      <c r="J877" s="455">
        <v>46132</v>
      </c>
      <c r="K877" s="455">
        <v>46132</v>
      </c>
      <c r="R877" s="455">
        <v>46134</v>
      </c>
      <c r="U877" s="455">
        <v>46132</v>
      </c>
    </row>
    <row r="878" spans="1:21">
      <c r="A878" t="s">
        <v>1751</v>
      </c>
      <c r="B878" t="s">
        <v>7108</v>
      </c>
      <c r="C878" t="s">
        <v>1751</v>
      </c>
      <c r="D878">
        <v>20476202</v>
      </c>
      <c r="E878" t="s">
        <v>3142</v>
      </c>
      <c r="F878" t="s">
        <v>1238</v>
      </c>
      <c r="G878" t="s">
        <v>3134</v>
      </c>
      <c r="H878" t="s">
        <v>1247</v>
      </c>
      <c r="I878" t="s">
        <v>7107</v>
      </c>
      <c r="J878" s="455">
        <v>46100</v>
      </c>
      <c r="K878" s="455">
        <v>46100</v>
      </c>
      <c r="L878" s="455">
        <v>46107</v>
      </c>
      <c r="M878" s="455">
        <v>46129</v>
      </c>
      <c r="N878" s="455">
        <v>46129</v>
      </c>
      <c r="O878" s="455">
        <v>46129</v>
      </c>
      <c r="P878" s="455">
        <v>46129</v>
      </c>
      <c r="Q878" s="455">
        <v>46129</v>
      </c>
      <c r="U878" s="455">
        <v>46129</v>
      </c>
    </row>
    <row r="879" spans="1:21">
      <c r="A879" t="s">
        <v>1751</v>
      </c>
      <c r="B879" t="s">
        <v>9867</v>
      </c>
      <c r="C879" t="s">
        <v>1751</v>
      </c>
      <c r="D879">
        <v>20487036</v>
      </c>
      <c r="E879" t="s">
        <v>3190</v>
      </c>
      <c r="F879" t="s">
        <v>1782</v>
      </c>
      <c r="G879" t="s">
        <v>3134</v>
      </c>
      <c r="H879" t="s">
        <v>1252</v>
      </c>
      <c r="J879" s="455">
        <v>46116</v>
      </c>
      <c r="R879" s="455">
        <v>46139</v>
      </c>
      <c r="U879" s="455">
        <v>46143</v>
      </c>
    </row>
    <row r="880" spans="1:21">
      <c r="A880" t="s">
        <v>1751</v>
      </c>
      <c r="B880" t="s">
        <v>9273</v>
      </c>
      <c r="C880" t="s">
        <v>1751</v>
      </c>
      <c r="D880">
        <v>20464126</v>
      </c>
      <c r="E880" t="s">
        <v>3133</v>
      </c>
      <c r="F880" t="s">
        <v>1241</v>
      </c>
      <c r="G880" t="s">
        <v>3134</v>
      </c>
      <c r="H880" t="s">
        <v>1249</v>
      </c>
      <c r="J880" s="455">
        <v>46087</v>
      </c>
      <c r="K880" s="455">
        <v>46087</v>
      </c>
      <c r="R880" s="455">
        <v>46116</v>
      </c>
      <c r="U880" s="455">
        <v>46087</v>
      </c>
    </row>
    <row r="881" spans="1:21">
      <c r="A881" t="s">
        <v>1751</v>
      </c>
      <c r="B881" t="s">
        <v>9274</v>
      </c>
      <c r="C881" t="s">
        <v>1751</v>
      </c>
      <c r="D881">
        <v>20472796</v>
      </c>
      <c r="E881" t="s">
        <v>3190</v>
      </c>
      <c r="F881" t="s">
        <v>1241</v>
      </c>
      <c r="G881" t="s">
        <v>3134</v>
      </c>
      <c r="H881" t="s">
        <v>1252</v>
      </c>
      <c r="J881" s="455">
        <v>46097</v>
      </c>
      <c r="R881" s="455">
        <v>46114</v>
      </c>
      <c r="U881" s="455">
        <v>46100</v>
      </c>
    </row>
    <row r="882" spans="1:21">
      <c r="A882" t="s">
        <v>1751</v>
      </c>
      <c r="B882" t="s">
        <v>9868</v>
      </c>
      <c r="C882" t="s">
        <v>1751</v>
      </c>
      <c r="D882">
        <v>20510165</v>
      </c>
      <c r="E882" t="s">
        <v>3128</v>
      </c>
      <c r="F882" t="s">
        <v>1243</v>
      </c>
      <c r="G882" t="s">
        <v>3141</v>
      </c>
      <c r="H882" t="s">
        <v>1252</v>
      </c>
      <c r="J882" s="455">
        <v>46138</v>
      </c>
      <c r="U882" s="455">
        <v>46139</v>
      </c>
    </row>
    <row r="883" spans="1:21">
      <c r="A883" t="s">
        <v>1751</v>
      </c>
      <c r="B883" t="s">
        <v>9869</v>
      </c>
      <c r="C883" t="s">
        <v>1751</v>
      </c>
      <c r="D883">
        <v>20510978</v>
      </c>
      <c r="E883" t="s">
        <v>3128</v>
      </c>
      <c r="F883" t="s">
        <v>1782</v>
      </c>
      <c r="G883" t="s">
        <v>3141</v>
      </c>
      <c r="H883" t="s">
        <v>1252</v>
      </c>
      <c r="J883" s="455">
        <v>46139</v>
      </c>
      <c r="U883" s="455">
        <v>46269</v>
      </c>
    </row>
    <row r="884" spans="1:21">
      <c r="A884" t="s">
        <v>1751</v>
      </c>
      <c r="B884" t="s">
        <v>9870</v>
      </c>
      <c r="C884" t="s">
        <v>1751</v>
      </c>
      <c r="D884">
        <v>20503595</v>
      </c>
      <c r="E884" t="s">
        <v>1897</v>
      </c>
      <c r="F884" t="s">
        <v>1241</v>
      </c>
      <c r="G884" t="s">
        <v>3134</v>
      </c>
      <c r="H884" t="s">
        <v>1247</v>
      </c>
      <c r="I884" t="s">
        <v>7008</v>
      </c>
      <c r="J884" s="455">
        <v>46132</v>
      </c>
      <c r="K884" s="455">
        <v>46132</v>
      </c>
      <c r="U884" s="455">
        <v>46132</v>
      </c>
    </row>
    <row r="885" spans="1:21">
      <c r="A885" t="s">
        <v>1751</v>
      </c>
      <c r="B885" t="s">
        <v>9871</v>
      </c>
      <c r="C885" t="s">
        <v>1751</v>
      </c>
      <c r="D885">
        <v>20505092</v>
      </c>
      <c r="E885" t="s">
        <v>3128</v>
      </c>
      <c r="F885" t="s">
        <v>1782</v>
      </c>
      <c r="G885" t="s">
        <v>3134</v>
      </c>
      <c r="H885" t="s">
        <v>1252</v>
      </c>
      <c r="J885" s="455">
        <v>46133</v>
      </c>
      <c r="U885" s="455">
        <v>46164</v>
      </c>
    </row>
    <row r="886" spans="1:21">
      <c r="A886" t="s">
        <v>1751</v>
      </c>
      <c r="B886" t="s">
        <v>9871</v>
      </c>
      <c r="C886" t="s">
        <v>1751</v>
      </c>
      <c r="D886">
        <v>20503765</v>
      </c>
      <c r="E886" t="s">
        <v>3128</v>
      </c>
      <c r="F886" t="s">
        <v>1782</v>
      </c>
      <c r="G886" t="s">
        <v>3129</v>
      </c>
      <c r="H886" t="s">
        <v>1252</v>
      </c>
      <c r="J886" s="455">
        <v>46132</v>
      </c>
      <c r="U886" s="455">
        <v>46164</v>
      </c>
    </row>
    <row r="887" spans="1:21">
      <c r="A887" t="s">
        <v>1751</v>
      </c>
      <c r="B887" t="s">
        <v>8842</v>
      </c>
      <c r="C887" t="s">
        <v>1751</v>
      </c>
      <c r="D887">
        <v>20443104</v>
      </c>
      <c r="E887" t="s">
        <v>3190</v>
      </c>
      <c r="F887" t="s">
        <v>1241</v>
      </c>
      <c r="G887" t="s">
        <v>2009</v>
      </c>
      <c r="H887" t="s">
        <v>1251</v>
      </c>
      <c r="J887" s="455">
        <v>46060</v>
      </c>
      <c r="R887" s="455">
        <v>46114</v>
      </c>
      <c r="U887" s="455">
        <v>46060</v>
      </c>
    </row>
    <row r="888" spans="1:21">
      <c r="A888" t="s">
        <v>1751</v>
      </c>
      <c r="B888" t="s">
        <v>3713</v>
      </c>
      <c r="C888" t="s">
        <v>1751</v>
      </c>
      <c r="D888">
        <v>20508511</v>
      </c>
      <c r="E888" t="s">
        <v>1897</v>
      </c>
      <c r="F888" t="s">
        <v>1238</v>
      </c>
      <c r="G888" t="s">
        <v>3134</v>
      </c>
      <c r="H888" t="s">
        <v>1247</v>
      </c>
      <c r="I888" t="s">
        <v>3307</v>
      </c>
      <c r="J888" s="455">
        <v>46135</v>
      </c>
      <c r="K888" s="455">
        <v>46135</v>
      </c>
      <c r="U888" s="455">
        <v>46135</v>
      </c>
    </row>
    <row r="889" spans="1:21">
      <c r="A889" t="s">
        <v>1751</v>
      </c>
      <c r="B889" t="s">
        <v>9872</v>
      </c>
      <c r="C889" t="s">
        <v>1751</v>
      </c>
      <c r="D889">
        <v>20492012</v>
      </c>
      <c r="E889" t="s">
        <v>3190</v>
      </c>
      <c r="F889" t="s">
        <v>1241</v>
      </c>
      <c r="G889" t="s">
        <v>3129</v>
      </c>
      <c r="H889" t="s">
        <v>1253</v>
      </c>
      <c r="J889" s="455">
        <v>46122</v>
      </c>
      <c r="R889" s="455">
        <v>46139</v>
      </c>
      <c r="U889" s="455">
        <v>46122</v>
      </c>
    </row>
    <row r="890" spans="1:21">
      <c r="A890" t="s">
        <v>1751</v>
      </c>
      <c r="B890" t="s">
        <v>8844</v>
      </c>
      <c r="C890" t="s">
        <v>1751</v>
      </c>
      <c r="D890">
        <v>20451081</v>
      </c>
      <c r="E890" t="s">
        <v>3190</v>
      </c>
      <c r="F890" t="s">
        <v>1241</v>
      </c>
      <c r="G890" t="s">
        <v>2009</v>
      </c>
      <c r="H890" t="s">
        <v>1247</v>
      </c>
      <c r="J890" s="455">
        <v>46070</v>
      </c>
      <c r="R890" s="455">
        <v>46139</v>
      </c>
      <c r="U890" s="455">
        <v>46238</v>
      </c>
    </row>
    <row r="891" spans="1:21">
      <c r="A891" t="s">
        <v>1751</v>
      </c>
      <c r="B891" t="s">
        <v>9276</v>
      </c>
      <c r="C891" t="s">
        <v>1751</v>
      </c>
      <c r="D891">
        <v>20474502</v>
      </c>
      <c r="E891" t="s">
        <v>3190</v>
      </c>
      <c r="F891" t="s">
        <v>1238</v>
      </c>
      <c r="G891" t="s">
        <v>3143</v>
      </c>
      <c r="H891" t="s">
        <v>1252</v>
      </c>
      <c r="J891" s="455">
        <v>46099</v>
      </c>
      <c r="R891" s="455">
        <v>46115</v>
      </c>
      <c r="U891" s="455">
        <v>46099</v>
      </c>
    </row>
    <row r="892" spans="1:21">
      <c r="A892" t="s">
        <v>1751</v>
      </c>
      <c r="B892" t="s">
        <v>8845</v>
      </c>
      <c r="C892" t="s">
        <v>1751</v>
      </c>
      <c r="D892">
        <v>20442104</v>
      </c>
      <c r="E892" t="s">
        <v>3190</v>
      </c>
      <c r="F892" t="s">
        <v>1782</v>
      </c>
      <c r="G892" t="s">
        <v>3141</v>
      </c>
      <c r="H892" t="s">
        <v>1247</v>
      </c>
      <c r="J892" s="455">
        <v>46059</v>
      </c>
      <c r="R892" s="455">
        <v>46114</v>
      </c>
      <c r="U892" s="455">
        <v>46150</v>
      </c>
    </row>
    <row r="893" spans="1:21">
      <c r="A893" t="s">
        <v>1751</v>
      </c>
      <c r="B893" t="s">
        <v>9873</v>
      </c>
      <c r="C893" t="s">
        <v>1751</v>
      </c>
      <c r="D893">
        <v>20487827</v>
      </c>
      <c r="E893" t="s">
        <v>1897</v>
      </c>
      <c r="F893" t="s">
        <v>1241</v>
      </c>
      <c r="G893" t="s">
        <v>3141</v>
      </c>
      <c r="H893" t="s">
        <v>1247</v>
      </c>
      <c r="I893" t="s">
        <v>1559</v>
      </c>
      <c r="J893" s="455">
        <v>46118</v>
      </c>
      <c r="K893" s="455">
        <v>46118</v>
      </c>
      <c r="L893" s="455">
        <v>46147</v>
      </c>
      <c r="U893" s="455">
        <v>46142</v>
      </c>
    </row>
    <row r="894" spans="1:21">
      <c r="A894" t="s">
        <v>1751</v>
      </c>
      <c r="B894" t="s">
        <v>8846</v>
      </c>
      <c r="C894" t="s">
        <v>1751</v>
      </c>
      <c r="D894">
        <v>20456038</v>
      </c>
      <c r="E894" t="s">
        <v>3190</v>
      </c>
      <c r="F894" t="s">
        <v>1782</v>
      </c>
      <c r="G894" t="s">
        <v>3141</v>
      </c>
      <c r="H894" t="s">
        <v>1247</v>
      </c>
      <c r="J894" s="455">
        <v>46076</v>
      </c>
      <c r="R894" s="455">
        <v>46114</v>
      </c>
      <c r="U894" s="455">
        <v>46203</v>
      </c>
    </row>
    <row r="895" spans="1:21">
      <c r="A895" t="s">
        <v>1751</v>
      </c>
      <c r="B895" t="s">
        <v>8847</v>
      </c>
      <c r="C895" t="s">
        <v>1751</v>
      </c>
      <c r="D895">
        <v>20449565</v>
      </c>
      <c r="E895" t="s">
        <v>3133</v>
      </c>
      <c r="F895" t="s">
        <v>1782</v>
      </c>
      <c r="G895" t="s">
        <v>3137</v>
      </c>
      <c r="H895" t="s">
        <v>1252</v>
      </c>
      <c r="I895" t="s">
        <v>1947</v>
      </c>
      <c r="J895" s="455">
        <v>46068</v>
      </c>
      <c r="K895" s="455">
        <v>46100</v>
      </c>
      <c r="R895" s="455">
        <v>46114</v>
      </c>
      <c r="U895" s="455">
        <v>46123</v>
      </c>
    </row>
    <row r="896" spans="1:21">
      <c r="A896" t="s">
        <v>1751</v>
      </c>
      <c r="B896" t="s">
        <v>9874</v>
      </c>
      <c r="C896" t="s">
        <v>1751</v>
      </c>
      <c r="D896">
        <v>20497072</v>
      </c>
      <c r="E896" t="s">
        <v>3128</v>
      </c>
      <c r="F896" t="s">
        <v>1782</v>
      </c>
      <c r="G896" t="s">
        <v>3134</v>
      </c>
      <c r="H896" t="s">
        <v>1252</v>
      </c>
      <c r="J896" s="455">
        <v>46127</v>
      </c>
      <c r="U896" s="455">
        <v>46132</v>
      </c>
    </row>
    <row r="897" spans="1:21">
      <c r="A897" t="s">
        <v>1751</v>
      </c>
      <c r="B897" t="s">
        <v>9277</v>
      </c>
      <c r="C897" t="s">
        <v>1751</v>
      </c>
      <c r="D897">
        <v>20465841</v>
      </c>
      <c r="E897" t="s">
        <v>3190</v>
      </c>
      <c r="F897" t="s">
        <v>1782</v>
      </c>
      <c r="G897" t="s">
        <v>3141</v>
      </c>
      <c r="H897" t="s">
        <v>1247</v>
      </c>
      <c r="J897" s="455">
        <v>46090</v>
      </c>
      <c r="R897" s="455">
        <v>46114</v>
      </c>
      <c r="U897" s="455">
        <v>46266</v>
      </c>
    </row>
    <row r="898" spans="1:21">
      <c r="A898" t="s">
        <v>1751</v>
      </c>
      <c r="B898" t="s">
        <v>6595</v>
      </c>
      <c r="C898" t="s">
        <v>1751</v>
      </c>
      <c r="D898">
        <v>20464351</v>
      </c>
      <c r="E898" t="s">
        <v>3142</v>
      </c>
      <c r="F898" t="s">
        <v>1242</v>
      </c>
      <c r="G898" t="s">
        <v>3129</v>
      </c>
      <c r="H898" t="s">
        <v>1252</v>
      </c>
      <c r="I898" t="s">
        <v>1521</v>
      </c>
      <c r="J898" s="455">
        <v>46088</v>
      </c>
      <c r="K898" s="455">
        <v>46111</v>
      </c>
      <c r="L898" s="455">
        <v>46113</v>
      </c>
      <c r="M898" s="455">
        <v>46126</v>
      </c>
      <c r="N898" s="455">
        <v>46126</v>
      </c>
      <c r="P898" s="455">
        <v>46126</v>
      </c>
      <c r="Q898" s="455">
        <v>46126</v>
      </c>
      <c r="U898" s="455">
        <v>46143</v>
      </c>
    </row>
    <row r="899" spans="1:21">
      <c r="A899" t="s">
        <v>1751</v>
      </c>
      <c r="B899" t="s">
        <v>9875</v>
      </c>
      <c r="C899" t="s">
        <v>1751</v>
      </c>
      <c r="D899">
        <v>20437624</v>
      </c>
      <c r="E899" t="s">
        <v>3190</v>
      </c>
      <c r="F899" t="s">
        <v>1782</v>
      </c>
      <c r="G899" t="s">
        <v>3129</v>
      </c>
      <c r="H899" t="s">
        <v>3131</v>
      </c>
      <c r="J899" s="455">
        <v>46052</v>
      </c>
      <c r="R899" s="455">
        <v>46114</v>
      </c>
      <c r="U899" s="455">
        <v>46082</v>
      </c>
    </row>
    <row r="900" spans="1:21">
      <c r="A900" t="s">
        <v>1751</v>
      </c>
      <c r="B900" t="s">
        <v>8848</v>
      </c>
      <c r="C900" t="s">
        <v>1751</v>
      </c>
      <c r="D900">
        <v>20456433</v>
      </c>
      <c r="E900" t="s">
        <v>3190</v>
      </c>
      <c r="F900" t="s">
        <v>1782</v>
      </c>
      <c r="G900" t="s">
        <v>3141</v>
      </c>
      <c r="H900" t="s">
        <v>1247</v>
      </c>
      <c r="J900" s="455">
        <v>46077</v>
      </c>
      <c r="R900" s="455">
        <v>46114</v>
      </c>
      <c r="U900" s="455">
        <v>46200</v>
      </c>
    </row>
    <row r="901" spans="1:21">
      <c r="A901" t="s">
        <v>1751</v>
      </c>
      <c r="B901" t="s">
        <v>9876</v>
      </c>
      <c r="C901" t="s">
        <v>1751</v>
      </c>
      <c r="D901">
        <v>20491878</v>
      </c>
      <c r="E901" t="s">
        <v>3190</v>
      </c>
      <c r="F901" t="s">
        <v>1782</v>
      </c>
      <c r="G901" t="s">
        <v>3134</v>
      </c>
      <c r="H901" t="s">
        <v>3165</v>
      </c>
      <c r="J901" s="455">
        <v>46122</v>
      </c>
      <c r="R901" s="455">
        <v>46139</v>
      </c>
      <c r="U901" s="455">
        <v>46195</v>
      </c>
    </row>
    <row r="902" spans="1:21">
      <c r="A902" t="s">
        <v>1751</v>
      </c>
      <c r="B902" t="s">
        <v>9278</v>
      </c>
      <c r="C902" t="s">
        <v>1751</v>
      </c>
      <c r="D902">
        <v>20475140</v>
      </c>
      <c r="E902" t="s">
        <v>3190</v>
      </c>
      <c r="F902" t="s">
        <v>1237</v>
      </c>
      <c r="G902" t="s">
        <v>3143</v>
      </c>
      <c r="H902" t="s">
        <v>1252</v>
      </c>
      <c r="I902" t="s">
        <v>1831</v>
      </c>
      <c r="J902" s="455">
        <v>46099</v>
      </c>
      <c r="R902" s="455">
        <v>46114</v>
      </c>
      <c r="U902" s="455">
        <v>46111</v>
      </c>
    </row>
    <row r="903" spans="1:21">
      <c r="A903" t="s">
        <v>1751</v>
      </c>
      <c r="B903" t="s">
        <v>9279</v>
      </c>
      <c r="C903" t="s">
        <v>1751</v>
      </c>
      <c r="D903">
        <v>20463790</v>
      </c>
      <c r="E903" t="s">
        <v>3190</v>
      </c>
      <c r="F903" t="s">
        <v>1241</v>
      </c>
      <c r="G903" t="s">
        <v>3137</v>
      </c>
      <c r="H903" t="s">
        <v>1252</v>
      </c>
      <c r="J903" s="455">
        <v>46087</v>
      </c>
      <c r="R903" s="455">
        <v>46139</v>
      </c>
      <c r="U903" s="455">
        <v>46087</v>
      </c>
    </row>
    <row r="904" spans="1:21">
      <c r="A904" t="s">
        <v>1751</v>
      </c>
      <c r="B904" t="s">
        <v>9877</v>
      </c>
      <c r="C904" t="s">
        <v>1751</v>
      </c>
      <c r="D904">
        <v>20512621</v>
      </c>
      <c r="E904" t="s">
        <v>3128</v>
      </c>
      <c r="F904" t="s">
        <v>1241</v>
      </c>
      <c r="G904" t="s">
        <v>2009</v>
      </c>
      <c r="H904" t="s">
        <v>1251</v>
      </c>
      <c r="J904" s="455">
        <v>46141</v>
      </c>
      <c r="U904" s="455">
        <v>46147</v>
      </c>
    </row>
    <row r="905" spans="1:21">
      <c r="A905" t="s">
        <v>1751</v>
      </c>
      <c r="B905" t="s">
        <v>9878</v>
      </c>
      <c r="C905" t="s">
        <v>1751</v>
      </c>
      <c r="D905">
        <v>20410472</v>
      </c>
      <c r="E905" t="s">
        <v>3190</v>
      </c>
      <c r="F905" t="s">
        <v>1241</v>
      </c>
      <c r="G905" t="s">
        <v>3137</v>
      </c>
      <c r="H905" t="s">
        <v>1251</v>
      </c>
      <c r="J905" s="455">
        <v>46011</v>
      </c>
      <c r="R905" s="455">
        <v>46114</v>
      </c>
      <c r="U905" s="455">
        <v>46011</v>
      </c>
    </row>
    <row r="906" spans="1:21">
      <c r="A906" t="s">
        <v>1751</v>
      </c>
      <c r="B906" t="s">
        <v>9879</v>
      </c>
      <c r="C906" t="s">
        <v>1751</v>
      </c>
      <c r="D906">
        <v>20423544</v>
      </c>
      <c r="E906" t="s">
        <v>3190</v>
      </c>
      <c r="F906" t="s">
        <v>1239</v>
      </c>
      <c r="G906" t="s">
        <v>3129</v>
      </c>
      <c r="H906" t="s">
        <v>1252</v>
      </c>
      <c r="J906" s="455">
        <v>46034</v>
      </c>
      <c r="R906" s="455">
        <v>46114</v>
      </c>
      <c r="U906" s="455">
        <v>46055</v>
      </c>
    </row>
    <row r="907" spans="1:21">
      <c r="A907" t="s">
        <v>1751</v>
      </c>
      <c r="B907" t="s">
        <v>9880</v>
      </c>
      <c r="C907" t="s">
        <v>1751</v>
      </c>
      <c r="D907">
        <v>20425028</v>
      </c>
      <c r="E907" t="s">
        <v>3190</v>
      </c>
      <c r="F907" t="s">
        <v>1782</v>
      </c>
      <c r="G907" t="s">
        <v>3129</v>
      </c>
      <c r="H907" t="s">
        <v>1252</v>
      </c>
      <c r="J907" s="455">
        <v>46036</v>
      </c>
      <c r="R907" s="455">
        <v>46114</v>
      </c>
      <c r="U907" s="455">
        <v>46073</v>
      </c>
    </row>
    <row r="908" spans="1:21">
      <c r="A908" t="s">
        <v>1751</v>
      </c>
      <c r="B908" t="s">
        <v>8850</v>
      </c>
      <c r="C908" t="s">
        <v>1751</v>
      </c>
      <c r="D908">
        <v>20459043</v>
      </c>
      <c r="E908" t="s">
        <v>3190</v>
      </c>
      <c r="F908" t="s">
        <v>1241</v>
      </c>
      <c r="G908" t="s">
        <v>3129</v>
      </c>
      <c r="H908" t="s">
        <v>3131</v>
      </c>
      <c r="J908" s="455">
        <v>46080</v>
      </c>
      <c r="R908" s="455">
        <v>46114</v>
      </c>
      <c r="U908" s="455">
        <v>46080</v>
      </c>
    </row>
    <row r="909" spans="1:21">
      <c r="A909" t="s">
        <v>1751</v>
      </c>
      <c r="B909" t="s">
        <v>9881</v>
      </c>
      <c r="C909" t="s">
        <v>1751</v>
      </c>
      <c r="D909">
        <v>20501842</v>
      </c>
      <c r="E909" t="s">
        <v>3128</v>
      </c>
      <c r="F909" t="s">
        <v>1241</v>
      </c>
      <c r="G909" t="s">
        <v>3137</v>
      </c>
      <c r="H909" t="s">
        <v>1252</v>
      </c>
      <c r="J909" s="455">
        <v>46131</v>
      </c>
      <c r="U909" s="455">
        <v>46146</v>
      </c>
    </row>
    <row r="910" spans="1:21">
      <c r="A910" t="s">
        <v>1751</v>
      </c>
      <c r="B910" t="s">
        <v>9882</v>
      </c>
      <c r="C910" t="s">
        <v>1751</v>
      </c>
      <c r="D910">
        <v>20410028</v>
      </c>
      <c r="E910" t="s">
        <v>3190</v>
      </c>
      <c r="F910" t="s">
        <v>1782</v>
      </c>
      <c r="G910" t="s">
        <v>3143</v>
      </c>
      <c r="H910" t="s">
        <v>1248</v>
      </c>
      <c r="J910" s="455">
        <v>46010</v>
      </c>
      <c r="R910" s="455">
        <v>46114</v>
      </c>
      <c r="U910" s="455">
        <v>46010</v>
      </c>
    </row>
    <row r="911" spans="1:21">
      <c r="A911" t="s">
        <v>1751</v>
      </c>
      <c r="B911" t="s">
        <v>9883</v>
      </c>
      <c r="C911" t="s">
        <v>1751</v>
      </c>
      <c r="D911">
        <v>20490878</v>
      </c>
      <c r="E911" t="s">
        <v>3190</v>
      </c>
      <c r="F911" t="s">
        <v>1782</v>
      </c>
      <c r="G911" t="s">
        <v>3129</v>
      </c>
      <c r="H911" t="s">
        <v>1253</v>
      </c>
      <c r="J911" s="455">
        <v>46121</v>
      </c>
      <c r="R911" s="455">
        <v>46122</v>
      </c>
      <c r="U911" s="455">
        <v>46121</v>
      </c>
    </row>
    <row r="912" spans="1:21">
      <c r="A912" t="s">
        <v>1751</v>
      </c>
      <c r="B912" t="s">
        <v>9884</v>
      </c>
      <c r="C912" t="s">
        <v>1751</v>
      </c>
      <c r="D912">
        <v>20412514</v>
      </c>
      <c r="E912" t="s">
        <v>3190</v>
      </c>
      <c r="F912" t="s">
        <v>1241</v>
      </c>
      <c r="G912" t="s">
        <v>3129</v>
      </c>
      <c r="H912" t="s">
        <v>1252</v>
      </c>
      <c r="J912" s="455">
        <v>46016</v>
      </c>
      <c r="R912" s="455">
        <v>46114</v>
      </c>
      <c r="U912" s="455">
        <v>46054</v>
      </c>
    </row>
    <row r="913" spans="1:21">
      <c r="A913" t="s">
        <v>1751</v>
      </c>
      <c r="B913" t="s">
        <v>9885</v>
      </c>
      <c r="C913" t="s">
        <v>1751</v>
      </c>
      <c r="D913">
        <v>20417128</v>
      </c>
      <c r="E913" t="s">
        <v>3133</v>
      </c>
      <c r="F913" t="s">
        <v>1237</v>
      </c>
      <c r="G913" t="s">
        <v>3134</v>
      </c>
      <c r="H913" t="s">
        <v>1248</v>
      </c>
      <c r="J913" s="455">
        <v>46024</v>
      </c>
      <c r="K913" s="455">
        <v>46024</v>
      </c>
      <c r="R913" s="455">
        <v>46114</v>
      </c>
      <c r="U913" s="455">
        <v>46024</v>
      </c>
    </row>
    <row r="914" spans="1:21">
      <c r="A914" t="s">
        <v>1751</v>
      </c>
      <c r="B914" t="s">
        <v>9886</v>
      </c>
      <c r="C914" t="s">
        <v>1751</v>
      </c>
      <c r="D914">
        <v>20507407</v>
      </c>
      <c r="E914" t="s">
        <v>3128</v>
      </c>
      <c r="F914" t="s">
        <v>1782</v>
      </c>
      <c r="G914" t="s">
        <v>3141</v>
      </c>
      <c r="H914" t="s">
        <v>1252</v>
      </c>
      <c r="J914" s="455">
        <v>46134</v>
      </c>
      <c r="U914" s="455">
        <v>46155</v>
      </c>
    </row>
    <row r="915" spans="1:21">
      <c r="A915" t="s">
        <v>1751</v>
      </c>
      <c r="B915" t="s">
        <v>9887</v>
      </c>
      <c r="C915" t="s">
        <v>1751</v>
      </c>
      <c r="D915">
        <v>20434844</v>
      </c>
      <c r="E915" t="s">
        <v>3190</v>
      </c>
      <c r="F915" t="s">
        <v>1782</v>
      </c>
      <c r="G915" t="s">
        <v>3129</v>
      </c>
      <c r="H915" t="s">
        <v>1252</v>
      </c>
      <c r="J915" s="455">
        <v>46048</v>
      </c>
      <c r="R915" s="455">
        <v>46114</v>
      </c>
      <c r="U915" s="455">
        <v>46050</v>
      </c>
    </row>
    <row r="916" spans="1:21">
      <c r="A916" t="s">
        <v>1751</v>
      </c>
      <c r="B916" t="s">
        <v>9888</v>
      </c>
      <c r="C916" t="s">
        <v>1751</v>
      </c>
      <c r="D916">
        <v>20494478</v>
      </c>
      <c r="E916" t="s">
        <v>3190</v>
      </c>
      <c r="F916" t="s">
        <v>1242</v>
      </c>
      <c r="G916" t="s">
        <v>3143</v>
      </c>
      <c r="H916" t="s">
        <v>1249</v>
      </c>
      <c r="I916" t="s">
        <v>1952</v>
      </c>
      <c r="J916" s="455">
        <v>46126</v>
      </c>
      <c r="R916" s="455">
        <v>46139</v>
      </c>
      <c r="U916" s="455">
        <v>46172</v>
      </c>
    </row>
    <row r="917" spans="1:21">
      <c r="A917" t="s">
        <v>1751</v>
      </c>
      <c r="B917" t="s">
        <v>9280</v>
      </c>
      <c r="C917" t="s">
        <v>1751</v>
      </c>
      <c r="D917">
        <v>20479509</v>
      </c>
      <c r="E917" t="s">
        <v>3190</v>
      </c>
      <c r="F917" t="s">
        <v>1241</v>
      </c>
      <c r="G917" t="s">
        <v>3134</v>
      </c>
      <c r="H917" t="s">
        <v>1252</v>
      </c>
      <c r="J917" s="455">
        <v>46105</v>
      </c>
      <c r="R917" s="455">
        <v>46114</v>
      </c>
      <c r="U917" s="455">
        <v>46167</v>
      </c>
    </row>
    <row r="918" spans="1:21">
      <c r="A918" t="s">
        <v>1751</v>
      </c>
      <c r="B918" t="s">
        <v>9889</v>
      </c>
      <c r="C918" t="s">
        <v>1751</v>
      </c>
      <c r="D918">
        <v>20417024</v>
      </c>
      <c r="E918" t="s">
        <v>3133</v>
      </c>
      <c r="F918" t="s">
        <v>1237</v>
      </c>
      <c r="G918" t="s">
        <v>3134</v>
      </c>
      <c r="H918" t="s">
        <v>1248</v>
      </c>
      <c r="J918" s="455">
        <v>46024</v>
      </c>
      <c r="K918" s="455">
        <v>46024</v>
      </c>
      <c r="R918" s="455">
        <v>46114</v>
      </c>
      <c r="U918" s="455">
        <v>46024</v>
      </c>
    </row>
    <row r="919" spans="1:21">
      <c r="A919" t="s">
        <v>1751</v>
      </c>
      <c r="B919" t="s">
        <v>9890</v>
      </c>
      <c r="C919" t="s">
        <v>1751</v>
      </c>
      <c r="D919">
        <v>20500560</v>
      </c>
      <c r="E919" t="s">
        <v>3190</v>
      </c>
      <c r="F919" t="s">
        <v>1782</v>
      </c>
      <c r="G919" t="s">
        <v>3134</v>
      </c>
      <c r="H919" t="s">
        <v>3165</v>
      </c>
      <c r="J919" s="455">
        <v>46130</v>
      </c>
      <c r="R919" s="455">
        <v>46139</v>
      </c>
      <c r="U919" s="455">
        <v>46143</v>
      </c>
    </row>
    <row r="920" spans="1:21">
      <c r="A920" t="s">
        <v>1751</v>
      </c>
      <c r="B920" t="s">
        <v>1951</v>
      </c>
      <c r="C920" t="s">
        <v>1751</v>
      </c>
      <c r="D920">
        <v>20471775</v>
      </c>
      <c r="E920" t="s">
        <v>3133</v>
      </c>
      <c r="F920" t="s">
        <v>1782</v>
      </c>
      <c r="G920" t="s">
        <v>3134</v>
      </c>
      <c r="H920" t="s">
        <v>1252</v>
      </c>
      <c r="I920" t="s">
        <v>1538</v>
      </c>
      <c r="J920" s="455">
        <v>46096</v>
      </c>
      <c r="K920" s="455">
        <v>46096</v>
      </c>
      <c r="R920" s="455">
        <v>46115</v>
      </c>
      <c r="U920" s="455">
        <v>46100</v>
      </c>
    </row>
    <row r="921" spans="1:21">
      <c r="A921" t="s">
        <v>1751</v>
      </c>
      <c r="B921" t="s">
        <v>1951</v>
      </c>
      <c r="C921" t="s">
        <v>1751</v>
      </c>
      <c r="D921">
        <v>20471796</v>
      </c>
      <c r="E921" t="s">
        <v>3133</v>
      </c>
      <c r="F921" t="s">
        <v>1799</v>
      </c>
      <c r="G921" t="s">
        <v>3134</v>
      </c>
      <c r="H921" t="s">
        <v>1247</v>
      </c>
      <c r="I921" t="s">
        <v>1950</v>
      </c>
      <c r="J921" s="455">
        <v>46096</v>
      </c>
      <c r="K921" s="455">
        <v>46096</v>
      </c>
      <c r="R921" s="455">
        <v>46115</v>
      </c>
      <c r="U921" s="455">
        <v>46097</v>
      </c>
    </row>
    <row r="922" spans="1:21">
      <c r="A922" t="s">
        <v>1751</v>
      </c>
      <c r="B922" t="s">
        <v>9891</v>
      </c>
      <c r="C922" t="s">
        <v>1751</v>
      </c>
      <c r="D922">
        <v>20501818</v>
      </c>
      <c r="E922" t="s">
        <v>3128</v>
      </c>
      <c r="F922" t="s">
        <v>1782</v>
      </c>
      <c r="G922" t="s">
        <v>3134</v>
      </c>
      <c r="H922" t="s">
        <v>3165</v>
      </c>
      <c r="J922" s="455">
        <v>46131</v>
      </c>
      <c r="U922" s="455">
        <v>46174</v>
      </c>
    </row>
    <row r="923" spans="1:21">
      <c r="A923" t="s">
        <v>1751</v>
      </c>
      <c r="B923" t="s">
        <v>9892</v>
      </c>
      <c r="C923" t="s">
        <v>1751</v>
      </c>
      <c r="D923">
        <v>20487895</v>
      </c>
      <c r="E923" t="s">
        <v>3133</v>
      </c>
      <c r="F923" t="s">
        <v>1237</v>
      </c>
      <c r="G923" t="s">
        <v>3134</v>
      </c>
      <c r="H923" t="s">
        <v>1252</v>
      </c>
      <c r="I923" t="s">
        <v>1947</v>
      </c>
      <c r="J923" s="455">
        <v>46118</v>
      </c>
      <c r="K923" s="455">
        <v>46120</v>
      </c>
      <c r="L923" s="455">
        <v>46120</v>
      </c>
      <c r="M923" s="455">
        <v>46122</v>
      </c>
      <c r="N923" s="455">
        <v>46127</v>
      </c>
      <c r="P923" s="455">
        <v>46129</v>
      </c>
      <c r="Q923" s="455">
        <v>46130</v>
      </c>
      <c r="R923" s="455">
        <v>46140</v>
      </c>
      <c r="U923" s="455">
        <v>46132</v>
      </c>
    </row>
    <row r="924" spans="1:21">
      <c r="A924" t="s">
        <v>1751</v>
      </c>
      <c r="B924" t="s">
        <v>9893</v>
      </c>
      <c r="C924" t="s">
        <v>1751</v>
      </c>
      <c r="D924">
        <v>20513309</v>
      </c>
      <c r="E924" t="s">
        <v>3128</v>
      </c>
      <c r="F924" t="s">
        <v>1782</v>
      </c>
      <c r="G924" t="s">
        <v>3141</v>
      </c>
      <c r="H924" t="s">
        <v>1252</v>
      </c>
      <c r="J924" s="455">
        <v>46142</v>
      </c>
      <c r="U924" s="455">
        <v>46295</v>
      </c>
    </row>
    <row r="925" spans="1:21">
      <c r="A925" t="s">
        <v>1751</v>
      </c>
      <c r="B925" t="s">
        <v>8851</v>
      </c>
      <c r="C925" t="s">
        <v>1751</v>
      </c>
      <c r="D925">
        <v>20442939</v>
      </c>
      <c r="E925" t="s">
        <v>3190</v>
      </c>
      <c r="F925" t="s">
        <v>1782</v>
      </c>
      <c r="G925" t="s">
        <v>3141</v>
      </c>
      <c r="H925" t="s">
        <v>1247</v>
      </c>
      <c r="J925" s="455">
        <v>46060</v>
      </c>
      <c r="R925" s="455">
        <v>46114</v>
      </c>
      <c r="U925" s="455">
        <v>46082</v>
      </c>
    </row>
    <row r="926" spans="1:21">
      <c r="A926" t="s">
        <v>1751</v>
      </c>
      <c r="B926" t="s">
        <v>9894</v>
      </c>
      <c r="C926" t="s">
        <v>1751</v>
      </c>
      <c r="D926">
        <v>20497246</v>
      </c>
      <c r="E926" t="s">
        <v>3190</v>
      </c>
      <c r="F926" t="s">
        <v>1241</v>
      </c>
      <c r="G926" t="s">
        <v>3134</v>
      </c>
      <c r="H926" t="s">
        <v>3165</v>
      </c>
      <c r="J926" s="455">
        <v>46128</v>
      </c>
      <c r="R926" s="455">
        <v>46139</v>
      </c>
      <c r="U926" s="455">
        <v>46131</v>
      </c>
    </row>
    <row r="927" spans="1:21">
      <c r="A927" t="s">
        <v>1751</v>
      </c>
      <c r="B927" t="s">
        <v>9895</v>
      </c>
      <c r="C927" t="s">
        <v>1751</v>
      </c>
      <c r="D927">
        <v>20510453</v>
      </c>
      <c r="E927" t="s">
        <v>3128</v>
      </c>
      <c r="F927" t="s">
        <v>1782</v>
      </c>
      <c r="G927" t="s">
        <v>3141</v>
      </c>
      <c r="H927" t="s">
        <v>1252</v>
      </c>
      <c r="J927" s="455">
        <v>46138</v>
      </c>
      <c r="U927" s="455">
        <v>46158</v>
      </c>
    </row>
    <row r="928" spans="1:21">
      <c r="A928" t="s">
        <v>1751</v>
      </c>
      <c r="B928" t="s">
        <v>9282</v>
      </c>
      <c r="C928" t="s">
        <v>1751</v>
      </c>
      <c r="D928">
        <v>20480891</v>
      </c>
      <c r="E928" t="s">
        <v>3190</v>
      </c>
      <c r="F928" t="s">
        <v>1241</v>
      </c>
      <c r="G928" t="s">
        <v>3134</v>
      </c>
      <c r="H928" t="s">
        <v>1252</v>
      </c>
      <c r="J928" s="455">
        <v>46107</v>
      </c>
      <c r="R928" s="455">
        <v>46139</v>
      </c>
      <c r="U928" s="455">
        <v>46108</v>
      </c>
    </row>
    <row r="929" spans="1:21">
      <c r="A929" t="s">
        <v>1751</v>
      </c>
      <c r="B929" t="s">
        <v>7221</v>
      </c>
      <c r="C929" t="s">
        <v>1751</v>
      </c>
      <c r="D929">
        <v>20513925</v>
      </c>
      <c r="E929" t="s">
        <v>1897</v>
      </c>
      <c r="F929" t="s">
        <v>9896</v>
      </c>
      <c r="G929" t="s">
        <v>3143</v>
      </c>
      <c r="H929" t="s">
        <v>1247</v>
      </c>
      <c r="J929" s="455">
        <v>46142</v>
      </c>
      <c r="K929" s="455">
        <v>46142</v>
      </c>
      <c r="U929" s="455">
        <v>46149</v>
      </c>
    </row>
    <row r="930" spans="1:21">
      <c r="A930" t="s">
        <v>1751</v>
      </c>
      <c r="B930" t="s">
        <v>8852</v>
      </c>
      <c r="C930" t="s">
        <v>1751</v>
      </c>
      <c r="D930">
        <v>20453335</v>
      </c>
      <c r="E930" t="s">
        <v>3133</v>
      </c>
      <c r="F930" t="s">
        <v>1237</v>
      </c>
      <c r="G930" t="s">
        <v>3143</v>
      </c>
      <c r="H930" t="s">
        <v>1251</v>
      </c>
      <c r="J930" s="455">
        <v>46072</v>
      </c>
      <c r="K930" s="455">
        <v>46072</v>
      </c>
      <c r="R930" s="455">
        <v>46114</v>
      </c>
      <c r="U930" s="455">
        <v>46072</v>
      </c>
    </row>
    <row r="931" spans="1:21">
      <c r="A931" t="s">
        <v>1751</v>
      </c>
      <c r="B931" t="s">
        <v>8852</v>
      </c>
      <c r="C931" t="s">
        <v>1751</v>
      </c>
      <c r="D931">
        <v>20453813</v>
      </c>
      <c r="E931" t="s">
        <v>3133</v>
      </c>
      <c r="F931" t="s">
        <v>1782</v>
      </c>
      <c r="G931" t="s">
        <v>3134</v>
      </c>
      <c r="H931" t="s">
        <v>1247</v>
      </c>
      <c r="J931" s="455">
        <v>46072</v>
      </c>
      <c r="K931" s="455">
        <v>46072</v>
      </c>
      <c r="R931" s="455">
        <v>46114</v>
      </c>
      <c r="U931" s="455">
        <v>46090</v>
      </c>
    </row>
    <row r="932" spans="1:21">
      <c r="A932" t="s">
        <v>1751</v>
      </c>
      <c r="B932" t="s">
        <v>9897</v>
      </c>
      <c r="C932" t="s">
        <v>1751</v>
      </c>
      <c r="D932">
        <v>20412320</v>
      </c>
      <c r="E932" t="s">
        <v>3133</v>
      </c>
      <c r="F932" t="s">
        <v>1239</v>
      </c>
      <c r="G932" t="s">
        <v>3134</v>
      </c>
      <c r="H932" t="s">
        <v>1247</v>
      </c>
      <c r="I932" t="s">
        <v>1801</v>
      </c>
      <c r="J932" s="455">
        <v>46015</v>
      </c>
      <c r="K932" s="455">
        <v>46015</v>
      </c>
      <c r="R932" s="455">
        <v>46114</v>
      </c>
      <c r="U932" s="455">
        <v>46055</v>
      </c>
    </row>
    <row r="933" spans="1:21">
      <c r="A933" t="s">
        <v>1751</v>
      </c>
      <c r="B933" t="s">
        <v>3727</v>
      </c>
      <c r="C933" t="s">
        <v>1751</v>
      </c>
      <c r="D933">
        <v>20500459</v>
      </c>
      <c r="E933" t="s">
        <v>1897</v>
      </c>
      <c r="F933" t="s">
        <v>1241</v>
      </c>
      <c r="G933" t="s">
        <v>3134</v>
      </c>
      <c r="H933" t="s">
        <v>1247</v>
      </c>
      <c r="J933" s="455">
        <v>46130</v>
      </c>
      <c r="K933" s="455">
        <v>46130</v>
      </c>
      <c r="U933" s="455">
        <v>46130</v>
      </c>
    </row>
    <row r="934" spans="1:21">
      <c r="A934" t="s">
        <v>1751</v>
      </c>
      <c r="B934" t="s">
        <v>9898</v>
      </c>
      <c r="C934" t="s">
        <v>1751</v>
      </c>
      <c r="D934">
        <v>20437581</v>
      </c>
      <c r="E934" t="s">
        <v>3190</v>
      </c>
      <c r="F934" t="s">
        <v>1238</v>
      </c>
      <c r="G934" t="s">
        <v>2009</v>
      </c>
      <c r="H934" t="s">
        <v>1251</v>
      </c>
      <c r="J934" s="455">
        <v>46052</v>
      </c>
      <c r="R934" s="455">
        <v>46114</v>
      </c>
      <c r="U934" s="455">
        <v>46069</v>
      </c>
    </row>
    <row r="935" spans="1:21">
      <c r="A935" t="s">
        <v>1751</v>
      </c>
      <c r="B935" t="s">
        <v>9284</v>
      </c>
      <c r="C935" t="s">
        <v>1751</v>
      </c>
      <c r="D935">
        <v>20462749</v>
      </c>
      <c r="E935" t="s">
        <v>3190</v>
      </c>
      <c r="F935" t="s">
        <v>1782</v>
      </c>
      <c r="G935" t="s">
        <v>3141</v>
      </c>
      <c r="H935" t="s">
        <v>1247</v>
      </c>
      <c r="J935" s="455">
        <v>46086</v>
      </c>
      <c r="R935" s="455">
        <v>46114</v>
      </c>
      <c r="U935" s="455">
        <v>46112</v>
      </c>
    </row>
    <row r="936" spans="1:21">
      <c r="A936" t="s">
        <v>1751</v>
      </c>
      <c r="B936" t="s">
        <v>9899</v>
      </c>
      <c r="C936" t="s">
        <v>1751</v>
      </c>
      <c r="D936">
        <v>20500049</v>
      </c>
      <c r="E936" t="s">
        <v>3190</v>
      </c>
      <c r="F936" t="s">
        <v>1782</v>
      </c>
      <c r="G936" t="s">
        <v>3129</v>
      </c>
      <c r="H936" t="s">
        <v>1252</v>
      </c>
      <c r="J936" s="455">
        <v>46129</v>
      </c>
      <c r="R936" s="455">
        <v>46139</v>
      </c>
      <c r="U936" s="455">
        <v>46129</v>
      </c>
    </row>
    <row r="937" spans="1:21">
      <c r="A937" t="s">
        <v>1751</v>
      </c>
      <c r="B937" t="s">
        <v>9900</v>
      </c>
      <c r="C937" t="s">
        <v>1751</v>
      </c>
      <c r="D937">
        <v>20488174</v>
      </c>
      <c r="E937" t="s">
        <v>3190</v>
      </c>
      <c r="F937" t="s">
        <v>1782</v>
      </c>
      <c r="G937" t="s">
        <v>3129</v>
      </c>
      <c r="H937" t="s">
        <v>1253</v>
      </c>
      <c r="J937" s="455">
        <v>46118</v>
      </c>
      <c r="R937" s="455">
        <v>46139</v>
      </c>
      <c r="U937" s="455">
        <v>46118</v>
      </c>
    </row>
    <row r="938" spans="1:21">
      <c r="A938" t="s">
        <v>1751</v>
      </c>
      <c r="B938" t="s">
        <v>8853</v>
      </c>
      <c r="C938" t="s">
        <v>1751</v>
      </c>
      <c r="D938">
        <v>20444066</v>
      </c>
      <c r="E938" t="s">
        <v>3190</v>
      </c>
      <c r="F938" t="s">
        <v>1782</v>
      </c>
      <c r="G938" t="s">
        <v>3141</v>
      </c>
      <c r="H938" t="s">
        <v>1247</v>
      </c>
      <c r="J938" s="455">
        <v>46062</v>
      </c>
      <c r="R938" s="455">
        <v>46114</v>
      </c>
      <c r="U938" s="455">
        <v>46080</v>
      </c>
    </row>
    <row r="939" spans="1:21">
      <c r="A939" t="s">
        <v>1751</v>
      </c>
      <c r="B939" t="s">
        <v>8854</v>
      </c>
      <c r="C939" t="s">
        <v>1751</v>
      </c>
      <c r="D939">
        <v>20446012</v>
      </c>
      <c r="E939" t="s">
        <v>3190</v>
      </c>
      <c r="F939" t="s">
        <v>1241</v>
      </c>
      <c r="G939" t="s">
        <v>2009</v>
      </c>
      <c r="H939" t="s">
        <v>1247</v>
      </c>
      <c r="J939" s="455">
        <v>46064</v>
      </c>
      <c r="R939" s="455">
        <v>46114</v>
      </c>
      <c r="U939" s="455">
        <v>46073</v>
      </c>
    </row>
    <row r="940" spans="1:21">
      <c r="A940" t="s">
        <v>1751</v>
      </c>
      <c r="B940" t="s">
        <v>9901</v>
      </c>
      <c r="C940" t="s">
        <v>1751</v>
      </c>
      <c r="D940">
        <v>20507791</v>
      </c>
      <c r="E940" t="s">
        <v>3128</v>
      </c>
      <c r="F940" t="s">
        <v>1782</v>
      </c>
      <c r="G940" t="s">
        <v>3134</v>
      </c>
      <c r="H940" t="s">
        <v>1252</v>
      </c>
      <c r="J940" s="455">
        <v>46135</v>
      </c>
      <c r="U940" s="455">
        <v>46195</v>
      </c>
    </row>
    <row r="941" spans="1:21">
      <c r="A941" t="s">
        <v>1751</v>
      </c>
      <c r="B941" t="s">
        <v>1937</v>
      </c>
      <c r="C941" t="s">
        <v>1751</v>
      </c>
      <c r="D941">
        <v>20461257</v>
      </c>
      <c r="E941" t="s">
        <v>3133</v>
      </c>
      <c r="F941" t="s">
        <v>1912</v>
      </c>
      <c r="G941" t="s">
        <v>3134</v>
      </c>
      <c r="H941" t="s">
        <v>1247</v>
      </c>
      <c r="I941" t="s">
        <v>1584</v>
      </c>
      <c r="J941" s="455">
        <v>46084</v>
      </c>
      <c r="K941" s="455">
        <v>46084</v>
      </c>
      <c r="R941" s="455">
        <v>46115</v>
      </c>
      <c r="U941" s="455">
        <v>46127</v>
      </c>
    </row>
    <row r="942" spans="1:21">
      <c r="A942" t="s">
        <v>1751</v>
      </c>
      <c r="B942" t="s">
        <v>9902</v>
      </c>
      <c r="C942" t="s">
        <v>1751</v>
      </c>
      <c r="D942">
        <v>20489511</v>
      </c>
      <c r="E942" t="s">
        <v>3190</v>
      </c>
      <c r="F942" t="s">
        <v>1241</v>
      </c>
      <c r="G942" t="s">
        <v>3134</v>
      </c>
      <c r="H942" t="s">
        <v>1252</v>
      </c>
      <c r="J942" s="455">
        <v>46119</v>
      </c>
      <c r="R942" s="455">
        <v>46139</v>
      </c>
      <c r="U942" s="455">
        <v>46165</v>
      </c>
    </row>
    <row r="943" spans="1:21">
      <c r="A943" t="s">
        <v>1751</v>
      </c>
      <c r="B943" t="s">
        <v>9903</v>
      </c>
      <c r="C943" t="s">
        <v>1751</v>
      </c>
      <c r="D943">
        <v>20431740</v>
      </c>
      <c r="E943" t="s">
        <v>3190</v>
      </c>
      <c r="F943" t="s">
        <v>8652</v>
      </c>
      <c r="G943" t="s">
        <v>3129</v>
      </c>
      <c r="H943" t="s">
        <v>1252</v>
      </c>
      <c r="I943" t="s">
        <v>1227</v>
      </c>
      <c r="J943" s="455">
        <v>46043</v>
      </c>
      <c r="R943" s="455">
        <v>46114</v>
      </c>
      <c r="U943" s="455">
        <v>46043</v>
      </c>
    </row>
    <row r="944" spans="1:21">
      <c r="A944" t="s">
        <v>1751</v>
      </c>
      <c r="B944" t="s">
        <v>8855</v>
      </c>
      <c r="C944" t="s">
        <v>1751</v>
      </c>
      <c r="D944">
        <v>20441241</v>
      </c>
      <c r="E944" t="s">
        <v>3190</v>
      </c>
      <c r="F944" t="s">
        <v>1241</v>
      </c>
      <c r="G944" t="s">
        <v>3141</v>
      </c>
      <c r="H944" t="s">
        <v>1247</v>
      </c>
      <c r="J944" s="455">
        <v>46057</v>
      </c>
      <c r="R944" s="455">
        <v>46114</v>
      </c>
      <c r="U944" s="455">
        <v>46078</v>
      </c>
    </row>
    <row r="945" spans="1:21">
      <c r="A945" t="s">
        <v>1751</v>
      </c>
      <c r="B945" t="s">
        <v>9904</v>
      </c>
      <c r="C945" t="s">
        <v>1751</v>
      </c>
      <c r="D945">
        <v>20421783</v>
      </c>
      <c r="E945" t="s">
        <v>3190</v>
      </c>
      <c r="F945" t="s">
        <v>1237</v>
      </c>
      <c r="G945" t="s">
        <v>3141</v>
      </c>
      <c r="H945" t="s">
        <v>1252</v>
      </c>
      <c r="J945" s="455">
        <v>46012</v>
      </c>
      <c r="R945" s="455">
        <v>46114</v>
      </c>
      <c r="U945" s="455">
        <v>46031</v>
      </c>
    </row>
    <row r="946" spans="1:21">
      <c r="A946" t="s">
        <v>1751</v>
      </c>
      <c r="B946" t="s">
        <v>9286</v>
      </c>
      <c r="C946" t="s">
        <v>1751</v>
      </c>
      <c r="D946">
        <v>20465968</v>
      </c>
      <c r="E946" t="s">
        <v>3190</v>
      </c>
      <c r="F946" t="s">
        <v>1782</v>
      </c>
      <c r="G946" t="s">
        <v>3129</v>
      </c>
      <c r="H946" t="s">
        <v>3131</v>
      </c>
      <c r="J946" s="455">
        <v>46091</v>
      </c>
      <c r="R946" s="455">
        <v>46114</v>
      </c>
      <c r="U946" s="455">
        <v>46091</v>
      </c>
    </row>
    <row r="947" spans="1:21">
      <c r="A947" t="s">
        <v>1751</v>
      </c>
      <c r="B947" t="s">
        <v>2479</v>
      </c>
      <c r="C947" t="s">
        <v>1751</v>
      </c>
      <c r="D947">
        <v>20487349</v>
      </c>
      <c r="E947" t="s">
        <v>3190</v>
      </c>
      <c r="F947" t="s">
        <v>1782</v>
      </c>
      <c r="G947" t="s">
        <v>3143</v>
      </c>
      <c r="H947" t="s">
        <v>1247</v>
      </c>
      <c r="I947" t="s">
        <v>1952</v>
      </c>
      <c r="J947" s="455">
        <v>46116</v>
      </c>
      <c r="K947" s="455">
        <v>46118</v>
      </c>
      <c r="R947" s="455">
        <v>46123</v>
      </c>
      <c r="U947" s="455">
        <v>46143</v>
      </c>
    </row>
    <row r="948" spans="1:21">
      <c r="A948" t="s">
        <v>1751</v>
      </c>
      <c r="B948" t="s">
        <v>2479</v>
      </c>
      <c r="C948" t="s">
        <v>1751</v>
      </c>
      <c r="D948">
        <v>20488110</v>
      </c>
      <c r="E948" t="s">
        <v>3142</v>
      </c>
      <c r="F948" t="s">
        <v>1239</v>
      </c>
      <c r="G948" t="s">
        <v>3134</v>
      </c>
      <c r="H948" t="s">
        <v>1247</v>
      </c>
      <c r="I948" t="s">
        <v>2478</v>
      </c>
      <c r="J948" s="455">
        <v>46118</v>
      </c>
      <c r="K948" s="455">
        <v>46118</v>
      </c>
      <c r="L948" s="455">
        <v>46118</v>
      </c>
      <c r="M948" s="455">
        <v>46128</v>
      </c>
      <c r="N948" s="455">
        <v>46128</v>
      </c>
      <c r="P948" s="455">
        <v>46129</v>
      </c>
      <c r="Q948" s="455">
        <v>46129</v>
      </c>
      <c r="U948" s="455">
        <v>46148</v>
      </c>
    </row>
    <row r="949" spans="1:21">
      <c r="A949" t="s">
        <v>1751</v>
      </c>
      <c r="B949" t="s">
        <v>9905</v>
      </c>
      <c r="C949" t="s">
        <v>1751</v>
      </c>
      <c r="D949">
        <v>20438466</v>
      </c>
      <c r="E949" t="s">
        <v>3133</v>
      </c>
      <c r="F949" t="s">
        <v>1237</v>
      </c>
      <c r="G949" t="s">
        <v>3134</v>
      </c>
      <c r="H949" t="s">
        <v>1247</v>
      </c>
      <c r="J949" s="455">
        <v>46053</v>
      </c>
      <c r="K949" s="455">
        <v>46053</v>
      </c>
      <c r="R949" s="455">
        <v>46114</v>
      </c>
      <c r="U949" s="455">
        <v>46053</v>
      </c>
    </row>
    <row r="950" spans="1:21">
      <c r="A950" t="s">
        <v>1751</v>
      </c>
      <c r="B950" t="s">
        <v>9906</v>
      </c>
      <c r="C950" t="s">
        <v>1751</v>
      </c>
      <c r="D950">
        <v>20509914</v>
      </c>
      <c r="E950" t="s">
        <v>3128</v>
      </c>
      <c r="F950" t="s">
        <v>1782</v>
      </c>
      <c r="G950" t="s">
        <v>3141</v>
      </c>
      <c r="H950" t="s">
        <v>1252</v>
      </c>
      <c r="J950" s="455">
        <v>46137</v>
      </c>
      <c r="U950" s="455">
        <v>46156</v>
      </c>
    </row>
    <row r="951" spans="1:21">
      <c r="A951" t="s">
        <v>1751</v>
      </c>
      <c r="B951" t="s">
        <v>4672</v>
      </c>
      <c r="C951" t="s">
        <v>1751</v>
      </c>
      <c r="D951">
        <v>20509529</v>
      </c>
      <c r="E951" t="s">
        <v>3128</v>
      </c>
      <c r="F951" t="s">
        <v>1782</v>
      </c>
      <c r="G951" t="s">
        <v>3129</v>
      </c>
      <c r="H951" t="s">
        <v>1247</v>
      </c>
      <c r="J951" s="455">
        <v>46137</v>
      </c>
      <c r="U951" s="455">
        <v>46137</v>
      </c>
    </row>
    <row r="952" spans="1:21">
      <c r="A952" t="s">
        <v>1751</v>
      </c>
      <c r="B952" t="s">
        <v>6698</v>
      </c>
      <c r="C952" t="s">
        <v>1751</v>
      </c>
      <c r="D952">
        <v>20487188</v>
      </c>
      <c r="E952" t="s">
        <v>3133</v>
      </c>
      <c r="F952" t="s">
        <v>1782</v>
      </c>
      <c r="G952" t="s">
        <v>3134</v>
      </c>
      <c r="H952" t="s">
        <v>1247</v>
      </c>
      <c r="I952" t="s">
        <v>1552</v>
      </c>
      <c r="J952" s="455">
        <v>46116</v>
      </c>
      <c r="K952" s="455">
        <v>46116</v>
      </c>
      <c r="R952" s="455">
        <v>46137</v>
      </c>
      <c r="U952" s="455">
        <v>46136</v>
      </c>
    </row>
    <row r="953" spans="1:21">
      <c r="A953" t="s">
        <v>1751</v>
      </c>
      <c r="B953" t="s">
        <v>6698</v>
      </c>
      <c r="C953" t="s">
        <v>1751</v>
      </c>
      <c r="D953">
        <v>20476997</v>
      </c>
      <c r="E953" t="s">
        <v>3142</v>
      </c>
      <c r="F953" t="s">
        <v>1238</v>
      </c>
      <c r="G953" t="s">
        <v>2009</v>
      </c>
      <c r="H953" t="s">
        <v>4333</v>
      </c>
      <c r="I953" t="s">
        <v>1530</v>
      </c>
      <c r="J953" s="455">
        <v>46101</v>
      </c>
      <c r="K953" s="455">
        <v>46118</v>
      </c>
      <c r="L953" s="455">
        <v>46123</v>
      </c>
      <c r="M953" s="455">
        <v>46136</v>
      </c>
      <c r="N953" s="455">
        <v>46136</v>
      </c>
      <c r="O953" s="455">
        <v>46137</v>
      </c>
      <c r="P953" s="455">
        <v>46137</v>
      </c>
      <c r="Q953" s="455">
        <v>46137</v>
      </c>
      <c r="U953" s="455">
        <v>46136</v>
      </c>
    </row>
    <row r="954" spans="1:21">
      <c r="A954" t="s">
        <v>1751</v>
      </c>
      <c r="B954" t="s">
        <v>9907</v>
      </c>
      <c r="C954" t="s">
        <v>1751</v>
      </c>
      <c r="D954">
        <v>20415829</v>
      </c>
      <c r="E954" t="s">
        <v>3190</v>
      </c>
      <c r="F954" t="s">
        <v>1237</v>
      </c>
      <c r="G954" t="s">
        <v>3143</v>
      </c>
      <c r="H954" t="s">
        <v>1248</v>
      </c>
      <c r="I954" t="s">
        <v>6998</v>
      </c>
      <c r="J954" s="455">
        <v>46022</v>
      </c>
      <c r="R954" s="455">
        <v>46114</v>
      </c>
      <c r="U954" s="455">
        <v>46022</v>
      </c>
    </row>
    <row r="955" spans="1:21">
      <c r="A955" t="s">
        <v>1751</v>
      </c>
      <c r="B955" t="s">
        <v>9908</v>
      </c>
      <c r="C955" t="s">
        <v>1751</v>
      </c>
      <c r="D955">
        <v>20495712</v>
      </c>
      <c r="E955" t="s">
        <v>3190</v>
      </c>
      <c r="F955" t="s">
        <v>1782</v>
      </c>
      <c r="G955" t="s">
        <v>3134</v>
      </c>
      <c r="H955" t="s">
        <v>4492</v>
      </c>
      <c r="J955" s="455">
        <v>46127</v>
      </c>
      <c r="R955" s="455">
        <v>46139</v>
      </c>
      <c r="U955" s="455">
        <v>46129</v>
      </c>
    </row>
    <row r="956" spans="1:21">
      <c r="A956" t="s">
        <v>1751</v>
      </c>
      <c r="B956" t="s">
        <v>9908</v>
      </c>
      <c r="C956" t="s">
        <v>1751</v>
      </c>
      <c r="D956">
        <v>20495619</v>
      </c>
      <c r="E956" t="s">
        <v>3133</v>
      </c>
      <c r="F956" t="s">
        <v>1912</v>
      </c>
      <c r="G956" t="s">
        <v>3134</v>
      </c>
      <c r="H956" t="s">
        <v>1247</v>
      </c>
      <c r="I956" t="s">
        <v>5943</v>
      </c>
      <c r="J956" s="455">
        <v>46127</v>
      </c>
      <c r="K956" s="455">
        <v>46127</v>
      </c>
      <c r="R956" s="455">
        <v>46127</v>
      </c>
      <c r="U956" s="455">
        <v>46127</v>
      </c>
    </row>
    <row r="957" spans="1:21">
      <c r="A957" t="s">
        <v>1751</v>
      </c>
      <c r="B957" t="s">
        <v>9908</v>
      </c>
      <c r="C957" t="s">
        <v>1751</v>
      </c>
      <c r="D957">
        <v>20490755</v>
      </c>
      <c r="E957" t="s">
        <v>3128</v>
      </c>
      <c r="F957" t="s">
        <v>1241</v>
      </c>
      <c r="G957" t="s">
        <v>3134</v>
      </c>
      <c r="H957" t="s">
        <v>1252</v>
      </c>
      <c r="J957" s="455">
        <v>46121</v>
      </c>
      <c r="U957" s="455">
        <v>46128</v>
      </c>
    </row>
    <row r="958" spans="1:21">
      <c r="A958" t="s">
        <v>1751</v>
      </c>
      <c r="B958" t="s">
        <v>9909</v>
      </c>
      <c r="C958" t="s">
        <v>1751</v>
      </c>
      <c r="D958">
        <v>20493692</v>
      </c>
      <c r="E958" t="s">
        <v>3190</v>
      </c>
      <c r="F958" t="s">
        <v>1241</v>
      </c>
      <c r="G958" t="s">
        <v>3134</v>
      </c>
      <c r="H958" t="s">
        <v>1252</v>
      </c>
      <c r="J958" s="455">
        <v>46125</v>
      </c>
      <c r="R958" s="455">
        <v>46139</v>
      </c>
      <c r="U958" s="455">
        <v>46266</v>
      </c>
    </row>
    <row r="959" spans="1:21">
      <c r="A959" t="s">
        <v>1751</v>
      </c>
      <c r="B959" t="s">
        <v>9910</v>
      </c>
      <c r="C959" t="s">
        <v>1751</v>
      </c>
      <c r="D959">
        <v>20497608</v>
      </c>
      <c r="E959" t="s">
        <v>3190</v>
      </c>
      <c r="F959" t="s">
        <v>1241</v>
      </c>
      <c r="G959" t="s">
        <v>3134</v>
      </c>
      <c r="H959" t="s">
        <v>1252</v>
      </c>
      <c r="J959" s="455">
        <v>46128</v>
      </c>
      <c r="R959" s="455">
        <v>46139</v>
      </c>
      <c r="U959" s="455">
        <v>46188</v>
      </c>
    </row>
    <row r="960" spans="1:21">
      <c r="A960" t="s">
        <v>1751</v>
      </c>
      <c r="B960" t="s">
        <v>8856</v>
      </c>
      <c r="C960" t="s">
        <v>1751</v>
      </c>
      <c r="D960">
        <v>20450060</v>
      </c>
      <c r="E960" t="s">
        <v>3190</v>
      </c>
      <c r="F960" t="s">
        <v>1782</v>
      </c>
      <c r="G960" t="s">
        <v>3141</v>
      </c>
      <c r="H960" t="s">
        <v>1247</v>
      </c>
      <c r="J960" s="455">
        <v>46069</v>
      </c>
      <c r="R960" s="455">
        <v>46114</v>
      </c>
      <c r="U960" s="455">
        <v>46135</v>
      </c>
    </row>
    <row r="961" spans="1:21">
      <c r="A961" t="s">
        <v>1751</v>
      </c>
      <c r="B961" t="s">
        <v>9911</v>
      </c>
      <c r="C961" t="s">
        <v>1751</v>
      </c>
      <c r="D961">
        <v>20485692</v>
      </c>
      <c r="E961" t="s">
        <v>3190</v>
      </c>
      <c r="F961" t="s">
        <v>1799</v>
      </c>
      <c r="G961" t="s">
        <v>3143</v>
      </c>
      <c r="H961" t="s">
        <v>1251</v>
      </c>
      <c r="I961" t="s">
        <v>1831</v>
      </c>
      <c r="J961" s="455">
        <v>46114</v>
      </c>
      <c r="R961" s="455">
        <v>46139</v>
      </c>
      <c r="U961" s="455">
        <v>46129</v>
      </c>
    </row>
    <row r="962" spans="1:21">
      <c r="A962" t="s">
        <v>1751</v>
      </c>
      <c r="B962" t="s">
        <v>9912</v>
      </c>
      <c r="C962" t="s">
        <v>1751</v>
      </c>
      <c r="D962">
        <v>20514121</v>
      </c>
      <c r="E962" t="s">
        <v>3128</v>
      </c>
      <c r="F962" t="s">
        <v>1241</v>
      </c>
      <c r="G962" t="s">
        <v>3137</v>
      </c>
      <c r="H962" t="s">
        <v>1252</v>
      </c>
      <c r="J962" s="455">
        <v>46142</v>
      </c>
      <c r="U962" s="455">
        <v>46172</v>
      </c>
    </row>
    <row r="963" spans="1:21">
      <c r="A963" t="s">
        <v>1751</v>
      </c>
      <c r="B963" t="s">
        <v>9912</v>
      </c>
      <c r="C963" t="s">
        <v>1751</v>
      </c>
      <c r="D963">
        <v>20514120</v>
      </c>
      <c r="E963" t="s">
        <v>3128</v>
      </c>
      <c r="F963" t="s">
        <v>1241</v>
      </c>
      <c r="G963" t="s">
        <v>3134</v>
      </c>
      <c r="H963" t="s">
        <v>1252</v>
      </c>
      <c r="J963" s="455">
        <v>46142</v>
      </c>
      <c r="U963" s="455">
        <v>46172</v>
      </c>
    </row>
    <row r="964" spans="1:21">
      <c r="A964" t="s">
        <v>1751</v>
      </c>
      <c r="B964" t="s">
        <v>9287</v>
      </c>
      <c r="C964" t="s">
        <v>1751</v>
      </c>
      <c r="D964">
        <v>20476957</v>
      </c>
      <c r="E964" t="s">
        <v>3190</v>
      </c>
      <c r="F964" t="s">
        <v>1782</v>
      </c>
      <c r="G964" t="s">
        <v>3134</v>
      </c>
      <c r="H964" t="s">
        <v>1252</v>
      </c>
      <c r="J964" s="455">
        <v>46101</v>
      </c>
      <c r="R964" s="455">
        <v>46114</v>
      </c>
      <c r="U964" s="455">
        <v>46130</v>
      </c>
    </row>
    <row r="965" spans="1:21">
      <c r="A965" t="s">
        <v>1751</v>
      </c>
      <c r="B965" t="s">
        <v>8857</v>
      </c>
      <c r="C965" t="s">
        <v>1751</v>
      </c>
      <c r="D965">
        <v>20442635</v>
      </c>
      <c r="E965" t="s">
        <v>3190</v>
      </c>
      <c r="F965" t="s">
        <v>1241</v>
      </c>
      <c r="G965" t="s">
        <v>3137</v>
      </c>
      <c r="H965" t="s">
        <v>1247</v>
      </c>
      <c r="J965" s="455">
        <v>46060</v>
      </c>
      <c r="R965" s="455">
        <v>46114</v>
      </c>
      <c r="U965" s="455">
        <v>46082</v>
      </c>
    </row>
    <row r="966" spans="1:21">
      <c r="A966" t="s">
        <v>1751</v>
      </c>
      <c r="B966" t="s">
        <v>9913</v>
      </c>
      <c r="C966" t="s">
        <v>1751</v>
      </c>
      <c r="D966">
        <v>20425342</v>
      </c>
      <c r="E966" t="s">
        <v>3190</v>
      </c>
      <c r="F966" t="s">
        <v>1237</v>
      </c>
      <c r="G966" t="s">
        <v>3137</v>
      </c>
      <c r="H966" t="s">
        <v>1252</v>
      </c>
      <c r="J966" s="455">
        <v>46036</v>
      </c>
      <c r="R966" s="455">
        <v>46114</v>
      </c>
      <c r="U966" s="455">
        <v>46036</v>
      </c>
    </row>
    <row r="967" spans="1:21">
      <c r="A967" t="s">
        <v>1751</v>
      </c>
      <c r="B967" t="s">
        <v>1829</v>
      </c>
      <c r="C967" t="s">
        <v>1751</v>
      </c>
      <c r="D967">
        <v>20476166</v>
      </c>
      <c r="E967" t="s">
        <v>3142</v>
      </c>
      <c r="F967" t="s">
        <v>1237</v>
      </c>
      <c r="G967" t="s">
        <v>3134</v>
      </c>
      <c r="H967" t="s">
        <v>3515</v>
      </c>
      <c r="I967" t="s">
        <v>1562</v>
      </c>
      <c r="J967" s="455">
        <v>46100</v>
      </c>
      <c r="K967" s="455">
        <v>46100</v>
      </c>
      <c r="L967" s="455">
        <v>46100</v>
      </c>
      <c r="M967" s="455">
        <v>46120</v>
      </c>
      <c r="N967" s="455">
        <v>46120</v>
      </c>
      <c r="P967" s="455">
        <v>46120</v>
      </c>
      <c r="Q967" s="455">
        <v>46120</v>
      </c>
      <c r="U967" s="455">
        <v>46123</v>
      </c>
    </row>
    <row r="968" spans="1:21">
      <c r="A968" t="s">
        <v>1751</v>
      </c>
      <c r="B968" t="s">
        <v>1829</v>
      </c>
      <c r="C968" t="s">
        <v>1751</v>
      </c>
      <c r="D968">
        <v>20475814</v>
      </c>
      <c r="E968" t="s">
        <v>3133</v>
      </c>
      <c r="F968" t="s">
        <v>1237</v>
      </c>
      <c r="G968" t="s">
        <v>3143</v>
      </c>
      <c r="H968" t="s">
        <v>1249</v>
      </c>
      <c r="I968" t="s">
        <v>1961</v>
      </c>
      <c r="J968" s="455">
        <v>46100</v>
      </c>
      <c r="K968" s="455">
        <v>46100</v>
      </c>
      <c r="R968" s="455">
        <v>46114</v>
      </c>
      <c r="U968" s="455">
        <v>46123</v>
      </c>
    </row>
    <row r="969" spans="1:21">
      <c r="A969" t="s">
        <v>1751</v>
      </c>
      <c r="B969" t="s">
        <v>9914</v>
      </c>
      <c r="C969" t="s">
        <v>1751</v>
      </c>
      <c r="D969">
        <v>20509748</v>
      </c>
      <c r="E969" t="s">
        <v>1897</v>
      </c>
      <c r="F969" t="s">
        <v>1242</v>
      </c>
      <c r="G969" t="s">
        <v>3134</v>
      </c>
      <c r="H969" t="s">
        <v>1247</v>
      </c>
      <c r="I969" t="s">
        <v>3849</v>
      </c>
      <c r="J969" s="455">
        <v>46137</v>
      </c>
      <c r="K969" s="455">
        <v>46137</v>
      </c>
      <c r="U969" s="455">
        <v>46137</v>
      </c>
    </row>
    <row r="970" spans="1:21">
      <c r="A970" t="s">
        <v>1751</v>
      </c>
      <c r="B970" t="s">
        <v>9915</v>
      </c>
      <c r="C970" t="s">
        <v>1751</v>
      </c>
      <c r="D970">
        <v>20505197</v>
      </c>
      <c r="E970" t="s">
        <v>3128</v>
      </c>
      <c r="F970" t="s">
        <v>1241</v>
      </c>
      <c r="G970" t="s">
        <v>3134</v>
      </c>
      <c r="H970" t="s">
        <v>3165</v>
      </c>
      <c r="J970" s="455">
        <v>46133</v>
      </c>
      <c r="U970" s="455">
        <v>46203</v>
      </c>
    </row>
    <row r="971" spans="1:21">
      <c r="A971" t="s">
        <v>1751</v>
      </c>
      <c r="B971" t="s">
        <v>9916</v>
      </c>
      <c r="C971" t="s">
        <v>1751</v>
      </c>
      <c r="D971">
        <v>20488827</v>
      </c>
      <c r="E971" t="s">
        <v>3190</v>
      </c>
      <c r="F971" t="s">
        <v>1782</v>
      </c>
      <c r="G971" t="s">
        <v>3134</v>
      </c>
      <c r="H971" t="s">
        <v>1252</v>
      </c>
      <c r="J971" s="455">
        <v>46118</v>
      </c>
      <c r="R971" s="455">
        <v>46139</v>
      </c>
      <c r="U971" s="455">
        <v>46146</v>
      </c>
    </row>
    <row r="972" spans="1:21">
      <c r="A972" t="s">
        <v>1751</v>
      </c>
      <c r="B972" t="s">
        <v>8858</v>
      </c>
      <c r="C972" t="s">
        <v>1751</v>
      </c>
      <c r="D972">
        <v>20448138</v>
      </c>
      <c r="E972" t="s">
        <v>3190</v>
      </c>
      <c r="F972" t="s">
        <v>1241</v>
      </c>
      <c r="G972" t="s">
        <v>2009</v>
      </c>
      <c r="H972" t="s">
        <v>1247</v>
      </c>
      <c r="J972" s="455">
        <v>46065</v>
      </c>
      <c r="R972" s="455">
        <v>46114</v>
      </c>
      <c r="U972" s="455">
        <v>46080</v>
      </c>
    </row>
    <row r="973" spans="1:21">
      <c r="A973" t="s">
        <v>1751</v>
      </c>
      <c r="B973" t="s">
        <v>9917</v>
      </c>
      <c r="C973" t="s">
        <v>1751</v>
      </c>
      <c r="D973">
        <v>20488250</v>
      </c>
      <c r="E973" t="s">
        <v>3190</v>
      </c>
      <c r="F973" t="s">
        <v>1782</v>
      </c>
      <c r="G973" t="s">
        <v>3134</v>
      </c>
      <c r="H973" t="s">
        <v>1252</v>
      </c>
      <c r="J973" s="455">
        <v>46118</v>
      </c>
      <c r="R973" s="455">
        <v>46139</v>
      </c>
      <c r="U973" s="455">
        <v>46136</v>
      </c>
    </row>
    <row r="974" spans="1:21">
      <c r="A974" t="s">
        <v>1751</v>
      </c>
      <c r="B974" t="s">
        <v>9288</v>
      </c>
      <c r="C974" t="s">
        <v>1751</v>
      </c>
      <c r="D974">
        <v>20476624</v>
      </c>
      <c r="E974" t="s">
        <v>3190</v>
      </c>
      <c r="F974" t="s">
        <v>1782</v>
      </c>
      <c r="G974" t="s">
        <v>3134</v>
      </c>
      <c r="H974" t="s">
        <v>1252</v>
      </c>
      <c r="J974" s="455">
        <v>46101</v>
      </c>
      <c r="R974" s="455">
        <v>46114</v>
      </c>
      <c r="U974" s="455">
        <v>46101</v>
      </c>
    </row>
    <row r="975" spans="1:21">
      <c r="A975" t="s">
        <v>1751</v>
      </c>
      <c r="B975" t="s">
        <v>8859</v>
      </c>
      <c r="C975" t="s">
        <v>1751</v>
      </c>
      <c r="D975">
        <v>20445946</v>
      </c>
      <c r="E975" t="s">
        <v>3190</v>
      </c>
      <c r="F975" t="s">
        <v>1241</v>
      </c>
      <c r="G975" t="s">
        <v>2009</v>
      </c>
      <c r="H975" t="s">
        <v>1247</v>
      </c>
      <c r="J975" s="455">
        <v>46064</v>
      </c>
      <c r="R975" s="455">
        <v>46114</v>
      </c>
      <c r="U975" s="455">
        <v>46071</v>
      </c>
    </row>
    <row r="976" spans="1:21">
      <c r="A976" t="s">
        <v>1751</v>
      </c>
      <c r="B976" t="s">
        <v>9918</v>
      </c>
      <c r="C976" t="s">
        <v>1751</v>
      </c>
      <c r="D976">
        <v>20490921</v>
      </c>
      <c r="E976" t="s">
        <v>3190</v>
      </c>
      <c r="F976" t="s">
        <v>1241</v>
      </c>
      <c r="G976" t="s">
        <v>3129</v>
      </c>
      <c r="H976" t="s">
        <v>1252</v>
      </c>
      <c r="J976" s="455">
        <v>46121</v>
      </c>
      <c r="R976" s="455">
        <v>46139</v>
      </c>
      <c r="U976" s="455">
        <v>46121</v>
      </c>
    </row>
    <row r="977" spans="1:21">
      <c r="A977" t="s">
        <v>1751</v>
      </c>
      <c r="B977" t="s">
        <v>9919</v>
      </c>
      <c r="C977" t="s">
        <v>1751</v>
      </c>
      <c r="D977">
        <v>20500926</v>
      </c>
      <c r="E977" t="s">
        <v>3190</v>
      </c>
      <c r="F977" t="s">
        <v>1782</v>
      </c>
      <c r="G977" t="s">
        <v>3141</v>
      </c>
      <c r="H977" t="s">
        <v>1252</v>
      </c>
      <c r="J977" s="455">
        <v>46130</v>
      </c>
      <c r="R977" s="455">
        <v>46139</v>
      </c>
      <c r="U977" s="455">
        <v>46132</v>
      </c>
    </row>
    <row r="978" spans="1:21">
      <c r="A978" t="s">
        <v>1751</v>
      </c>
      <c r="B978" t="s">
        <v>9920</v>
      </c>
      <c r="C978" t="s">
        <v>1751</v>
      </c>
      <c r="D978">
        <v>20437510</v>
      </c>
      <c r="E978" t="s">
        <v>3190</v>
      </c>
      <c r="F978" t="s">
        <v>1782</v>
      </c>
      <c r="G978" t="s">
        <v>3143</v>
      </c>
      <c r="H978" t="s">
        <v>1252</v>
      </c>
      <c r="J978" s="455">
        <v>46052</v>
      </c>
      <c r="R978" s="455">
        <v>46114</v>
      </c>
      <c r="U978" s="455">
        <v>46081</v>
      </c>
    </row>
    <row r="979" spans="1:21">
      <c r="A979" t="s">
        <v>1751</v>
      </c>
      <c r="B979" t="s">
        <v>8860</v>
      </c>
      <c r="C979" t="s">
        <v>1751</v>
      </c>
      <c r="D979">
        <v>20453164</v>
      </c>
      <c r="E979" t="s">
        <v>3190</v>
      </c>
      <c r="F979" t="s">
        <v>1241</v>
      </c>
      <c r="G979" t="s">
        <v>3141</v>
      </c>
      <c r="H979" t="s">
        <v>1247</v>
      </c>
      <c r="J979" s="455">
        <v>46072</v>
      </c>
      <c r="R979" s="455">
        <v>46114</v>
      </c>
      <c r="U979" s="455">
        <v>46109</v>
      </c>
    </row>
    <row r="980" spans="1:21">
      <c r="A980" t="s">
        <v>1751</v>
      </c>
      <c r="B980" t="s">
        <v>8861</v>
      </c>
      <c r="C980" t="s">
        <v>1751</v>
      </c>
      <c r="D980">
        <v>20442538</v>
      </c>
      <c r="E980" t="s">
        <v>3190</v>
      </c>
      <c r="F980" t="s">
        <v>1241</v>
      </c>
      <c r="G980" t="s">
        <v>3141</v>
      </c>
      <c r="H980" t="s">
        <v>1247</v>
      </c>
      <c r="J980" s="455">
        <v>46059</v>
      </c>
      <c r="R980" s="455">
        <v>46114</v>
      </c>
      <c r="U980" s="455">
        <v>46150</v>
      </c>
    </row>
    <row r="981" spans="1:21">
      <c r="A981" t="s">
        <v>1751</v>
      </c>
      <c r="B981" t="s">
        <v>9921</v>
      </c>
      <c r="C981" t="s">
        <v>1751</v>
      </c>
      <c r="D981">
        <v>20420236</v>
      </c>
      <c r="E981" t="s">
        <v>3190</v>
      </c>
      <c r="F981" t="s">
        <v>1782</v>
      </c>
      <c r="G981" t="s">
        <v>3129</v>
      </c>
      <c r="H981" t="s">
        <v>3131</v>
      </c>
      <c r="J981" s="455">
        <v>46029</v>
      </c>
      <c r="R981" s="455">
        <v>46114</v>
      </c>
      <c r="U981" s="455">
        <v>46043</v>
      </c>
    </row>
    <row r="982" spans="1:21">
      <c r="A982" t="s">
        <v>1751</v>
      </c>
      <c r="B982" t="s">
        <v>9922</v>
      </c>
      <c r="C982" t="s">
        <v>1751</v>
      </c>
      <c r="D982">
        <v>20418714</v>
      </c>
      <c r="E982" t="s">
        <v>3133</v>
      </c>
      <c r="F982" t="s">
        <v>1799</v>
      </c>
      <c r="G982" t="s">
        <v>3134</v>
      </c>
      <c r="H982" t="s">
        <v>1247</v>
      </c>
      <c r="I982" t="s">
        <v>6580</v>
      </c>
      <c r="J982" s="455">
        <v>46027</v>
      </c>
      <c r="K982" s="455">
        <v>46027</v>
      </c>
      <c r="R982" s="455">
        <v>46114</v>
      </c>
      <c r="U982" s="455">
        <v>46027</v>
      </c>
    </row>
    <row r="983" spans="1:21">
      <c r="A983" t="s">
        <v>1751</v>
      </c>
      <c r="B983" t="s">
        <v>9289</v>
      </c>
      <c r="C983" t="s">
        <v>1751</v>
      </c>
      <c r="D983">
        <v>20468836</v>
      </c>
      <c r="E983" t="s">
        <v>3190</v>
      </c>
      <c r="F983" t="s">
        <v>1782</v>
      </c>
      <c r="G983" t="s">
        <v>3141</v>
      </c>
      <c r="H983" t="s">
        <v>1247</v>
      </c>
      <c r="J983" s="455">
        <v>46092</v>
      </c>
      <c r="R983" s="455">
        <v>46114</v>
      </c>
      <c r="U983" s="455">
        <v>46143</v>
      </c>
    </row>
    <row r="984" spans="1:21">
      <c r="A984" t="s">
        <v>1751</v>
      </c>
      <c r="B984" t="s">
        <v>9290</v>
      </c>
      <c r="C984" t="s">
        <v>1751</v>
      </c>
      <c r="D984">
        <v>20477347</v>
      </c>
      <c r="E984" t="s">
        <v>3190</v>
      </c>
      <c r="F984" t="s">
        <v>1241</v>
      </c>
      <c r="G984" t="s">
        <v>3129</v>
      </c>
      <c r="H984" t="s">
        <v>1253</v>
      </c>
      <c r="J984" s="455">
        <v>46102</v>
      </c>
      <c r="R984" s="455">
        <v>46139</v>
      </c>
      <c r="U984" s="455">
        <v>46157</v>
      </c>
    </row>
    <row r="985" spans="1:21">
      <c r="A985" t="s">
        <v>1751</v>
      </c>
      <c r="B985" t="s">
        <v>9291</v>
      </c>
      <c r="C985" t="s">
        <v>1751</v>
      </c>
      <c r="D985">
        <v>20474425</v>
      </c>
      <c r="E985" t="s">
        <v>3190</v>
      </c>
      <c r="F985" t="s">
        <v>1241</v>
      </c>
      <c r="G985" t="s">
        <v>3134</v>
      </c>
      <c r="H985" t="s">
        <v>1252</v>
      </c>
      <c r="J985" s="455">
        <v>46099</v>
      </c>
      <c r="R985" s="455">
        <v>46139</v>
      </c>
      <c r="U985" s="455">
        <v>46116</v>
      </c>
    </row>
    <row r="986" spans="1:21">
      <c r="A986" t="s">
        <v>1751</v>
      </c>
      <c r="B986" t="s">
        <v>9292</v>
      </c>
      <c r="C986" t="s">
        <v>1751</v>
      </c>
      <c r="D986">
        <v>20477372</v>
      </c>
      <c r="E986" t="s">
        <v>3190</v>
      </c>
      <c r="F986" t="s">
        <v>1782</v>
      </c>
      <c r="G986" t="s">
        <v>3134</v>
      </c>
      <c r="H986" t="s">
        <v>1252</v>
      </c>
      <c r="I986" t="s">
        <v>1227</v>
      </c>
      <c r="J986" s="455">
        <v>46102</v>
      </c>
      <c r="R986" s="455">
        <v>46114</v>
      </c>
      <c r="U986" s="455">
        <v>46143</v>
      </c>
    </row>
    <row r="987" spans="1:21">
      <c r="A987" t="s">
        <v>1751</v>
      </c>
      <c r="B987" t="s">
        <v>9292</v>
      </c>
      <c r="C987" t="s">
        <v>1751</v>
      </c>
      <c r="D987">
        <v>20495913</v>
      </c>
      <c r="E987" t="s">
        <v>1897</v>
      </c>
      <c r="F987" t="s">
        <v>1238</v>
      </c>
      <c r="G987" t="s">
        <v>3134</v>
      </c>
      <c r="H987" t="s">
        <v>1252</v>
      </c>
      <c r="I987" t="s">
        <v>1530</v>
      </c>
      <c r="J987" s="455">
        <v>46127</v>
      </c>
      <c r="K987" s="455">
        <v>46127</v>
      </c>
      <c r="U987" s="455">
        <v>46174</v>
      </c>
    </row>
    <row r="988" spans="1:21">
      <c r="A988" t="s">
        <v>1751</v>
      </c>
      <c r="B988" t="s">
        <v>9292</v>
      </c>
      <c r="C988" t="s">
        <v>1751</v>
      </c>
      <c r="D988">
        <v>20492399</v>
      </c>
      <c r="E988" t="s">
        <v>3133</v>
      </c>
      <c r="F988" t="s">
        <v>1242</v>
      </c>
      <c r="G988" t="s">
        <v>2009</v>
      </c>
      <c r="H988" t="s">
        <v>1252</v>
      </c>
      <c r="I988" t="s">
        <v>3198</v>
      </c>
      <c r="J988" s="455">
        <v>46123</v>
      </c>
      <c r="K988" s="455">
        <v>46127</v>
      </c>
      <c r="R988" s="455">
        <v>46142</v>
      </c>
      <c r="U988" s="455">
        <v>46123</v>
      </c>
    </row>
    <row r="989" spans="1:21">
      <c r="A989" t="s">
        <v>1751</v>
      </c>
      <c r="B989" t="s">
        <v>9293</v>
      </c>
      <c r="C989" t="s">
        <v>1751</v>
      </c>
      <c r="D989">
        <v>20473055</v>
      </c>
      <c r="E989" t="s">
        <v>3190</v>
      </c>
      <c r="F989" t="s">
        <v>1241</v>
      </c>
      <c r="G989" t="s">
        <v>3134</v>
      </c>
      <c r="H989" t="s">
        <v>1252</v>
      </c>
      <c r="J989" s="455">
        <v>46098</v>
      </c>
      <c r="R989" s="455">
        <v>46114</v>
      </c>
      <c r="U989" s="455">
        <v>46185</v>
      </c>
    </row>
    <row r="990" spans="1:21">
      <c r="A990" t="s">
        <v>1751</v>
      </c>
      <c r="B990" t="s">
        <v>9294</v>
      </c>
      <c r="C990" t="s">
        <v>1751</v>
      </c>
      <c r="D990">
        <v>20484046</v>
      </c>
      <c r="E990" t="s">
        <v>3190</v>
      </c>
      <c r="F990" t="s">
        <v>1241</v>
      </c>
      <c r="G990" t="s">
        <v>3143</v>
      </c>
      <c r="H990" t="s">
        <v>1248</v>
      </c>
      <c r="I990" t="s">
        <v>1952</v>
      </c>
      <c r="J990" s="455">
        <v>46112</v>
      </c>
      <c r="R990" s="455">
        <v>46139</v>
      </c>
      <c r="U990" s="455">
        <v>46150</v>
      </c>
    </row>
    <row r="991" spans="1:21">
      <c r="A991" t="s">
        <v>1751</v>
      </c>
      <c r="B991" t="s">
        <v>9923</v>
      </c>
      <c r="C991" t="s">
        <v>1751</v>
      </c>
      <c r="D991">
        <v>20498202</v>
      </c>
      <c r="E991" t="s">
        <v>3190</v>
      </c>
      <c r="F991" t="s">
        <v>1782</v>
      </c>
      <c r="G991" t="s">
        <v>3129</v>
      </c>
      <c r="H991" t="s">
        <v>1252</v>
      </c>
      <c r="J991" s="455">
        <v>46128</v>
      </c>
      <c r="R991" s="455">
        <v>46139</v>
      </c>
      <c r="U991" s="455">
        <v>46128</v>
      </c>
    </row>
    <row r="992" spans="1:21">
      <c r="A992" t="s">
        <v>1751</v>
      </c>
      <c r="B992" t="s">
        <v>9295</v>
      </c>
      <c r="C992" t="s">
        <v>1751</v>
      </c>
      <c r="D992">
        <v>20473050</v>
      </c>
      <c r="E992" t="s">
        <v>3190</v>
      </c>
      <c r="F992" t="s">
        <v>1241</v>
      </c>
      <c r="G992" t="s">
        <v>3134</v>
      </c>
      <c r="H992" t="s">
        <v>1252</v>
      </c>
      <c r="J992" s="455">
        <v>46098</v>
      </c>
      <c r="R992" s="455">
        <v>46114</v>
      </c>
      <c r="U992" s="455">
        <v>46174</v>
      </c>
    </row>
    <row r="993" spans="1:21">
      <c r="A993" t="s">
        <v>1751</v>
      </c>
      <c r="B993" t="s">
        <v>9924</v>
      </c>
      <c r="C993" t="s">
        <v>1751</v>
      </c>
      <c r="D993">
        <v>20508893</v>
      </c>
      <c r="E993" t="s">
        <v>3128</v>
      </c>
      <c r="F993" t="s">
        <v>1782</v>
      </c>
      <c r="G993" t="s">
        <v>3134</v>
      </c>
      <c r="H993" t="s">
        <v>3165</v>
      </c>
      <c r="J993" s="455">
        <v>46136</v>
      </c>
      <c r="U993" s="455">
        <v>46137</v>
      </c>
    </row>
    <row r="994" spans="1:21">
      <c r="A994" t="s">
        <v>1751</v>
      </c>
      <c r="B994" t="s">
        <v>2424</v>
      </c>
      <c r="C994" t="s">
        <v>1751</v>
      </c>
      <c r="D994">
        <v>20496993</v>
      </c>
      <c r="E994" t="s">
        <v>3190</v>
      </c>
      <c r="F994" t="s">
        <v>1782</v>
      </c>
      <c r="G994" t="s">
        <v>3143</v>
      </c>
      <c r="H994" t="s">
        <v>1252</v>
      </c>
      <c r="J994" s="455">
        <v>46127</v>
      </c>
      <c r="R994" s="455">
        <v>46139</v>
      </c>
      <c r="U994" s="455">
        <v>46164</v>
      </c>
    </row>
    <row r="995" spans="1:21">
      <c r="A995" t="s">
        <v>1751</v>
      </c>
      <c r="B995" t="s">
        <v>3772</v>
      </c>
      <c r="C995" t="s">
        <v>1751</v>
      </c>
      <c r="D995">
        <v>20509941</v>
      </c>
      <c r="E995" t="s">
        <v>1897</v>
      </c>
      <c r="F995" t="s">
        <v>1912</v>
      </c>
      <c r="G995" t="s">
        <v>3134</v>
      </c>
      <c r="H995" t="s">
        <v>1247</v>
      </c>
      <c r="I995" t="s">
        <v>3451</v>
      </c>
      <c r="J995" s="455">
        <v>46137</v>
      </c>
      <c r="K995" s="455">
        <v>46137</v>
      </c>
      <c r="U995" s="455">
        <v>46141</v>
      </c>
    </row>
    <row r="996" spans="1:21">
      <c r="A996" t="s">
        <v>1751</v>
      </c>
      <c r="B996" t="s">
        <v>8862</v>
      </c>
      <c r="C996" t="s">
        <v>1751</v>
      </c>
      <c r="D996">
        <v>20453908</v>
      </c>
      <c r="E996" t="s">
        <v>3190</v>
      </c>
      <c r="F996" t="s">
        <v>1241</v>
      </c>
      <c r="G996" t="s">
        <v>3137</v>
      </c>
      <c r="H996" t="s">
        <v>1252</v>
      </c>
      <c r="J996" s="455">
        <v>46073</v>
      </c>
      <c r="R996" s="455">
        <v>46114</v>
      </c>
      <c r="U996" s="455">
        <v>46091</v>
      </c>
    </row>
    <row r="997" spans="1:21">
      <c r="A997" t="s">
        <v>1751</v>
      </c>
      <c r="B997" t="s">
        <v>9925</v>
      </c>
      <c r="C997" t="s">
        <v>1751</v>
      </c>
      <c r="D997">
        <v>20508335</v>
      </c>
      <c r="E997" t="s">
        <v>3133</v>
      </c>
      <c r="F997" t="s">
        <v>1782</v>
      </c>
      <c r="G997" t="s">
        <v>3129</v>
      </c>
      <c r="H997" t="s">
        <v>1253</v>
      </c>
      <c r="J997" s="455">
        <v>46135</v>
      </c>
      <c r="K997" s="455">
        <v>46136</v>
      </c>
      <c r="R997" s="455">
        <v>46139</v>
      </c>
      <c r="U997" s="455">
        <v>46140</v>
      </c>
    </row>
    <row r="998" spans="1:21">
      <c r="A998" t="s">
        <v>1751</v>
      </c>
      <c r="B998" t="s">
        <v>9296</v>
      </c>
      <c r="C998" t="s">
        <v>1751</v>
      </c>
      <c r="D998">
        <v>20482785</v>
      </c>
      <c r="E998" t="s">
        <v>3133</v>
      </c>
      <c r="F998" t="s">
        <v>1912</v>
      </c>
      <c r="G998" t="s">
        <v>3134</v>
      </c>
      <c r="H998" t="s">
        <v>1247</v>
      </c>
      <c r="J998" s="455">
        <v>46110</v>
      </c>
      <c r="K998" s="455">
        <v>46110</v>
      </c>
      <c r="R998" s="455">
        <v>46115</v>
      </c>
      <c r="U998" s="455">
        <v>46111</v>
      </c>
    </row>
    <row r="999" spans="1:21">
      <c r="A999" t="s">
        <v>1751</v>
      </c>
      <c r="B999" t="s">
        <v>9926</v>
      </c>
      <c r="C999" t="s">
        <v>1751</v>
      </c>
      <c r="D999">
        <v>20416150</v>
      </c>
      <c r="E999" t="s">
        <v>3133</v>
      </c>
      <c r="F999" t="s">
        <v>1238</v>
      </c>
      <c r="G999" t="s">
        <v>3134</v>
      </c>
      <c r="H999" t="s">
        <v>1247</v>
      </c>
      <c r="I999" t="s">
        <v>7169</v>
      </c>
      <c r="J999" s="455">
        <v>46023</v>
      </c>
      <c r="K999" s="455">
        <v>46023</v>
      </c>
      <c r="R999" s="455">
        <v>46114</v>
      </c>
      <c r="U999" s="455">
        <v>46041</v>
      </c>
    </row>
    <row r="1000" spans="1:21">
      <c r="A1000" t="s">
        <v>1751</v>
      </c>
      <c r="B1000" t="s">
        <v>9927</v>
      </c>
      <c r="C1000" t="s">
        <v>1751</v>
      </c>
      <c r="D1000">
        <v>20497268</v>
      </c>
      <c r="E1000" t="s">
        <v>3128</v>
      </c>
      <c r="F1000" t="s">
        <v>1241</v>
      </c>
      <c r="G1000" t="s">
        <v>3134</v>
      </c>
      <c r="H1000" t="s">
        <v>3165</v>
      </c>
      <c r="J1000" s="455">
        <v>46128</v>
      </c>
      <c r="U1000" s="455">
        <v>46175</v>
      </c>
    </row>
    <row r="1001" spans="1:21">
      <c r="A1001" t="s">
        <v>1751</v>
      </c>
      <c r="B1001" t="s">
        <v>9928</v>
      </c>
      <c r="C1001" t="s">
        <v>1751</v>
      </c>
      <c r="D1001">
        <v>20437363</v>
      </c>
      <c r="E1001" t="s">
        <v>3190</v>
      </c>
      <c r="F1001" t="s">
        <v>1237</v>
      </c>
      <c r="G1001" t="s">
        <v>3143</v>
      </c>
      <c r="H1001" t="s">
        <v>3165</v>
      </c>
      <c r="J1001" s="455">
        <v>46051</v>
      </c>
      <c r="R1001" s="455">
        <v>46114</v>
      </c>
      <c r="U1001" s="455">
        <v>46051</v>
      </c>
    </row>
    <row r="1002" spans="1:21">
      <c r="A1002" t="s">
        <v>1751</v>
      </c>
      <c r="B1002" t="s">
        <v>9929</v>
      </c>
      <c r="C1002" t="s">
        <v>1751</v>
      </c>
      <c r="D1002">
        <v>20433478</v>
      </c>
      <c r="E1002" t="s">
        <v>3190</v>
      </c>
      <c r="F1002" t="s">
        <v>1237</v>
      </c>
      <c r="G1002" t="s">
        <v>3129</v>
      </c>
      <c r="H1002" t="s">
        <v>1253</v>
      </c>
      <c r="J1002" s="455">
        <v>46045</v>
      </c>
      <c r="R1002" s="455">
        <v>46114</v>
      </c>
      <c r="U1002" s="455">
        <v>46086</v>
      </c>
    </row>
    <row r="1003" spans="1:21">
      <c r="A1003" t="s">
        <v>1751</v>
      </c>
      <c r="B1003" t="s">
        <v>1904</v>
      </c>
      <c r="C1003" t="s">
        <v>1751</v>
      </c>
      <c r="D1003">
        <v>20441505</v>
      </c>
      <c r="E1003" t="s">
        <v>3133</v>
      </c>
      <c r="F1003" t="s">
        <v>1799</v>
      </c>
      <c r="G1003" t="s">
        <v>3129</v>
      </c>
      <c r="H1003" t="s">
        <v>1252</v>
      </c>
      <c r="I1003" t="s">
        <v>1903</v>
      </c>
      <c r="J1003" s="455">
        <v>46058</v>
      </c>
      <c r="K1003" s="455">
        <v>46084</v>
      </c>
      <c r="R1003" s="455">
        <v>46114</v>
      </c>
      <c r="U1003" s="455">
        <v>46102</v>
      </c>
    </row>
    <row r="1004" spans="1:21">
      <c r="A1004" t="s">
        <v>1751</v>
      </c>
      <c r="B1004" t="s">
        <v>8865</v>
      </c>
      <c r="C1004" t="s">
        <v>1751</v>
      </c>
      <c r="D1004">
        <v>20446849</v>
      </c>
      <c r="E1004" t="s">
        <v>3190</v>
      </c>
      <c r="F1004" t="s">
        <v>1241</v>
      </c>
      <c r="G1004" t="s">
        <v>3143</v>
      </c>
      <c r="H1004" t="s">
        <v>1248</v>
      </c>
      <c r="I1004" t="s">
        <v>1831</v>
      </c>
      <c r="J1004" s="455">
        <v>46064</v>
      </c>
      <c r="R1004" s="455">
        <v>46115</v>
      </c>
      <c r="U1004" s="455">
        <v>46142</v>
      </c>
    </row>
    <row r="1005" spans="1:21">
      <c r="A1005" t="s">
        <v>1751</v>
      </c>
      <c r="B1005" t="s">
        <v>9297</v>
      </c>
      <c r="C1005" t="s">
        <v>1751</v>
      </c>
      <c r="D1005">
        <v>20482848</v>
      </c>
      <c r="E1005" t="s">
        <v>3190</v>
      </c>
      <c r="F1005" t="s">
        <v>1782</v>
      </c>
      <c r="G1005" t="s">
        <v>3134</v>
      </c>
      <c r="H1005" t="s">
        <v>1252</v>
      </c>
      <c r="J1005" s="455">
        <v>46111</v>
      </c>
      <c r="R1005" s="455">
        <v>46139</v>
      </c>
      <c r="U1005" s="455">
        <v>46143</v>
      </c>
    </row>
    <row r="1006" spans="1:21">
      <c r="A1006" t="s">
        <v>1751</v>
      </c>
      <c r="B1006" t="s">
        <v>4688</v>
      </c>
      <c r="C1006" t="s">
        <v>1751</v>
      </c>
      <c r="D1006">
        <v>20512802</v>
      </c>
      <c r="E1006" t="s">
        <v>3128</v>
      </c>
      <c r="F1006" t="s">
        <v>1912</v>
      </c>
      <c r="G1006" t="s">
        <v>3137</v>
      </c>
      <c r="H1006" t="s">
        <v>3131</v>
      </c>
      <c r="J1006" s="455">
        <v>46141</v>
      </c>
      <c r="U1006" s="455">
        <v>46141</v>
      </c>
    </row>
    <row r="1007" spans="1:21">
      <c r="A1007" t="s">
        <v>1751</v>
      </c>
      <c r="B1007" t="s">
        <v>9298</v>
      </c>
      <c r="C1007" t="s">
        <v>1751</v>
      </c>
      <c r="D1007">
        <v>20480954</v>
      </c>
      <c r="E1007" t="s">
        <v>3190</v>
      </c>
      <c r="F1007" t="s">
        <v>1241</v>
      </c>
      <c r="G1007" t="s">
        <v>3134</v>
      </c>
      <c r="H1007" t="s">
        <v>1252</v>
      </c>
      <c r="J1007" s="455">
        <v>46107</v>
      </c>
      <c r="R1007" s="455">
        <v>46139</v>
      </c>
      <c r="U1007" s="455">
        <v>46136</v>
      </c>
    </row>
    <row r="1008" spans="1:21">
      <c r="A1008" t="s">
        <v>1751</v>
      </c>
      <c r="B1008" t="s">
        <v>2712</v>
      </c>
      <c r="C1008" t="s">
        <v>1751</v>
      </c>
      <c r="D1008">
        <v>20477418</v>
      </c>
      <c r="E1008" t="s">
        <v>1907</v>
      </c>
      <c r="F1008" t="s">
        <v>1238</v>
      </c>
      <c r="G1008" t="s">
        <v>2009</v>
      </c>
      <c r="H1008" t="s">
        <v>1248</v>
      </c>
      <c r="I1008" t="s">
        <v>2137</v>
      </c>
      <c r="J1008" s="455">
        <v>46102</v>
      </c>
      <c r="K1008" s="455">
        <v>46133</v>
      </c>
      <c r="L1008" s="455">
        <v>46133</v>
      </c>
      <c r="U1008" s="455">
        <v>46160</v>
      </c>
    </row>
    <row r="1009" spans="1:21">
      <c r="A1009" t="s">
        <v>1751</v>
      </c>
      <c r="B1009" t="s">
        <v>9930</v>
      </c>
      <c r="C1009" t="s">
        <v>1751</v>
      </c>
      <c r="D1009">
        <v>20513917</v>
      </c>
      <c r="E1009" t="s">
        <v>3128</v>
      </c>
      <c r="F1009" t="s">
        <v>1237</v>
      </c>
      <c r="G1009" t="s">
        <v>3143</v>
      </c>
      <c r="H1009" t="s">
        <v>1252</v>
      </c>
      <c r="I1009" t="s">
        <v>2129</v>
      </c>
      <c r="J1009" s="455">
        <v>46142</v>
      </c>
      <c r="U1009" s="455">
        <v>46153</v>
      </c>
    </row>
    <row r="1010" spans="1:21">
      <c r="A1010" t="s">
        <v>1751</v>
      </c>
      <c r="B1010" t="s">
        <v>9931</v>
      </c>
      <c r="C1010" t="s">
        <v>1751</v>
      </c>
      <c r="D1010">
        <v>20430969</v>
      </c>
      <c r="E1010" t="s">
        <v>3190</v>
      </c>
      <c r="F1010" t="s">
        <v>1238</v>
      </c>
      <c r="G1010" t="s">
        <v>3143</v>
      </c>
      <c r="H1010" t="s">
        <v>1252</v>
      </c>
      <c r="J1010" s="455">
        <v>46042</v>
      </c>
      <c r="R1010" s="455">
        <v>46114</v>
      </c>
      <c r="U1010" s="455">
        <v>46042</v>
      </c>
    </row>
    <row r="1011" spans="1:21">
      <c r="A1011" t="s">
        <v>1751</v>
      </c>
      <c r="B1011" t="s">
        <v>9299</v>
      </c>
      <c r="C1011" t="s">
        <v>1751</v>
      </c>
      <c r="D1011">
        <v>20470819</v>
      </c>
      <c r="E1011" t="s">
        <v>3190</v>
      </c>
      <c r="F1011" t="s">
        <v>1782</v>
      </c>
      <c r="G1011" t="s">
        <v>3134</v>
      </c>
      <c r="H1011" t="s">
        <v>1252</v>
      </c>
      <c r="J1011" s="455">
        <v>46094</v>
      </c>
      <c r="R1011" s="455">
        <v>46114</v>
      </c>
      <c r="U1011" s="455">
        <v>46113</v>
      </c>
    </row>
    <row r="1012" spans="1:21">
      <c r="A1012" t="s">
        <v>1751</v>
      </c>
      <c r="B1012" t="s">
        <v>9300</v>
      </c>
      <c r="C1012" t="s">
        <v>1751</v>
      </c>
      <c r="D1012">
        <v>20473249</v>
      </c>
      <c r="E1012" t="s">
        <v>3190</v>
      </c>
      <c r="F1012" t="s">
        <v>1241</v>
      </c>
      <c r="G1012" t="s">
        <v>3134</v>
      </c>
      <c r="H1012" t="s">
        <v>1252</v>
      </c>
      <c r="J1012" s="455">
        <v>46098</v>
      </c>
      <c r="R1012" s="455">
        <v>46114</v>
      </c>
      <c r="U1012" s="455">
        <v>46113</v>
      </c>
    </row>
    <row r="1013" spans="1:21">
      <c r="A1013" t="s">
        <v>1751</v>
      </c>
      <c r="B1013" t="s">
        <v>9932</v>
      </c>
      <c r="C1013" t="s">
        <v>1751</v>
      </c>
      <c r="D1013">
        <v>20498773</v>
      </c>
      <c r="E1013" t="s">
        <v>3190</v>
      </c>
      <c r="F1013" t="s">
        <v>1241</v>
      </c>
      <c r="G1013" t="s">
        <v>3134</v>
      </c>
      <c r="H1013" t="s">
        <v>1252</v>
      </c>
      <c r="J1013" s="455">
        <v>46129</v>
      </c>
      <c r="R1013" s="455">
        <v>46139</v>
      </c>
      <c r="U1013" s="455">
        <v>46298</v>
      </c>
    </row>
    <row r="1014" spans="1:21">
      <c r="A1014" t="s">
        <v>1751</v>
      </c>
      <c r="B1014" t="s">
        <v>9933</v>
      </c>
      <c r="C1014" t="s">
        <v>1751</v>
      </c>
      <c r="D1014">
        <v>20500636</v>
      </c>
      <c r="E1014" t="s">
        <v>3190</v>
      </c>
      <c r="F1014" t="s">
        <v>1782</v>
      </c>
      <c r="G1014" t="s">
        <v>3129</v>
      </c>
      <c r="H1014" t="s">
        <v>3131</v>
      </c>
      <c r="J1014" s="455">
        <v>46130</v>
      </c>
      <c r="R1014" s="455">
        <v>46139</v>
      </c>
      <c r="U1014" s="455">
        <v>46130</v>
      </c>
    </row>
    <row r="1015" spans="1:21">
      <c r="A1015" t="s">
        <v>1751</v>
      </c>
      <c r="B1015" t="s">
        <v>9933</v>
      </c>
      <c r="C1015" t="s">
        <v>1751</v>
      </c>
      <c r="D1015">
        <v>20410556</v>
      </c>
      <c r="E1015" t="s">
        <v>3190</v>
      </c>
      <c r="F1015" t="s">
        <v>1238</v>
      </c>
      <c r="G1015" t="s">
        <v>3143</v>
      </c>
      <c r="H1015" t="s">
        <v>1252</v>
      </c>
      <c r="J1015" s="455">
        <v>46011</v>
      </c>
      <c r="R1015" s="455">
        <v>46114</v>
      </c>
      <c r="U1015" s="455">
        <v>46011</v>
      </c>
    </row>
    <row r="1016" spans="1:21">
      <c r="A1016" t="s">
        <v>1751</v>
      </c>
      <c r="B1016" t="s">
        <v>9934</v>
      </c>
      <c r="C1016" t="s">
        <v>1751</v>
      </c>
      <c r="D1016">
        <v>20418749</v>
      </c>
      <c r="E1016" t="s">
        <v>3190</v>
      </c>
      <c r="F1016" t="s">
        <v>1239</v>
      </c>
      <c r="G1016" t="s">
        <v>3129</v>
      </c>
      <c r="H1016" t="s">
        <v>1251</v>
      </c>
      <c r="J1016" s="455">
        <v>46027</v>
      </c>
      <c r="R1016" s="455">
        <v>46114</v>
      </c>
      <c r="U1016" s="455">
        <v>46027</v>
      </c>
    </row>
    <row r="1017" spans="1:21">
      <c r="A1017" t="s">
        <v>1751</v>
      </c>
      <c r="B1017" t="s">
        <v>8867</v>
      </c>
      <c r="C1017" t="s">
        <v>1751</v>
      </c>
      <c r="D1017">
        <v>20442656</v>
      </c>
      <c r="E1017" t="s">
        <v>3190</v>
      </c>
      <c r="F1017" t="s">
        <v>1782</v>
      </c>
      <c r="G1017" t="s">
        <v>3141</v>
      </c>
      <c r="H1017" t="s">
        <v>1247</v>
      </c>
      <c r="J1017" s="455">
        <v>46060</v>
      </c>
      <c r="R1017" s="455">
        <v>46114</v>
      </c>
      <c r="U1017" s="455">
        <v>46174</v>
      </c>
    </row>
    <row r="1018" spans="1:21">
      <c r="A1018" t="s">
        <v>1751</v>
      </c>
      <c r="B1018" t="s">
        <v>9301</v>
      </c>
      <c r="C1018" t="s">
        <v>1751</v>
      </c>
      <c r="D1018">
        <v>20482403</v>
      </c>
      <c r="E1018" t="s">
        <v>3190</v>
      </c>
      <c r="F1018" t="s">
        <v>1782</v>
      </c>
      <c r="G1018" t="s">
        <v>3134</v>
      </c>
      <c r="H1018" t="s">
        <v>1252</v>
      </c>
      <c r="J1018" s="455">
        <v>46109</v>
      </c>
      <c r="R1018" s="455">
        <v>46139</v>
      </c>
      <c r="U1018" s="455">
        <v>46127</v>
      </c>
    </row>
    <row r="1019" spans="1:21">
      <c r="A1019" t="s">
        <v>1751</v>
      </c>
      <c r="B1019" t="s">
        <v>9302</v>
      </c>
      <c r="C1019" t="s">
        <v>1751</v>
      </c>
      <c r="D1019">
        <v>20477595</v>
      </c>
      <c r="E1019" t="s">
        <v>3190</v>
      </c>
      <c r="F1019" t="s">
        <v>1782</v>
      </c>
      <c r="G1019" t="s">
        <v>3134</v>
      </c>
      <c r="H1019" t="s">
        <v>1252</v>
      </c>
      <c r="J1019" s="455">
        <v>46102</v>
      </c>
      <c r="R1019" s="455">
        <v>46114</v>
      </c>
      <c r="U1019" s="455">
        <v>46139</v>
      </c>
    </row>
    <row r="1020" spans="1:21">
      <c r="A1020" t="s">
        <v>1751</v>
      </c>
      <c r="B1020" t="s">
        <v>9935</v>
      </c>
      <c r="C1020" t="s">
        <v>1751</v>
      </c>
      <c r="D1020">
        <v>20514008</v>
      </c>
      <c r="E1020" t="s">
        <v>3128</v>
      </c>
      <c r="F1020" t="s">
        <v>1241</v>
      </c>
      <c r="G1020" t="s">
        <v>2009</v>
      </c>
      <c r="H1020" t="s">
        <v>1252</v>
      </c>
      <c r="J1020" s="455">
        <v>46142</v>
      </c>
      <c r="U1020" s="455">
        <v>46234</v>
      </c>
    </row>
    <row r="1021" spans="1:21">
      <c r="A1021" t="s">
        <v>1751</v>
      </c>
      <c r="B1021" t="s">
        <v>3787</v>
      </c>
      <c r="C1021" t="s">
        <v>1751</v>
      </c>
      <c r="D1021">
        <v>20411772</v>
      </c>
      <c r="E1021" t="s">
        <v>3190</v>
      </c>
      <c r="F1021" t="s">
        <v>1237</v>
      </c>
      <c r="G1021" t="s">
        <v>3143</v>
      </c>
      <c r="H1021" t="s">
        <v>1251</v>
      </c>
      <c r="I1021" t="s">
        <v>3170</v>
      </c>
      <c r="J1021" s="455">
        <v>46014</v>
      </c>
      <c r="R1021" s="455">
        <v>46114</v>
      </c>
      <c r="U1021" s="455">
        <v>46027</v>
      </c>
    </row>
    <row r="1022" spans="1:21">
      <c r="A1022" t="s">
        <v>1751</v>
      </c>
      <c r="B1022" t="s">
        <v>9936</v>
      </c>
      <c r="C1022" t="s">
        <v>1751</v>
      </c>
      <c r="D1022">
        <v>20428745</v>
      </c>
      <c r="E1022" t="s">
        <v>3190</v>
      </c>
      <c r="F1022" t="s">
        <v>1237</v>
      </c>
      <c r="G1022" t="s">
        <v>3143</v>
      </c>
      <c r="H1022" t="s">
        <v>1248</v>
      </c>
      <c r="I1022" t="s">
        <v>2556</v>
      </c>
      <c r="J1022" s="455">
        <v>46038</v>
      </c>
      <c r="R1022" s="455">
        <v>46114</v>
      </c>
      <c r="U1022" s="455">
        <v>46038</v>
      </c>
    </row>
    <row r="1023" spans="1:21">
      <c r="A1023" t="s">
        <v>1751</v>
      </c>
      <c r="B1023" t="s">
        <v>9303</v>
      </c>
      <c r="C1023" t="s">
        <v>1751</v>
      </c>
      <c r="D1023">
        <v>20477818</v>
      </c>
      <c r="E1023" t="s">
        <v>3190</v>
      </c>
      <c r="F1023" t="s">
        <v>1241</v>
      </c>
      <c r="G1023" t="s">
        <v>3134</v>
      </c>
      <c r="H1023" t="s">
        <v>1252</v>
      </c>
      <c r="J1023" s="455">
        <v>46103</v>
      </c>
      <c r="R1023" s="455">
        <v>46114</v>
      </c>
      <c r="U1023" s="455">
        <v>46117</v>
      </c>
    </row>
    <row r="1024" spans="1:21">
      <c r="A1024" t="s">
        <v>1751</v>
      </c>
      <c r="B1024" t="s">
        <v>9937</v>
      </c>
      <c r="C1024" t="s">
        <v>1751</v>
      </c>
      <c r="D1024">
        <v>20509745</v>
      </c>
      <c r="E1024" t="s">
        <v>3128</v>
      </c>
      <c r="F1024" t="s">
        <v>1242</v>
      </c>
      <c r="G1024" t="s">
        <v>3141</v>
      </c>
      <c r="H1024" t="s">
        <v>1248</v>
      </c>
      <c r="J1024" s="455">
        <v>46137</v>
      </c>
      <c r="U1024" s="455">
        <v>46137</v>
      </c>
    </row>
    <row r="1025" spans="1:21">
      <c r="A1025" t="s">
        <v>1751</v>
      </c>
      <c r="B1025" t="s">
        <v>9938</v>
      </c>
      <c r="C1025" t="s">
        <v>1751</v>
      </c>
      <c r="D1025">
        <v>20503601</v>
      </c>
      <c r="E1025" t="s">
        <v>1897</v>
      </c>
      <c r="F1025" t="s">
        <v>1782</v>
      </c>
      <c r="G1025" t="s">
        <v>3134</v>
      </c>
      <c r="H1025" t="s">
        <v>1252</v>
      </c>
      <c r="J1025" s="455">
        <v>46132</v>
      </c>
      <c r="K1025" s="455">
        <v>46134</v>
      </c>
      <c r="U1025" s="455">
        <v>46192</v>
      </c>
    </row>
    <row r="1026" spans="1:21">
      <c r="A1026" t="s">
        <v>1751</v>
      </c>
      <c r="B1026" t="s">
        <v>9304</v>
      </c>
      <c r="C1026" t="s">
        <v>1751</v>
      </c>
      <c r="D1026">
        <v>20480604</v>
      </c>
      <c r="E1026" t="s">
        <v>3190</v>
      </c>
      <c r="F1026" t="s">
        <v>1241</v>
      </c>
      <c r="G1026" t="s">
        <v>3141</v>
      </c>
      <c r="H1026" t="s">
        <v>1251</v>
      </c>
      <c r="J1026" s="455">
        <v>46107</v>
      </c>
      <c r="R1026" s="455">
        <v>46139</v>
      </c>
      <c r="U1026" s="455">
        <v>46107</v>
      </c>
    </row>
    <row r="1027" spans="1:21">
      <c r="A1027" t="s">
        <v>1751</v>
      </c>
      <c r="B1027" t="s">
        <v>7028</v>
      </c>
      <c r="C1027" t="s">
        <v>1751</v>
      </c>
      <c r="D1027">
        <v>20462872</v>
      </c>
      <c r="E1027" t="s">
        <v>3142</v>
      </c>
      <c r="F1027" t="s">
        <v>1242</v>
      </c>
      <c r="G1027" t="s">
        <v>3143</v>
      </c>
      <c r="H1027" t="s">
        <v>1248</v>
      </c>
      <c r="I1027" t="s">
        <v>1568</v>
      </c>
      <c r="J1027" s="455">
        <v>46086</v>
      </c>
      <c r="K1027" s="455">
        <v>46121</v>
      </c>
      <c r="L1027" s="455">
        <v>46121</v>
      </c>
      <c r="M1027" s="455">
        <v>46128</v>
      </c>
      <c r="N1027" s="455">
        <v>46128</v>
      </c>
      <c r="P1027" s="455">
        <v>46129</v>
      </c>
      <c r="Q1027" s="455">
        <v>46129</v>
      </c>
      <c r="U1027" s="455">
        <v>46133</v>
      </c>
    </row>
    <row r="1028" spans="1:21">
      <c r="A1028" t="s">
        <v>1751</v>
      </c>
      <c r="B1028" t="s">
        <v>9305</v>
      </c>
      <c r="C1028" t="s">
        <v>1751</v>
      </c>
      <c r="D1028">
        <v>20461420</v>
      </c>
      <c r="E1028" t="s">
        <v>3190</v>
      </c>
      <c r="F1028" t="s">
        <v>1237</v>
      </c>
      <c r="G1028" t="s">
        <v>3143</v>
      </c>
      <c r="H1028" t="s">
        <v>1248</v>
      </c>
      <c r="I1028" t="s">
        <v>7035</v>
      </c>
      <c r="J1028" s="455">
        <v>46084</v>
      </c>
      <c r="R1028" s="455">
        <v>46114</v>
      </c>
      <c r="U1028" s="455">
        <v>46126</v>
      </c>
    </row>
    <row r="1029" spans="1:21">
      <c r="A1029" t="s">
        <v>1751</v>
      </c>
      <c r="B1029" t="s">
        <v>9306</v>
      </c>
      <c r="C1029" t="s">
        <v>1751</v>
      </c>
      <c r="D1029">
        <v>20471953</v>
      </c>
      <c r="E1029" t="s">
        <v>3190</v>
      </c>
      <c r="F1029" t="s">
        <v>1782</v>
      </c>
      <c r="G1029" t="s">
        <v>3134</v>
      </c>
      <c r="H1029" t="s">
        <v>1252</v>
      </c>
      <c r="J1029" s="455">
        <v>46096</v>
      </c>
      <c r="R1029" s="455">
        <v>46115</v>
      </c>
      <c r="U1029" s="455">
        <v>46104</v>
      </c>
    </row>
    <row r="1030" spans="1:21">
      <c r="A1030" t="s">
        <v>1751</v>
      </c>
      <c r="B1030" t="s">
        <v>3791</v>
      </c>
      <c r="C1030" t="s">
        <v>1751</v>
      </c>
      <c r="D1030">
        <v>20504370</v>
      </c>
      <c r="E1030" t="s">
        <v>1897</v>
      </c>
      <c r="F1030" t="s">
        <v>1238</v>
      </c>
      <c r="G1030" t="s">
        <v>3134</v>
      </c>
      <c r="H1030" t="s">
        <v>1252</v>
      </c>
      <c r="I1030" t="s">
        <v>1574</v>
      </c>
      <c r="J1030" s="455">
        <v>46133</v>
      </c>
      <c r="K1030" s="455">
        <v>46133</v>
      </c>
      <c r="U1030" s="455">
        <v>46137</v>
      </c>
    </row>
    <row r="1031" spans="1:21">
      <c r="A1031" t="s">
        <v>1751</v>
      </c>
      <c r="B1031" t="s">
        <v>3791</v>
      </c>
      <c r="C1031" t="s">
        <v>1751</v>
      </c>
      <c r="D1031">
        <v>20504371</v>
      </c>
      <c r="E1031" t="s">
        <v>1897</v>
      </c>
      <c r="F1031" t="s">
        <v>1238</v>
      </c>
      <c r="G1031" t="s">
        <v>3134</v>
      </c>
      <c r="H1031" t="s">
        <v>1247</v>
      </c>
      <c r="I1031" t="s">
        <v>1524</v>
      </c>
      <c r="J1031" s="455">
        <v>46133</v>
      </c>
      <c r="K1031" s="455">
        <v>46133</v>
      </c>
      <c r="U1031" s="455">
        <v>46133</v>
      </c>
    </row>
    <row r="1032" spans="1:21">
      <c r="A1032" t="s">
        <v>1751</v>
      </c>
      <c r="B1032" t="s">
        <v>9939</v>
      </c>
      <c r="C1032" t="s">
        <v>1751</v>
      </c>
      <c r="D1032">
        <v>20434547</v>
      </c>
      <c r="E1032" t="s">
        <v>3190</v>
      </c>
      <c r="F1032" t="s">
        <v>1238</v>
      </c>
      <c r="G1032" t="s">
        <v>3129</v>
      </c>
      <c r="H1032" t="s">
        <v>3131</v>
      </c>
      <c r="J1032" s="455">
        <v>46047</v>
      </c>
      <c r="R1032" s="455">
        <v>46114</v>
      </c>
      <c r="U1032" s="455">
        <v>46073</v>
      </c>
    </row>
    <row r="1033" spans="1:21">
      <c r="A1033" t="s">
        <v>1751</v>
      </c>
      <c r="B1033" t="s">
        <v>9940</v>
      </c>
      <c r="C1033" t="s">
        <v>1751</v>
      </c>
      <c r="D1033">
        <v>20510368</v>
      </c>
      <c r="E1033" t="s">
        <v>3128</v>
      </c>
      <c r="F1033" t="s">
        <v>1241</v>
      </c>
      <c r="G1033" t="s">
        <v>3137</v>
      </c>
      <c r="H1033" t="s">
        <v>1252</v>
      </c>
      <c r="J1033" s="455">
        <v>46138</v>
      </c>
      <c r="U1033" s="455">
        <v>46172</v>
      </c>
    </row>
    <row r="1034" spans="1:21">
      <c r="A1034" t="s">
        <v>1751</v>
      </c>
      <c r="B1034" t="s">
        <v>8869</v>
      </c>
      <c r="C1034" t="s">
        <v>1751</v>
      </c>
      <c r="D1034">
        <v>20444547</v>
      </c>
      <c r="E1034" t="s">
        <v>3190</v>
      </c>
      <c r="F1034" t="s">
        <v>1241</v>
      </c>
      <c r="G1034" t="s">
        <v>2009</v>
      </c>
      <c r="H1034" t="s">
        <v>1247</v>
      </c>
      <c r="J1034" s="455">
        <v>46063</v>
      </c>
      <c r="R1034" s="455">
        <v>46114</v>
      </c>
      <c r="U1034" s="455">
        <v>46122</v>
      </c>
    </row>
    <row r="1035" spans="1:21">
      <c r="A1035" t="s">
        <v>1751</v>
      </c>
      <c r="B1035" t="s">
        <v>1840</v>
      </c>
      <c r="C1035" t="s">
        <v>1751</v>
      </c>
      <c r="D1035">
        <v>20478246</v>
      </c>
      <c r="E1035" t="s">
        <v>3142</v>
      </c>
      <c r="F1035" t="s">
        <v>1799</v>
      </c>
      <c r="G1035" t="s">
        <v>3143</v>
      </c>
      <c r="H1035" t="s">
        <v>1252</v>
      </c>
      <c r="I1035" t="s">
        <v>1839</v>
      </c>
      <c r="J1035" s="455">
        <v>46104</v>
      </c>
      <c r="K1035" s="455">
        <v>46104</v>
      </c>
      <c r="L1035" s="455">
        <v>46104</v>
      </c>
      <c r="M1035" s="455">
        <v>46114</v>
      </c>
      <c r="N1035" s="455">
        <v>46114</v>
      </c>
      <c r="P1035" s="455">
        <v>46129</v>
      </c>
      <c r="Q1035" s="455">
        <v>46129</v>
      </c>
      <c r="U1035" s="455">
        <v>46172</v>
      </c>
    </row>
    <row r="1036" spans="1:21">
      <c r="A1036" t="s">
        <v>1751</v>
      </c>
      <c r="B1036" t="s">
        <v>8870</v>
      </c>
      <c r="C1036" t="s">
        <v>1751</v>
      </c>
      <c r="D1036">
        <v>20459311</v>
      </c>
      <c r="E1036" t="s">
        <v>3133</v>
      </c>
      <c r="F1036" t="s">
        <v>1912</v>
      </c>
      <c r="G1036" t="s">
        <v>3134</v>
      </c>
      <c r="H1036" t="s">
        <v>1247</v>
      </c>
      <c r="J1036" s="455">
        <v>46081</v>
      </c>
      <c r="K1036" s="455">
        <v>46081</v>
      </c>
      <c r="R1036" s="455">
        <v>46114</v>
      </c>
      <c r="U1036" s="455">
        <v>46191</v>
      </c>
    </row>
    <row r="1037" spans="1:21">
      <c r="A1037" t="s">
        <v>1751</v>
      </c>
      <c r="B1037" t="s">
        <v>3796</v>
      </c>
      <c r="C1037" t="s">
        <v>1751</v>
      </c>
      <c r="D1037">
        <v>20488371</v>
      </c>
      <c r="E1037" t="s">
        <v>1897</v>
      </c>
      <c r="F1037" t="s">
        <v>1241</v>
      </c>
      <c r="G1037" t="s">
        <v>3134</v>
      </c>
      <c r="H1037" t="s">
        <v>1247</v>
      </c>
      <c r="J1037" s="455">
        <v>46118</v>
      </c>
      <c r="K1037" s="455">
        <v>46118</v>
      </c>
      <c r="U1037" s="455">
        <v>46118</v>
      </c>
    </row>
    <row r="1038" spans="1:21">
      <c r="A1038" t="s">
        <v>1751</v>
      </c>
      <c r="B1038" t="s">
        <v>9941</v>
      </c>
      <c r="C1038" t="s">
        <v>1751</v>
      </c>
      <c r="D1038">
        <v>20500888</v>
      </c>
      <c r="E1038" t="s">
        <v>3128</v>
      </c>
      <c r="F1038" t="s">
        <v>1782</v>
      </c>
      <c r="G1038" t="s">
        <v>3141</v>
      </c>
      <c r="H1038" t="s">
        <v>1252</v>
      </c>
      <c r="J1038" s="455">
        <v>46130</v>
      </c>
      <c r="U1038" s="455">
        <v>46160</v>
      </c>
    </row>
    <row r="1039" spans="1:21">
      <c r="A1039" t="s">
        <v>1751</v>
      </c>
      <c r="B1039" t="s">
        <v>8871</v>
      </c>
      <c r="C1039" t="s">
        <v>1751</v>
      </c>
      <c r="D1039">
        <v>20423136</v>
      </c>
      <c r="E1039" t="s">
        <v>3133</v>
      </c>
      <c r="F1039" t="s">
        <v>1243</v>
      </c>
      <c r="G1039" t="s">
        <v>3141</v>
      </c>
      <c r="H1039" t="s">
        <v>1252</v>
      </c>
      <c r="I1039" t="s">
        <v>3872</v>
      </c>
      <c r="J1039" s="455">
        <v>46034</v>
      </c>
      <c r="K1039" s="455">
        <v>46074</v>
      </c>
      <c r="L1039" s="455">
        <v>46078</v>
      </c>
      <c r="R1039" s="455">
        <v>46114</v>
      </c>
      <c r="U1039" s="455">
        <v>46174</v>
      </c>
    </row>
    <row r="1040" spans="1:21">
      <c r="A1040" t="s">
        <v>1751</v>
      </c>
      <c r="B1040" t="s">
        <v>9308</v>
      </c>
      <c r="C1040" t="s">
        <v>1751</v>
      </c>
      <c r="D1040">
        <v>20473630</v>
      </c>
      <c r="E1040" t="s">
        <v>3190</v>
      </c>
      <c r="F1040" t="s">
        <v>1239</v>
      </c>
      <c r="G1040" t="s">
        <v>3137</v>
      </c>
      <c r="H1040" t="s">
        <v>1251</v>
      </c>
      <c r="J1040" s="455">
        <v>46098</v>
      </c>
      <c r="R1040" s="455">
        <v>46114</v>
      </c>
      <c r="U1040" s="455">
        <v>46175</v>
      </c>
    </row>
    <row r="1041" spans="1:21">
      <c r="A1041" t="s">
        <v>1751</v>
      </c>
      <c r="B1041" t="s">
        <v>9942</v>
      </c>
      <c r="C1041" t="s">
        <v>1751</v>
      </c>
      <c r="D1041">
        <v>20487643</v>
      </c>
      <c r="E1041" t="s">
        <v>3190</v>
      </c>
      <c r="F1041" t="s">
        <v>1782</v>
      </c>
      <c r="G1041" t="s">
        <v>3134</v>
      </c>
      <c r="H1041" t="s">
        <v>1252</v>
      </c>
      <c r="J1041" s="455">
        <v>46117</v>
      </c>
      <c r="R1041" s="455">
        <v>46139</v>
      </c>
      <c r="U1041" s="455">
        <v>46121</v>
      </c>
    </row>
    <row r="1042" spans="1:21">
      <c r="A1042" t="s">
        <v>1751</v>
      </c>
      <c r="B1042" t="s">
        <v>9943</v>
      </c>
      <c r="C1042" t="s">
        <v>1751</v>
      </c>
      <c r="D1042">
        <v>20421180</v>
      </c>
      <c r="E1042" t="s">
        <v>3190</v>
      </c>
      <c r="F1042" t="s">
        <v>1238</v>
      </c>
      <c r="G1042" t="s">
        <v>3143</v>
      </c>
      <c r="H1042" t="s">
        <v>1252</v>
      </c>
      <c r="J1042" s="455">
        <v>46030</v>
      </c>
      <c r="R1042" s="455">
        <v>46114</v>
      </c>
      <c r="U1042" s="455">
        <v>46030</v>
      </c>
    </row>
    <row r="1043" spans="1:21">
      <c r="A1043" t="s">
        <v>1751</v>
      </c>
      <c r="B1043" t="s">
        <v>3802</v>
      </c>
      <c r="C1043" t="s">
        <v>1751</v>
      </c>
      <c r="D1043">
        <v>20512296</v>
      </c>
      <c r="E1043" t="s">
        <v>3128</v>
      </c>
      <c r="F1043" t="s">
        <v>1782</v>
      </c>
      <c r="G1043" t="s">
        <v>3134</v>
      </c>
      <c r="H1043" t="s">
        <v>3165</v>
      </c>
      <c r="J1043" s="455">
        <v>46140</v>
      </c>
      <c r="U1043" s="455">
        <v>46209</v>
      </c>
    </row>
    <row r="1044" spans="1:21">
      <c r="A1044" t="s">
        <v>1751</v>
      </c>
      <c r="B1044" t="s">
        <v>9944</v>
      </c>
      <c r="C1044" t="s">
        <v>1751</v>
      </c>
      <c r="D1044">
        <v>20430558</v>
      </c>
      <c r="E1044" t="s">
        <v>3190</v>
      </c>
      <c r="F1044" t="s">
        <v>1239</v>
      </c>
      <c r="G1044" t="s">
        <v>3141</v>
      </c>
      <c r="H1044" t="s">
        <v>1253</v>
      </c>
      <c r="J1044" s="455">
        <v>46041</v>
      </c>
      <c r="R1044" s="455">
        <v>46114</v>
      </c>
      <c r="U1044" s="455">
        <v>46080</v>
      </c>
    </row>
    <row r="1045" spans="1:21">
      <c r="A1045" t="s">
        <v>1751</v>
      </c>
      <c r="B1045" t="s">
        <v>1795</v>
      </c>
      <c r="C1045" t="s">
        <v>1751</v>
      </c>
      <c r="D1045">
        <v>20465530</v>
      </c>
      <c r="E1045" t="s">
        <v>3133</v>
      </c>
      <c r="F1045" t="s">
        <v>1799</v>
      </c>
      <c r="G1045" t="s">
        <v>3134</v>
      </c>
      <c r="H1045" t="s">
        <v>3131</v>
      </c>
      <c r="J1045" s="455">
        <v>46090</v>
      </c>
      <c r="K1045" s="455">
        <v>46090</v>
      </c>
      <c r="R1045" s="455">
        <v>46114</v>
      </c>
      <c r="U1045" s="455">
        <v>46090</v>
      </c>
    </row>
    <row r="1046" spans="1:21">
      <c r="A1046" t="s">
        <v>1751</v>
      </c>
      <c r="B1046" t="s">
        <v>9945</v>
      </c>
      <c r="C1046" t="s">
        <v>1751</v>
      </c>
      <c r="D1046">
        <v>20486289</v>
      </c>
      <c r="E1046" t="s">
        <v>3190</v>
      </c>
      <c r="F1046" t="s">
        <v>1782</v>
      </c>
      <c r="G1046" t="s">
        <v>3134</v>
      </c>
      <c r="H1046" t="s">
        <v>1252</v>
      </c>
      <c r="J1046" s="455">
        <v>46114</v>
      </c>
      <c r="R1046" s="455">
        <v>46115</v>
      </c>
      <c r="U1046" s="455">
        <v>46174</v>
      </c>
    </row>
    <row r="1047" spans="1:21">
      <c r="A1047" t="s">
        <v>1751</v>
      </c>
      <c r="B1047" t="s">
        <v>9946</v>
      </c>
      <c r="C1047" t="s">
        <v>1751</v>
      </c>
      <c r="D1047">
        <v>20494220</v>
      </c>
      <c r="E1047" t="s">
        <v>3190</v>
      </c>
      <c r="F1047" t="s">
        <v>1241</v>
      </c>
      <c r="G1047" t="s">
        <v>3134</v>
      </c>
      <c r="H1047" t="s">
        <v>1252</v>
      </c>
      <c r="J1047" s="455">
        <v>46126</v>
      </c>
      <c r="R1047" s="455">
        <v>46139</v>
      </c>
      <c r="U1047" s="455">
        <v>46126</v>
      </c>
    </row>
    <row r="1048" spans="1:21">
      <c r="A1048" t="s">
        <v>1751</v>
      </c>
      <c r="B1048" t="s">
        <v>9947</v>
      </c>
      <c r="C1048" t="s">
        <v>1751</v>
      </c>
      <c r="D1048">
        <v>20509135</v>
      </c>
      <c r="E1048" t="s">
        <v>3128</v>
      </c>
      <c r="F1048" t="s">
        <v>1241</v>
      </c>
      <c r="G1048" t="s">
        <v>2009</v>
      </c>
      <c r="H1048" t="s">
        <v>1247</v>
      </c>
      <c r="J1048" s="455">
        <v>46136</v>
      </c>
      <c r="U1048" s="455">
        <v>46136</v>
      </c>
    </row>
    <row r="1049" spans="1:21">
      <c r="A1049" t="s">
        <v>1751</v>
      </c>
      <c r="B1049" t="s">
        <v>9948</v>
      </c>
      <c r="C1049" t="s">
        <v>1751</v>
      </c>
      <c r="D1049">
        <v>20494989</v>
      </c>
      <c r="E1049" t="s">
        <v>3190</v>
      </c>
      <c r="F1049" t="s">
        <v>1241</v>
      </c>
      <c r="G1049" t="s">
        <v>3134</v>
      </c>
      <c r="H1049" t="s">
        <v>3165</v>
      </c>
      <c r="J1049" s="455">
        <v>46126</v>
      </c>
      <c r="R1049" s="455">
        <v>46139</v>
      </c>
      <c r="U1049" s="455">
        <v>46127</v>
      </c>
    </row>
    <row r="1050" spans="1:21">
      <c r="A1050" t="s">
        <v>1751</v>
      </c>
      <c r="B1050" t="s">
        <v>8872</v>
      </c>
      <c r="C1050" t="s">
        <v>1751</v>
      </c>
      <c r="D1050">
        <v>20444709</v>
      </c>
      <c r="E1050" t="s">
        <v>3133</v>
      </c>
      <c r="F1050" t="s">
        <v>1799</v>
      </c>
      <c r="G1050" t="s">
        <v>3134</v>
      </c>
      <c r="H1050" t="s">
        <v>1247</v>
      </c>
      <c r="I1050" t="s">
        <v>1524</v>
      </c>
      <c r="J1050" s="455">
        <v>46063</v>
      </c>
      <c r="K1050" s="455">
        <v>46063</v>
      </c>
      <c r="R1050" s="455">
        <v>46114</v>
      </c>
      <c r="U1050" s="455">
        <v>46079</v>
      </c>
    </row>
    <row r="1051" spans="1:21">
      <c r="A1051" t="s">
        <v>1751</v>
      </c>
      <c r="B1051" t="s">
        <v>9949</v>
      </c>
      <c r="C1051" t="s">
        <v>1751</v>
      </c>
      <c r="D1051">
        <v>20489517</v>
      </c>
      <c r="E1051" t="s">
        <v>3190</v>
      </c>
      <c r="F1051" t="s">
        <v>1782</v>
      </c>
      <c r="G1051" t="s">
        <v>3134</v>
      </c>
      <c r="H1051" t="s">
        <v>1252</v>
      </c>
      <c r="J1051" s="455">
        <v>46119</v>
      </c>
      <c r="R1051" s="455">
        <v>46139</v>
      </c>
      <c r="U1051" s="455">
        <v>46191</v>
      </c>
    </row>
    <row r="1052" spans="1:21">
      <c r="A1052" t="s">
        <v>1751</v>
      </c>
      <c r="B1052" t="s">
        <v>9950</v>
      </c>
      <c r="C1052" t="s">
        <v>1751</v>
      </c>
      <c r="D1052">
        <v>20423489</v>
      </c>
      <c r="E1052" t="s">
        <v>3190</v>
      </c>
      <c r="F1052" t="s">
        <v>1238</v>
      </c>
      <c r="G1052" t="s">
        <v>3143</v>
      </c>
      <c r="H1052" t="s">
        <v>1248</v>
      </c>
      <c r="J1052" s="455">
        <v>46034</v>
      </c>
      <c r="R1052" s="455">
        <v>46114</v>
      </c>
      <c r="U1052" s="455">
        <v>46074</v>
      </c>
    </row>
    <row r="1053" spans="1:21">
      <c r="A1053" t="s">
        <v>1751</v>
      </c>
      <c r="B1053" t="s">
        <v>9951</v>
      </c>
      <c r="C1053" t="s">
        <v>1751</v>
      </c>
      <c r="D1053">
        <v>20485556</v>
      </c>
      <c r="E1053" t="s">
        <v>3190</v>
      </c>
      <c r="F1053" t="s">
        <v>1782</v>
      </c>
      <c r="G1053" t="s">
        <v>3134</v>
      </c>
      <c r="H1053" t="s">
        <v>1252</v>
      </c>
      <c r="J1053" s="455">
        <v>46114</v>
      </c>
      <c r="R1053" s="455">
        <v>46139</v>
      </c>
      <c r="U1053" s="455">
        <v>46115</v>
      </c>
    </row>
    <row r="1054" spans="1:21">
      <c r="A1054" t="s">
        <v>1751</v>
      </c>
      <c r="B1054" t="s">
        <v>9952</v>
      </c>
      <c r="C1054" t="s">
        <v>1751</v>
      </c>
      <c r="D1054">
        <v>20431823</v>
      </c>
      <c r="E1054" t="s">
        <v>3190</v>
      </c>
      <c r="F1054" t="s">
        <v>1238</v>
      </c>
      <c r="G1054" t="s">
        <v>3143</v>
      </c>
      <c r="H1054" t="s">
        <v>1248</v>
      </c>
      <c r="J1054" s="455">
        <v>46043</v>
      </c>
      <c r="R1054" s="455">
        <v>46114</v>
      </c>
      <c r="U1054" s="455">
        <v>46043</v>
      </c>
    </row>
    <row r="1055" spans="1:21">
      <c r="A1055" t="s">
        <v>1751</v>
      </c>
      <c r="B1055" t="s">
        <v>7115</v>
      </c>
      <c r="C1055" t="s">
        <v>1751</v>
      </c>
      <c r="D1055">
        <v>20487052</v>
      </c>
      <c r="E1055" t="s">
        <v>3128</v>
      </c>
      <c r="F1055" t="s">
        <v>1242</v>
      </c>
      <c r="G1055" t="s">
        <v>3141</v>
      </c>
      <c r="H1055" t="s">
        <v>1248</v>
      </c>
      <c r="I1055" t="s">
        <v>1952</v>
      </c>
      <c r="J1055" s="455">
        <v>46116</v>
      </c>
      <c r="U1055" s="455">
        <v>46116</v>
      </c>
    </row>
    <row r="1056" spans="1:21">
      <c r="A1056" t="s">
        <v>1751</v>
      </c>
      <c r="B1056" t="s">
        <v>9309</v>
      </c>
      <c r="C1056" t="s">
        <v>1751</v>
      </c>
      <c r="D1056">
        <v>20477986</v>
      </c>
      <c r="E1056" t="s">
        <v>3190</v>
      </c>
      <c r="F1056" t="s">
        <v>1241</v>
      </c>
      <c r="G1056" t="s">
        <v>3134</v>
      </c>
      <c r="H1056" t="s">
        <v>1252</v>
      </c>
      <c r="J1056" s="455">
        <v>46103</v>
      </c>
      <c r="R1056" s="455">
        <v>46114</v>
      </c>
      <c r="U1056" s="455">
        <v>46122</v>
      </c>
    </row>
    <row r="1057" spans="1:21">
      <c r="A1057" t="s">
        <v>1751</v>
      </c>
      <c r="B1057" t="s">
        <v>9953</v>
      </c>
      <c r="C1057" t="s">
        <v>1751</v>
      </c>
      <c r="D1057">
        <v>20513284</v>
      </c>
      <c r="E1057" t="s">
        <v>3128</v>
      </c>
      <c r="F1057" t="s">
        <v>1782</v>
      </c>
      <c r="G1057" t="s">
        <v>3134</v>
      </c>
      <c r="H1057" t="s">
        <v>3165</v>
      </c>
      <c r="J1057" s="455">
        <v>46141</v>
      </c>
      <c r="U1057" s="455">
        <v>46143</v>
      </c>
    </row>
    <row r="1058" spans="1:21">
      <c r="A1058" t="s">
        <v>1751</v>
      </c>
      <c r="B1058" t="s">
        <v>1928</v>
      </c>
      <c r="C1058" t="s">
        <v>1751</v>
      </c>
      <c r="D1058">
        <v>20458158</v>
      </c>
      <c r="E1058" t="s">
        <v>3133</v>
      </c>
      <c r="F1058" t="s">
        <v>1782</v>
      </c>
      <c r="G1058" t="s">
        <v>3143</v>
      </c>
      <c r="H1058" t="s">
        <v>1250</v>
      </c>
      <c r="I1058" t="s">
        <v>1927</v>
      </c>
      <c r="J1058" s="455">
        <v>46079</v>
      </c>
      <c r="K1058" s="455">
        <v>46082</v>
      </c>
      <c r="R1058" s="455">
        <v>46114</v>
      </c>
      <c r="U1058" s="455">
        <v>46094</v>
      </c>
    </row>
    <row r="1059" spans="1:21">
      <c r="A1059" t="s">
        <v>1751</v>
      </c>
      <c r="B1059" t="s">
        <v>9311</v>
      </c>
      <c r="C1059" t="s">
        <v>1751</v>
      </c>
      <c r="D1059">
        <v>20475803</v>
      </c>
      <c r="E1059" t="s">
        <v>3190</v>
      </c>
      <c r="F1059" t="s">
        <v>1241</v>
      </c>
      <c r="G1059" t="s">
        <v>3134</v>
      </c>
      <c r="H1059" t="s">
        <v>1252</v>
      </c>
      <c r="J1059" s="455">
        <v>46100</v>
      </c>
      <c r="R1059" s="455">
        <v>46114</v>
      </c>
      <c r="U1059" s="455">
        <v>46220</v>
      </c>
    </row>
    <row r="1060" spans="1:21">
      <c r="A1060" t="s">
        <v>1751</v>
      </c>
      <c r="B1060" t="s">
        <v>9954</v>
      </c>
      <c r="C1060" t="s">
        <v>1751</v>
      </c>
      <c r="D1060">
        <v>20510645</v>
      </c>
      <c r="E1060" t="s">
        <v>3190</v>
      </c>
      <c r="F1060" t="s">
        <v>1782</v>
      </c>
      <c r="G1060" t="s">
        <v>3129</v>
      </c>
      <c r="H1060" t="s">
        <v>1253</v>
      </c>
      <c r="J1060" s="455">
        <v>46139</v>
      </c>
      <c r="R1060" s="455">
        <v>46139</v>
      </c>
      <c r="U1060" s="455">
        <v>46139</v>
      </c>
    </row>
    <row r="1061" spans="1:21">
      <c r="A1061" t="s">
        <v>1751</v>
      </c>
      <c r="B1061" t="s">
        <v>9955</v>
      </c>
      <c r="C1061" t="s">
        <v>1751</v>
      </c>
      <c r="D1061">
        <v>20501547</v>
      </c>
      <c r="E1061" t="s">
        <v>3128</v>
      </c>
      <c r="F1061" t="s">
        <v>1241</v>
      </c>
      <c r="G1061" t="s">
        <v>2009</v>
      </c>
      <c r="H1061" t="s">
        <v>1247</v>
      </c>
      <c r="J1061" s="455">
        <v>46131</v>
      </c>
      <c r="U1061" s="455">
        <v>46131</v>
      </c>
    </row>
    <row r="1062" spans="1:21">
      <c r="A1062" t="s">
        <v>1751</v>
      </c>
      <c r="B1062" t="s">
        <v>9312</v>
      </c>
      <c r="C1062" t="s">
        <v>1751</v>
      </c>
      <c r="D1062">
        <v>20472760</v>
      </c>
      <c r="E1062" t="s">
        <v>3190</v>
      </c>
      <c r="F1062" t="s">
        <v>1241</v>
      </c>
      <c r="G1062" t="s">
        <v>3134</v>
      </c>
      <c r="H1062" t="s">
        <v>1252</v>
      </c>
      <c r="J1062" s="455">
        <v>46097</v>
      </c>
      <c r="R1062" s="455">
        <v>46114</v>
      </c>
      <c r="U1062" s="455">
        <v>46102</v>
      </c>
    </row>
    <row r="1063" spans="1:21">
      <c r="A1063" t="s">
        <v>1751</v>
      </c>
      <c r="B1063" t="s">
        <v>9956</v>
      </c>
      <c r="C1063" t="s">
        <v>1751</v>
      </c>
      <c r="D1063">
        <v>20424353</v>
      </c>
      <c r="E1063" t="s">
        <v>3190</v>
      </c>
      <c r="F1063" t="s">
        <v>8652</v>
      </c>
      <c r="G1063" t="s">
        <v>3143</v>
      </c>
      <c r="H1063" t="s">
        <v>1251</v>
      </c>
      <c r="I1063" t="s">
        <v>6055</v>
      </c>
      <c r="J1063" s="455">
        <v>46035</v>
      </c>
      <c r="R1063" s="455">
        <v>46114</v>
      </c>
      <c r="U1063" s="455">
        <v>46035</v>
      </c>
    </row>
    <row r="1064" spans="1:21">
      <c r="A1064" t="s">
        <v>1751</v>
      </c>
      <c r="B1064" t="s">
        <v>9313</v>
      </c>
      <c r="C1064" t="s">
        <v>1751</v>
      </c>
      <c r="D1064">
        <v>20480580</v>
      </c>
      <c r="E1064" t="s">
        <v>3190</v>
      </c>
      <c r="F1064" t="s">
        <v>1241</v>
      </c>
      <c r="G1064" t="s">
        <v>3134</v>
      </c>
      <c r="H1064" t="s">
        <v>1252</v>
      </c>
      <c r="J1064" s="455">
        <v>46107</v>
      </c>
      <c r="R1064" s="455">
        <v>46115</v>
      </c>
      <c r="U1064" s="455">
        <v>46203</v>
      </c>
    </row>
    <row r="1065" spans="1:21">
      <c r="A1065" t="s">
        <v>1751</v>
      </c>
      <c r="B1065" t="s">
        <v>6412</v>
      </c>
      <c r="C1065" t="s">
        <v>1751</v>
      </c>
      <c r="D1065">
        <v>20478155</v>
      </c>
      <c r="E1065" t="s">
        <v>3142</v>
      </c>
      <c r="F1065" t="s">
        <v>1242</v>
      </c>
      <c r="G1065" t="s">
        <v>3143</v>
      </c>
      <c r="H1065" t="s">
        <v>1249</v>
      </c>
      <c r="I1065" t="s">
        <v>1831</v>
      </c>
      <c r="J1065" s="455">
        <v>46104</v>
      </c>
      <c r="K1065" s="455">
        <v>46104</v>
      </c>
      <c r="L1065" s="455">
        <v>46104</v>
      </c>
      <c r="M1065" s="455">
        <v>46120</v>
      </c>
      <c r="N1065" s="455">
        <v>46122</v>
      </c>
      <c r="P1065" s="455">
        <v>46125</v>
      </c>
      <c r="Q1065" s="455">
        <v>46126</v>
      </c>
      <c r="U1065" s="455">
        <v>46125</v>
      </c>
    </row>
    <row r="1066" spans="1:21">
      <c r="A1066" t="s">
        <v>1751</v>
      </c>
      <c r="B1066" t="s">
        <v>9957</v>
      </c>
      <c r="C1066" t="s">
        <v>1751</v>
      </c>
      <c r="D1066">
        <v>20509579</v>
      </c>
      <c r="E1066" t="s">
        <v>3128</v>
      </c>
      <c r="F1066" t="s">
        <v>1782</v>
      </c>
      <c r="G1066" t="s">
        <v>3134</v>
      </c>
      <c r="H1066" t="s">
        <v>1252</v>
      </c>
      <c r="J1066" s="455">
        <v>46137</v>
      </c>
      <c r="U1066" s="455">
        <v>46151</v>
      </c>
    </row>
    <row r="1067" spans="1:21">
      <c r="A1067" t="s">
        <v>1751</v>
      </c>
      <c r="B1067" t="s">
        <v>9958</v>
      </c>
      <c r="C1067" t="s">
        <v>1751</v>
      </c>
      <c r="D1067">
        <v>20505571</v>
      </c>
      <c r="E1067" t="s">
        <v>3128</v>
      </c>
      <c r="F1067" t="s">
        <v>1241</v>
      </c>
      <c r="G1067" t="s">
        <v>3134</v>
      </c>
      <c r="H1067" t="s">
        <v>3165</v>
      </c>
      <c r="J1067" s="455">
        <v>46134</v>
      </c>
      <c r="U1067" s="455">
        <v>46218</v>
      </c>
    </row>
    <row r="1068" spans="1:21">
      <c r="A1068" t="s">
        <v>1751</v>
      </c>
      <c r="B1068" t="s">
        <v>1962</v>
      </c>
      <c r="C1068" t="s">
        <v>1751</v>
      </c>
      <c r="D1068">
        <v>20475854</v>
      </c>
      <c r="E1068" t="s">
        <v>3133</v>
      </c>
      <c r="F1068" t="s">
        <v>1237</v>
      </c>
      <c r="G1068" t="s">
        <v>3134</v>
      </c>
      <c r="H1068" t="s">
        <v>1247</v>
      </c>
      <c r="I1068" t="s">
        <v>3179</v>
      </c>
      <c r="J1068" s="455">
        <v>46100</v>
      </c>
      <c r="K1068" s="455">
        <v>46100</v>
      </c>
      <c r="L1068" s="455">
        <v>46106</v>
      </c>
      <c r="R1068" s="455">
        <v>46128</v>
      </c>
      <c r="U1068" s="455">
        <v>46128</v>
      </c>
    </row>
    <row r="1069" spans="1:21">
      <c r="A1069" t="s">
        <v>1751</v>
      </c>
      <c r="B1069" t="s">
        <v>9314</v>
      </c>
      <c r="C1069" t="s">
        <v>1751</v>
      </c>
      <c r="D1069">
        <v>20483782</v>
      </c>
      <c r="E1069" t="s">
        <v>3190</v>
      </c>
      <c r="F1069" t="s">
        <v>1241</v>
      </c>
      <c r="G1069" t="s">
        <v>3134</v>
      </c>
      <c r="H1069" t="s">
        <v>1252</v>
      </c>
      <c r="J1069" s="455">
        <v>46112</v>
      </c>
      <c r="R1069" s="455">
        <v>46139</v>
      </c>
      <c r="U1069" s="455">
        <v>46115</v>
      </c>
    </row>
    <row r="1070" spans="1:21">
      <c r="A1070" t="s">
        <v>1751</v>
      </c>
      <c r="B1070" t="s">
        <v>9959</v>
      </c>
      <c r="C1070" t="s">
        <v>1751</v>
      </c>
      <c r="D1070">
        <v>20419247</v>
      </c>
      <c r="E1070" t="s">
        <v>3190</v>
      </c>
      <c r="F1070" t="s">
        <v>1239</v>
      </c>
      <c r="G1070" t="s">
        <v>3143</v>
      </c>
      <c r="H1070" t="s">
        <v>1252</v>
      </c>
      <c r="J1070" s="455">
        <v>46028</v>
      </c>
      <c r="R1070" s="455">
        <v>46114</v>
      </c>
      <c r="U1070" s="455">
        <v>46028</v>
      </c>
    </row>
    <row r="1071" spans="1:21">
      <c r="A1071" t="s">
        <v>1751</v>
      </c>
      <c r="B1071" t="s">
        <v>9960</v>
      </c>
      <c r="C1071" t="s">
        <v>1751</v>
      </c>
      <c r="D1071">
        <v>20420152</v>
      </c>
      <c r="E1071" t="s">
        <v>3190</v>
      </c>
      <c r="F1071" t="s">
        <v>1241</v>
      </c>
      <c r="G1071" t="s">
        <v>3137</v>
      </c>
      <c r="H1071" t="s">
        <v>1252</v>
      </c>
      <c r="J1071" s="455">
        <v>46029</v>
      </c>
      <c r="R1071" s="455">
        <v>46114</v>
      </c>
      <c r="U1071" s="455">
        <v>46222</v>
      </c>
    </row>
    <row r="1072" spans="1:21">
      <c r="A1072" t="s">
        <v>1751</v>
      </c>
      <c r="B1072" t="s">
        <v>9315</v>
      </c>
      <c r="C1072" t="s">
        <v>1751</v>
      </c>
      <c r="D1072">
        <v>20500688</v>
      </c>
      <c r="E1072" t="s">
        <v>3128</v>
      </c>
      <c r="F1072" t="s">
        <v>1238</v>
      </c>
      <c r="G1072" t="s">
        <v>3143</v>
      </c>
      <c r="H1072" t="s">
        <v>1252</v>
      </c>
      <c r="I1072" t="s">
        <v>1952</v>
      </c>
      <c r="J1072" s="455">
        <v>46130</v>
      </c>
      <c r="U1072" s="455">
        <v>46172</v>
      </c>
    </row>
    <row r="1073" spans="1:21">
      <c r="A1073" t="s">
        <v>1751</v>
      </c>
      <c r="B1073" t="s">
        <v>9315</v>
      </c>
      <c r="C1073" t="s">
        <v>1751</v>
      </c>
      <c r="D1073">
        <v>20472116</v>
      </c>
      <c r="E1073" t="s">
        <v>3190</v>
      </c>
      <c r="F1073" t="s">
        <v>1237</v>
      </c>
      <c r="G1073" t="s">
        <v>3129</v>
      </c>
      <c r="H1073" t="s">
        <v>1252</v>
      </c>
      <c r="I1073" t="s">
        <v>2137</v>
      </c>
      <c r="J1073" s="455">
        <v>46096</v>
      </c>
      <c r="R1073" s="455">
        <v>46114</v>
      </c>
      <c r="U1073" s="455">
        <v>46096</v>
      </c>
    </row>
    <row r="1074" spans="1:21">
      <c r="A1074" t="s">
        <v>1751</v>
      </c>
      <c r="B1074" t="s">
        <v>9316</v>
      </c>
      <c r="C1074" t="s">
        <v>1751</v>
      </c>
      <c r="D1074">
        <v>20483867</v>
      </c>
      <c r="E1074" t="s">
        <v>3190</v>
      </c>
      <c r="F1074" t="s">
        <v>1241</v>
      </c>
      <c r="G1074" t="s">
        <v>3134</v>
      </c>
      <c r="H1074" t="s">
        <v>1252</v>
      </c>
      <c r="I1074" t="s">
        <v>1952</v>
      </c>
      <c r="J1074" s="455">
        <v>46112</v>
      </c>
      <c r="R1074" s="455">
        <v>46114</v>
      </c>
      <c r="U1074" s="455">
        <v>46143</v>
      </c>
    </row>
    <row r="1075" spans="1:21">
      <c r="A1075" t="s">
        <v>1751</v>
      </c>
      <c r="B1075" t="s">
        <v>8874</v>
      </c>
      <c r="C1075" t="s">
        <v>1751</v>
      </c>
      <c r="D1075">
        <v>20455891</v>
      </c>
      <c r="E1075" t="s">
        <v>3190</v>
      </c>
      <c r="F1075" t="s">
        <v>1782</v>
      </c>
      <c r="G1075" t="s">
        <v>3141</v>
      </c>
      <c r="H1075" t="s">
        <v>8875</v>
      </c>
      <c r="J1075" s="455">
        <v>46076</v>
      </c>
      <c r="R1075" s="455">
        <v>46114</v>
      </c>
      <c r="U1075" s="455">
        <v>46088</v>
      </c>
    </row>
    <row r="1076" spans="1:21">
      <c r="A1076" t="s">
        <v>1751</v>
      </c>
      <c r="B1076" t="s">
        <v>9961</v>
      </c>
      <c r="C1076" t="s">
        <v>1751</v>
      </c>
      <c r="D1076">
        <v>20512628</v>
      </c>
      <c r="E1076" t="s">
        <v>3128</v>
      </c>
      <c r="F1076" t="s">
        <v>1782</v>
      </c>
      <c r="G1076" t="s">
        <v>3129</v>
      </c>
      <c r="H1076" t="s">
        <v>3131</v>
      </c>
      <c r="J1076" s="455">
        <v>46141</v>
      </c>
      <c r="U1076" s="455">
        <v>46141</v>
      </c>
    </row>
    <row r="1077" spans="1:21">
      <c r="A1077" t="s">
        <v>1751</v>
      </c>
      <c r="B1077" t="s">
        <v>8876</v>
      </c>
      <c r="C1077" t="s">
        <v>1751</v>
      </c>
      <c r="D1077">
        <v>20439108</v>
      </c>
      <c r="E1077" t="s">
        <v>3190</v>
      </c>
      <c r="F1077" t="s">
        <v>1782</v>
      </c>
      <c r="G1077" t="s">
        <v>3129</v>
      </c>
      <c r="H1077" t="s">
        <v>1251</v>
      </c>
      <c r="J1077" s="455">
        <v>46054</v>
      </c>
      <c r="R1077" s="455">
        <v>46114</v>
      </c>
      <c r="U1077" s="455">
        <v>46055</v>
      </c>
    </row>
    <row r="1078" spans="1:21">
      <c r="A1078" t="s">
        <v>1751</v>
      </c>
      <c r="B1078" t="s">
        <v>9317</v>
      </c>
      <c r="C1078" t="s">
        <v>1751</v>
      </c>
      <c r="D1078">
        <v>20470994</v>
      </c>
      <c r="E1078" t="s">
        <v>3190</v>
      </c>
      <c r="F1078" t="s">
        <v>1799</v>
      </c>
      <c r="G1078" t="s">
        <v>3134</v>
      </c>
      <c r="H1078" t="s">
        <v>1252</v>
      </c>
      <c r="J1078" s="455">
        <v>46094</v>
      </c>
      <c r="R1078" s="455">
        <v>46114</v>
      </c>
      <c r="U1078" s="455">
        <v>46320</v>
      </c>
    </row>
    <row r="1079" spans="1:21">
      <c r="A1079" t="s">
        <v>1751</v>
      </c>
      <c r="B1079" t="s">
        <v>9962</v>
      </c>
      <c r="C1079" t="s">
        <v>1751</v>
      </c>
      <c r="D1079">
        <v>20493026</v>
      </c>
      <c r="E1079" t="s">
        <v>3133</v>
      </c>
      <c r="F1079" t="s">
        <v>3285</v>
      </c>
      <c r="G1079" t="s">
        <v>3134</v>
      </c>
      <c r="H1079" t="s">
        <v>1247</v>
      </c>
      <c r="I1079" t="s">
        <v>6127</v>
      </c>
      <c r="J1079" s="455">
        <v>46124</v>
      </c>
      <c r="K1079" s="455">
        <v>46124</v>
      </c>
      <c r="R1079" s="455">
        <v>46142</v>
      </c>
      <c r="U1079" s="455">
        <v>46125</v>
      </c>
    </row>
    <row r="1080" spans="1:21">
      <c r="A1080" t="s">
        <v>1751</v>
      </c>
      <c r="B1080" t="s">
        <v>9963</v>
      </c>
      <c r="C1080" t="s">
        <v>1751</v>
      </c>
      <c r="D1080">
        <v>20492251</v>
      </c>
      <c r="E1080" t="s">
        <v>3190</v>
      </c>
      <c r="F1080" t="s">
        <v>1241</v>
      </c>
      <c r="G1080" t="s">
        <v>3134</v>
      </c>
      <c r="H1080" t="s">
        <v>1252</v>
      </c>
      <c r="J1080" s="455">
        <v>46123</v>
      </c>
      <c r="R1080" s="455">
        <v>46139</v>
      </c>
      <c r="U1080" s="455">
        <v>46143</v>
      </c>
    </row>
    <row r="1081" spans="1:21">
      <c r="A1081" t="s">
        <v>1751</v>
      </c>
      <c r="B1081" t="s">
        <v>6581</v>
      </c>
      <c r="C1081" t="s">
        <v>1751</v>
      </c>
      <c r="D1081">
        <v>20500870</v>
      </c>
      <c r="E1081" t="s">
        <v>3142</v>
      </c>
      <c r="F1081" t="s">
        <v>1243</v>
      </c>
      <c r="G1081" t="s">
        <v>3134</v>
      </c>
      <c r="H1081" t="s">
        <v>1247</v>
      </c>
      <c r="I1081" t="s">
        <v>1594</v>
      </c>
      <c r="J1081" s="455">
        <v>46130</v>
      </c>
      <c r="K1081" s="455">
        <v>46130</v>
      </c>
      <c r="L1081" s="455">
        <v>46135</v>
      </c>
      <c r="M1081" s="455">
        <v>46141</v>
      </c>
      <c r="N1081" s="455">
        <v>46141</v>
      </c>
      <c r="P1081" s="455">
        <v>46141</v>
      </c>
      <c r="Q1081" s="455">
        <v>46141</v>
      </c>
      <c r="U1081" s="455">
        <v>46161</v>
      </c>
    </row>
    <row r="1082" spans="1:21">
      <c r="A1082" t="s">
        <v>1751</v>
      </c>
      <c r="B1082" t="s">
        <v>9318</v>
      </c>
      <c r="C1082" t="s">
        <v>1751</v>
      </c>
      <c r="D1082">
        <v>20471687</v>
      </c>
      <c r="E1082" t="s">
        <v>3190</v>
      </c>
      <c r="F1082" t="s">
        <v>1241</v>
      </c>
      <c r="G1082" t="s">
        <v>3134</v>
      </c>
      <c r="H1082" t="s">
        <v>1252</v>
      </c>
      <c r="I1082" t="s">
        <v>1952</v>
      </c>
      <c r="J1082" s="455">
        <v>46095</v>
      </c>
      <c r="R1082" s="455">
        <v>46114</v>
      </c>
      <c r="U1082" s="455">
        <v>46174</v>
      </c>
    </row>
    <row r="1083" spans="1:21">
      <c r="A1083" t="s">
        <v>1751</v>
      </c>
      <c r="B1083" t="s">
        <v>9964</v>
      </c>
      <c r="C1083" t="s">
        <v>1751</v>
      </c>
      <c r="D1083">
        <v>20504845</v>
      </c>
      <c r="E1083" t="s">
        <v>1907</v>
      </c>
      <c r="F1083" t="s">
        <v>1782</v>
      </c>
      <c r="G1083" t="s">
        <v>3134</v>
      </c>
      <c r="H1083" t="s">
        <v>1249</v>
      </c>
      <c r="I1083" t="s">
        <v>1915</v>
      </c>
      <c r="J1083" s="455">
        <v>46133</v>
      </c>
      <c r="K1083" s="455">
        <v>46133</v>
      </c>
      <c r="L1083" s="455">
        <v>46133</v>
      </c>
      <c r="U1083" s="455">
        <v>46142</v>
      </c>
    </row>
    <row r="1084" spans="1:21">
      <c r="A1084" t="s">
        <v>1751</v>
      </c>
      <c r="B1084" t="s">
        <v>9964</v>
      </c>
      <c r="C1084" t="s">
        <v>1751</v>
      </c>
      <c r="D1084">
        <v>20503764</v>
      </c>
      <c r="E1084" t="s">
        <v>3190</v>
      </c>
      <c r="F1084" t="s">
        <v>1237</v>
      </c>
      <c r="G1084" t="s">
        <v>3143</v>
      </c>
      <c r="H1084" t="s">
        <v>3358</v>
      </c>
      <c r="J1084" s="455">
        <v>46132</v>
      </c>
      <c r="R1084" s="455">
        <v>46139</v>
      </c>
      <c r="U1084" s="455">
        <v>46136</v>
      </c>
    </row>
    <row r="1085" spans="1:21">
      <c r="A1085" t="s">
        <v>1751</v>
      </c>
      <c r="B1085" t="s">
        <v>9965</v>
      </c>
      <c r="C1085" t="s">
        <v>1751</v>
      </c>
      <c r="D1085">
        <v>20416747</v>
      </c>
      <c r="E1085" t="s">
        <v>3190</v>
      </c>
      <c r="F1085" t="s">
        <v>1239</v>
      </c>
      <c r="G1085" t="s">
        <v>3129</v>
      </c>
      <c r="H1085" t="s">
        <v>1253</v>
      </c>
      <c r="J1085" s="455">
        <v>46024</v>
      </c>
      <c r="R1085" s="455">
        <v>46114</v>
      </c>
      <c r="U1085" s="455">
        <v>46054</v>
      </c>
    </row>
    <row r="1086" spans="1:21">
      <c r="A1086" t="s">
        <v>1751</v>
      </c>
      <c r="B1086" t="s">
        <v>9319</v>
      </c>
      <c r="C1086" t="s">
        <v>1751</v>
      </c>
      <c r="D1086">
        <v>20483105</v>
      </c>
      <c r="E1086" t="s">
        <v>3133</v>
      </c>
      <c r="F1086" t="s">
        <v>1799</v>
      </c>
      <c r="G1086" t="s">
        <v>3134</v>
      </c>
      <c r="H1086" t="s">
        <v>1247</v>
      </c>
      <c r="I1086" t="s">
        <v>1227</v>
      </c>
      <c r="J1086" s="455">
        <v>46111</v>
      </c>
      <c r="K1086" s="455">
        <v>46111</v>
      </c>
      <c r="L1086" s="455">
        <v>46111</v>
      </c>
      <c r="R1086" s="455">
        <v>46119</v>
      </c>
      <c r="U1086" s="455">
        <v>46122</v>
      </c>
    </row>
    <row r="1087" spans="1:21">
      <c r="A1087" t="s">
        <v>1751</v>
      </c>
      <c r="B1087" t="s">
        <v>9966</v>
      </c>
      <c r="C1087" t="s">
        <v>1751</v>
      </c>
      <c r="D1087">
        <v>20496409</v>
      </c>
      <c r="E1087" t="s">
        <v>3128</v>
      </c>
      <c r="F1087" t="s">
        <v>1241</v>
      </c>
      <c r="G1087" t="s">
        <v>3129</v>
      </c>
      <c r="H1087" t="s">
        <v>3131</v>
      </c>
      <c r="J1087" s="455">
        <v>46127</v>
      </c>
      <c r="U1087" s="455">
        <v>46127</v>
      </c>
    </row>
    <row r="1088" spans="1:21">
      <c r="A1088" t="s">
        <v>1751</v>
      </c>
      <c r="B1088" t="s">
        <v>3817</v>
      </c>
      <c r="C1088" t="s">
        <v>1751</v>
      </c>
      <c r="D1088">
        <v>20488439</v>
      </c>
      <c r="E1088" t="s">
        <v>1897</v>
      </c>
      <c r="F1088" t="s">
        <v>1782</v>
      </c>
      <c r="G1088" t="s">
        <v>3134</v>
      </c>
      <c r="H1088" t="s">
        <v>1247</v>
      </c>
      <c r="J1088" s="455">
        <v>46118</v>
      </c>
      <c r="K1088" s="455">
        <v>46118</v>
      </c>
      <c r="U1088" s="455">
        <v>46135</v>
      </c>
    </row>
    <row r="1089" spans="1:21">
      <c r="A1089" t="s">
        <v>1751</v>
      </c>
      <c r="B1089" t="s">
        <v>3817</v>
      </c>
      <c r="C1089" t="s">
        <v>1751</v>
      </c>
      <c r="D1089">
        <v>20492640</v>
      </c>
      <c r="E1089" t="s">
        <v>3133</v>
      </c>
      <c r="F1089" t="s">
        <v>3285</v>
      </c>
      <c r="G1089" t="s">
        <v>3134</v>
      </c>
      <c r="H1089" t="s">
        <v>1252</v>
      </c>
      <c r="J1089" s="455">
        <v>46123</v>
      </c>
      <c r="K1089" s="455">
        <v>46123</v>
      </c>
      <c r="R1089" s="455">
        <v>46136</v>
      </c>
      <c r="U1089" s="455">
        <v>46123</v>
      </c>
    </row>
    <row r="1090" spans="1:21">
      <c r="A1090" t="s">
        <v>1751</v>
      </c>
      <c r="B1090" t="s">
        <v>9967</v>
      </c>
      <c r="C1090" t="s">
        <v>1751</v>
      </c>
      <c r="D1090">
        <v>20492703</v>
      </c>
      <c r="E1090" t="s">
        <v>3190</v>
      </c>
      <c r="F1090" t="s">
        <v>1241</v>
      </c>
      <c r="G1090" t="s">
        <v>3134</v>
      </c>
      <c r="H1090" t="s">
        <v>1252</v>
      </c>
      <c r="J1090" s="455">
        <v>46123</v>
      </c>
      <c r="R1090" s="455">
        <v>46139</v>
      </c>
      <c r="U1090" s="455">
        <v>46134</v>
      </c>
    </row>
    <row r="1091" spans="1:21">
      <c r="A1091" t="s">
        <v>1751</v>
      </c>
      <c r="B1091" t="s">
        <v>9321</v>
      </c>
      <c r="C1091" t="s">
        <v>1751</v>
      </c>
      <c r="D1091">
        <v>20472974</v>
      </c>
      <c r="E1091" t="s">
        <v>3190</v>
      </c>
      <c r="F1091" t="s">
        <v>1782</v>
      </c>
      <c r="G1091" t="s">
        <v>3134</v>
      </c>
      <c r="H1091" t="s">
        <v>1252</v>
      </c>
      <c r="J1091" s="455">
        <v>46097</v>
      </c>
      <c r="R1091" s="455">
        <v>46114</v>
      </c>
      <c r="U1091" s="455">
        <v>46098</v>
      </c>
    </row>
    <row r="1092" spans="1:21">
      <c r="A1092" t="s">
        <v>1751</v>
      </c>
      <c r="B1092" t="s">
        <v>8877</v>
      </c>
      <c r="C1092" t="s">
        <v>1751</v>
      </c>
      <c r="D1092">
        <v>20449363</v>
      </c>
      <c r="E1092" t="s">
        <v>3190</v>
      </c>
      <c r="F1092" t="s">
        <v>1241</v>
      </c>
      <c r="G1092" t="s">
        <v>3137</v>
      </c>
      <c r="H1092" t="s">
        <v>1251</v>
      </c>
      <c r="J1092" s="455">
        <v>46068</v>
      </c>
      <c r="R1092" s="455">
        <v>46114</v>
      </c>
      <c r="U1092" s="455">
        <v>46082</v>
      </c>
    </row>
    <row r="1093" spans="1:21">
      <c r="A1093" t="s">
        <v>1751</v>
      </c>
      <c r="B1093" t="s">
        <v>9968</v>
      </c>
      <c r="C1093" t="s">
        <v>1751</v>
      </c>
      <c r="D1093">
        <v>20430692</v>
      </c>
      <c r="E1093" t="s">
        <v>3190</v>
      </c>
      <c r="F1093" t="s">
        <v>1237</v>
      </c>
      <c r="G1093" t="s">
        <v>3141</v>
      </c>
      <c r="H1093" t="s">
        <v>1253</v>
      </c>
      <c r="J1093" s="455">
        <v>46042</v>
      </c>
      <c r="R1093" s="455">
        <v>46114</v>
      </c>
      <c r="U1093" s="455">
        <v>46042</v>
      </c>
    </row>
    <row r="1094" spans="1:21">
      <c r="A1094" t="s">
        <v>1751</v>
      </c>
      <c r="B1094" t="s">
        <v>8878</v>
      </c>
      <c r="C1094" t="s">
        <v>1751</v>
      </c>
      <c r="D1094">
        <v>20440351</v>
      </c>
      <c r="E1094" t="s">
        <v>3190</v>
      </c>
      <c r="F1094" t="s">
        <v>1238</v>
      </c>
      <c r="G1094" t="s">
        <v>3141</v>
      </c>
      <c r="H1094" t="s">
        <v>1253</v>
      </c>
      <c r="J1094" s="455">
        <v>46056</v>
      </c>
      <c r="R1094" s="455">
        <v>46114</v>
      </c>
      <c r="U1094" s="455">
        <v>46062</v>
      </c>
    </row>
    <row r="1095" spans="1:21">
      <c r="A1095" t="s">
        <v>1751</v>
      </c>
      <c r="B1095" t="s">
        <v>9969</v>
      </c>
      <c r="C1095" t="s">
        <v>1751</v>
      </c>
      <c r="D1095">
        <v>20435782</v>
      </c>
      <c r="E1095" t="s">
        <v>3190</v>
      </c>
      <c r="F1095" t="s">
        <v>1782</v>
      </c>
      <c r="G1095" t="s">
        <v>3141</v>
      </c>
      <c r="H1095" t="s">
        <v>1253</v>
      </c>
      <c r="J1095" s="455">
        <v>46049</v>
      </c>
      <c r="R1095" s="455">
        <v>46114</v>
      </c>
      <c r="U1095" s="455">
        <v>46049</v>
      </c>
    </row>
    <row r="1096" spans="1:21">
      <c r="A1096" t="s">
        <v>1751</v>
      </c>
      <c r="B1096" t="s">
        <v>9970</v>
      </c>
      <c r="C1096" t="s">
        <v>1751</v>
      </c>
      <c r="D1096">
        <v>20413232</v>
      </c>
      <c r="E1096" t="s">
        <v>3190</v>
      </c>
      <c r="F1096" t="s">
        <v>1782</v>
      </c>
      <c r="G1096" t="s">
        <v>3141</v>
      </c>
      <c r="H1096" t="s">
        <v>1253</v>
      </c>
      <c r="J1096" s="455">
        <v>46017</v>
      </c>
      <c r="R1096" s="455">
        <v>46114</v>
      </c>
      <c r="U1096" s="455">
        <v>46028</v>
      </c>
    </row>
    <row r="1097" spans="1:21">
      <c r="A1097" t="s">
        <v>1751</v>
      </c>
      <c r="B1097" t="s">
        <v>3821</v>
      </c>
      <c r="C1097" t="s">
        <v>1751</v>
      </c>
      <c r="D1097">
        <v>20511582</v>
      </c>
      <c r="E1097" t="s">
        <v>3128</v>
      </c>
      <c r="F1097" t="s">
        <v>1782</v>
      </c>
      <c r="G1097" t="s">
        <v>3141</v>
      </c>
      <c r="H1097" t="s">
        <v>1252</v>
      </c>
      <c r="J1097" s="455">
        <v>46140</v>
      </c>
      <c r="U1097" s="455">
        <v>46143</v>
      </c>
    </row>
    <row r="1098" spans="1:21">
      <c r="A1098" t="s">
        <v>1751</v>
      </c>
      <c r="B1098" t="s">
        <v>9971</v>
      </c>
      <c r="C1098" t="s">
        <v>1751</v>
      </c>
      <c r="D1098">
        <v>20498625</v>
      </c>
      <c r="E1098" t="s">
        <v>3190</v>
      </c>
      <c r="F1098" t="s">
        <v>1241</v>
      </c>
      <c r="G1098" t="s">
        <v>3134</v>
      </c>
      <c r="H1098" t="s">
        <v>1252</v>
      </c>
      <c r="J1098" s="455">
        <v>46128</v>
      </c>
      <c r="R1098" s="455">
        <v>46139</v>
      </c>
      <c r="U1098" s="455">
        <v>46172</v>
      </c>
    </row>
    <row r="1099" spans="1:21">
      <c r="A1099" t="s">
        <v>1751</v>
      </c>
      <c r="B1099" t="s">
        <v>9322</v>
      </c>
      <c r="C1099" t="s">
        <v>1751</v>
      </c>
      <c r="D1099">
        <v>20482024</v>
      </c>
      <c r="E1099" t="s">
        <v>3190</v>
      </c>
      <c r="F1099" t="s">
        <v>1782</v>
      </c>
      <c r="G1099" t="s">
        <v>3134</v>
      </c>
      <c r="H1099" t="s">
        <v>1252</v>
      </c>
      <c r="J1099" s="455">
        <v>46109</v>
      </c>
      <c r="R1099" s="455">
        <v>46139</v>
      </c>
      <c r="U1099" s="455">
        <v>46113</v>
      </c>
    </row>
    <row r="1100" spans="1:21">
      <c r="A1100" t="s">
        <v>1751</v>
      </c>
      <c r="B1100" t="s">
        <v>8879</v>
      </c>
      <c r="C1100" t="s">
        <v>1751</v>
      </c>
      <c r="D1100">
        <v>20443917</v>
      </c>
      <c r="E1100" t="s">
        <v>3190</v>
      </c>
      <c r="F1100" t="s">
        <v>1241</v>
      </c>
      <c r="G1100" t="s">
        <v>3137</v>
      </c>
      <c r="H1100" t="s">
        <v>1251</v>
      </c>
      <c r="J1100" s="455">
        <v>46062</v>
      </c>
      <c r="R1100" s="455">
        <v>46114</v>
      </c>
      <c r="U1100" s="455">
        <v>46062</v>
      </c>
    </row>
    <row r="1101" spans="1:21">
      <c r="A1101" t="s">
        <v>1751</v>
      </c>
      <c r="B1101" t="s">
        <v>3826</v>
      </c>
      <c r="C1101" t="s">
        <v>1751</v>
      </c>
      <c r="D1101">
        <v>20493720</v>
      </c>
      <c r="E1101" t="s">
        <v>1897</v>
      </c>
      <c r="F1101" t="s">
        <v>1242</v>
      </c>
      <c r="G1101" t="s">
        <v>3134</v>
      </c>
      <c r="H1101" t="s">
        <v>1247</v>
      </c>
      <c r="J1101" s="455">
        <v>46125</v>
      </c>
      <c r="K1101" s="455">
        <v>46125</v>
      </c>
      <c r="U1101" s="455">
        <v>46142</v>
      </c>
    </row>
    <row r="1102" spans="1:21">
      <c r="A1102" t="s">
        <v>1751</v>
      </c>
      <c r="B1102" t="s">
        <v>9972</v>
      </c>
      <c r="C1102" t="s">
        <v>1751</v>
      </c>
      <c r="D1102">
        <v>20487282</v>
      </c>
      <c r="E1102" t="s">
        <v>3190</v>
      </c>
      <c r="F1102" t="s">
        <v>1782</v>
      </c>
      <c r="G1102" t="s">
        <v>3134</v>
      </c>
      <c r="H1102" t="s">
        <v>1252</v>
      </c>
      <c r="J1102" s="455">
        <v>46116</v>
      </c>
      <c r="R1102" s="455">
        <v>46139</v>
      </c>
      <c r="U1102" s="455">
        <v>46137</v>
      </c>
    </row>
    <row r="1103" spans="1:21">
      <c r="A1103" t="s">
        <v>1751</v>
      </c>
      <c r="B1103" t="s">
        <v>7099</v>
      </c>
      <c r="C1103" t="s">
        <v>1751</v>
      </c>
      <c r="D1103">
        <v>20489813</v>
      </c>
      <c r="E1103" t="s">
        <v>1907</v>
      </c>
      <c r="F1103" t="s">
        <v>1242</v>
      </c>
      <c r="G1103" t="s">
        <v>3134</v>
      </c>
      <c r="H1103" t="s">
        <v>1250</v>
      </c>
      <c r="I1103" t="s">
        <v>1597</v>
      </c>
      <c r="J1103" s="455">
        <v>46120</v>
      </c>
      <c r="K1103" s="455">
        <v>46120</v>
      </c>
      <c r="L1103" s="455">
        <v>46141</v>
      </c>
      <c r="U1103" s="455">
        <v>46172</v>
      </c>
    </row>
    <row r="1104" spans="1:21">
      <c r="A1104" t="s">
        <v>1751</v>
      </c>
      <c r="B1104" t="s">
        <v>9973</v>
      </c>
      <c r="C1104" t="s">
        <v>1751</v>
      </c>
      <c r="D1104">
        <v>20432472</v>
      </c>
      <c r="E1104" t="s">
        <v>3133</v>
      </c>
      <c r="F1104" t="s">
        <v>1237</v>
      </c>
      <c r="G1104" t="s">
        <v>3143</v>
      </c>
      <c r="H1104" t="s">
        <v>1249</v>
      </c>
      <c r="J1104" s="455">
        <v>46044</v>
      </c>
      <c r="K1104" s="455">
        <v>46053</v>
      </c>
      <c r="R1104" s="455">
        <v>46114</v>
      </c>
      <c r="U1104" s="455">
        <v>46081</v>
      </c>
    </row>
    <row r="1105" spans="1:21">
      <c r="A1105" t="s">
        <v>1751</v>
      </c>
      <c r="B1105" t="s">
        <v>9974</v>
      </c>
      <c r="C1105" t="s">
        <v>1751</v>
      </c>
      <c r="D1105">
        <v>20509613</v>
      </c>
      <c r="E1105" t="s">
        <v>3128</v>
      </c>
      <c r="F1105" t="s">
        <v>1241</v>
      </c>
      <c r="G1105" t="s">
        <v>2009</v>
      </c>
      <c r="H1105" t="s">
        <v>1940</v>
      </c>
      <c r="J1105" s="455">
        <v>46137</v>
      </c>
      <c r="U1105" s="455">
        <v>46234</v>
      </c>
    </row>
    <row r="1106" spans="1:21">
      <c r="A1106" t="s">
        <v>1751</v>
      </c>
      <c r="B1106" t="s">
        <v>9975</v>
      </c>
      <c r="C1106" t="s">
        <v>1751</v>
      </c>
      <c r="D1106">
        <v>20509253</v>
      </c>
      <c r="E1106" t="s">
        <v>3128</v>
      </c>
      <c r="F1106" t="s">
        <v>1242</v>
      </c>
      <c r="G1106" t="s">
        <v>2009</v>
      </c>
      <c r="H1106" t="s">
        <v>1249</v>
      </c>
      <c r="J1106" s="455">
        <v>46136</v>
      </c>
      <c r="U1106" s="455">
        <v>46150</v>
      </c>
    </row>
    <row r="1107" spans="1:21">
      <c r="A1107" t="s">
        <v>1751</v>
      </c>
      <c r="B1107" t="s">
        <v>9323</v>
      </c>
      <c r="C1107" t="s">
        <v>1751</v>
      </c>
      <c r="D1107">
        <v>20468603</v>
      </c>
      <c r="E1107" t="s">
        <v>3133</v>
      </c>
      <c r="F1107" t="s">
        <v>1241</v>
      </c>
      <c r="G1107" t="s">
        <v>3134</v>
      </c>
      <c r="H1107" t="s">
        <v>1247</v>
      </c>
      <c r="J1107" s="455">
        <v>46092</v>
      </c>
      <c r="K1107" s="455">
        <v>46092</v>
      </c>
      <c r="R1107" s="455">
        <v>46116</v>
      </c>
      <c r="U1107" s="455">
        <v>46092</v>
      </c>
    </row>
    <row r="1108" spans="1:21">
      <c r="A1108" t="s">
        <v>1751</v>
      </c>
      <c r="B1108" t="s">
        <v>1812</v>
      </c>
      <c r="C1108" t="s">
        <v>1751</v>
      </c>
      <c r="D1108">
        <v>20469260</v>
      </c>
      <c r="E1108" t="s">
        <v>3133</v>
      </c>
      <c r="F1108" t="s">
        <v>1238</v>
      </c>
      <c r="G1108" t="s">
        <v>3143</v>
      </c>
      <c r="H1108" t="s">
        <v>3358</v>
      </c>
      <c r="I1108" t="s">
        <v>1811</v>
      </c>
      <c r="J1108" s="455">
        <v>46093</v>
      </c>
      <c r="K1108" s="455">
        <v>46093</v>
      </c>
      <c r="L1108" s="455">
        <v>46093</v>
      </c>
      <c r="M1108" s="455">
        <v>46106</v>
      </c>
      <c r="N1108" s="455">
        <v>46106</v>
      </c>
      <c r="R1108" s="455">
        <v>46118</v>
      </c>
      <c r="U1108" s="455">
        <v>46123</v>
      </c>
    </row>
    <row r="1109" spans="1:21">
      <c r="A1109" t="s">
        <v>1751</v>
      </c>
      <c r="B1109" t="s">
        <v>9324</v>
      </c>
      <c r="C1109" t="s">
        <v>1751</v>
      </c>
      <c r="D1109">
        <v>20473053</v>
      </c>
      <c r="E1109" t="s">
        <v>3190</v>
      </c>
      <c r="F1109" t="s">
        <v>1782</v>
      </c>
      <c r="G1109" t="s">
        <v>3134</v>
      </c>
      <c r="H1109" t="s">
        <v>1252</v>
      </c>
      <c r="J1109" s="455">
        <v>46098</v>
      </c>
      <c r="R1109" s="455">
        <v>46114</v>
      </c>
      <c r="U1109" s="455">
        <v>46113</v>
      </c>
    </row>
    <row r="1110" spans="1:21">
      <c r="A1110" t="s">
        <v>1751</v>
      </c>
      <c r="B1110" t="s">
        <v>9976</v>
      </c>
      <c r="C1110" t="s">
        <v>1751</v>
      </c>
      <c r="D1110">
        <v>20487874</v>
      </c>
      <c r="E1110" t="s">
        <v>3128</v>
      </c>
      <c r="F1110" t="s">
        <v>1241</v>
      </c>
      <c r="G1110" t="s">
        <v>3134</v>
      </c>
      <c r="H1110" t="s">
        <v>1252</v>
      </c>
      <c r="J1110" s="455">
        <v>46118</v>
      </c>
      <c r="U1110" s="455">
        <v>46132</v>
      </c>
    </row>
    <row r="1111" spans="1:21">
      <c r="A1111" t="s">
        <v>1751</v>
      </c>
      <c r="B1111" t="s">
        <v>9325</v>
      </c>
      <c r="C1111" t="s">
        <v>1751</v>
      </c>
      <c r="D1111">
        <v>20473152</v>
      </c>
      <c r="E1111" t="s">
        <v>3190</v>
      </c>
      <c r="F1111" t="s">
        <v>1237</v>
      </c>
      <c r="G1111" t="s">
        <v>3143</v>
      </c>
      <c r="H1111" t="s">
        <v>3358</v>
      </c>
      <c r="I1111" t="s">
        <v>1947</v>
      </c>
      <c r="J1111" s="455">
        <v>46098</v>
      </c>
      <c r="R1111" s="455">
        <v>46114</v>
      </c>
      <c r="U1111" s="455">
        <v>46104</v>
      </c>
    </row>
    <row r="1112" spans="1:21">
      <c r="A1112" t="s">
        <v>1751</v>
      </c>
      <c r="B1112" t="s">
        <v>9977</v>
      </c>
      <c r="C1112" t="s">
        <v>1751</v>
      </c>
      <c r="D1112">
        <v>20487224</v>
      </c>
      <c r="E1112" t="s">
        <v>3190</v>
      </c>
      <c r="F1112" t="s">
        <v>1237</v>
      </c>
      <c r="G1112" t="s">
        <v>3143</v>
      </c>
      <c r="H1112" t="s">
        <v>1248</v>
      </c>
      <c r="J1112" s="455">
        <v>46116</v>
      </c>
      <c r="R1112" s="455">
        <v>46139</v>
      </c>
      <c r="U1112" s="455">
        <v>46116</v>
      </c>
    </row>
    <row r="1113" spans="1:21">
      <c r="A1113" t="s">
        <v>1751</v>
      </c>
      <c r="B1113" t="s">
        <v>9977</v>
      </c>
      <c r="C1113" t="s">
        <v>1751</v>
      </c>
      <c r="D1113">
        <v>20423008</v>
      </c>
      <c r="E1113" t="s">
        <v>3190</v>
      </c>
      <c r="F1113" t="s">
        <v>1239</v>
      </c>
      <c r="G1113" t="s">
        <v>3143</v>
      </c>
      <c r="H1113" t="s">
        <v>1248</v>
      </c>
      <c r="J1113" s="455">
        <v>46034</v>
      </c>
      <c r="R1113" s="455">
        <v>46139</v>
      </c>
      <c r="U1113" s="455">
        <v>46034</v>
      </c>
    </row>
    <row r="1114" spans="1:21">
      <c r="A1114" t="s">
        <v>1751</v>
      </c>
      <c r="B1114" t="s">
        <v>8882</v>
      </c>
      <c r="C1114" t="s">
        <v>1751</v>
      </c>
      <c r="D1114">
        <v>20458359</v>
      </c>
      <c r="E1114" t="s">
        <v>3190</v>
      </c>
      <c r="F1114" t="s">
        <v>1782</v>
      </c>
      <c r="G1114" t="s">
        <v>3129</v>
      </c>
      <c r="H1114" t="s">
        <v>1252</v>
      </c>
      <c r="J1114" s="455">
        <v>46079</v>
      </c>
      <c r="R1114" s="455">
        <v>46114</v>
      </c>
      <c r="U1114" s="455">
        <v>46173</v>
      </c>
    </row>
    <row r="1115" spans="1:21">
      <c r="A1115" t="s">
        <v>1751</v>
      </c>
      <c r="B1115" t="s">
        <v>8885</v>
      </c>
      <c r="C1115" t="s">
        <v>1751</v>
      </c>
      <c r="D1115">
        <v>20459733</v>
      </c>
      <c r="E1115" t="s">
        <v>3190</v>
      </c>
      <c r="F1115" t="s">
        <v>1238</v>
      </c>
      <c r="G1115" t="s">
        <v>3143</v>
      </c>
      <c r="H1115" t="s">
        <v>1248</v>
      </c>
      <c r="J1115" s="455">
        <v>46081</v>
      </c>
      <c r="R1115" s="455">
        <v>46114</v>
      </c>
      <c r="U1115" s="455">
        <v>46081</v>
      </c>
    </row>
    <row r="1116" spans="1:21">
      <c r="A1116" t="s">
        <v>1751</v>
      </c>
      <c r="B1116" t="s">
        <v>9978</v>
      </c>
      <c r="C1116" t="s">
        <v>1751</v>
      </c>
      <c r="D1116">
        <v>20507886</v>
      </c>
      <c r="E1116" t="s">
        <v>3128</v>
      </c>
      <c r="F1116" t="s">
        <v>1782</v>
      </c>
      <c r="G1116" t="s">
        <v>3134</v>
      </c>
      <c r="H1116" t="s">
        <v>1252</v>
      </c>
      <c r="J1116" s="455">
        <v>46135</v>
      </c>
      <c r="U1116" s="455">
        <v>46174</v>
      </c>
    </row>
    <row r="1117" spans="1:21">
      <c r="A1117" t="s">
        <v>1751</v>
      </c>
      <c r="B1117" t="s">
        <v>9979</v>
      </c>
      <c r="C1117" t="s">
        <v>1751</v>
      </c>
      <c r="D1117">
        <v>20411932</v>
      </c>
      <c r="E1117" t="s">
        <v>3133</v>
      </c>
      <c r="F1117" t="s">
        <v>1237</v>
      </c>
      <c r="G1117" t="s">
        <v>3129</v>
      </c>
      <c r="H1117" t="s">
        <v>1251</v>
      </c>
      <c r="I1117" t="s">
        <v>1784</v>
      </c>
      <c r="J1117" s="455">
        <v>46014</v>
      </c>
      <c r="K1117" s="455">
        <v>46014</v>
      </c>
      <c r="R1117" s="455">
        <v>46113</v>
      </c>
      <c r="U1117" s="455">
        <v>46014</v>
      </c>
    </row>
    <row r="1118" spans="1:21">
      <c r="A1118" t="s">
        <v>1751</v>
      </c>
      <c r="B1118" t="s">
        <v>9980</v>
      </c>
      <c r="C1118" t="s">
        <v>1751</v>
      </c>
      <c r="D1118">
        <v>20511034</v>
      </c>
      <c r="E1118" t="s">
        <v>3128</v>
      </c>
      <c r="F1118" t="s">
        <v>1782</v>
      </c>
      <c r="G1118" t="s">
        <v>3141</v>
      </c>
      <c r="H1118" t="s">
        <v>1252</v>
      </c>
      <c r="I1118" t="s">
        <v>3344</v>
      </c>
      <c r="J1118" s="455">
        <v>46139</v>
      </c>
      <c r="U1118" s="455">
        <v>46162</v>
      </c>
    </row>
    <row r="1119" spans="1:21">
      <c r="A1119" t="s">
        <v>1751</v>
      </c>
      <c r="B1119" t="s">
        <v>8886</v>
      </c>
      <c r="C1119" t="s">
        <v>1751</v>
      </c>
      <c r="D1119">
        <v>20452346</v>
      </c>
      <c r="E1119" t="s">
        <v>3190</v>
      </c>
      <c r="F1119" t="s">
        <v>1241</v>
      </c>
      <c r="G1119" t="s">
        <v>3129</v>
      </c>
      <c r="H1119" t="s">
        <v>1253</v>
      </c>
      <c r="J1119" s="455">
        <v>46071</v>
      </c>
      <c r="R1119" s="455">
        <v>46114</v>
      </c>
      <c r="U1119" s="455">
        <v>46072</v>
      </c>
    </row>
    <row r="1120" spans="1:21">
      <c r="A1120" t="s">
        <v>1751</v>
      </c>
      <c r="B1120" t="s">
        <v>8887</v>
      </c>
      <c r="C1120" t="s">
        <v>1751</v>
      </c>
      <c r="D1120">
        <v>20449102</v>
      </c>
      <c r="E1120" t="s">
        <v>3190</v>
      </c>
      <c r="F1120" t="s">
        <v>1239</v>
      </c>
      <c r="G1120" t="s">
        <v>3143</v>
      </c>
      <c r="H1120" t="s">
        <v>1248</v>
      </c>
      <c r="J1120" s="455">
        <v>46067</v>
      </c>
      <c r="R1120" s="455">
        <v>46115</v>
      </c>
      <c r="U1120" s="455">
        <v>46067</v>
      </c>
    </row>
    <row r="1121" spans="1:21">
      <c r="A1121" t="s">
        <v>1751</v>
      </c>
      <c r="B1121" t="s">
        <v>9326</v>
      </c>
      <c r="C1121" t="s">
        <v>1751</v>
      </c>
      <c r="D1121">
        <v>20475989</v>
      </c>
      <c r="E1121" t="s">
        <v>3190</v>
      </c>
      <c r="F1121" t="s">
        <v>1241</v>
      </c>
      <c r="G1121" t="s">
        <v>3141</v>
      </c>
      <c r="H1121" t="s">
        <v>2291</v>
      </c>
      <c r="J1121" s="455">
        <v>46100</v>
      </c>
      <c r="R1121" s="455">
        <v>46114</v>
      </c>
      <c r="U1121" s="455">
        <v>46100</v>
      </c>
    </row>
    <row r="1122" spans="1:21">
      <c r="A1122" t="s">
        <v>1751</v>
      </c>
      <c r="B1122" t="s">
        <v>9981</v>
      </c>
      <c r="C1122" t="s">
        <v>1751</v>
      </c>
      <c r="D1122">
        <v>20500820</v>
      </c>
      <c r="E1122" t="s">
        <v>3190</v>
      </c>
      <c r="F1122" t="s">
        <v>1782</v>
      </c>
      <c r="G1122" t="s">
        <v>3134</v>
      </c>
      <c r="H1122" t="s">
        <v>3165</v>
      </c>
      <c r="J1122" s="455">
        <v>46130</v>
      </c>
      <c r="R1122" s="455">
        <v>46139</v>
      </c>
      <c r="U1122" s="455">
        <v>46131</v>
      </c>
    </row>
    <row r="1123" spans="1:21">
      <c r="A1123" t="s">
        <v>1751</v>
      </c>
      <c r="B1123" t="s">
        <v>7130</v>
      </c>
      <c r="C1123" t="s">
        <v>1751</v>
      </c>
      <c r="D1123">
        <v>20491192</v>
      </c>
      <c r="E1123" t="s">
        <v>3142</v>
      </c>
      <c r="F1123" t="s">
        <v>3158</v>
      </c>
      <c r="G1123" t="s">
        <v>3134</v>
      </c>
      <c r="H1123" t="s">
        <v>1252</v>
      </c>
      <c r="I1123" t="s">
        <v>3582</v>
      </c>
      <c r="J1123" s="455">
        <v>46121</v>
      </c>
      <c r="K1123" s="455">
        <v>46122</v>
      </c>
      <c r="L1123" s="455">
        <v>46122</v>
      </c>
      <c r="M1123" s="455">
        <v>46132</v>
      </c>
      <c r="N1123" s="455">
        <v>46132</v>
      </c>
      <c r="O1123" s="455">
        <v>46132</v>
      </c>
      <c r="P1123" s="455">
        <v>46132</v>
      </c>
      <c r="Q1123" s="455">
        <v>46133</v>
      </c>
      <c r="U1123" s="455">
        <v>46151</v>
      </c>
    </row>
    <row r="1124" spans="1:21">
      <c r="A1124" t="s">
        <v>1751</v>
      </c>
      <c r="B1124" t="s">
        <v>8889</v>
      </c>
      <c r="C1124" t="s">
        <v>1751</v>
      </c>
      <c r="D1124">
        <v>20440253</v>
      </c>
      <c r="E1124" t="s">
        <v>3190</v>
      </c>
      <c r="F1124" t="s">
        <v>1782</v>
      </c>
      <c r="G1124" t="s">
        <v>3143</v>
      </c>
      <c r="H1124" t="s">
        <v>1251</v>
      </c>
      <c r="J1124" s="455">
        <v>46056</v>
      </c>
      <c r="R1124" s="455">
        <v>46114</v>
      </c>
      <c r="U1124" s="455">
        <v>46056</v>
      </c>
    </row>
    <row r="1125" spans="1:21">
      <c r="A1125" t="s">
        <v>1751</v>
      </c>
      <c r="B1125" t="s">
        <v>9982</v>
      </c>
      <c r="C1125" t="s">
        <v>1751</v>
      </c>
      <c r="D1125">
        <v>20500675</v>
      </c>
      <c r="E1125" t="s">
        <v>3190</v>
      </c>
      <c r="F1125" t="s">
        <v>1782</v>
      </c>
      <c r="G1125" t="s">
        <v>3141</v>
      </c>
      <c r="H1125" t="s">
        <v>1252</v>
      </c>
      <c r="J1125" s="455">
        <v>46130</v>
      </c>
      <c r="R1125" s="455">
        <v>46139</v>
      </c>
      <c r="U1125" s="455">
        <v>46132</v>
      </c>
    </row>
    <row r="1126" spans="1:21">
      <c r="A1126" t="s">
        <v>1751</v>
      </c>
      <c r="B1126" t="s">
        <v>9983</v>
      </c>
      <c r="C1126" t="s">
        <v>1751</v>
      </c>
      <c r="D1126">
        <v>20512094</v>
      </c>
      <c r="E1126" t="s">
        <v>3128</v>
      </c>
      <c r="F1126" t="s">
        <v>1782</v>
      </c>
      <c r="G1126" t="s">
        <v>3134</v>
      </c>
      <c r="H1126" t="s">
        <v>3165</v>
      </c>
      <c r="J1126" s="455">
        <v>46140</v>
      </c>
      <c r="U1126" s="455">
        <v>46141</v>
      </c>
    </row>
    <row r="1127" spans="1:21">
      <c r="A1127" t="s">
        <v>1751</v>
      </c>
      <c r="B1127" t="s">
        <v>8890</v>
      </c>
      <c r="C1127" t="s">
        <v>1751</v>
      </c>
      <c r="D1127">
        <v>20448910</v>
      </c>
      <c r="E1127" t="s">
        <v>3190</v>
      </c>
      <c r="F1127" t="s">
        <v>1239</v>
      </c>
      <c r="G1127" t="s">
        <v>3143</v>
      </c>
      <c r="H1127" t="s">
        <v>1251</v>
      </c>
      <c r="J1127" s="455">
        <v>46067</v>
      </c>
      <c r="R1127" s="455">
        <v>46115</v>
      </c>
      <c r="U1127" s="455">
        <v>46067</v>
      </c>
    </row>
    <row r="1128" spans="1:21">
      <c r="A1128" t="s">
        <v>1751</v>
      </c>
      <c r="B1128" t="s">
        <v>8891</v>
      </c>
      <c r="C1128" t="s">
        <v>1751</v>
      </c>
      <c r="D1128">
        <v>20448883</v>
      </c>
      <c r="E1128" t="s">
        <v>3190</v>
      </c>
      <c r="F1128" t="s">
        <v>1241</v>
      </c>
      <c r="G1128" t="s">
        <v>2009</v>
      </c>
      <c r="H1128" t="s">
        <v>1247</v>
      </c>
      <c r="J1128" s="455">
        <v>46067</v>
      </c>
      <c r="R1128" s="455">
        <v>46114</v>
      </c>
      <c r="U1128" s="455">
        <v>46067</v>
      </c>
    </row>
    <row r="1129" spans="1:21">
      <c r="A1129" t="s">
        <v>1751</v>
      </c>
      <c r="B1129" t="s">
        <v>9984</v>
      </c>
      <c r="C1129" t="s">
        <v>1751</v>
      </c>
      <c r="D1129">
        <v>20436360</v>
      </c>
      <c r="E1129" t="s">
        <v>3190</v>
      </c>
      <c r="F1129" t="s">
        <v>1238</v>
      </c>
      <c r="G1129" t="s">
        <v>3129</v>
      </c>
      <c r="H1129" t="s">
        <v>3487</v>
      </c>
      <c r="J1129" s="455">
        <v>46050</v>
      </c>
      <c r="R1129" s="455">
        <v>46114</v>
      </c>
      <c r="U1129" s="455">
        <v>46050</v>
      </c>
    </row>
    <row r="1130" spans="1:21">
      <c r="A1130" t="s">
        <v>1751</v>
      </c>
      <c r="B1130" t="s">
        <v>8892</v>
      </c>
      <c r="C1130" t="s">
        <v>1751</v>
      </c>
      <c r="D1130">
        <v>20442245</v>
      </c>
      <c r="E1130" t="s">
        <v>3190</v>
      </c>
      <c r="F1130" t="s">
        <v>1241</v>
      </c>
      <c r="G1130" t="s">
        <v>3137</v>
      </c>
      <c r="H1130" t="s">
        <v>3515</v>
      </c>
      <c r="J1130" s="455">
        <v>46059</v>
      </c>
      <c r="R1130" s="455">
        <v>46114</v>
      </c>
      <c r="U1130" s="455">
        <v>46059</v>
      </c>
    </row>
    <row r="1131" spans="1:21">
      <c r="A1131" t="s">
        <v>1751</v>
      </c>
      <c r="B1131" t="s">
        <v>6969</v>
      </c>
      <c r="C1131" t="s">
        <v>1751</v>
      </c>
      <c r="D1131">
        <v>20484376</v>
      </c>
      <c r="E1131" t="s">
        <v>3142</v>
      </c>
      <c r="F1131" t="s">
        <v>1242</v>
      </c>
      <c r="G1131" t="s">
        <v>3134</v>
      </c>
      <c r="H1131" t="s">
        <v>1247</v>
      </c>
      <c r="I1131" t="s">
        <v>1935</v>
      </c>
      <c r="J1131" s="455">
        <v>46112</v>
      </c>
      <c r="K1131" s="455">
        <v>46112</v>
      </c>
      <c r="L1131" s="455">
        <v>46113</v>
      </c>
      <c r="M1131" s="455">
        <v>46127</v>
      </c>
      <c r="N1131" s="455">
        <v>46127</v>
      </c>
      <c r="P1131" s="455">
        <v>46127</v>
      </c>
      <c r="Q1131" s="455">
        <v>46127</v>
      </c>
      <c r="T1131" s="455">
        <v>46126</v>
      </c>
      <c r="U1131" s="455">
        <v>46127</v>
      </c>
    </row>
    <row r="1132" spans="1:21">
      <c r="A1132" t="s">
        <v>1751</v>
      </c>
      <c r="B1132" t="s">
        <v>8893</v>
      </c>
      <c r="C1132" t="s">
        <v>1751</v>
      </c>
      <c r="D1132">
        <v>20441535</v>
      </c>
      <c r="E1132" t="s">
        <v>3190</v>
      </c>
      <c r="F1132" t="s">
        <v>1241</v>
      </c>
      <c r="G1132" t="s">
        <v>3129</v>
      </c>
      <c r="H1132" t="s">
        <v>1250</v>
      </c>
      <c r="J1132" s="455">
        <v>46058</v>
      </c>
      <c r="R1132" s="455">
        <v>46114</v>
      </c>
      <c r="U1132" s="455">
        <v>46058</v>
      </c>
    </row>
    <row r="1133" spans="1:21">
      <c r="A1133" t="s">
        <v>1751</v>
      </c>
      <c r="B1133" t="s">
        <v>9985</v>
      </c>
      <c r="C1133" t="s">
        <v>1751</v>
      </c>
      <c r="D1133">
        <v>20418538</v>
      </c>
      <c r="E1133" t="s">
        <v>3190</v>
      </c>
      <c r="F1133" t="s">
        <v>1237</v>
      </c>
      <c r="G1133" t="s">
        <v>3143</v>
      </c>
      <c r="H1133" t="s">
        <v>1252</v>
      </c>
      <c r="I1133" t="s">
        <v>1933</v>
      </c>
      <c r="J1133" s="455">
        <v>46027</v>
      </c>
      <c r="R1133" s="455">
        <v>46114</v>
      </c>
      <c r="U1133" s="455">
        <v>46027</v>
      </c>
    </row>
    <row r="1134" spans="1:21">
      <c r="A1134" t="s">
        <v>1751</v>
      </c>
      <c r="B1134" t="s">
        <v>9986</v>
      </c>
      <c r="C1134" t="s">
        <v>1751</v>
      </c>
      <c r="D1134">
        <v>20494027</v>
      </c>
      <c r="E1134" t="s">
        <v>3133</v>
      </c>
      <c r="F1134" t="s">
        <v>3158</v>
      </c>
      <c r="G1134" t="s">
        <v>3134</v>
      </c>
      <c r="H1134" t="s">
        <v>1252</v>
      </c>
      <c r="I1134" t="s">
        <v>1541</v>
      </c>
      <c r="J1134" s="455">
        <v>46125</v>
      </c>
      <c r="K1134" s="455">
        <v>46125</v>
      </c>
      <c r="L1134" s="455">
        <v>46125</v>
      </c>
      <c r="R1134" s="455">
        <v>46135</v>
      </c>
      <c r="U1134" s="455">
        <v>46135</v>
      </c>
    </row>
    <row r="1135" spans="1:21">
      <c r="A1135" t="s">
        <v>1751</v>
      </c>
      <c r="B1135" t="s">
        <v>9327</v>
      </c>
      <c r="C1135" t="s">
        <v>1751</v>
      </c>
      <c r="D1135">
        <v>20482351</v>
      </c>
      <c r="E1135" t="s">
        <v>3190</v>
      </c>
      <c r="F1135" t="s">
        <v>1782</v>
      </c>
      <c r="G1135" t="s">
        <v>3134</v>
      </c>
      <c r="H1135" t="s">
        <v>1252</v>
      </c>
      <c r="J1135" s="455">
        <v>46109</v>
      </c>
      <c r="R1135" s="455">
        <v>46119</v>
      </c>
      <c r="U1135" s="455">
        <v>46112</v>
      </c>
    </row>
    <row r="1136" spans="1:21">
      <c r="A1136" t="s">
        <v>1751</v>
      </c>
      <c r="B1136" t="s">
        <v>9328</v>
      </c>
      <c r="C1136" t="s">
        <v>1751</v>
      </c>
      <c r="D1136">
        <v>20477048</v>
      </c>
      <c r="E1136" t="s">
        <v>3190</v>
      </c>
      <c r="F1136" t="s">
        <v>1782</v>
      </c>
      <c r="G1136" t="s">
        <v>3134</v>
      </c>
      <c r="H1136" t="s">
        <v>1252</v>
      </c>
      <c r="J1136" s="455">
        <v>46101</v>
      </c>
      <c r="R1136" s="455">
        <v>46114</v>
      </c>
      <c r="U1136" s="455">
        <v>46113</v>
      </c>
    </row>
    <row r="1137" spans="1:21">
      <c r="A1137" t="s">
        <v>1751</v>
      </c>
      <c r="B1137" t="s">
        <v>9987</v>
      </c>
      <c r="C1137" t="s">
        <v>1751</v>
      </c>
      <c r="D1137">
        <v>20491364</v>
      </c>
      <c r="E1137" t="s">
        <v>3190</v>
      </c>
      <c r="F1137" t="s">
        <v>1241</v>
      </c>
      <c r="G1137" t="s">
        <v>3141</v>
      </c>
      <c r="H1137" t="s">
        <v>1247</v>
      </c>
      <c r="J1137" s="455">
        <v>46121</v>
      </c>
      <c r="R1137" s="455">
        <v>46139</v>
      </c>
      <c r="U1137" s="455">
        <v>46121</v>
      </c>
    </row>
    <row r="1138" spans="1:21">
      <c r="A1138" t="s">
        <v>1751</v>
      </c>
      <c r="B1138" t="s">
        <v>9987</v>
      </c>
      <c r="C1138" t="s">
        <v>1751</v>
      </c>
      <c r="D1138">
        <v>20491632</v>
      </c>
      <c r="E1138" t="s">
        <v>3190</v>
      </c>
      <c r="F1138" t="s">
        <v>1241</v>
      </c>
      <c r="G1138" t="s">
        <v>3134</v>
      </c>
      <c r="H1138" t="s">
        <v>1252</v>
      </c>
      <c r="J1138" s="455">
        <v>46122</v>
      </c>
      <c r="R1138" s="455">
        <v>46139</v>
      </c>
      <c r="U1138" s="455">
        <v>46141</v>
      </c>
    </row>
    <row r="1139" spans="1:21">
      <c r="A1139" t="s">
        <v>1751</v>
      </c>
      <c r="B1139" t="s">
        <v>9988</v>
      </c>
      <c r="C1139" t="s">
        <v>1751</v>
      </c>
      <c r="D1139">
        <v>20507708</v>
      </c>
      <c r="E1139" t="s">
        <v>3128</v>
      </c>
      <c r="F1139" t="s">
        <v>1782</v>
      </c>
      <c r="G1139" t="s">
        <v>3141</v>
      </c>
      <c r="H1139" t="s">
        <v>1252</v>
      </c>
      <c r="J1139" s="455">
        <v>46135</v>
      </c>
      <c r="U1139" s="455">
        <v>46135</v>
      </c>
    </row>
    <row r="1140" spans="1:21">
      <c r="A1140" t="s">
        <v>1751</v>
      </c>
      <c r="B1140" t="s">
        <v>9989</v>
      </c>
      <c r="C1140" t="s">
        <v>1751</v>
      </c>
      <c r="D1140">
        <v>20513172</v>
      </c>
      <c r="E1140" t="s">
        <v>3128</v>
      </c>
      <c r="F1140" t="s">
        <v>1782</v>
      </c>
      <c r="G1140" t="s">
        <v>3137</v>
      </c>
      <c r="H1140" t="s">
        <v>1252</v>
      </c>
      <c r="J1140" s="455">
        <v>46141</v>
      </c>
      <c r="U1140" s="455">
        <v>46174</v>
      </c>
    </row>
    <row r="1141" spans="1:21">
      <c r="A1141" t="s">
        <v>1751</v>
      </c>
      <c r="B1141" t="s">
        <v>1948</v>
      </c>
      <c r="C1141" t="s">
        <v>1751</v>
      </c>
      <c r="D1141">
        <v>20471357</v>
      </c>
      <c r="E1141" t="s">
        <v>3133</v>
      </c>
      <c r="F1141" t="s">
        <v>1238</v>
      </c>
      <c r="G1141" t="s">
        <v>3134</v>
      </c>
      <c r="H1141" t="s">
        <v>1248</v>
      </c>
      <c r="I1141" t="s">
        <v>1947</v>
      </c>
      <c r="J1141" s="455">
        <v>46095</v>
      </c>
      <c r="K1141" s="455">
        <v>46095</v>
      </c>
      <c r="R1141" s="455">
        <v>46114</v>
      </c>
      <c r="U1141" s="455">
        <v>46095</v>
      </c>
    </row>
    <row r="1142" spans="1:21">
      <c r="A1142" t="s">
        <v>1751</v>
      </c>
      <c r="B1142" t="s">
        <v>1948</v>
      </c>
      <c r="C1142" t="s">
        <v>1751</v>
      </c>
      <c r="D1142">
        <v>20471361</v>
      </c>
      <c r="E1142" t="s">
        <v>3190</v>
      </c>
      <c r="F1142" t="s">
        <v>1238</v>
      </c>
      <c r="G1142" t="s">
        <v>3143</v>
      </c>
      <c r="H1142" t="s">
        <v>1248</v>
      </c>
      <c r="J1142" s="455">
        <v>46095</v>
      </c>
      <c r="R1142" s="455">
        <v>46115</v>
      </c>
      <c r="U1142" s="455">
        <v>46095</v>
      </c>
    </row>
    <row r="1143" spans="1:21">
      <c r="A1143" t="s">
        <v>1751</v>
      </c>
      <c r="B1143" t="s">
        <v>8894</v>
      </c>
      <c r="C1143" t="s">
        <v>1751</v>
      </c>
      <c r="D1143">
        <v>20442341</v>
      </c>
      <c r="E1143" t="s">
        <v>3190</v>
      </c>
      <c r="F1143" t="s">
        <v>1239</v>
      </c>
      <c r="G1143" t="s">
        <v>3143</v>
      </c>
      <c r="H1143" t="s">
        <v>1247</v>
      </c>
      <c r="J1143" s="455">
        <v>46059</v>
      </c>
      <c r="R1143" s="455">
        <v>46114</v>
      </c>
      <c r="U1143" s="455">
        <v>46059</v>
      </c>
    </row>
    <row r="1144" spans="1:21">
      <c r="A1144" t="s">
        <v>1751</v>
      </c>
      <c r="B1144" t="s">
        <v>9990</v>
      </c>
      <c r="C1144" t="s">
        <v>1751</v>
      </c>
      <c r="D1144">
        <v>20504497</v>
      </c>
      <c r="E1144" t="s">
        <v>3128</v>
      </c>
      <c r="F1144" t="s">
        <v>1242</v>
      </c>
      <c r="G1144" t="s">
        <v>3137</v>
      </c>
      <c r="H1144" t="s">
        <v>1251</v>
      </c>
      <c r="J1144" s="455">
        <v>46133</v>
      </c>
      <c r="U1144" s="455">
        <v>46133</v>
      </c>
    </row>
    <row r="1145" spans="1:21">
      <c r="A1145" t="s">
        <v>1751</v>
      </c>
      <c r="B1145" t="s">
        <v>1942</v>
      </c>
      <c r="C1145" t="s">
        <v>1751</v>
      </c>
      <c r="D1145">
        <v>20465180</v>
      </c>
      <c r="E1145" t="s">
        <v>3133</v>
      </c>
      <c r="F1145" t="s">
        <v>1242</v>
      </c>
      <c r="G1145" t="s">
        <v>3134</v>
      </c>
      <c r="H1145" t="s">
        <v>1247</v>
      </c>
      <c r="I1145" t="s">
        <v>1941</v>
      </c>
      <c r="J1145" s="455">
        <v>46090</v>
      </c>
      <c r="K1145" s="455">
        <v>46090</v>
      </c>
      <c r="R1145" s="455">
        <v>46114</v>
      </c>
      <c r="U1145" s="455">
        <v>46090</v>
      </c>
    </row>
    <row r="1146" spans="1:21">
      <c r="A1146" t="s">
        <v>1751</v>
      </c>
      <c r="B1146" t="s">
        <v>9329</v>
      </c>
      <c r="C1146" t="s">
        <v>1751</v>
      </c>
      <c r="D1146">
        <v>20481552</v>
      </c>
      <c r="E1146" t="s">
        <v>3190</v>
      </c>
      <c r="F1146" t="s">
        <v>1782</v>
      </c>
      <c r="G1146" t="s">
        <v>3134</v>
      </c>
      <c r="H1146" t="s">
        <v>1252</v>
      </c>
      <c r="J1146" s="455">
        <v>46108</v>
      </c>
      <c r="R1146" s="455">
        <v>46139</v>
      </c>
      <c r="U1146" s="455">
        <v>46118</v>
      </c>
    </row>
    <row r="1147" spans="1:21">
      <c r="A1147" t="s">
        <v>1751</v>
      </c>
      <c r="B1147" t="s">
        <v>9991</v>
      </c>
      <c r="C1147" t="s">
        <v>1751</v>
      </c>
      <c r="D1147">
        <v>20504949</v>
      </c>
      <c r="E1147" t="s">
        <v>3128</v>
      </c>
      <c r="F1147" t="s">
        <v>1782</v>
      </c>
      <c r="G1147" t="s">
        <v>3141</v>
      </c>
      <c r="H1147" t="s">
        <v>1252</v>
      </c>
      <c r="J1147" s="455">
        <v>46133</v>
      </c>
      <c r="U1147" s="455">
        <v>46162</v>
      </c>
    </row>
    <row r="1148" spans="1:21">
      <c r="A1148" t="s">
        <v>1751</v>
      </c>
      <c r="B1148" t="s">
        <v>9992</v>
      </c>
      <c r="C1148" t="s">
        <v>1751</v>
      </c>
      <c r="D1148">
        <v>20513393</v>
      </c>
      <c r="E1148" t="s">
        <v>3128</v>
      </c>
      <c r="F1148" t="s">
        <v>1782</v>
      </c>
      <c r="G1148" t="s">
        <v>3129</v>
      </c>
      <c r="H1148" t="s">
        <v>3377</v>
      </c>
      <c r="J1148" s="455">
        <v>46142</v>
      </c>
      <c r="U1148" s="455">
        <v>46142</v>
      </c>
    </row>
    <row r="1149" spans="1:21">
      <c r="A1149" t="s">
        <v>1751</v>
      </c>
      <c r="B1149" t="s">
        <v>9993</v>
      </c>
      <c r="C1149" t="s">
        <v>1751</v>
      </c>
      <c r="D1149">
        <v>20511749</v>
      </c>
      <c r="E1149" t="s">
        <v>3128</v>
      </c>
      <c r="F1149" t="s">
        <v>1782</v>
      </c>
      <c r="G1149" t="s">
        <v>3141</v>
      </c>
      <c r="H1149" t="s">
        <v>3487</v>
      </c>
      <c r="J1149" s="455">
        <v>46140</v>
      </c>
      <c r="U1149" s="455">
        <v>46140</v>
      </c>
    </row>
    <row r="1150" spans="1:21">
      <c r="A1150" t="s">
        <v>1751</v>
      </c>
      <c r="B1150" t="s">
        <v>8895</v>
      </c>
      <c r="C1150" t="s">
        <v>1751</v>
      </c>
      <c r="D1150">
        <v>20442494</v>
      </c>
      <c r="E1150" t="s">
        <v>3190</v>
      </c>
      <c r="F1150" t="s">
        <v>1237</v>
      </c>
      <c r="G1150" t="s">
        <v>3143</v>
      </c>
      <c r="H1150" t="s">
        <v>4333</v>
      </c>
      <c r="J1150" s="455">
        <v>46059</v>
      </c>
      <c r="R1150" s="455">
        <v>46114</v>
      </c>
      <c r="U1150" s="455">
        <v>46059</v>
      </c>
    </row>
    <row r="1151" spans="1:21">
      <c r="A1151" t="s">
        <v>1751</v>
      </c>
      <c r="B1151" t="s">
        <v>1833</v>
      </c>
      <c r="C1151" t="s">
        <v>1751</v>
      </c>
      <c r="D1151">
        <v>20476384</v>
      </c>
      <c r="E1151" t="s">
        <v>3133</v>
      </c>
      <c r="F1151" t="s">
        <v>1243</v>
      </c>
      <c r="G1151" t="s">
        <v>3134</v>
      </c>
      <c r="H1151" t="s">
        <v>1247</v>
      </c>
      <c r="I1151" t="s">
        <v>1524</v>
      </c>
      <c r="J1151" s="455">
        <v>46100</v>
      </c>
      <c r="K1151" s="455">
        <v>46100</v>
      </c>
      <c r="L1151" s="455">
        <v>46101</v>
      </c>
      <c r="R1151" s="455">
        <v>46122</v>
      </c>
      <c r="U1151" s="455">
        <v>46123</v>
      </c>
    </row>
    <row r="1152" spans="1:21">
      <c r="A1152" t="s">
        <v>1751</v>
      </c>
      <c r="B1152" t="s">
        <v>9994</v>
      </c>
      <c r="C1152" t="s">
        <v>1751</v>
      </c>
      <c r="D1152">
        <v>20417958</v>
      </c>
      <c r="E1152" t="s">
        <v>3190</v>
      </c>
      <c r="F1152" t="s">
        <v>1782</v>
      </c>
      <c r="G1152" t="s">
        <v>3141</v>
      </c>
      <c r="H1152" t="s">
        <v>1251</v>
      </c>
      <c r="J1152" s="455">
        <v>46026</v>
      </c>
      <c r="R1152" s="455">
        <v>46114</v>
      </c>
      <c r="U1152" s="455">
        <v>46063</v>
      </c>
    </row>
    <row r="1153" spans="1:21">
      <c r="A1153" t="s">
        <v>1751</v>
      </c>
      <c r="B1153" t="s">
        <v>9995</v>
      </c>
      <c r="C1153" t="s">
        <v>1751</v>
      </c>
      <c r="D1153">
        <v>20494165</v>
      </c>
      <c r="E1153" t="s">
        <v>3190</v>
      </c>
      <c r="F1153" t="s">
        <v>1241</v>
      </c>
      <c r="G1153" t="s">
        <v>3134</v>
      </c>
      <c r="H1153" t="s">
        <v>3165</v>
      </c>
      <c r="J1153" s="455">
        <v>46126</v>
      </c>
      <c r="R1153" s="455">
        <v>46139</v>
      </c>
      <c r="U1153" s="455">
        <v>46127</v>
      </c>
    </row>
    <row r="1154" spans="1:21">
      <c r="A1154" t="s">
        <v>1751</v>
      </c>
      <c r="B1154" t="s">
        <v>9996</v>
      </c>
      <c r="C1154" t="s">
        <v>1751</v>
      </c>
      <c r="D1154">
        <v>20502955</v>
      </c>
      <c r="E1154" t="s">
        <v>3128</v>
      </c>
      <c r="F1154" t="s">
        <v>1241</v>
      </c>
      <c r="G1154" t="s">
        <v>3141</v>
      </c>
      <c r="H1154" t="s">
        <v>1247</v>
      </c>
      <c r="J1154" s="455">
        <v>46132</v>
      </c>
      <c r="U1154" s="455">
        <v>46158</v>
      </c>
    </row>
    <row r="1155" spans="1:21">
      <c r="A1155" t="s">
        <v>1751</v>
      </c>
      <c r="B1155" t="s">
        <v>9997</v>
      </c>
      <c r="C1155" t="s">
        <v>1751</v>
      </c>
      <c r="D1155">
        <v>20486433</v>
      </c>
      <c r="E1155" t="s">
        <v>3128</v>
      </c>
      <c r="F1155" t="s">
        <v>1241</v>
      </c>
      <c r="G1155" t="s">
        <v>2009</v>
      </c>
      <c r="H1155" t="s">
        <v>1247</v>
      </c>
      <c r="I1155" t="s">
        <v>1952</v>
      </c>
      <c r="J1155" s="455">
        <v>46115</v>
      </c>
      <c r="U1155" s="455">
        <v>46115</v>
      </c>
    </row>
    <row r="1156" spans="1:21">
      <c r="A1156" t="s">
        <v>1751</v>
      </c>
      <c r="B1156" t="s">
        <v>9998</v>
      </c>
      <c r="C1156" t="s">
        <v>1751</v>
      </c>
      <c r="D1156">
        <v>20414431</v>
      </c>
      <c r="E1156" t="s">
        <v>3133</v>
      </c>
      <c r="F1156" t="s">
        <v>1799</v>
      </c>
      <c r="G1156" t="s">
        <v>3134</v>
      </c>
      <c r="H1156" t="s">
        <v>1247</v>
      </c>
      <c r="I1156" t="s">
        <v>1218</v>
      </c>
      <c r="J1156" s="455">
        <v>46020</v>
      </c>
      <c r="K1156" s="455">
        <v>46020</v>
      </c>
      <c r="R1156" s="455">
        <v>46114</v>
      </c>
      <c r="U1156" s="455">
        <v>46020</v>
      </c>
    </row>
    <row r="1157" spans="1:21">
      <c r="A1157" t="s">
        <v>1751</v>
      </c>
      <c r="B1157" t="s">
        <v>9331</v>
      </c>
      <c r="C1157" t="s">
        <v>1751</v>
      </c>
      <c r="D1157">
        <v>20479608</v>
      </c>
      <c r="E1157" t="s">
        <v>3190</v>
      </c>
      <c r="F1157" t="s">
        <v>1782</v>
      </c>
      <c r="G1157" t="s">
        <v>2009</v>
      </c>
      <c r="H1157" t="s">
        <v>1251</v>
      </c>
      <c r="I1157" t="s">
        <v>1952</v>
      </c>
      <c r="J1157" s="455">
        <v>46106</v>
      </c>
      <c r="R1157" s="455">
        <v>46139</v>
      </c>
      <c r="U1157" s="455">
        <v>46106</v>
      </c>
    </row>
    <row r="1158" spans="1:21">
      <c r="A1158" t="s">
        <v>1751</v>
      </c>
      <c r="B1158" t="s">
        <v>9999</v>
      </c>
      <c r="C1158" t="s">
        <v>1751</v>
      </c>
      <c r="D1158">
        <v>20421657</v>
      </c>
      <c r="E1158" t="s">
        <v>3190</v>
      </c>
      <c r="F1158" t="s">
        <v>1782</v>
      </c>
      <c r="G1158" t="s">
        <v>3141</v>
      </c>
      <c r="H1158" t="s">
        <v>4333</v>
      </c>
      <c r="J1158" s="455">
        <v>46031</v>
      </c>
      <c r="R1158" s="455">
        <v>46114</v>
      </c>
      <c r="U1158" s="455">
        <v>46031</v>
      </c>
    </row>
    <row r="1159" spans="1:21">
      <c r="A1159" t="s">
        <v>1751</v>
      </c>
      <c r="B1159" t="s">
        <v>9332</v>
      </c>
      <c r="C1159" t="s">
        <v>1751</v>
      </c>
      <c r="D1159">
        <v>20478182</v>
      </c>
      <c r="E1159" t="s">
        <v>3190</v>
      </c>
      <c r="F1159" t="s">
        <v>1782</v>
      </c>
      <c r="G1159" t="s">
        <v>3143</v>
      </c>
      <c r="H1159" t="s">
        <v>1247</v>
      </c>
      <c r="J1159" s="455">
        <v>46104</v>
      </c>
      <c r="R1159" s="455">
        <v>46114</v>
      </c>
      <c r="U1159" s="455">
        <v>46104</v>
      </c>
    </row>
    <row r="1160" spans="1:21">
      <c r="A1160" t="s">
        <v>1751</v>
      </c>
      <c r="B1160" t="s">
        <v>8898</v>
      </c>
      <c r="C1160" t="s">
        <v>1751</v>
      </c>
      <c r="D1160">
        <v>20448852</v>
      </c>
      <c r="E1160" t="s">
        <v>3190</v>
      </c>
      <c r="F1160" t="s">
        <v>1241</v>
      </c>
      <c r="G1160" t="s">
        <v>3137</v>
      </c>
      <c r="H1160" t="s">
        <v>1251</v>
      </c>
      <c r="J1160" s="455">
        <v>46067</v>
      </c>
      <c r="R1160" s="455">
        <v>46114</v>
      </c>
      <c r="U1160" s="455">
        <v>46067</v>
      </c>
    </row>
    <row r="1161" spans="1:21">
      <c r="A1161" t="s">
        <v>1751</v>
      </c>
      <c r="B1161" t="s">
        <v>10000</v>
      </c>
      <c r="C1161" t="s">
        <v>1751</v>
      </c>
      <c r="D1161">
        <v>20493093</v>
      </c>
      <c r="E1161" t="s">
        <v>3190</v>
      </c>
      <c r="F1161" t="s">
        <v>1241</v>
      </c>
      <c r="G1161" t="s">
        <v>3134</v>
      </c>
      <c r="H1161" t="s">
        <v>1252</v>
      </c>
      <c r="J1161" s="455">
        <v>46124</v>
      </c>
      <c r="R1161" s="455">
        <v>46139</v>
      </c>
      <c r="U1161" s="455">
        <v>46185</v>
      </c>
    </row>
    <row r="1162" spans="1:21">
      <c r="A1162" t="s">
        <v>1751</v>
      </c>
      <c r="B1162" t="s">
        <v>10001</v>
      </c>
      <c r="C1162" t="s">
        <v>1751</v>
      </c>
      <c r="D1162">
        <v>20420908</v>
      </c>
      <c r="E1162" t="s">
        <v>3190</v>
      </c>
      <c r="F1162" t="s">
        <v>1237</v>
      </c>
      <c r="G1162" t="s">
        <v>3143</v>
      </c>
      <c r="H1162" t="s">
        <v>1248</v>
      </c>
      <c r="I1162" t="s">
        <v>1218</v>
      </c>
      <c r="J1162" s="455">
        <v>46030</v>
      </c>
      <c r="R1162" s="455">
        <v>46114</v>
      </c>
      <c r="U1162" s="455">
        <v>46030</v>
      </c>
    </row>
    <row r="1163" spans="1:21">
      <c r="A1163" t="s">
        <v>1751</v>
      </c>
      <c r="B1163" t="s">
        <v>8899</v>
      </c>
      <c r="C1163" t="s">
        <v>1751</v>
      </c>
      <c r="D1163">
        <v>20449834</v>
      </c>
      <c r="E1163" t="s">
        <v>3190</v>
      </c>
      <c r="F1163" t="s">
        <v>1782</v>
      </c>
      <c r="G1163" t="s">
        <v>3137</v>
      </c>
      <c r="H1163" t="s">
        <v>1251</v>
      </c>
      <c r="J1163" s="455">
        <v>46069</v>
      </c>
      <c r="R1163" s="455">
        <v>46114</v>
      </c>
      <c r="U1163" s="455">
        <v>46174</v>
      </c>
    </row>
    <row r="1164" spans="1:21">
      <c r="A1164" t="s">
        <v>1751</v>
      </c>
      <c r="B1164" t="s">
        <v>10002</v>
      </c>
      <c r="C1164" t="s">
        <v>1751</v>
      </c>
      <c r="D1164">
        <v>20495561</v>
      </c>
      <c r="E1164" t="s">
        <v>3128</v>
      </c>
      <c r="F1164" t="s">
        <v>1782</v>
      </c>
      <c r="G1164" t="s">
        <v>3137</v>
      </c>
      <c r="H1164" t="s">
        <v>1247</v>
      </c>
      <c r="J1164" s="455">
        <v>46127</v>
      </c>
      <c r="U1164" s="455">
        <v>46182</v>
      </c>
    </row>
    <row r="1165" spans="1:21">
      <c r="A1165" t="s">
        <v>1751</v>
      </c>
      <c r="B1165" t="s">
        <v>10003</v>
      </c>
      <c r="C1165" t="s">
        <v>1751</v>
      </c>
      <c r="D1165">
        <v>20490026</v>
      </c>
      <c r="E1165" t="s">
        <v>3190</v>
      </c>
      <c r="F1165" t="s">
        <v>1237</v>
      </c>
      <c r="G1165" t="s">
        <v>3141</v>
      </c>
      <c r="H1165" t="s">
        <v>1248</v>
      </c>
      <c r="J1165" s="455">
        <v>46120</v>
      </c>
      <c r="R1165" s="455">
        <v>46139</v>
      </c>
      <c r="U1165" s="455">
        <v>46136</v>
      </c>
    </row>
    <row r="1166" spans="1:21">
      <c r="A1166" t="s">
        <v>1751</v>
      </c>
      <c r="B1166" t="s">
        <v>10004</v>
      </c>
      <c r="C1166" t="s">
        <v>1751</v>
      </c>
      <c r="D1166">
        <v>20500202</v>
      </c>
      <c r="E1166" t="s">
        <v>3190</v>
      </c>
      <c r="F1166" t="s">
        <v>1242</v>
      </c>
      <c r="G1166" t="s">
        <v>3129</v>
      </c>
      <c r="H1166" t="s">
        <v>1252</v>
      </c>
      <c r="J1166" s="455">
        <v>46129</v>
      </c>
      <c r="R1166" s="455">
        <v>46132</v>
      </c>
      <c r="U1166" s="455">
        <v>46129</v>
      </c>
    </row>
    <row r="1167" spans="1:21">
      <c r="A1167" t="s">
        <v>1751</v>
      </c>
      <c r="B1167" t="s">
        <v>9333</v>
      </c>
      <c r="C1167" t="s">
        <v>1751</v>
      </c>
      <c r="D1167">
        <v>20504954</v>
      </c>
      <c r="E1167" t="s">
        <v>3128</v>
      </c>
      <c r="F1167" t="s">
        <v>1242</v>
      </c>
      <c r="G1167" t="s">
        <v>3143</v>
      </c>
      <c r="H1167" t="s">
        <v>1248</v>
      </c>
      <c r="J1167" s="455">
        <v>46133</v>
      </c>
      <c r="U1167" s="455">
        <v>46172</v>
      </c>
    </row>
    <row r="1168" spans="1:21">
      <c r="A1168" t="s">
        <v>1751</v>
      </c>
      <c r="B1168" t="s">
        <v>10005</v>
      </c>
      <c r="C1168" t="s">
        <v>1751</v>
      </c>
      <c r="D1168">
        <v>20504482</v>
      </c>
      <c r="E1168" t="s">
        <v>3128</v>
      </c>
      <c r="F1168" t="s">
        <v>1782</v>
      </c>
      <c r="G1168" t="s">
        <v>3129</v>
      </c>
      <c r="H1168" t="s">
        <v>1253</v>
      </c>
      <c r="J1168" s="455">
        <v>46133</v>
      </c>
      <c r="U1168" s="455">
        <v>46133</v>
      </c>
    </row>
    <row r="1169" spans="1:21">
      <c r="A1169" t="s">
        <v>1751</v>
      </c>
      <c r="B1169" t="s">
        <v>9334</v>
      </c>
      <c r="C1169" t="s">
        <v>1751</v>
      </c>
      <c r="D1169">
        <v>20464694</v>
      </c>
      <c r="E1169" t="s">
        <v>3190</v>
      </c>
      <c r="F1169" t="s">
        <v>1782</v>
      </c>
      <c r="G1169" t="s">
        <v>3141</v>
      </c>
      <c r="H1169" t="s">
        <v>1247</v>
      </c>
      <c r="J1169" s="455">
        <v>46088</v>
      </c>
      <c r="R1169" s="455">
        <v>46114</v>
      </c>
      <c r="U1169" s="455">
        <v>46113</v>
      </c>
    </row>
    <row r="1170" spans="1:21">
      <c r="A1170" t="s">
        <v>1751</v>
      </c>
      <c r="B1170" t="s">
        <v>3871</v>
      </c>
      <c r="C1170" t="s">
        <v>1751</v>
      </c>
      <c r="D1170">
        <v>20499705</v>
      </c>
      <c r="E1170" t="s">
        <v>1897</v>
      </c>
      <c r="F1170" t="s">
        <v>1241</v>
      </c>
      <c r="G1170" t="s">
        <v>3134</v>
      </c>
      <c r="H1170" t="s">
        <v>1247</v>
      </c>
      <c r="I1170" t="s">
        <v>1967</v>
      </c>
      <c r="J1170" s="455">
        <v>46129</v>
      </c>
      <c r="K1170" s="455">
        <v>46129</v>
      </c>
      <c r="U1170" s="455">
        <v>46143</v>
      </c>
    </row>
    <row r="1171" spans="1:21">
      <c r="A1171" t="s">
        <v>1751</v>
      </c>
      <c r="B1171" t="s">
        <v>3871</v>
      </c>
      <c r="C1171" t="s">
        <v>1751</v>
      </c>
      <c r="D1171">
        <v>20492324</v>
      </c>
      <c r="E1171" t="s">
        <v>1897</v>
      </c>
      <c r="F1171" t="s">
        <v>1242</v>
      </c>
      <c r="G1171" t="s">
        <v>3143</v>
      </c>
      <c r="H1171" t="s">
        <v>1248</v>
      </c>
      <c r="I1171" t="s">
        <v>1952</v>
      </c>
      <c r="J1171" s="455">
        <v>46123</v>
      </c>
      <c r="K1171" s="455">
        <v>46129</v>
      </c>
      <c r="U1171" s="455">
        <v>46178</v>
      </c>
    </row>
    <row r="1172" spans="1:21">
      <c r="A1172" t="s">
        <v>1751</v>
      </c>
      <c r="B1172" t="s">
        <v>10006</v>
      </c>
      <c r="C1172" t="s">
        <v>1751</v>
      </c>
      <c r="D1172">
        <v>20492210</v>
      </c>
      <c r="E1172" t="s">
        <v>3190</v>
      </c>
      <c r="F1172" t="s">
        <v>1241</v>
      </c>
      <c r="G1172" t="s">
        <v>3134</v>
      </c>
      <c r="H1172" t="s">
        <v>3165</v>
      </c>
      <c r="J1172" s="455">
        <v>46123</v>
      </c>
      <c r="R1172" s="455">
        <v>46139</v>
      </c>
      <c r="U1172" s="455">
        <v>46136</v>
      </c>
    </row>
    <row r="1173" spans="1:21">
      <c r="A1173" t="s">
        <v>1751</v>
      </c>
      <c r="B1173" t="s">
        <v>10007</v>
      </c>
      <c r="C1173" t="s">
        <v>1751</v>
      </c>
      <c r="D1173">
        <v>20507346</v>
      </c>
      <c r="E1173" t="s">
        <v>3128</v>
      </c>
      <c r="F1173" t="s">
        <v>1782</v>
      </c>
      <c r="G1173" t="s">
        <v>3141</v>
      </c>
      <c r="H1173" t="s">
        <v>1252</v>
      </c>
      <c r="J1173" s="455">
        <v>46134</v>
      </c>
      <c r="U1173" s="455">
        <v>46203</v>
      </c>
    </row>
    <row r="1174" spans="1:21">
      <c r="A1174" t="s">
        <v>1751</v>
      </c>
      <c r="B1174" t="s">
        <v>8901</v>
      </c>
      <c r="C1174" t="s">
        <v>1751</v>
      </c>
      <c r="D1174">
        <v>20455506</v>
      </c>
      <c r="E1174" t="s">
        <v>3190</v>
      </c>
      <c r="F1174" t="s">
        <v>1782</v>
      </c>
      <c r="G1174" t="s">
        <v>3137</v>
      </c>
      <c r="H1174" t="s">
        <v>1247</v>
      </c>
      <c r="J1174" s="455">
        <v>46076</v>
      </c>
      <c r="R1174" s="455">
        <v>46114</v>
      </c>
      <c r="U1174" s="455">
        <v>46171</v>
      </c>
    </row>
    <row r="1175" spans="1:21">
      <c r="A1175" t="s">
        <v>1751</v>
      </c>
      <c r="B1175" t="s">
        <v>10008</v>
      </c>
      <c r="C1175" t="s">
        <v>1751</v>
      </c>
      <c r="D1175">
        <v>20486648</v>
      </c>
      <c r="E1175" t="s">
        <v>3190</v>
      </c>
      <c r="F1175" t="s">
        <v>1782</v>
      </c>
      <c r="G1175" t="s">
        <v>3141</v>
      </c>
      <c r="H1175" t="s">
        <v>1247</v>
      </c>
      <c r="J1175" s="455">
        <v>46115</v>
      </c>
      <c r="R1175" s="455">
        <v>46139</v>
      </c>
      <c r="U1175" s="455">
        <v>46174</v>
      </c>
    </row>
    <row r="1176" spans="1:21">
      <c r="A1176" t="s">
        <v>1751</v>
      </c>
      <c r="B1176" t="s">
        <v>10009</v>
      </c>
      <c r="C1176" t="s">
        <v>1751</v>
      </c>
      <c r="D1176">
        <v>20491435</v>
      </c>
      <c r="E1176" t="s">
        <v>3190</v>
      </c>
      <c r="F1176" t="s">
        <v>1241</v>
      </c>
      <c r="G1176" t="s">
        <v>3134</v>
      </c>
      <c r="H1176" t="s">
        <v>3165</v>
      </c>
      <c r="J1176" s="455">
        <v>46122</v>
      </c>
      <c r="R1176" s="455">
        <v>46139</v>
      </c>
      <c r="U1176" s="455">
        <v>46204</v>
      </c>
    </row>
    <row r="1177" spans="1:21">
      <c r="A1177" t="s">
        <v>1751</v>
      </c>
      <c r="B1177" t="s">
        <v>10010</v>
      </c>
      <c r="C1177" t="s">
        <v>1751</v>
      </c>
      <c r="D1177">
        <v>20417847</v>
      </c>
      <c r="E1177" t="s">
        <v>3133</v>
      </c>
      <c r="F1177" t="s">
        <v>1238</v>
      </c>
      <c r="G1177" t="s">
        <v>3134</v>
      </c>
      <c r="H1177" t="s">
        <v>1247</v>
      </c>
      <c r="I1177" t="s">
        <v>5883</v>
      </c>
      <c r="J1177" s="455">
        <v>46026</v>
      </c>
      <c r="K1177" s="455">
        <v>46026</v>
      </c>
      <c r="R1177" s="455">
        <v>46114</v>
      </c>
      <c r="U1177" s="455">
        <v>46034</v>
      </c>
    </row>
    <row r="1178" spans="1:21">
      <c r="A1178" t="s">
        <v>1751</v>
      </c>
      <c r="B1178" t="s">
        <v>1828</v>
      </c>
      <c r="C1178" t="s">
        <v>1751</v>
      </c>
      <c r="D1178">
        <v>20471989</v>
      </c>
      <c r="E1178" t="s">
        <v>3133</v>
      </c>
      <c r="F1178" t="s">
        <v>1243</v>
      </c>
      <c r="G1178" t="s">
        <v>3134</v>
      </c>
      <c r="H1178" t="s">
        <v>1247</v>
      </c>
      <c r="I1178" t="s">
        <v>6442</v>
      </c>
      <c r="J1178" s="455">
        <v>46096</v>
      </c>
      <c r="K1178" s="455">
        <v>46096</v>
      </c>
      <c r="L1178" s="455">
        <v>46100</v>
      </c>
      <c r="R1178" s="455">
        <v>46114</v>
      </c>
      <c r="U1178" s="455">
        <v>46163</v>
      </c>
    </row>
    <row r="1179" spans="1:21">
      <c r="A1179" t="s">
        <v>1751</v>
      </c>
      <c r="B1179" t="s">
        <v>10011</v>
      </c>
      <c r="C1179" t="s">
        <v>1751</v>
      </c>
      <c r="D1179">
        <v>20512330</v>
      </c>
      <c r="E1179" t="s">
        <v>3128</v>
      </c>
      <c r="F1179" t="s">
        <v>1241</v>
      </c>
      <c r="G1179" t="s">
        <v>3129</v>
      </c>
      <c r="H1179" t="s">
        <v>1247</v>
      </c>
      <c r="J1179" s="455">
        <v>46140</v>
      </c>
      <c r="U1179" s="455">
        <v>46140</v>
      </c>
    </row>
    <row r="1180" spans="1:21">
      <c r="A1180" t="s">
        <v>1751</v>
      </c>
      <c r="B1180" t="s">
        <v>3878</v>
      </c>
      <c r="C1180" t="s">
        <v>1751</v>
      </c>
      <c r="D1180">
        <v>20501792</v>
      </c>
      <c r="E1180" t="s">
        <v>1907</v>
      </c>
      <c r="F1180" t="s">
        <v>1238</v>
      </c>
      <c r="G1180" t="s">
        <v>3134</v>
      </c>
      <c r="H1180" t="s">
        <v>3165</v>
      </c>
      <c r="I1180" t="s">
        <v>3042</v>
      </c>
      <c r="J1180" s="455">
        <v>46131</v>
      </c>
      <c r="K1180" s="455">
        <v>46135</v>
      </c>
      <c r="L1180" s="455">
        <v>46141</v>
      </c>
      <c r="U1180" s="455">
        <v>46191</v>
      </c>
    </row>
    <row r="1181" spans="1:21">
      <c r="A1181" t="s">
        <v>1751</v>
      </c>
      <c r="B1181" t="s">
        <v>9336</v>
      </c>
      <c r="C1181" t="s">
        <v>1751</v>
      </c>
      <c r="D1181">
        <v>20472382</v>
      </c>
      <c r="E1181" t="s">
        <v>3190</v>
      </c>
      <c r="F1181" t="s">
        <v>1782</v>
      </c>
      <c r="G1181" t="s">
        <v>3134</v>
      </c>
      <c r="H1181" t="s">
        <v>1252</v>
      </c>
      <c r="J1181" s="455">
        <v>46097</v>
      </c>
      <c r="R1181" s="455">
        <v>46114</v>
      </c>
      <c r="U1181" s="455">
        <v>46138</v>
      </c>
    </row>
    <row r="1182" spans="1:21">
      <c r="A1182" t="s">
        <v>1751</v>
      </c>
      <c r="B1182" t="s">
        <v>9337</v>
      </c>
      <c r="C1182" t="s">
        <v>1751</v>
      </c>
      <c r="D1182">
        <v>20474234</v>
      </c>
      <c r="E1182" t="s">
        <v>3190</v>
      </c>
      <c r="F1182" t="s">
        <v>1241</v>
      </c>
      <c r="G1182" t="s">
        <v>3134</v>
      </c>
      <c r="H1182" t="s">
        <v>1252</v>
      </c>
      <c r="J1182" s="455">
        <v>46098</v>
      </c>
      <c r="R1182" s="455">
        <v>46114</v>
      </c>
      <c r="U1182" s="455">
        <v>46146</v>
      </c>
    </row>
    <row r="1183" spans="1:21">
      <c r="A1183" t="s">
        <v>1751</v>
      </c>
      <c r="B1183" t="s">
        <v>10012</v>
      </c>
      <c r="C1183" t="s">
        <v>1751</v>
      </c>
      <c r="D1183">
        <v>20432156</v>
      </c>
      <c r="E1183" t="s">
        <v>3133</v>
      </c>
      <c r="F1183" t="s">
        <v>1237</v>
      </c>
      <c r="G1183" t="s">
        <v>3134</v>
      </c>
      <c r="H1183" t="s">
        <v>1252</v>
      </c>
      <c r="I1183" t="s">
        <v>1805</v>
      </c>
      <c r="J1183" s="455">
        <v>46043</v>
      </c>
      <c r="K1183" s="455">
        <v>46043</v>
      </c>
      <c r="R1183" s="455">
        <v>46114</v>
      </c>
      <c r="U1183" s="455">
        <v>46043</v>
      </c>
    </row>
    <row r="1184" spans="1:21">
      <c r="A1184" t="s">
        <v>1751</v>
      </c>
      <c r="B1184" t="s">
        <v>10013</v>
      </c>
      <c r="C1184" t="s">
        <v>1751</v>
      </c>
      <c r="D1184">
        <v>20500110</v>
      </c>
      <c r="E1184" t="s">
        <v>3190</v>
      </c>
      <c r="F1184" t="s">
        <v>1782</v>
      </c>
      <c r="G1184" t="s">
        <v>3134</v>
      </c>
      <c r="H1184" t="s">
        <v>3165</v>
      </c>
      <c r="J1184" s="455">
        <v>46129</v>
      </c>
      <c r="R1184" s="455">
        <v>46139</v>
      </c>
      <c r="U1184" s="455">
        <v>46134</v>
      </c>
    </row>
    <row r="1185" spans="1:21">
      <c r="A1185" t="s">
        <v>1751</v>
      </c>
      <c r="B1185" t="s">
        <v>8902</v>
      </c>
      <c r="C1185" t="s">
        <v>1751</v>
      </c>
      <c r="D1185">
        <v>20443652</v>
      </c>
      <c r="E1185" t="s">
        <v>3190</v>
      </c>
      <c r="F1185" t="s">
        <v>1782</v>
      </c>
      <c r="G1185" t="s">
        <v>3141</v>
      </c>
      <c r="H1185" t="s">
        <v>1247</v>
      </c>
      <c r="J1185" s="455">
        <v>46062</v>
      </c>
      <c r="R1185" s="455">
        <v>46114</v>
      </c>
      <c r="U1185" s="455">
        <v>46082</v>
      </c>
    </row>
    <row r="1186" spans="1:21">
      <c r="A1186" t="s">
        <v>1751</v>
      </c>
      <c r="B1186" t="s">
        <v>10014</v>
      </c>
      <c r="C1186" t="s">
        <v>1751</v>
      </c>
      <c r="D1186">
        <v>20513947</v>
      </c>
      <c r="E1186" t="s">
        <v>1897</v>
      </c>
      <c r="F1186" t="s">
        <v>1241</v>
      </c>
      <c r="G1186" t="s">
        <v>2009</v>
      </c>
      <c r="H1186" t="s">
        <v>1251</v>
      </c>
      <c r="I1186" t="s">
        <v>3529</v>
      </c>
      <c r="J1186" s="455">
        <v>46142</v>
      </c>
      <c r="K1186" s="455">
        <v>46142</v>
      </c>
      <c r="U1186" s="455">
        <v>46146</v>
      </c>
    </row>
    <row r="1187" spans="1:21">
      <c r="A1187" t="s">
        <v>1751</v>
      </c>
      <c r="B1187" t="s">
        <v>10015</v>
      </c>
      <c r="C1187" t="s">
        <v>1751</v>
      </c>
      <c r="D1187">
        <v>20486959</v>
      </c>
      <c r="E1187" t="s">
        <v>3190</v>
      </c>
      <c r="F1187" t="s">
        <v>1782</v>
      </c>
      <c r="G1187" t="s">
        <v>3143</v>
      </c>
      <c r="H1187" t="s">
        <v>1247</v>
      </c>
      <c r="I1187" t="s">
        <v>2137</v>
      </c>
      <c r="J1187" s="455">
        <v>46116</v>
      </c>
      <c r="R1187" s="455">
        <v>46139</v>
      </c>
      <c r="U1187" s="455">
        <v>46116</v>
      </c>
    </row>
    <row r="1188" spans="1:21">
      <c r="A1188" t="s">
        <v>1751</v>
      </c>
      <c r="B1188" t="s">
        <v>10016</v>
      </c>
      <c r="C1188" t="s">
        <v>1751</v>
      </c>
      <c r="D1188">
        <v>20416223</v>
      </c>
      <c r="E1188" t="s">
        <v>3190</v>
      </c>
      <c r="F1188" t="s">
        <v>1241</v>
      </c>
      <c r="G1188" t="s">
        <v>3141</v>
      </c>
      <c r="H1188" t="s">
        <v>1247</v>
      </c>
      <c r="J1188" s="455">
        <v>46023</v>
      </c>
      <c r="R1188" s="455">
        <v>46114</v>
      </c>
      <c r="U1188" s="455">
        <v>46023</v>
      </c>
    </row>
    <row r="1189" spans="1:21">
      <c r="A1189" t="s">
        <v>1751</v>
      </c>
      <c r="B1189" t="s">
        <v>9338</v>
      </c>
      <c r="C1189" t="s">
        <v>1751</v>
      </c>
      <c r="D1189">
        <v>20462270</v>
      </c>
      <c r="E1189" t="s">
        <v>3190</v>
      </c>
      <c r="F1189" t="s">
        <v>1237</v>
      </c>
      <c r="G1189" t="s">
        <v>3143</v>
      </c>
      <c r="H1189" t="s">
        <v>1248</v>
      </c>
      <c r="I1189" t="s">
        <v>2533</v>
      </c>
      <c r="J1189" s="455">
        <v>46085</v>
      </c>
      <c r="R1189" s="455">
        <v>46114</v>
      </c>
      <c r="U1189" s="455">
        <v>46113</v>
      </c>
    </row>
    <row r="1190" spans="1:21">
      <c r="A1190" t="s">
        <v>1751</v>
      </c>
      <c r="B1190" t="s">
        <v>10017</v>
      </c>
      <c r="C1190" t="s">
        <v>1751</v>
      </c>
      <c r="D1190">
        <v>20436092</v>
      </c>
      <c r="E1190" t="s">
        <v>3190</v>
      </c>
      <c r="F1190" t="s">
        <v>1238</v>
      </c>
      <c r="G1190" t="s">
        <v>3129</v>
      </c>
      <c r="H1190" t="s">
        <v>1249</v>
      </c>
      <c r="J1190" s="455">
        <v>46050</v>
      </c>
      <c r="R1190" s="455">
        <v>46114</v>
      </c>
      <c r="U1190" s="455">
        <v>46081</v>
      </c>
    </row>
    <row r="1191" spans="1:21">
      <c r="A1191" t="s">
        <v>1751</v>
      </c>
      <c r="B1191" t="s">
        <v>8904</v>
      </c>
      <c r="C1191" t="s">
        <v>1751</v>
      </c>
      <c r="D1191">
        <v>20454336</v>
      </c>
      <c r="E1191" t="s">
        <v>3190</v>
      </c>
      <c r="F1191" t="s">
        <v>1782</v>
      </c>
      <c r="G1191" t="s">
        <v>3141</v>
      </c>
      <c r="H1191" t="s">
        <v>1247</v>
      </c>
      <c r="J1191" s="455">
        <v>46073</v>
      </c>
      <c r="R1191" s="455">
        <v>46114</v>
      </c>
      <c r="U1191" s="455">
        <v>46080</v>
      </c>
    </row>
    <row r="1192" spans="1:21">
      <c r="A1192" t="s">
        <v>1751</v>
      </c>
      <c r="B1192" t="s">
        <v>8906</v>
      </c>
      <c r="C1192" t="s">
        <v>1751</v>
      </c>
      <c r="D1192">
        <v>20445987</v>
      </c>
      <c r="E1192" t="s">
        <v>3133</v>
      </c>
      <c r="F1192" t="s">
        <v>1799</v>
      </c>
      <c r="G1192" t="s">
        <v>3137</v>
      </c>
      <c r="H1192" t="s">
        <v>1247</v>
      </c>
      <c r="J1192" s="455">
        <v>46064</v>
      </c>
      <c r="K1192" s="455">
        <v>46065</v>
      </c>
      <c r="R1192" s="455">
        <v>46114</v>
      </c>
      <c r="U1192" s="455">
        <v>46082</v>
      </c>
    </row>
    <row r="1193" spans="1:21">
      <c r="A1193" t="s">
        <v>1751</v>
      </c>
      <c r="B1193" t="s">
        <v>8906</v>
      </c>
      <c r="C1193" t="s">
        <v>1751</v>
      </c>
      <c r="D1193">
        <v>20445988</v>
      </c>
      <c r="E1193" t="s">
        <v>3133</v>
      </c>
      <c r="F1193" t="s">
        <v>1912</v>
      </c>
      <c r="G1193" t="s">
        <v>3134</v>
      </c>
      <c r="H1193" t="s">
        <v>1247</v>
      </c>
      <c r="I1193" t="s">
        <v>7107</v>
      </c>
      <c r="J1193" s="455">
        <v>46064</v>
      </c>
      <c r="K1193" s="455">
        <v>46064</v>
      </c>
      <c r="R1193" s="455">
        <v>46114</v>
      </c>
      <c r="U1193" s="455">
        <v>46086</v>
      </c>
    </row>
    <row r="1194" spans="1:21">
      <c r="A1194" t="s">
        <v>1751</v>
      </c>
      <c r="B1194" t="s">
        <v>10018</v>
      </c>
      <c r="C1194" t="s">
        <v>1751</v>
      </c>
      <c r="D1194">
        <v>20433738</v>
      </c>
      <c r="E1194" t="s">
        <v>3190</v>
      </c>
      <c r="F1194" t="s">
        <v>1238</v>
      </c>
      <c r="G1194" t="s">
        <v>3143</v>
      </c>
      <c r="H1194" t="s">
        <v>1252</v>
      </c>
      <c r="J1194" s="455">
        <v>46045</v>
      </c>
      <c r="R1194" s="455">
        <v>46114</v>
      </c>
      <c r="U1194" s="455">
        <v>46045</v>
      </c>
    </row>
    <row r="1195" spans="1:21">
      <c r="A1195" t="s">
        <v>1751</v>
      </c>
      <c r="B1195" t="s">
        <v>10019</v>
      </c>
      <c r="C1195" t="s">
        <v>1751</v>
      </c>
      <c r="D1195">
        <v>20414780</v>
      </c>
      <c r="E1195" t="s">
        <v>3133</v>
      </c>
      <c r="F1195" t="s">
        <v>1241</v>
      </c>
      <c r="G1195" t="s">
        <v>3134</v>
      </c>
      <c r="H1195" t="s">
        <v>1252</v>
      </c>
      <c r="J1195" s="455">
        <v>46020</v>
      </c>
      <c r="K1195" s="455">
        <v>46020</v>
      </c>
      <c r="R1195" s="455">
        <v>46114</v>
      </c>
      <c r="U1195" s="455">
        <v>46063</v>
      </c>
    </row>
    <row r="1196" spans="1:21">
      <c r="A1196" t="s">
        <v>1751</v>
      </c>
      <c r="B1196" t="s">
        <v>10020</v>
      </c>
      <c r="C1196" t="s">
        <v>1751</v>
      </c>
      <c r="D1196">
        <v>20512619</v>
      </c>
      <c r="E1196" t="s">
        <v>3128</v>
      </c>
      <c r="F1196" t="s">
        <v>1782</v>
      </c>
      <c r="G1196" t="s">
        <v>3129</v>
      </c>
      <c r="H1196" t="s">
        <v>1252</v>
      </c>
      <c r="I1196" t="s">
        <v>1827</v>
      </c>
      <c r="J1196" s="455">
        <v>46141</v>
      </c>
      <c r="U1196" s="455">
        <v>46141</v>
      </c>
    </row>
    <row r="1197" spans="1:21">
      <c r="A1197" t="s">
        <v>1751</v>
      </c>
      <c r="B1197" t="s">
        <v>8908</v>
      </c>
      <c r="C1197" t="s">
        <v>1751</v>
      </c>
      <c r="D1197">
        <v>20449354</v>
      </c>
      <c r="E1197" t="s">
        <v>3190</v>
      </c>
      <c r="F1197" t="s">
        <v>1241</v>
      </c>
      <c r="G1197" t="s">
        <v>3137</v>
      </c>
      <c r="H1197" t="s">
        <v>1247</v>
      </c>
      <c r="J1197" s="455">
        <v>46068</v>
      </c>
      <c r="R1197" s="455">
        <v>46114</v>
      </c>
      <c r="U1197" s="455">
        <v>46088</v>
      </c>
    </row>
    <row r="1198" spans="1:21">
      <c r="A1198" t="s">
        <v>1751</v>
      </c>
      <c r="B1198" t="s">
        <v>10021</v>
      </c>
      <c r="C1198" t="s">
        <v>1751</v>
      </c>
      <c r="D1198">
        <v>20513390</v>
      </c>
      <c r="E1198" t="s">
        <v>3128</v>
      </c>
      <c r="F1198" t="s">
        <v>1782</v>
      </c>
      <c r="G1198" t="s">
        <v>3137</v>
      </c>
      <c r="H1198" t="s">
        <v>1252</v>
      </c>
      <c r="J1198" s="455">
        <v>46142</v>
      </c>
      <c r="U1198" s="455">
        <v>46166</v>
      </c>
    </row>
    <row r="1199" spans="1:21">
      <c r="A1199" t="s">
        <v>1751</v>
      </c>
      <c r="B1199" t="s">
        <v>3887</v>
      </c>
      <c r="C1199" t="s">
        <v>1751</v>
      </c>
      <c r="D1199">
        <v>20509839</v>
      </c>
      <c r="E1199" t="s">
        <v>3128</v>
      </c>
      <c r="F1199" t="s">
        <v>1241</v>
      </c>
      <c r="G1199" t="s">
        <v>3129</v>
      </c>
      <c r="H1199" t="s">
        <v>3131</v>
      </c>
      <c r="J1199" s="455">
        <v>46137</v>
      </c>
      <c r="U1199" s="455">
        <v>46137</v>
      </c>
    </row>
    <row r="1200" spans="1:21">
      <c r="A1200" t="s">
        <v>1751</v>
      </c>
      <c r="B1200" t="s">
        <v>10022</v>
      </c>
      <c r="C1200" t="s">
        <v>1751</v>
      </c>
      <c r="D1200">
        <v>20417357</v>
      </c>
      <c r="E1200" t="s">
        <v>3190</v>
      </c>
      <c r="F1200" t="s">
        <v>1241</v>
      </c>
      <c r="G1200" t="s">
        <v>3129</v>
      </c>
      <c r="H1200" t="s">
        <v>1247</v>
      </c>
      <c r="J1200" s="455">
        <v>46025</v>
      </c>
      <c r="R1200" s="455">
        <v>46114</v>
      </c>
      <c r="U1200" s="455">
        <v>46025</v>
      </c>
    </row>
    <row r="1201" spans="1:21">
      <c r="A1201" t="s">
        <v>1751</v>
      </c>
      <c r="B1201" t="s">
        <v>9339</v>
      </c>
      <c r="C1201" t="s">
        <v>1751</v>
      </c>
      <c r="D1201">
        <v>20471983</v>
      </c>
      <c r="E1201" t="s">
        <v>3190</v>
      </c>
      <c r="F1201" t="s">
        <v>1241</v>
      </c>
      <c r="G1201" t="s">
        <v>3134</v>
      </c>
      <c r="H1201" t="s">
        <v>1252</v>
      </c>
      <c r="J1201" s="455">
        <v>46096</v>
      </c>
      <c r="R1201" s="455">
        <v>46114</v>
      </c>
      <c r="U1201" s="455">
        <v>46143</v>
      </c>
    </row>
    <row r="1202" spans="1:21">
      <c r="A1202" t="s">
        <v>1751</v>
      </c>
      <c r="B1202" t="s">
        <v>10023</v>
      </c>
      <c r="C1202" t="s">
        <v>1751</v>
      </c>
      <c r="D1202">
        <v>20438522</v>
      </c>
      <c r="E1202" t="s">
        <v>3133</v>
      </c>
      <c r="F1202" t="s">
        <v>1237</v>
      </c>
      <c r="G1202" t="s">
        <v>3134</v>
      </c>
      <c r="H1202" t="s">
        <v>1247</v>
      </c>
      <c r="I1202" t="s">
        <v>1805</v>
      </c>
      <c r="J1202" s="455">
        <v>46053</v>
      </c>
      <c r="K1202" s="455">
        <v>46053</v>
      </c>
      <c r="R1202" s="455">
        <v>46114</v>
      </c>
      <c r="U1202" s="455">
        <v>46083</v>
      </c>
    </row>
    <row r="1203" spans="1:21">
      <c r="A1203" t="s">
        <v>1751</v>
      </c>
      <c r="B1203" t="s">
        <v>8909</v>
      </c>
      <c r="C1203" t="s">
        <v>1751</v>
      </c>
      <c r="D1203">
        <v>20459641</v>
      </c>
      <c r="E1203" t="s">
        <v>3133</v>
      </c>
      <c r="F1203" t="s">
        <v>1912</v>
      </c>
      <c r="G1203" t="s">
        <v>3134</v>
      </c>
      <c r="H1203" t="s">
        <v>1247</v>
      </c>
      <c r="I1203" t="s">
        <v>3582</v>
      </c>
      <c r="J1203" s="455">
        <v>46081</v>
      </c>
      <c r="K1203" s="455">
        <v>46081</v>
      </c>
      <c r="R1203" s="455">
        <v>46114</v>
      </c>
      <c r="U1203" s="455">
        <v>46081</v>
      </c>
    </row>
    <row r="1204" spans="1:21">
      <c r="A1204" t="s">
        <v>1751</v>
      </c>
      <c r="B1204" t="s">
        <v>9340</v>
      </c>
      <c r="C1204" t="s">
        <v>1751</v>
      </c>
      <c r="D1204">
        <v>20481203</v>
      </c>
      <c r="E1204" t="s">
        <v>3190</v>
      </c>
      <c r="F1204" t="s">
        <v>1782</v>
      </c>
      <c r="G1204" t="s">
        <v>3134</v>
      </c>
      <c r="H1204" t="s">
        <v>1252</v>
      </c>
      <c r="J1204" s="455">
        <v>46108</v>
      </c>
      <c r="R1204" s="455">
        <v>46116</v>
      </c>
      <c r="U1204" s="455">
        <v>46143</v>
      </c>
    </row>
    <row r="1205" spans="1:21">
      <c r="A1205" t="s">
        <v>1751</v>
      </c>
      <c r="B1205" t="s">
        <v>7066</v>
      </c>
      <c r="C1205" t="s">
        <v>1751</v>
      </c>
      <c r="D1205">
        <v>20465644</v>
      </c>
      <c r="E1205" t="s">
        <v>2011</v>
      </c>
      <c r="F1205" t="s">
        <v>1238</v>
      </c>
      <c r="G1205" t="s">
        <v>3129</v>
      </c>
      <c r="H1205" t="s">
        <v>3131</v>
      </c>
      <c r="I1205" t="s">
        <v>3303</v>
      </c>
      <c r="J1205" s="455">
        <v>46090</v>
      </c>
      <c r="K1205" s="455">
        <v>46108</v>
      </c>
      <c r="L1205" s="455">
        <v>46113</v>
      </c>
      <c r="M1205" s="455">
        <v>46133</v>
      </c>
      <c r="N1205" s="455">
        <v>46142</v>
      </c>
      <c r="U1205" s="455">
        <v>46143</v>
      </c>
    </row>
    <row r="1206" spans="1:21">
      <c r="A1206" t="s">
        <v>1751</v>
      </c>
      <c r="B1206" t="s">
        <v>8910</v>
      </c>
      <c r="C1206" t="s">
        <v>1751</v>
      </c>
      <c r="D1206">
        <v>20444115</v>
      </c>
      <c r="E1206" t="s">
        <v>3190</v>
      </c>
      <c r="F1206" t="s">
        <v>1782</v>
      </c>
      <c r="G1206" t="s">
        <v>3141</v>
      </c>
      <c r="H1206" t="s">
        <v>1247</v>
      </c>
      <c r="J1206" s="455">
        <v>46062</v>
      </c>
      <c r="R1206" s="455">
        <v>46114</v>
      </c>
      <c r="U1206" s="455">
        <v>46087</v>
      </c>
    </row>
    <row r="1207" spans="1:21">
      <c r="A1207" t="s">
        <v>1751</v>
      </c>
      <c r="B1207" t="s">
        <v>9341</v>
      </c>
      <c r="C1207" t="s">
        <v>1751</v>
      </c>
      <c r="D1207">
        <v>20480491</v>
      </c>
      <c r="E1207" t="s">
        <v>3190</v>
      </c>
      <c r="F1207" t="s">
        <v>1782</v>
      </c>
      <c r="G1207" t="s">
        <v>3129</v>
      </c>
      <c r="H1207" t="s">
        <v>3131</v>
      </c>
      <c r="J1207" s="455">
        <v>46107</v>
      </c>
      <c r="R1207" s="455">
        <v>46114</v>
      </c>
      <c r="U1207" s="455">
        <v>46109</v>
      </c>
    </row>
    <row r="1208" spans="1:21">
      <c r="A1208" t="s">
        <v>1751</v>
      </c>
      <c r="B1208" t="s">
        <v>2714</v>
      </c>
      <c r="C1208" t="s">
        <v>1751</v>
      </c>
      <c r="D1208">
        <v>20479450</v>
      </c>
      <c r="E1208" t="s">
        <v>3133</v>
      </c>
      <c r="F1208" t="s">
        <v>1243</v>
      </c>
      <c r="G1208" t="s">
        <v>3134</v>
      </c>
      <c r="H1208" t="s">
        <v>1247</v>
      </c>
      <c r="I1208" t="s">
        <v>7024</v>
      </c>
      <c r="J1208" s="455">
        <v>46105</v>
      </c>
      <c r="K1208" s="455">
        <v>46105</v>
      </c>
      <c r="L1208" s="455">
        <v>46105</v>
      </c>
      <c r="M1208" s="455">
        <v>46120</v>
      </c>
      <c r="N1208" s="455">
        <v>46120</v>
      </c>
      <c r="R1208" s="455">
        <v>46128</v>
      </c>
      <c r="U1208" s="455">
        <v>46127</v>
      </c>
    </row>
    <row r="1209" spans="1:21">
      <c r="A1209" t="s">
        <v>1751</v>
      </c>
      <c r="B1209" t="s">
        <v>10024</v>
      </c>
      <c r="C1209" t="s">
        <v>1751</v>
      </c>
      <c r="D1209">
        <v>20508409</v>
      </c>
      <c r="E1209" t="s">
        <v>3128</v>
      </c>
      <c r="F1209" t="s">
        <v>1238</v>
      </c>
      <c r="G1209" t="s">
        <v>3143</v>
      </c>
      <c r="H1209" t="s">
        <v>1251</v>
      </c>
      <c r="I1209" t="s">
        <v>1524</v>
      </c>
      <c r="J1209" s="455">
        <v>46135</v>
      </c>
      <c r="U1209" s="455">
        <v>46174</v>
      </c>
    </row>
    <row r="1210" spans="1:21">
      <c r="A1210" t="s">
        <v>1751</v>
      </c>
      <c r="B1210" t="s">
        <v>3896</v>
      </c>
      <c r="C1210" t="s">
        <v>1751</v>
      </c>
      <c r="D1210">
        <v>20487623</v>
      </c>
      <c r="E1210" t="s">
        <v>1897</v>
      </c>
      <c r="F1210" t="s">
        <v>1782</v>
      </c>
      <c r="G1210" t="s">
        <v>3134</v>
      </c>
      <c r="H1210" t="s">
        <v>1252</v>
      </c>
      <c r="J1210" s="455">
        <v>46117</v>
      </c>
      <c r="K1210" s="455">
        <v>46140</v>
      </c>
      <c r="U1210" s="455">
        <v>46153</v>
      </c>
    </row>
    <row r="1211" spans="1:21">
      <c r="A1211" t="s">
        <v>1751</v>
      </c>
      <c r="B1211" t="s">
        <v>3896</v>
      </c>
      <c r="C1211" t="s">
        <v>1751</v>
      </c>
      <c r="D1211">
        <v>20509703</v>
      </c>
      <c r="E1211" t="s">
        <v>1897</v>
      </c>
      <c r="F1211" t="s">
        <v>1912</v>
      </c>
      <c r="G1211" t="s">
        <v>3134</v>
      </c>
      <c r="H1211" t="s">
        <v>1247</v>
      </c>
      <c r="J1211" s="455">
        <v>46137</v>
      </c>
      <c r="K1211" s="455">
        <v>46137</v>
      </c>
      <c r="U1211" s="455">
        <v>46153</v>
      </c>
    </row>
    <row r="1212" spans="1:21">
      <c r="A1212" t="s">
        <v>1751</v>
      </c>
      <c r="B1212" t="s">
        <v>10025</v>
      </c>
      <c r="C1212" t="s">
        <v>1751</v>
      </c>
      <c r="D1212">
        <v>20500530</v>
      </c>
      <c r="E1212" t="s">
        <v>3128</v>
      </c>
      <c r="F1212" t="s">
        <v>1782</v>
      </c>
      <c r="G1212" t="s">
        <v>3137</v>
      </c>
      <c r="H1212" t="s">
        <v>1252</v>
      </c>
      <c r="J1212" s="455">
        <v>46130</v>
      </c>
      <c r="U1212" s="455">
        <v>46173</v>
      </c>
    </row>
    <row r="1213" spans="1:21">
      <c r="A1213" t="s">
        <v>1751</v>
      </c>
      <c r="B1213" t="s">
        <v>10025</v>
      </c>
      <c r="C1213" t="s">
        <v>1751</v>
      </c>
      <c r="D1213">
        <v>20500529</v>
      </c>
      <c r="E1213" t="s">
        <v>3190</v>
      </c>
      <c r="F1213" t="s">
        <v>1782</v>
      </c>
      <c r="G1213" t="s">
        <v>3134</v>
      </c>
      <c r="H1213" t="s">
        <v>1252</v>
      </c>
      <c r="J1213" s="455">
        <v>46130</v>
      </c>
      <c r="R1213" s="455">
        <v>46139</v>
      </c>
      <c r="U1213" s="455">
        <v>46173</v>
      </c>
    </row>
    <row r="1214" spans="1:21">
      <c r="A1214" t="s">
        <v>1751</v>
      </c>
      <c r="B1214" t="s">
        <v>8912</v>
      </c>
      <c r="C1214" t="s">
        <v>1751</v>
      </c>
      <c r="D1214">
        <v>20449899</v>
      </c>
      <c r="E1214" t="s">
        <v>3190</v>
      </c>
      <c r="F1214" t="s">
        <v>1241</v>
      </c>
      <c r="G1214" t="s">
        <v>3137</v>
      </c>
      <c r="H1214" t="s">
        <v>1247</v>
      </c>
      <c r="J1214" s="455">
        <v>46069</v>
      </c>
      <c r="R1214" s="455">
        <v>46114</v>
      </c>
      <c r="U1214" s="455">
        <v>46129</v>
      </c>
    </row>
    <row r="1215" spans="1:21">
      <c r="A1215" t="s">
        <v>1751</v>
      </c>
      <c r="B1215" t="s">
        <v>10026</v>
      </c>
      <c r="C1215" t="s">
        <v>1751</v>
      </c>
      <c r="D1215">
        <v>20494463</v>
      </c>
      <c r="E1215" t="s">
        <v>3190</v>
      </c>
      <c r="F1215" t="s">
        <v>1241</v>
      </c>
      <c r="G1215" t="s">
        <v>3134</v>
      </c>
      <c r="H1215" t="s">
        <v>1252</v>
      </c>
      <c r="J1215" s="455">
        <v>46126</v>
      </c>
      <c r="R1215" s="455">
        <v>46139</v>
      </c>
      <c r="U1215" s="455">
        <v>46174</v>
      </c>
    </row>
    <row r="1216" spans="1:21">
      <c r="A1216" t="s">
        <v>1751</v>
      </c>
      <c r="B1216" t="s">
        <v>10027</v>
      </c>
      <c r="C1216" t="s">
        <v>1751</v>
      </c>
      <c r="D1216">
        <v>20508819</v>
      </c>
      <c r="E1216" t="s">
        <v>3128</v>
      </c>
      <c r="F1216" t="s">
        <v>1782</v>
      </c>
      <c r="G1216" t="s">
        <v>3143</v>
      </c>
      <c r="H1216" t="s">
        <v>1252</v>
      </c>
      <c r="I1216" t="s">
        <v>1952</v>
      </c>
      <c r="J1216" s="455">
        <v>46136</v>
      </c>
      <c r="U1216" s="455">
        <v>46136</v>
      </c>
    </row>
    <row r="1217" spans="1:21">
      <c r="A1217" t="s">
        <v>1751</v>
      </c>
      <c r="B1217" t="s">
        <v>4761</v>
      </c>
      <c r="C1217" t="s">
        <v>1751</v>
      </c>
      <c r="D1217">
        <v>20497652</v>
      </c>
      <c r="E1217" t="s">
        <v>3190</v>
      </c>
      <c r="F1217" t="s">
        <v>1782</v>
      </c>
      <c r="G1217" t="s">
        <v>3134</v>
      </c>
      <c r="H1217" t="s">
        <v>1252</v>
      </c>
      <c r="J1217" s="455">
        <v>46128</v>
      </c>
      <c r="R1217" s="455">
        <v>46139</v>
      </c>
      <c r="U1217" s="455">
        <v>46153</v>
      </c>
    </row>
    <row r="1218" spans="1:21">
      <c r="A1218" t="s">
        <v>1751</v>
      </c>
      <c r="B1218" t="s">
        <v>8913</v>
      </c>
      <c r="C1218" t="s">
        <v>1751</v>
      </c>
      <c r="D1218">
        <v>20449533</v>
      </c>
      <c r="E1218" t="s">
        <v>3190</v>
      </c>
      <c r="F1218" t="s">
        <v>1782</v>
      </c>
      <c r="G1218" t="s">
        <v>3137</v>
      </c>
      <c r="H1218" t="s">
        <v>1247</v>
      </c>
      <c r="J1218" s="455">
        <v>46068</v>
      </c>
      <c r="R1218" s="455">
        <v>46114</v>
      </c>
      <c r="U1218" s="455">
        <v>46114</v>
      </c>
    </row>
    <row r="1219" spans="1:21">
      <c r="A1219" t="s">
        <v>1751</v>
      </c>
      <c r="B1219" t="s">
        <v>3899</v>
      </c>
      <c r="C1219" t="s">
        <v>1751</v>
      </c>
      <c r="D1219">
        <v>20482953</v>
      </c>
      <c r="E1219" t="s">
        <v>3133</v>
      </c>
      <c r="F1219" t="s">
        <v>1238</v>
      </c>
      <c r="G1219" t="s">
        <v>3134</v>
      </c>
      <c r="H1219" t="s">
        <v>1247</v>
      </c>
      <c r="I1219" t="s">
        <v>2137</v>
      </c>
      <c r="J1219" s="455">
        <v>46111</v>
      </c>
      <c r="K1219" s="455">
        <v>46111</v>
      </c>
      <c r="L1219" s="455">
        <v>46111</v>
      </c>
      <c r="R1219" s="455">
        <v>46122</v>
      </c>
      <c r="U1219" s="455">
        <v>46120</v>
      </c>
    </row>
    <row r="1220" spans="1:21">
      <c r="A1220" t="s">
        <v>1751</v>
      </c>
      <c r="B1220" t="s">
        <v>7161</v>
      </c>
      <c r="C1220" t="s">
        <v>1751</v>
      </c>
      <c r="D1220">
        <v>20500840</v>
      </c>
      <c r="E1220" t="s">
        <v>1897</v>
      </c>
      <c r="F1220" t="s">
        <v>1242</v>
      </c>
      <c r="G1220" t="s">
        <v>3134</v>
      </c>
      <c r="H1220" t="s">
        <v>1248</v>
      </c>
      <c r="I1220" t="s">
        <v>3303</v>
      </c>
      <c r="J1220" s="455">
        <v>46130</v>
      </c>
      <c r="K1220" s="455">
        <v>46130</v>
      </c>
      <c r="U1220" s="455">
        <v>46174</v>
      </c>
    </row>
    <row r="1221" spans="1:21">
      <c r="A1221" t="s">
        <v>1751</v>
      </c>
      <c r="B1221" t="s">
        <v>7161</v>
      </c>
      <c r="C1221" t="s">
        <v>1751</v>
      </c>
      <c r="D1221">
        <v>20492326</v>
      </c>
      <c r="E1221" t="s">
        <v>3190</v>
      </c>
      <c r="F1221" t="s">
        <v>1242</v>
      </c>
      <c r="G1221" t="s">
        <v>3143</v>
      </c>
      <c r="H1221" t="s">
        <v>1248</v>
      </c>
      <c r="I1221" t="s">
        <v>1952</v>
      </c>
      <c r="J1221" s="455">
        <v>46123</v>
      </c>
      <c r="R1221" s="455">
        <v>46139</v>
      </c>
      <c r="U1221" s="455">
        <v>46178</v>
      </c>
    </row>
    <row r="1222" spans="1:21">
      <c r="A1222" t="s">
        <v>1751</v>
      </c>
      <c r="B1222" t="s">
        <v>10028</v>
      </c>
      <c r="C1222" t="s">
        <v>1751</v>
      </c>
      <c r="D1222">
        <v>20412357</v>
      </c>
      <c r="E1222" t="s">
        <v>3190</v>
      </c>
      <c r="F1222" t="s">
        <v>1241</v>
      </c>
      <c r="G1222" t="s">
        <v>3141</v>
      </c>
      <c r="H1222" t="s">
        <v>1253</v>
      </c>
      <c r="J1222" s="455">
        <v>46015</v>
      </c>
      <c r="R1222" s="455">
        <v>46114</v>
      </c>
      <c r="U1222" s="455">
        <v>46054</v>
      </c>
    </row>
    <row r="1223" spans="1:21">
      <c r="A1223" t="s">
        <v>1751</v>
      </c>
      <c r="B1223" t="s">
        <v>8914</v>
      </c>
      <c r="C1223" t="s">
        <v>1751</v>
      </c>
      <c r="D1223">
        <v>20450053</v>
      </c>
      <c r="E1223" t="s">
        <v>3190</v>
      </c>
      <c r="F1223" t="s">
        <v>1782</v>
      </c>
      <c r="G1223" t="s">
        <v>3141</v>
      </c>
      <c r="H1223" t="s">
        <v>1247</v>
      </c>
      <c r="J1223" s="455">
        <v>46069</v>
      </c>
      <c r="R1223" s="455">
        <v>46114</v>
      </c>
      <c r="U1223" s="455">
        <v>46120</v>
      </c>
    </row>
    <row r="1224" spans="1:21">
      <c r="A1224" t="s">
        <v>1751</v>
      </c>
      <c r="B1224" t="s">
        <v>10029</v>
      </c>
      <c r="C1224" t="s">
        <v>1751</v>
      </c>
      <c r="D1224">
        <v>20511007</v>
      </c>
      <c r="E1224" t="s">
        <v>3128</v>
      </c>
      <c r="F1224" t="s">
        <v>1782</v>
      </c>
      <c r="G1224" t="s">
        <v>3129</v>
      </c>
      <c r="H1224" t="s">
        <v>1253</v>
      </c>
      <c r="J1224" s="455">
        <v>46139</v>
      </c>
      <c r="U1224" s="455">
        <v>46139</v>
      </c>
    </row>
    <row r="1225" spans="1:21">
      <c r="A1225" t="s">
        <v>1751</v>
      </c>
      <c r="B1225" t="s">
        <v>10030</v>
      </c>
      <c r="C1225" t="s">
        <v>1751</v>
      </c>
      <c r="D1225">
        <v>20414673</v>
      </c>
      <c r="E1225" t="s">
        <v>3133</v>
      </c>
      <c r="F1225" t="s">
        <v>1782</v>
      </c>
      <c r="G1225" t="s">
        <v>3134</v>
      </c>
      <c r="H1225" t="s">
        <v>1247</v>
      </c>
      <c r="I1225" t="s">
        <v>7138</v>
      </c>
      <c r="J1225" s="455">
        <v>46020</v>
      </c>
      <c r="K1225" s="455">
        <v>46020</v>
      </c>
      <c r="L1225" s="455">
        <v>46020</v>
      </c>
      <c r="R1225" s="455">
        <v>46114</v>
      </c>
      <c r="U1225" s="455">
        <v>46063</v>
      </c>
    </row>
    <row r="1226" spans="1:21">
      <c r="A1226" t="s">
        <v>1751</v>
      </c>
      <c r="B1226" t="s">
        <v>9343</v>
      </c>
      <c r="C1226" t="s">
        <v>1751</v>
      </c>
      <c r="D1226">
        <v>20463624</v>
      </c>
      <c r="E1226" t="s">
        <v>3190</v>
      </c>
      <c r="F1226" t="s">
        <v>1782</v>
      </c>
      <c r="G1226" t="s">
        <v>3137</v>
      </c>
      <c r="H1226" t="s">
        <v>1251</v>
      </c>
      <c r="I1226" t="s">
        <v>1831</v>
      </c>
      <c r="J1226" s="455">
        <v>46087</v>
      </c>
      <c r="R1226" s="455">
        <v>46114</v>
      </c>
      <c r="U1226" s="455">
        <v>46087</v>
      </c>
    </row>
    <row r="1227" spans="1:21">
      <c r="A1227" t="s">
        <v>1751</v>
      </c>
      <c r="B1227" t="s">
        <v>10031</v>
      </c>
      <c r="C1227" t="s">
        <v>1751</v>
      </c>
      <c r="D1227">
        <v>20429377</v>
      </c>
      <c r="E1227" t="s">
        <v>3133</v>
      </c>
      <c r="F1227" t="s">
        <v>1237</v>
      </c>
      <c r="G1227" t="s">
        <v>3134</v>
      </c>
      <c r="H1227" t="s">
        <v>1247</v>
      </c>
      <c r="J1227" s="455">
        <v>46039</v>
      </c>
      <c r="K1227" s="455">
        <v>46039</v>
      </c>
      <c r="R1227" s="455">
        <v>46114</v>
      </c>
      <c r="U1227" s="455">
        <v>46039</v>
      </c>
    </row>
    <row r="1228" spans="1:21">
      <c r="A1228" t="s">
        <v>1751</v>
      </c>
      <c r="B1228" t="s">
        <v>10032</v>
      </c>
      <c r="C1228" t="s">
        <v>1751</v>
      </c>
      <c r="D1228">
        <v>20513800</v>
      </c>
      <c r="E1228" t="s">
        <v>3128</v>
      </c>
      <c r="F1228" t="s">
        <v>1238</v>
      </c>
      <c r="G1228" t="s">
        <v>3143</v>
      </c>
      <c r="H1228" t="s">
        <v>1252</v>
      </c>
      <c r="I1228" t="s">
        <v>3344</v>
      </c>
      <c r="J1228" s="455">
        <v>46142</v>
      </c>
      <c r="U1228" s="455">
        <v>46142</v>
      </c>
    </row>
    <row r="1229" spans="1:21">
      <c r="A1229" t="s">
        <v>1751</v>
      </c>
      <c r="B1229" t="s">
        <v>9344</v>
      </c>
      <c r="C1229" t="s">
        <v>1751</v>
      </c>
      <c r="D1229">
        <v>20480160</v>
      </c>
      <c r="E1229" t="s">
        <v>3190</v>
      </c>
      <c r="F1229" t="s">
        <v>1237</v>
      </c>
      <c r="G1229" t="s">
        <v>2009</v>
      </c>
      <c r="H1229" t="s">
        <v>1248</v>
      </c>
      <c r="J1229" s="455">
        <v>46106</v>
      </c>
      <c r="R1229" s="455">
        <v>46114</v>
      </c>
      <c r="U1229" s="455">
        <v>46143</v>
      </c>
    </row>
    <row r="1230" spans="1:21">
      <c r="A1230" t="s">
        <v>1751</v>
      </c>
      <c r="B1230" t="s">
        <v>10033</v>
      </c>
      <c r="C1230" t="s">
        <v>1751</v>
      </c>
      <c r="D1230">
        <v>20502981</v>
      </c>
      <c r="E1230" t="s">
        <v>3128</v>
      </c>
      <c r="F1230" t="s">
        <v>1241</v>
      </c>
      <c r="G1230" t="s">
        <v>3134</v>
      </c>
      <c r="H1230" t="s">
        <v>3165</v>
      </c>
      <c r="J1230" s="455">
        <v>46132</v>
      </c>
      <c r="U1230" s="455">
        <v>46133</v>
      </c>
    </row>
    <row r="1231" spans="1:21">
      <c r="A1231" t="s">
        <v>1751</v>
      </c>
      <c r="B1231" t="s">
        <v>10034</v>
      </c>
      <c r="C1231" t="s">
        <v>1751</v>
      </c>
      <c r="D1231">
        <v>20494178</v>
      </c>
      <c r="E1231" t="s">
        <v>3190</v>
      </c>
      <c r="F1231" t="s">
        <v>1241</v>
      </c>
      <c r="G1231" t="s">
        <v>3134</v>
      </c>
      <c r="H1231" t="s">
        <v>3165</v>
      </c>
      <c r="J1231" s="455">
        <v>46126</v>
      </c>
      <c r="R1231" s="455">
        <v>46139</v>
      </c>
      <c r="U1231" s="455">
        <v>46261</v>
      </c>
    </row>
    <row r="1232" spans="1:21">
      <c r="A1232" t="s">
        <v>1751</v>
      </c>
      <c r="B1232" t="s">
        <v>10035</v>
      </c>
      <c r="C1232" t="s">
        <v>1751</v>
      </c>
      <c r="D1232">
        <v>20420718</v>
      </c>
      <c r="E1232" t="s">
        <v>3190</v>
      </c>
      <c r="F1232" t="s">
        <v>1237</v>
      </c>
      <c r="G1232" t="s">
        <v>3143</v>
      </c>
      <c r="H1232" t="s">
        <v>1248</v>
      </c>
      <c r="I1232" t="s">
        <v>4796</v>
      </c>
      <c r="J1232" s="455">
        <v>46030</v>
      </c>
      <c r="R1232" s="455">
        <v>46114</v>
      </c>
      <c r="U1232" s="455">
        <v>46030</v>
      </c>
    </row>
    <row r="1233" spans="1:21">
      <c r="A1233" t="s">
        <v>1751</v>
      </c>
      <c r="B1233" t="s">
        <v>9345</v>
      </c>
      <c r="C1233" t="s">
        <v>1751</v>
      </c>
      <c r="D1233">
        <v>20472871</v>
      </c>
      <c r="E1233" t="s">
        <v>3190</v>
      </c>
      <c r="F1233" t="s">
        <v>1782</v>
      </c>
      <c r="G1233" t="s">
        <v>3134</v>
      </c>
      <c r="H1233" t="s">
        <v>1252</v>
      </c>
      <c r="J1233" s="455">
        <v>46097</v>
      </c>
      <c r="R1233" s="455">
        <v>46114</v>
      </c>
      <c r="U1233" s="455">
        <v>46113</v>
      </c>
    </row>
    <row r="1234" spans="1:21">
      <c r="A1234" t="s">
        <v>1751</v>
      </c>
      <c r="B1234" t="s">
        <v>9346</v>
      </c>
      <c r="C1234" t="s">
        <v>1751</v>
      </c>
      <c r="D1234">
        <v>20483524</v>
      </c>
      <c r="E1234" t="s">
        <v>3190</v>
      </c>
      <c r="F1234" t="s">
        <v>1243</v>
      </c>
      <c r="G1234" t="s">
        <v>3143</v>
      </c>
      <c r="H1234" t="s">
        <v>1252</v>
      </c>
      <c r="J1234" s="455">
        <v>46111</v>
      </c>
      <c r="R1234" s="455">
        <v>46139</v>
      </c>
      <c r="U1234" s="455">
        <v>46111</v>
      </c>
    </row>
    <row r="1235" spans="1:21">
      <c r="A1235" t="s">
        <v>1751</v>
      </c>
      <c r="B1235" t="s">
        <v>10036</v>
      </c>
      <c r="C1235" t="s">
        <v>1751</v>
      </c>
      <c r="D1235">
        <v>20493156</v>
      </c>
      <c r="E1235" t="s">
        <v>3190</v>
      </c>
      <c r="F1235" t="s">
        <v>1241</v>
      </c>
      <c r="G1235" t="s">
        <v>3129</v>
      </c>
      <c r="H1235" t="s">
        <v>1247</v>
      </c>
      <c r="J1235" s="455">
        <v>46125</v>
      </c>
      <c r="R1235" s="455">
        <v>46125</v>
      </c>
      <c r="U1235" s="455">
        <v>46125</v>
      </c>
    </row>
    <row r="1236" spans="1:21">
      <c r="A1236" t="s">
        <v>1751</v>
      </c>
      <c r="B1236" t="s">
        <v>10037</v>
      </c>
      <c r="C1236" t="s">
        <v>1751</v>
      </c>
      <c r="D1236">
        <v>20420266</v>
      </c>
      <c r="E1236" t="s">
        <v>3190</v>
      </c>
      <c r="F1236" t="s">
        <v>1238</v>
      </c>
      <c r="G1236" t="s">
        <v>3143</v>
      </c>
      <c r="H1236" t="s">
        <v>1251</v>
      </c>
      <c r="J1236" s="455">
        <v>46029</v>
      </c>
      <c r="R1236" s="455">
        <v>46114</v>
      </c>
      <c r="U1236" s="455">
        <v>46029</v>
      </c>
    </row>
    <row r="1237" spans="1:21">
      <c r="A1237" t="s">
        <v>1751</v>
      </c>
      <c r="B1237" t="s">
        <v>8915</v>
      </c>
      <c r="C1237" t="s">
        <v>1751</v>
      </c>
      <c r="D1237">
        <v>20447821</v>
      </c>
      <c r="E1237" t="s">
        <v>3190</v>
      </c>
      <c r="F1237" t="s">
        <v>1241</v>
      </c>
      <c r="G1237" t="s">
        <v>2009</v>
      </c>
      <c r="H1237" t="s">
        <v>1251</v>
      </c>
      <c r="J1237" s="455">
        <v>46065</v>
      </c>
      <c r="R1237" s="455">
        <v>46114</v>
      </c>
      <c r="U1237" s="455">
        <v>46065</v>
      </c>
    </row>
    <row r="1238" spans="1:21">
      <c r="A1238" t="s">
        <v>1751</v>
      </c>
      <c r="B1238" t="s">
        <v>10038</v>
      </c>
      <c r="C1238" t="s">
        <v>1751</v>
      </c>
      <c r="D1238">
        <v>20492867</v>
      </c>
      <c r="E1238" t="s">
        <v>3190</v>
      </c>
      <c r="F1238" t="s">
        <v>1241</v>
      </c>
      <c r="G1238" t="s">
        <v>3134</v>
      </c>
      <c r="H1238" t="s">
        <v>3165</v>
      </c>
      <c r="J1238" s="455">
        <v>46124</v>
      </c>
      <c r="R1238" s="455">
        <v>46139</v>
      </c>
      <c r="U1238" s="455">
        <v>46296</v>
      </c>
    </row>
    <row r="1239" spans="1:21">
      <c r="A1239" t="s">
        <v>1751</v>
      </c>
      <c r="B1239" t="s">
        <v>10039</v>
      </c>
      <c r="C1239" t="s">
        <v>1751</v>
      </c>
      <c r="D1239">
        <v>20512909</v>
      </c>
      <c r="E1239" t="s">
        <v>3128</v>
      </c>
      <c r="F1239" t="s">
        <v>1782</v>
      </c>
      <c r="G1239" t="s">
        <v>3134</v>
      </c>
      <c r="H1239" t="s">
        <v>3165</v>
      </c>
      <c r="J1239" s="455">
        <v>46141</v>
      </c>
      <c r="U1239" s="455">
        <v>46211</v>
      </c>
    </row>
    <row r="1240" spans="1:21">
      <c r="A1240" t="s">
        <v>1751</v>
      </c>
      <c r="B1240" t="s">
        <v>10040</v>
      </c>
      <c r="C1240" t="s">
        <v>1751</v>
      </c>
      <c r="D1240">
        <v>20495624</v>
      </c>
      <c r="E1240" t="s">
        <v>3190</v>
      </c>
      <c r="F1240" t="s">
        <v>1241</v>
      </c>
      <c r="G1240" t="s">
        <v>3134</v>
      </c>
      <c r="H1240" t="s">
        <v>3165</v>
      </c>
      <c r="J1240" s="455">
        <v>46127</v>
      </c>
      <c r="R1240" s="455">
        <v>46139</v>
      </c>
      <c r="U1240" s="455">
        <v>46207</v>
      </c>
    </row>
    <row r="1241" spans="1:21">
      <c r="A1241" t="s">
        <v>1751</v>
      </c>
      <c r="B1241" t="s">
        <v>9347</v>
      </c>
      <c r="C1241" t="s">
        <v>1751</v>
      </c>
      <c r="D1241">
        <v>20471303</v>
      </c>
      <c r="E1241" t="s">
        <v>3190</v>
      </c>
      <c r="F1241" t="s">
        <v>1782</v>
      </c>
      <c r="G1241" t="s">
        <v>3134</v>
      </c>
      <c r="H1241" t="s">
        <v>1252</v>
      </c>
      <c r="J1241" s="455">
        <v>46095</v>
      </c>
      <c r="R1241" s="455">
        <v>46114</v>
      </c>
      <c r="U1241" s="455">
        <v>46101</v>
      </c>
    </row>
    <row r="1242" spans="1:21">
      <c r="A1242" t="s">
        <v>1751</v>
      </c>
      <c r="B1242" t="s">
        <v>9348</v>
      </c>
      <c r="C1242" t="s">
        <v>1751</v>
      </c>
      <c r="D1242">
        <v>20474668</v>
      </c>
      <c r="E1242" t="s">
        <v>3190</v>
      </c>
      <c r="F1242" t="s">
        <v>1241</v>
      </c>
      <c r="G1242" t="s">
        <v>3134</v>
      </c>
      <c r="H1242" t="s">
        <v>1252</v>
      </c>
      <c r="J1242" s="455">
        <v>46099</v>
      </c>
      <c r="R1242" s="455">
        <v>46114</v>
      </c>
      <c r="U1242" s="455">
        <v>46142</v>
      </c>
    </row>
    <row r="1243" spans="1:21">
      <c r="A1243" t="s">
        <v>1751</v>
      </c>
      <c r="B1243" t="s">
        <v>10041</v>
      </c>
      <c r="C1243" t="s">
        <v>1751</v>
      </c>
      <c r="D1243">
        <v>20487735</v>
      </c>
      <c r="E1243" t="s">
        <v>3190</v>
      </c>
      <c r="F1243" t="s">
        <v>1782</v>
      </c>
      <c r="G1243" t="s">
        <v>3134</v>
      </c>
      <c r="H1243" t="s">
        <v>1252</v>
      </c>
      <c r="J1243" s="455">
        <v>46117</v>
      </c>
      <c r="R1243" s="455">
        <v>46139</v>
      </c>
      <c r="U1243" s="455">
        <v>46173</v>
      </c>
    </row>
    <row r="1244" spans="1:21">
      <c r="A1244" t="s">
        <v>1751</v>
      </c>
      <c r="B1244" t="s">
        <v>9349</v>
      </c>
      <c r="C1244" t="s">
        <v>1751</v>
      </c>
      <c r="D1244">
        <v>20463010</v>
      </c>
      <c r="E1244" t="s">
        <v>3190</v>
      </c>
      <c r="F1244" t="s">
        <v>1782</v>
      </c>
      <c r="G1244" t="s">
        <v>3129</v>
      </c>
      <c r="H1244" t="s">
        <v>3131</v>
      </c>
      <c r="J1244" s="455">
        <v>46086</v>
      </c>
      <c r="R1244" s="455">
        <v>46114</v>
      </c>
      <c r="U1244" s="455">
        <v>46147</v>
      </c>
    </row>
    <row r="1245" spans="1:21">
      <c r="A1245" t="s">
        <v>1751</v>
      </c>
      <c r="B1245" t="s">
        <v>10042</v>
      </c>
      <c r="C1245" t="s">
        <v>1751</v>
      </c>
      <c r="D1245">
        <v>20496096</v>
      </c>
      <c r="E1245" t="s">
        <v>3190</v>
      </c>
      <c r="F1245" t="s">
        <v>1237</v>
      </c>
      <c r="G1245" t="s">
        <v>3143</v>
      </c>
      <c r="H1245" t="s">
        <v>1248</v>
      </c>
      <c r="J1245" s="455">
        <v>46127</v>
      </c>
      <c r="R1245" s="455">
        <v>46139</v>
      </c>
      <c r="U1245" s="455">
        <v>46127</v>
      </c>
    </row>
    <row r="1246" spans="1:21">
      <c r="A1246" t="s">
        <v>1751</v>
      </c>
      <c r="B1246" t="s">
        <v>8917</v>
      </c>
      <c r="C1246" t="s">
        <v>1751</v>
      </c>
      <c r="D1246">
        <v>20439284</v>
      </c>
      <c r="E1246" t="s">
        <v>3190</v>
      </c>
      <c r="F1246" t="s">
        <v>1241</v>
      </c>
      <c r="G1246" t="s">
        <v>3129</v>
      </c>
      <c r="H1246" t="s">
        <v>3131</v>
      </c>
      <c r="J1246" s="455">
        <v>46055</v>
      </c>
      <c r="R1246" s="455">
        <v>46114</v>
      </c>
      <c r="U1246" s="455">
        <v>46055</v>
      </c>
    </row>
    <row r="1247" spans="1:21">
      <c r="A1247" t="s">
        <v>1751</v>
      </c>
      <c r="B1247" t="s">
        <v>10043</v>
      </c>
      <c r="C1247" t="s">
        <v>1751</v>
      </c>
      <c r="D1247">
        <v>20513707</v>
      </c>
      <c r="E1247" t="s">
        <v>3128</v>
      </c>
      <c r="F1247" t="s">
        <v>1239</v>
      </c>
      <c r="G1247" t="s">
        <v>2009</v>
      </c>
      <c r="H1247" t="s">
        <v>1252</v>
      </c>
      <c r="J1247" s="455">
        <v>46142</v>
      </c>
      <c r="U1247" s="455">
        <v>46142</v>
      </c>
    </row>
    <row r="1248" spans="1:21">
      <c r="A1248" t="s">
        <v>1751</v>
      </c>
      <c r="B1248" t="s">
        <v>10044</v>
      </c>
      <c r="C1248" t="s">
        <v>1751</v>
      </c>
      <c r="D1248">
        <v>20497315</v>
      </c>
      <c r="E1248" t="s">
        <v>3190</v>
      </c>
      <c r="F1248" t="s">
        <v>1241</v>
      </c>
      <c r="G1248" t="s">
        <v>3129</v>
      </c>
      <c r="H1248" t="s">
        <v>1252</v>
      </c>
      <c r="J1248" s="455">
        <v>46128</v>
      </c>
      <c r="R1248" s="455">
        <v>46139</v>
      </c>
      <c r="U1248" s="455">
        <v>46128</v>
      </c>
    </row>
    <row r="1249" spans="1:21">
      <c r="A1249" t="s">
        <v>1751</v>
      </c>
      <c r="B1249" t="s">
        <v>10045</v>
      </c>
      <c r="C1249" t="s">
        <v>1751</v>
      </c>
      <c r="D1249">
        <v>20504120</v>
      </c>
      <c r="E1249" t="s">
        <v>1907</v>
      </c>
      <c r="F1249" t="s">
        <v>1242</v>
      </c>
      <c r="G1249" t="s">
        <v>3143</v>
      </c>
      <c r="H1249" t="s">
        <v>1249</v>
      </c>
      <c r="I1249" t="s">
        <v>3832</v>
      </c>
      <c r="J1249" s="455">
        <v>46132</v>
      </c>
      <c r="K1249" s="455">
        <v>46134</v>
      </c>
      <c r="L1249" s="455">
        <v>46134</v>
      </c>
      <c r="U1249" s="455">
        <v>46142</v>
      </c>
    </row>
    <row r="1250" spans="1:21">
      <c r="A1250" t="s">
        <v>1751</v>
      </c>
      <c r="B1250" t="s">
        <v>8918</v>
      </c>
      <c r="C1250" t="s">
        <v>1751</v>
      </c>
      <c r="D1250">
        <v>20439510</v>
      </c>
      <c r="E1250" t="s">
        <v>3190</v>
      </c>
      <c r="F1250" t="s">
        <v>1239</v>
      </c>
      <c r="G1250" t="s">
        <v>3143</v>
      </c>
      <c r="H1250" t="s">
        <v>1252</v>
      </c>
      <c r="J1250" s="455">
        <v>46055</v>
      </c>
      <c r="R1250" s="455">
        <v>46114</v>
      </c>
      <c r="U1250" s="455">
        <v>46055</v>
      </c>
    </row>
    <row r="1251" spans="1:21">
      <c r="A1251" t="s">
        <v>1751</v>
      </c>
      <c r="B1251" t="s">
        <v>10046</v>
      </c>
      <c r="C1251" t="s">
        <v>1751</v>
      </c>
      <c r="D1251">
        <v>20510514</v>
      </c>
      <c r="E1251" t="s">
        <v>1897</v>
      </c>
      <c r="F1251" t="s">
        <v>1241</v>
      </c>
      <c r="G1251" t="s">
        <v>3134</v>
      </c>
      <c r="H1251" t="s">
        <v>1247</v>
      </c>
      <c r="I1251" t="s">
        <v>1834</v>
      </c>
      <c r="J1251" s="455">
        <v>46138</v>
      </c>
      <c r="K1251" s="455">
        <v>46138</v>
      </c>
      <c r="U1251" s="455">
        <v>46160</v>
      </c>
    </row>
    <row r="1252" spans="1:21">
      <c r="A1252" t="s">
        <v>1751</v>
      </c>
      <c r="B1252" t="s">
        <v>10047</v>
      </c>
      <c r="C1252" t="s">
        <v>1751</v>
      </c>
      <c r="D1252">
        <v>20495394</v>
      </c>
      <c r="E1252" t="s">
        <v>3190</v>
      </c>
      <c r="F1252" t="s">
        <v>1782</v>
      </c>
      <c r="G1252" t="s">
        <v>3134</v>
      </c>
      <c r="H1252" t="s">
        <v>1252</v>
      </c>
      <c r="J1252" s="455">
        <v>46126</v>
      </c>
      <c r="R1252" s="455">
        <v>46139</v>
      </c>
      <c r="U1252" s="455">
        <v>46147</v>
      </c>
    </row>
    <row r="1253" spans="1:21">
      <c r="A1253" t="s">
        <v>1751</v>
      </c>
      <c r="B1253" t="s">
        <v>6407</v>
      </c>
      <c r="C1253" t="s">
        <v>1751</v>
      </c>
      <c r="D1253">
        <v>20452638</v>
      </c>
      <c r="E1253" t="s">
        <v>3133</v>
      </c>
      <c r="F1253" t="s">
        <v>1782</v>
      </c>
      <c r="G1253" t="s">
        <v>3141</v>
      </c>
      <c r="H1253" t="s">
        <v>1247</v>
      </c>
      <c r="J1253" s="455">
        <v>46071</v>
      </c>
      <c r="K1253" s="455">
        <v>46086</v>
      </c>
      <c r="R1253" s="455">
        <v>46114</v>
      </c>
      <c r="U1253" s="455">
        <v>46102</v>
      </c>
    </row>
    <row r="1254" spans="1:21">
      <c r="A1254" t="s">
        <v>1751</v>
      </c>
      <c r="B1254" t="s">
        <v>10048</v>
      </c>
      <c r="C1254" t="s">
        <v>1751</v>
      </c>
      <c r="D1254">
        <v>20490574</v>
      </c>
      <c r="E1254" t="s">
        <v>3133</v>
      </c>
      <c r="F1254" t="s">
        <v>3285</v>
      </c>
      <c r="G1254" t="s">
        <v>3134</v>
      </c>
      <c r="H1254" t="s">
        <v>1247</v>
      </c>
      <c r="I1254" t="s">
        <v>1571</v>
      </c>
      <c r="J1254" s="455">
        <v>46121</v>
      </c>
      <c r="K1254" s="455">
        <v>46121</v>
      </c>
      <c r="R1254" s="455">
        <v>46136</v>
      </c>
      <c r="U1254" s="455">
        <v>46206</v>
      </c>
    </row>
    <row r="1255" spans="1:21">
      <c r="A1255" t="s">
        <v>1751</v>
      </c>
      <c r="B1255" t="s">
        <v>9351</v>
      </c>
      <c r="C1255" t="s">
        <v>1751</v>
      </c>
      <c r="D1255">
        <v>20482659</v>
      </c>
      <c r="E1255" t="s">
        <v>3133</v>
      </c>
      <c r="F1255" t="s">
        <v>1243</v>
      </c>
      <c r="G1255" t="s">
        <v>3134</v>
      </c>
      <c r="H1255" t="s">
        <v>1247</v>
      </c>
      <c r="I1255" t="s">
        <v>1834</v>
      </c>
      <c r="J1255" s="455">
        <v>46110</v>
      </c>
      <c r="K1255" s="455">
        <v>46110</v>
      </c>
      <c r="L1255" s="455">
        <v>46110</v>
      </c>
      <c r="R1255" s="455">
        <v>46113</v>
      </c>
      <c r="U1255" s="455">
        <v>46115</v>
      </c>
    </row>
    <row r="1256" spans="1:21">
      <c r="A1256" t="s">
        <v>1751</v>
      </c>
      <c r="B1256" t="s">
        <v>2670</v>
      </c>
      <c r="C1256" t="s">
        <v>1751</v>
      </c>
      <c r="D1256">
        <v>20493201</v>
      </c>
      <c r="E1256" t="s">
        <v>3142</v>
      </c>
      <c r="F1256" t="s">
        <v>1243</v>
      </c>
      <c r="G1256" t="s">
        <v>3134</v>
      </c>
      <c r="H1256" t="s">
        <v>1247</v>
      </c>
      <c r="I1256" t="s">
        <v>1967</v>
      </c>
      <c r="J1256" s="455">
        <v>46125</v>
      </c>
      <c r="K1256" s="455">
        <v>46125</v>
      </c>
      <c r="L1256" s="455">
        <v>46125</v>
      </c>
      <c r="M1256" s="455">
        <v>46129</v>
      </c>
      <c r="N1256" s="455">
        <v>46129</v>
      </c>
      <c r="P1256" s="455">
        <v>46130</v>
      </c>
      <c r="Q1256" s="455">
        <v>46131</v>
      </c>
      <c r="U1256" s="455">
        <v>46135</v>
      </c>
    </row>
    <row r="1257" spans="1:21">
      <c r="A1257" t="s">
        <v>1751</v>
      </c>
      <c r="B1257" t="s">
        <v>9352</v>
      </c>
      <c r="C1257" t="s">
        <v>1751</v>
      </c>
      <c r="D1257">
        <v>20479195</v>
      </c>
      <c r="E1257" t="s">
        <v>3190</v>
      </c>
      <c r="F1257" t="s">
        <v>1241</v>
      </c>
      <c r="G1257" t="s">
        <v>3134</v>
      </c>
      <c r="H1257" t="s">
        <v>1252</v>
      </c>
      <c r="J1257" s="455">
        <v>46105</v>
      </c>
      <c r="R1257" s="455">
        <v>46114</v>
      </c>
      <c r="U1257" s="455">
        <v>46117</v>
      </c>
    </row>
    <row r="1258" spans="1:21">
      <c r="A1258" t="s">
        <v>1751</v>
      </c>
      <c r="B1258" t="s">
        <v>3914</v>
      </c>
      <c r="C1258" t="s">
        <v>1751</v>
      </c>
      <c r="D1258">
        <v>20491459</v>
      </c>
      <c r="E1258" t="s">
        <v>1897</v>
      </c>
      <c r="F1258" t="s">
        <v>1241</v>
      </c>
      <c r="G1258" t="s">
        <v>3134</v>
      </c>
      <c r="H1258" t="s">
        <v>1247</v>
      </c>
      <c r="I1258" t="s">
        <v>3013</v>
      </c>
      <c r="J1258" s="455">
        <v>46122</v>
      </c>
      <c r="K1258" s="455">
        <v>46122</v>
      </c>
      <c r="U1258" s="455">
        <v>46225</v>
      </c>
    </row>
    <row r="1259" spans="1:21">
      <c r="A1259" t="s">
        <v>1751</v>
      </c>
      <c r="B1259" t="s">
        <v>9353</v>
      </c>
      <c r="C1259" t="s">
        <v>1751</v>
      </c>
      <c r="D1259">
        <v>20477313</v>
      </c>
      <c r="E1259" t="s">
        <v>3190</v>
      </c>
      <c r="F1259" t="s">
        <v>1241</v>
      </c>
      <c r="G1259" t="s">
        <v>3134</v>
      </c>
      <c r="H1259" t="s">
        <v>1252</v>
      </c>
      <c r="J1259" s="455">
        <v>46102</v>
      </c>
      <c r="R1259" s="455">
        <v>46114</v>
      </c>
      <c r="U1259" s="455">
        <v>46162</v>
      </c>
    </row>
    <row r="1260" spans="1:21">
      <c r="A1260" t="s">
        <v>1751</v>
      </c>
      <c r="B1260" t="s">
        <v>3915</v>
      </c>
      <c r="C1260" t="s">
        <v>1751</v>
      </c>
      <c r="D1260">
        <v>20441516</v>
      </c>
      <c r="E1260" t="s">
        <v>3133</v>
      </c>
      <c r="F1260" t="s">
        <v>1239</v>
      </c>
      <c r="G1260" t="s">
        <v>3134</v>
      </c>
      <c r="H1260" t="s">
        <v>1247</v>
      </c>
      <c r="J1260" s="455">
        <v>46058</v>
      </c>
      <c r="K1260" s="455">
        <v>46058</v>
      </c>
      <c r="R1260" s="455">
        <v>46114</v>
      </c>
      <c r="U1260" s="455">
        <v>46127</v>
      </c>
    </row>
    <row r="1261" spans="1:21">
      <c r="A1261" t="s">
        <v>1751</v>
      </c>
      <c r="B1261" t="s">
        <v>3915</v>
      </c>
      <c r="C1261" t="s">
        <v>1751</v>
      </c>
      <c r="D1261">
        <v>20490537</v>
      </c>
      <c r="E1261" t="s">
        <v>1897</v>
      </c>
      <c r="F1261" t="s">
        <v>3285</v>
      </c>
      <c r="G1261" t="s">
        <v>3134</v>
      </c>
      <c r="H1261" t="s">
        <v>1247</v>
      </c>
      <c r="I1261" t="s">
        <v>1532</v>
      </c>
      <c r="J1261" s="455">
        <v>46120</v>
      </c>
      <c r="K1261" s="455">
        <v>46120</v>
      </c>
      <c r="U1261" s="455">
        <v>46141</v>
      </c>
    </row>
    <row r="1262" spans="1:21">
      <c r="A1262" t="s">
        <v>1751</v>
      </c>
      <c r="B1262" t="s">
        <v>10049</v>
      </c>
      <c r="C1262" t="s">
        <v>1751</v>
      </c>
      <c r="D1262">
        <v>20507649</v>
      </c>
      <c r="E1262" t="s">
        <v>3128</v>
      </c>
      <c r="F1262" t="s">
        <v>1782</v>
      </c>
      <c r="G1262" t="s">
        <v>3129</v>
      </c>
      <c r="H1262" t="s">
        <v>3131</v>
      </c>
      <c r="J1262" s="455">
        <v>46135</v>
      </c>
      <c r="U1262" s="455">
        <v>46135</v>
      </c>
    </row>
    <row r="1263" spans="1:21">
      <c r="A1263" t="s">
        <v>1751</v>
      </c>
      <c r="B1263" t="s">
        <v>3918</v>
      </c>
      <c r="C1263" t="s">
        <v>1751</v>
      </c>
      <c r="D1263">
        <v>20504367</v>
      </c>
      <c r="E1263" t="s">
        <v>1897</v>
      </c>
      <c r="F1263" t="s">
        <v>1241</v>
      </c>
      <c r="G1263" t="s">
        <v>3134</v>
      </c>
      <c r="H1263" t="s">
        <v>1247</v>
      </c>
      <c r="J1263" s="455">
        <v>46133</v>
      </c>
      <c r="K1263" s="455">
        <v>46133</v>
      </c>
      <c r="U1263" s="455">
        <v>46167</v>
      </c>
    </row>
    <row r="1264" spans="1:21">
      <c r="A1264" t="s">
        <v>1751</v>
      </c>
      <c r="B1264" t="s">
        <v>10050</v>
      </c>
      <c r="C1264" t="s">
        <v>1751</v>
      </c>
      <c r="D1264">
        <v>20435984</v>
      </c>
      <c r="E1264" t="s">
        <v>3190</v>
      </c>
      <c r="F1264" t="s">
        <v>1782</v>
      </c>
      <c r="G1264" t="s">
        <v>2009</v>
      </c>
      <c r="H1264" t="s">
        <v>1251</v>
      </c>
      <c r="J1264" s="455">
        <v>46050</v>
      </c>
      <c r="R1264" s="455">
        <v>46114</v>
      </c>
      <c r="U1264" s="455">
        <v>46050</v>
      </c>
    </row>
    <row r="1265" spans="1:21">
      <c r="A1265" t="s">
        <v>1751</v>
      </c>
      <c r="B1265" t="s">
        <v>10051</v>
      </c>
      <c r="C1265" t="s">
        <v>1751</v>
      </c>
      <c r="D1265">
        <v>20501845</v>
      </c>
      <c r="E1265" t="s">
        <v>3128</v>
      </c>
      <c r="F1265" t="s">
        <v>1782</v>
      </c>
      <c r="G1265" t="s">
        <v>3137</v>
      </c>
      <c r="H1265" t="s">
        <v>1252</v>
      </c>
      <c r="J1265" s="455">
        <v>46131</v>
      </c>
      <c r="U1265" s="455">
        <v>46206</v>
      </c>
    </row>
    <row r="1266" spans="1:21">
      <c r="A1266" t="s">
        <v>1751</v>
      </c>
      <c r="B1266" t="s">
        <v>10051</v>
      </c>
      <c r="C1266" t="s">
        <v>1751</v>
      </c>
      <c r="D1266">
        <v>20501846</v>
      </c>
      <c r="E1266" t="s">
        <v>3128</v>
      </c>
      <c r="F1266" t="s">
        <v>1782</v>
      </c>
      <c r="G1266" t="s">
        <v>3134</v>
      </c>
      <c r="H1266" t="s">
        <v>1252</v>
      </c>
      <c r="J1266" s="455">
        <v>46131</v>
      </c>
      <c r="U1266" s="455">
        <v>46206</v>
      </c>
    </row>
    <row r="1267" spans="1:21">
      <c r="A1267" t="s">
        <v>1751</v>
      </c>
      <c r="B1267" t="s">
        <v>10051</v>
      </c>
      <c r="C1267" t="s">
        <v>1751</v>
      </c>
      <c r="D1267">
        <v>20510028</v>
      </c>
      <c r="E1267" t="s">
        <v>3128</v>
      </c>
      <c r="F1267" t="s">
        <v>1782</v>
      </c>
      <c r="G1267" t="s">
        <v>3134</v>
      </c>
      <c r="H1267" t="s">
        <v>1252</v>
      </c>
      <c r="J1267" s="455">
        <v>46137</v>
      </c>
      <c r="U1267" s="455">
        <v>46206</v>
      </c>
    </row>
    <row r="1268" spans="1:21">
      <c r="A1268" t="s">
        <v>1751</v>
      </c>
      <c r="B1268" t="s">
        <v>8921</v>
      </c>
      <c r="C1268" t="s">
        <v>1751</v>
      </c>
      <c r="D1268">
        <v>20444573</v>
      </c>
      <c r="E1268" t="s">
        <v>3190</v>
      </c>
      <c r="F1268" t="s">
        <v>1241</v>
      </c>
      <c r="G1268" t="s">
        <v>2009</v>
      </c>
      <c r="H1268" t="s">
        <v>1247</v>
      </c>
      <c r="J1268" s="455">
        <v>46063</v>
      </c>
      <c r="R1268" s="455">
        <v>46114</v>
      </c>
      <c r="U1268" s="455">
        <v>46113</v>
      </c>
    </row>
    <row r="1269" spans="1:21">
      <c r="A1269" t="s">
        <v>1751</v>
      </c>
      <c r="B1269" t="s">
        <v>6611</v>
      </c>
      <c r="C1269" t="s">
        <v>1751</v>
      </c>
      <c r="D1269">
        <v>20488208</v>
      </c>
      <c r="E1269" t="s">
        <v>3142</v>
      </c>
      <c r="F1269" t="s">
        <v>1799</v>
      </c>
      <c r="G1269" t="s">
        <v>3134</v>
      </c>
      <c r="H1269" t="s">
        <v>1252</v>
      </c>
      <c r="I1269" t="s">
        <v>6610</v>
      </c>
      <c r="J1269" s="455">
        <v>46118</v>
      </c>
      <c r="K1269" s="455">
        <v>46118</v>
      </c>
      <c r="L1269" s="455">
        <v>46126</v>
      </c>
      <c r="M1269" s="455">
        <v>46135</v>
      </c>
      <c r="N1269" s="455">
        <v>46135</v>
      </c>
      <c r="P1269" s="455">
        <v>46135</v>
      </c>
      <c r="Q1269" s="455">
        <v>46136</v>
      </c>
      <c r="U1269" s="455">
        <v>46139</v>
      </c>
    </row>
    <row r="1270" spans="1:21">
      <c r="A1270" t="s">
        <v>1751</v>
      </c>
      <c r="B1270" t="s">
        <v>6611</v>
      </c>
      <c r="C1270" t="s">
        <v>1751</v>
      </c>
      <c r="D1270">
        <v>20484939</v>
      </c>
      <c r="E1270" t="s">
        <v>3190</v>
      </c>
      <c r="F1270" t="s">
        <v>1782</v>
      </c>
      <c r="G1270" t="s">
        <v>3129</v>
      </c>
      <c r="H1270" t="s">
        <v>1248</v>
      </c>
      <c r="I1270" t="s">
        <v>6610</v>
      </c>
      <c r="J1270" s="455">
        <v>46113</v>
      </c>
      <c r="R1270" s="455">
        <v>46114</v>
      </c>
      <c r="U1270" s="455">
        <v>46136</v>
      </c>
    </row>
    <row r="1271" spans="1:21">
      <c r="A1271" t="s">
        <v>1751</v>
      </c>
      <c r="B1271" t="s">
        <v>8922</v>
      </c>
      <c r="C1271" t="s">
        <v>1751</v>
      </c>
      <c r="D1271">
        <v>20449470</v>
      </c>
      <c r="E1271" t="s">
        <v>3190</v>
      </c>
      <c r="F1271" t="s">
        <v>1241</v>
      </c>
      <c r="G1271" t="s">
        <v>3137</v>
      </c>
      <c r="H1271" t="s">
        <v>1247</v>
      </c>
      <c r="J1271" s="455">
        <v>46068</v>
      </c>
      <c r="R1271" s="455">
        <v>46114</v>
      </c>
      <c r="U1271" s="455">
        <v>46113</v>
      </c>
    </row>
    <row r="1272" spans="1:21">
      <c r="A1272" t="s">
        <v>1751</v>
      </c>
      <c r="B1272" t="s">
        <v>10052</v>
      </c>
      <c r="C1272" t="s">
        <v>1751</v>
      </c>
      <c r="D1272">
        <v>20412113</v>
      </c>
      <c r="E1272" t="s">
        <v>3133</v>
      </c>
      <c r="F1272" t="s">
        <v>1239</v>
      </c>
      <c r="G1272" t="s">
        <v>3134</v>
      </c>
      <c r="H1272" t="s">
        <v>1247</v>
      </c>
      <c r="I1272" t="s">
        <v>2713</v>
      </c>
      <c r="J1272" s="455">
        <v>46014</v>
      </c>
      <c r="K1272" s="455">
        <v>46014</v>
      </c>
      <c r="R1272" s="455">
        <v>46114</v>
      </c>
      <c r="U1272" s="455">
        <v>46063</v>
      </c>
    </row>
    <row r="1273" spans="1:21">
      <c r="A1273" t="s">
        <v>1751</v>
      </c>
      <c r="B1273" t="s">
        <v>10053</v>
      </c>
      <c r="C1273" t="s">
        <v>1751</v>
      </c>
      <c r="D1273">
        <v>20486770</v>
      </c>
      <c r="E1273" t="s">
        <v>3190</v>
      </c>
      <c r="F1273" t="s">
        <v>1782</v>
      </c>
      <c r="G1273" t="s">
        <v>3134</v>
      </c>
      <c r="H1273" t="s">
        <v>1252</v>
      </c>
      <c r="J1273" s="455">
        <v>46115</v>
      </c>
      <c r="R1273" s="455">
        <v>46139</v>
      </c>
      <c r="U1273" s="455">
        <v>46122</v>
      </c>
    </row>
    <row r="1274" spans="1:21">
      <c r="A1274" t="s">
        <v>1751</v>
      </c>
      <c r="B1274" t="s">
        <v>8923</v>
      </c>
      <c r="C1274" t="s">
        <v>1751</v>
      </c>
      <c r="D1274">
        <v>20441182</v>
      </c>
      <c r="E1274" t="s">
        <v>3190</v>
      </c>
      <c r="F1274" t="s">
        <v>1241</v>
      </c>
      <c r="G1274" t="s">
        <v>3141</v>
      </c>
      <c r="H1274" t="s">
        <v>1247</v>
      </c>
      <c r="J1274" s="455">
        <v>46057</v>
      </c>
      <c r="R1274" s="455">
        <v>46114</v>
      </c>
      <c r="U1274" s="455">
        <v>46174</v>
      </c>
    </row>
    <row r="1275" spans="1:21">
      <c r="A1275" t="s">
        <v>1751</v>
      </c>
      <c r="B1275" t="s">
        <v>10054</v>
      </c>
      <c r="C1275" t="s">
        <v>1751</v>
      </c>
      <c r="D1275">
        <v>20421887</v>
      </c>
      <c r="E1275" t="s">
        <v>3190</v>
      </c>
      <c r="F1275" t="s">
        <v>1237</v>
      </c>
      <c r="G1275" t="s">
        <v>3141</v>
      </c>
      <c r="H1275" t="s">
        <v>1252</v>
      </c>
      <c r="J1275" s="455">
        <v>46012</v>
      </c>
      <c r="R1275" s="455">
        <v>46114</v>
      </c>
      <c r="U1275" s="455">
        <v>46031</v>
      </c>
    </row>
    <row r="1276" spans="1:21">
      <c r="A1276" t="s">
        <v>1751</v>
      </c>
      <c r="B1276" t="s">
        <v>10055</v>
      </c>
      <c r="C1276" t="s">
        <v>1751</v>
      </c>
      <c r="D1276">
        <v>20424268</v>
      </c>
      <c r="E1276" t="s">
        <v>3190</v>
      </c>
      <c r="F1276" t="s">
        <v>1239</v>
      </c>
      <c r="G1276" t="s">
        <v>3143</v>
      </c>
      <c r="H1276" t="s">
        <v>3165</v>
      </c>
      <c r="J1276" s="455">
        <v>46035</v>
      </c>
      <c r="R1276" s="455">
        <v>46114</v>
      </c>
      <c r="U1276" s="455">
        <v>46035</v>
      </c>
    </row>
    <row r="1277" spans="1:21">
      <c r="A1277" t="s">
        <v>1751</v>
      </c>
      <c r="B1277" t="s">
        <v>8924</v>
      </c>
      <c r="C1277" t="s">
        <v>1751</v>
      </c>
      <c r="D1277">
        <v>20441358</v>
      </c>
      <c r="E1277" t="s">
        <v>3190</v>
      </c>
      <c r="F1277" t="s">
        <v>1782</v>
      </c>
      <c r="G1277" t="s">
        <v>3141</v>
      </c>
      <c r="H1277" t="s">
        <v>1247</v>
      </c>
      <c r="J1277" s="455">
        <v>46058</v>
      </c>
      <c r="R1277" s="455">
        <v>46114</v>
      </c>
      <c r="U1277" s="455">
        <v>46155</v>
      </c>
    </row>
    <row r="1278" spans="1:21">
      <c r="A1278" t="s">
        <v>1751</v>
      </c>
      <c r="B1278" t="s">
        <v>10056</v>
      </c>
      <c r="C1278" t="s">
        <v>1751</v>
      </c>
      <c r="D1278">
        <v>20492639</v>
      </c>
      <c r="E1278" t="s">
        <v>3190</v>
      </c>
      <c r="F1278" t="s">
        <v>1242</v>
      </c>
      <c r="G1278" t="s">
        <v>3143</v>
      </c>
      <c r="H1278" t="s">
        <v>1248</v>
      </c>
      <c r="J1278" s="455">
        <v>46123</v>
      </c>
      <c r="R1278" s="455">
        <v>46139</v>
      </c>
      <c r="U1278" s="455">
        <v>46130</v>
      </c>
    </row>
    <row r="1279" spans="1:21">
      <c r="A1279" t="s">
        <v>1751</v>
      </c>
      <c r="B1279" t="s">
        <v>10057</v>
      </c>
      <c r="C1279" t="s">
        <v>1751</v>
      </c>
      <c r="D1279">
        <v>20500978</v>
      </c>
      <c r="E1279" t="s">
        <v>3190</v>
      </c>
      <c r="F1279" t="s">
        <v>1241</v>
      </c>
      <c r="G1279" t="s">
        <v>3134</v>
      </c>
      <c r="H1279" t="s">
        <v>3165</v>
      </c>
      <c r="J1279" s="455">
        <v>46131</v>
      </c>
      <c r="R1279" s="455">
        <v>46139</v>
      </c>
      <c r="U1279" s="455">
        <v>46270</v>
      </c>
    </row>
    <row r="1280" spans="1:21">
      <c r="A1280" t="s">
        <v>1751</v>
      </c>
      <c r="B1280" t="s">
        <v>9354</v>
      </c>
      <c r="C1280" t="s">
        <v>1751</v>
      </c>
      <c r="D1280">
        <v>20475524</v>
      </c>
      <c r="E1280" t="s">
        <v>3190</v>
      </c>
      <c r="F1280" t="s">
        <v>1241</v>
      </c>
      <c r="G1280" t="s">
        <v>3134</v>
      </c>
      <c r="H1280" t="s">
        <v>1252</v>
      </c>
      <c r="J1280" s="455">
        <v>46099</v>
      </c>
      <c r="R1280" s="455">
        <v>46114</v>
      </c>
      <c r="U1280" s="455">
        <v>46160</v>
      </c>
    </row>
    <row r="1281" spans="1:21">
      <c r="A1281" t="s">
        <v>1751</v>
      </c>
      <c r="B1281" t="s">
        <v>8925</v>
      </c>
      <c r="C1281" t="s">
        <v>1751</v>
      </c>
      <c r="D1281">
        <v>20450443</v>
      </c>
      <c r="E1281" t="s">
        <v>3190</v>
      </c>
      <c r="F1281" t="s">
        <v>1237</v>
      </c>
      <c r="G1281" t="s">
        <v>3137</v>
      </c>
      <c r="H1281" t="s">
        <v>1247</v>
      </c>
      <c r="J1281" s="455">
        <v>46070</v>
      </c>
      <c r="R1281" s="455">
        <v>46114</v>
      </c>
      <c r="U1281" s="455">
        <v>46113</v>
      </c>
    </row>
    <row r="1282" spans="1:21">
      <c r="A1282" t="s">
        <v>1751</v>
      </c>
      <c r="B1282" t="s">
        <v>10058</v>
      </c>
      <c r="C1282" t="s">
        <v>1751</v>
      </c>
      <c r="D1282">
        <v>20495915</v>
      </c>
      <c r="E1282" t="s">
        <v>3190</v>
      </c>
      <c r="F1282" t="s">
        <v>1241</v>
      </c>
      <c r="G1282" t="s">
        <v>3134</v>
      </c>
      <c r="H1282" t="s">
        <v>3165</v>
      </c>
      <c r="J1282" s="455">
        <v>46127</v>
      </c>
      <c r="R1282" s="455">
        <v>46139</v>
      </c>
      <c r="U1282" s="455">
        <v>46128</v>
      </c>
    </row>
    <row r="1283" spans="1:21">
      <c r="A1283" t="s">
        <v>1751</v>
      </c>
      <c r="B1283" t="s">
        <v>8926</v>
      </c>
      <c r="C1283" t="s">
        <v>1751</v>
      </c>
      <c r="D1283">
        <v>20456836</v>
      </c>
      <c r="E1283" t="s">
        <v>3190</v>
      </c>
      <c r="F1283" t="s">
        <v>1239</v>
      </c>
      <c r="G1283" t="s">
        <v>3143</v>
      </c>
      <c r="H1283" t="s">
        <v>1248</v>
      </c>
      <c r="J1283" s="455">
        <v>46077</v>
      </c>
      <c r="R1283" s="455">
        <v>46115</v>
      </c>
      <c r="U1283" s="455">
        <v>46077</v>
      </c>
    </row>
    <row r="1284" spans="1:21">
      <c r="A1284" t="s">
        <v>1751</v>
      </c>
      <c r="B1284" t="s">
        <v>1802</v>
      </c>
      <c r="C1284" t="s">
        <v>1751</v>
      </c>
      <c r="D1284">
        <v>20463160</v>
      </c>
      <c r="E1284" t="s">
        <v>3142</v>
      </c>
      <c r="F1284" t="s">
        <v>1243</v>
      </c>
      <c r="G1284" t="s">
        <v>3143</v>
      </c>
      <c r="H1284" t="s">
        <v>1248</v>
      </c>
      <c r="I1284" t="s">
        <v>3277</v>
      </c>
      <c r="J1284" s="455">
        <v>46086</v>
      </c>
      <c r="K1284" s="455">
        <v>46089</v>
      </c>
      <c r="L1284" s="455">
        <v>46089</v>
      </c>
      <c r="M1284" s="455">
        <v>46093</v>
      </c>
      <c r="N1284" s="455">
        <v>46093</v>
      </c>
      <c r="P1284" s="455">
        <v>46109</v>
      </c>
      <c r="Q1284" s="455">
        <v>46109</v>
      </c>
      <c r="U1284" s="455">
        <v>46137</v>
      </c>
    </row>
    <row r="1285" spans="1:21">
      <c r="A1285" t="s">
        <v>1751</v>
      </c>
      <c r="B1285" t="s">
        <v>10059</v>
      </c>
      <c r="C1285" t="s">
        <v>1751</v>
      </c>
      <c r="D1285">
        <v>20438514</v>
      </c>
      <c r="E1285" t="s">
        <v>3133</v>
      </c>
      <c r="F1285" t="s">
        <v>1237</v>
      </c>
      <c r="G1285" t="s">
        <v>3134</v>
      </c>
      <c r="H1285" t="s">
        <v>1247</v>
      </c>
      <c r="I1285" t="s">
        <v>3997</v>
      </c>
      <c r="J1285" s="455">
        <v>46053</v>
      </c>
      <c r="K1285" s="455">
        <v>46053</v>
      </c>
      <c r="R1285" s="455">
        <v>46114</v>
      </c>
      <c r="U1285" s="455">
        <v>46056</v>
      </c>
    </row>
    <row r="1286" spans="1:21">
      <c r="A1286" t="s">
        <v>1751</v>
      </c>
      <c r="B1286" t="s">
        <v>10060</v>
      </c>
      <c r="C1286" t="s">
        <v>1751</v>
      </c>
      <c r="D1286">
        <v>20497098</v>
      </c>
      <c r="E1286" t="s">
        <v>3190</v>
      </c>
      <c r="F1286" t="s">
        <v>1241</v>
      </c>
      <c r="G1286" t="s">
        <v>3134</v>
      </c>
      <c r="H1286" t="s">
        <v>1252</v>
      </c>
      <c r="J1286" s="455">
        <v>46127</v>
      </c>
      <c r="R1286" s="455">
        <v>46139</v>
      </c>
      <c r="U1286" s="455">
        <v>46184</v>
      </c>
    </row>
    <row r="1287" spans="1:21">
      <c r="A1287" t="s">
        <v>1751</v>
      </c>
      <c r="B1287" t="s">
        <v>9356</v>
      </c>
      <c r="C1287" t="s">
        <v>1751</v>
      </c>
      <c r="D1287">
        <v>20480105</v>
      </c>
      <c r="E1287" t="s">
        <v>3190</v>
      </c>
      <c r="F1287" t="s">
        <v>1241</v>
      </c>
      <c r="G1287" t="s">
        <v>3137</v>
      </c>
      <c r="H1287" t="s">
        <v>1251</v>
      </c>
      <c r="J1287" s="455">
        <v>46106</v>
      </c>
      <c r="R1287" s="455">
        <v>46114</v>
      </c>
      <c r="U1287" s="455">
        <v>46106</v>
      </c>
    </row>
    <row r="1288" spans="1:21">
      <c r="A1288" t="s">
        <v>1751</v>
      </c>
      <c r="B1288" t="s">
        <v>10061</v>
      </c>
      <c r="C1288" t="s">
        <v>1751</v>
      </c>
      <c r="D1288">
        <v>20417285</v>
      </c>
      <c r="E1288" t="s">
        <v>3190</v>
      </c>
      <c r="F1288" t="s">
        <v>1241</v>
      </c>
      <c r="G1288" t="s">
        <v>2009</v>
      </c>
      <c r="H1288" t="s">
        <v>1252</v>
      </c>
      <c r="J1288" s="455">
        <v>46025</v>
      </c>
      <c r="R1288" s="455">
        <v>46114</v>
      </c>
      <c r="U1288" s="455">
        <v>46025</v>
      </c>
    </row>
    <row r="1289" spans="1:21">
      <c r="A1289" t="s">
        <v>1751</v>
      </c>
      <c r="B1289" t="s">
        <v>10062</v>
      </c>
      <c r="C1289" t="s">
        <v>1751</v>
      </c>
      <c r="D1289">
        <v>20485806</v>
      </c>
      <c r="E1289" t="s">
        <v>3190</v>
      </c>
      <c r="F1289" t="s">
        <v>1782</v>
      </c>
      <c r="G1289" t="s">
        <v>3134</v>
      </c>
      <c r="H1289" t="s">
        <v>1252</v>
      </c>
      <c r="J1289" s="455">
        <v>46114</v>
      </c>
      <c r="R1289" s="455">
        <v>46115</v>
      </c>
      <c r="U1289" s="455">
        <v>46114</v>
      </c>
    </row>
    <row r="1290" spans="1:21">
      <c r="A1290" t="s">
        <v>1751</v>
      </c>
      <c r="B1290" t="s">
        <v>9357</v>
      </c>
      <c r="C1290" t="s">
        <v>1751</v>
      </c>
      <c r="D1290">
        <v>20483458</v>
      </c>
      <c r="E1290" t="s">
        <v>3190</v>
      </c>
      <c r="F1290" t="s">
        <v>1241</v>
      </c>
      <c r="G1290" t="s">
        <v>3134</v>
      </c>
      <c r="H1290" t="s">
        <v>1252</v>
      </c>
      <c r="J1290" s="455">
        <v>46111</v>
      </c>
      <c r="R1290" s="455">
        <v>46139</v>
      </c>
      <c r="U1290" s="455">
        <v>46263</v>
      </c>
    </row>
    <row r="1291" spans="1:21">
      <c r="A1291" t="s">
        <v>1751</v>
      </c>
      <c r="B1291" t="s">
        <v>10063</v>
      </c>
      <c r="C1291" t="s">
        <v>1751</v>
      </c>
      <c r="D1291">
        <v>20414571</v>
      </c>
      <c r="E1291" t="s">
        <v>3190</v>
      </c>
      <c r="F1291" t="s">
        <v>1237</v>
      </c>
      <c r="G1291" t="s">
        <v>3129</v>
      </c>
      <c r="H1291" t="s">
        <v>1247</v>
      </c>
      <c r="J1291" s="455">
        <v>46020</v>
      </c>
      <c r="R1291" s="455">
        <v>46114</v>
      </c>
      <c r="U1291" s="455">
        <v>46020</v>
      </c>
    </row>
    <row r="1292" spans="1:21">
      <c r="A1292" t="s">
        <v>1751</v>
      </c>
      <c r="B1292" t="s">
        <v>10064</v>
      </c>
      <c r="C1292" t="s">
        <v>1751</v>
      </c>
      <c r="D1292">
        <v>20414477</v>
      </c>
      <c r="E1292" t="s">
        <v>3133</v>
      </c>
      <c r="F1292" t="s">
        <v>1239</v>
      </c>
      <c r="G1292" t="s">
        <v>3134</v>
      </c>
      <c r="H1292" t="s">
        <v>1249</v>
      </c>
      <c r="I1292" t="s">
        <v>6669</v>
      </c>
      <c r="J1292" s="455">
        <v>46020</v>
      </c>
      <c r="K1292" s="455">
        <v>46020</v>
      </c>
      <c r="R1292" s="455">
        <v>46114</v>
      </c>
      <c r="U1292" s="455">
        <v>46052</v>
      </c>
    </row>
    <row r="1293" spans="1:21">
      <c r="A1293" t="s">
        <v>1751</v>
      </c>
      <c r="B1293" t="s">
        <v>9358</v>
      </c>
      <c r="C1293" t="s">
        <v>1751</v>
      </c>
      <c r="D1293">
        <v>20476851</v>
      </c>
      <c r="E1293" t="s">
        <v>3190</v>
      </c>
      <c r="F1293" t="s">
        <v>1239</v>
      </c>
      <c r="G1293" t="s">
        <v>3143</v>
      </c>
      <c r="H1293" t="s">
        <v>1248</v>
      </c>
      <c r="J1293" s="455">
        <v>46101</v>
      </c>
      <c r="R1293" s="455">
        <v>46114</v>
      </c>
      <c r="U1293" s="455">
        <v>46101</v>
      </c>
    </row>
    <row r="1294" spans="1:21">
      <c r="A1294" t="s">
        <v>1751</v>
      </c>
      <c r="B1294" t="s">
        <v>10065</v>
      </c>
      <c r="C1294" t="s">
        <v>1751</v>
      </c>
      <c r="D1294">
        <v>20509774</v>
      </c>
      <c r="E1294" t="s">
        <v>3128</v>
      </c>
      <c r="F1294" t="s">
        <v>1241</v>
      </c>
      <c r="G1294" t="s">
        <v>2009</v>
      </c>
      <c r="H1294" t="s">
        <v>1248</v>
      </c>
      <c r="J1294" s="455">
        <v>46137</v>
      </c>
      <c r="U1294" s="455">
        <v>46172</v>
      </c>
    </row>
    <row r="1295" spans="1:21">
      <c r="A1295" t="s">
        <v>1751</v>
      </c>
      <c r="B1295" t="s">
        <v>10066</v>
      </c>
      <c r="C1295" t="s">
        <v>1751</v>
      </c>
      <c r="D1295">
        <v>20503661</v>
      </c>
      <c r="E1295" t="s">
        <v>3190</v>
      </c>
      <c r="F1295" t="s">
        <v>1241</v>
      </c>
      <c r="G1295" t="s">
        <v>3143</v>
      </c>
      <c r="H1295" t="s">
        <v>1251</v>
      </c>
      <c r="J1295" s="455">
        <v>46132</v>
      </c>
      <c r="R1295" s="455">
        <v>46139</v>
      </c>
      <c r="U1295" s="455">
        <v>46142</v>
      </c>
    </row>
    <row r="1296" spans="1:21">
      <c r="A1296" t="s">
        <v>1751</v>
      </c>
      <c r="B1296" t="s">
        <v>9359</v>
      </c>
      <c r="C1296" t="s">
        <v>1751</v>
      </c>
      <c r="D1296">
        <v>20483672</v>
      </c>
      <c r="E1296" t="s">
        <v>3190</v>
      </c>
      <c r="F1296" t="s">
        <v>1241</v>
      </c>
      <c r="G1296" t="s">
        <v>3134</v>
      </c>
      <c r="H1296" t="s">
        <v>1252</v>
      </c>
      <c r="J1296" s="455">
        <v>46111</v>
      </c>
      <c r="R1296" s="455">
        <v>46139</v>
      </c>
      <c r="U1296" s="455">
        <v>46122</v>
      </c>
    </row>
    <row r="1297" spans="1:21">
      <c r="A1297" t="s">
        <v>1751</v>
      </c>
      <c r="B1297" t="s">
        <v>8931</v>
      </c>
      <c r="C1297" t="s">
        <v>1751</v>
      </c>
      <c r="D1297">
        <v>20442539</v>
      </c>
      <c r="E1297" t="s">
        <v>3190</v>
      </c>
      <c r="F1297" t="s">
        <v>1241</v>
      </c>
      <c r="G1297" t="s">
        <v>3141</v>
      </c>
      <c r="H1297" t="s">
        <v>1247</v>
      </c>
      <c r="J1297" s="455">
        <v>46059</v>
      </c>
      <c r="R1297" s="455">
        <v>46114</v>
      </c>
      <c r="U1297" s="455">
        <v>46160</v>
      </c>
    </row>
    <row r="1298" spans="1:21">
      <c r="A1298" t="s">
        <v>1751</v>
      </c>
      <c r="B1298" t="s">
        <v>9360</v>
      </c>
      <c r="C1298" t="s">
        <v>1751</v>
      </c>
      <c r="D1298">
        <v>20474170</v>
      </c>
      <c r="E1298" t="s">
        <v>3190</v>
      </c>
      <c r="F1298" t="s">
        <v>1241</v>
      </c>
      <c r="G1298" t="s">
        <v>3134</v>
      </c>
      <c r="H1298" t="s">
        <v>1252</v>
      </c>
      <c r="J1298" s="455">
        <v>46098</v>
      </c>
      <c r="R1298" s="455">
        <v>46114</v>
      </c>
      <c r="U1298" s="455">
        <v>46131</v>
      </c>
    </row>
    <row r="1299" spans="1:21">
      <c r="A1299" t="s">
        <v>1751</v>
      </c>
      <c r="B1299" t="s">
        <v>10067</v>
      </c>
      <c r="C1299" t="s">
        <v>1751</v>
      </c>
      <c r="D1299">
        <v>20509995</v>
      </c>
      <c r="E1299" t="s">
        <v>3128</v>
      </c>
      <c r="F1299" t="s">
        <v>1241</v>
      </c>
      <c r="G1299" t="s">
        <v>2009</v>
      </c>
      <c r="H1299" t="s">
        <v>1247</v>
      </c>
      <c r="J1299" s="455">
        <v>46137</v>
      </c>
      <c r="U1299" s="455">
        <v>46223</v>
      </c>
    </row>
    <row r="1300" spans="1:21">
      <c r="A1300" t="s">
        <v>1751</v>
      </c>
      <c r="B1300" t="s">
        <v>10068</v>
      </c>
      <c r="C1300" t="s">
        <v>1751</v>
      </c>
      <c r="D1300">
        <v>20415325</v>
      </c>
      <c r="E1300" t="s">
        <v>3190</v>
      </c>
      <c r="F1300" t="s">
        <v>1799</v>
      </c>
      <c r="G1300" t="s">
        <v>3143</v>
      </c>
      <c r="H1300" t="s">
        <v>1248</v>
      </c>
      <c r="J1300" s="455">
        <v>46021</v>
      </c>
      <c r="R1300" s="455">
        <v>46114</v>
      </c>
      <c r="U1300" s="455">
        <v>46021</v>
      </c>
    </row>
    <row r="1301" spans="1:21">
      <c r="A1301" t="s">
        <v>1751</v>
      </c>
      <c r="B1301" t="s">
        <v>10069</v>
      </c>
      <c r="C1301" t="s">
        <v>1751</v>
      </c>
      <c r="D1301">
        <v>20496240</v>
      </c>
      <c r="E1301" t="s">
        <v>3190</v>
      </c>
      <c r="F1301" t="s">
        <v>1782</v>
      </c>
      <c r="G1301" t="s">
        <v>3137</v>
      </c>
      <c r="H1301" t="s">
        <v>1247</v>
      </c>
      <c r="J1301" s="455">
        <v>46127</v>
      </c>
      <c r="R1301" s="455">
        <v>46139</v>
      </c>
      <c r="U1301" s="455">
        <v>46127</v>
      </c>
    </row>
    <row r="1302" spans="1:21">
      <c r="A1302" t="s">
        <v>1751</v>
      </c>
      <c r="B1302" t="s">
        <v>3947</v>
      </c>
      <c r="C1302" t="s">
        <v>1751</v>
      </c>
      <c r="D1302">
        <v>20502862</v>
      </c>
      <c r="E1302" t="s">
        <v>1897</v>
      </c>
      <c r="F1302" t="s">
        <v>1799</v>
      </c>
      <c r="G1302" t="s">
        <v>3134</v>
      </c>
      <c r="H1302" t="s">
        <v>1247</v>
      </c>
      <c r="J1302" s="455">
        <v>46132</v>
      </c>
      <c r="K1302" s="455">
        <v>46132</v>
      </c>
      <c r="U1302" s="455">
        <v>46188</v>
      </c>
    </row>
    <row r="1303" spans="1:21">
      <c r="A1303" t="s">
        <v>1751</v>
      </c>
      <c r="B1303" t="s">
        <v>10070</v>
      </c>
      <c r="C1303" t="s">
        <v>1751</v>
      </c>
      <c r="D1303">
        <v>20423433</v>
      </c>
      <c r="E1303" t="s">
        <v>3190</v>
      </c>
      <c r="F1303" t="s">
        <v>1782</v>
      </c>
      <c r="G1303" t="s">
        <v>3129</v>
      </c>
      <c r="H1303" t="s">
        <v>3131</v>
      </c>
      <c r="J1303" s="455">
        <v>46034</v>
      </c>
      <c r="R1303" s="455">
        <v>46114</v>
      </c>
      <c r="U1303" s="455">
        <v>46035</v>
      </c>
    </row>
    <row r="1304" spans="1:21">
      <c r="A1304" t="s">
        <v>1751</v>
      </c>
      <c r="B1304" t="s">
        <v>8933</v>
      </c>
      <c r="C1304" t="s">
        <v>1751</v>
      </c>
      <c r="D1304">
        <v>20449462</v>
      </c>
      <c r="E1304" t="s">
        <v>3190</v>
      </c>
      <c r="F1304" t="s">
        <v>1782</v>
      </c>
      <c r="G1304" t="s">
        <v>2009</v>
      </c>
      <c r="H1304" t="s">
        <v>1247</v>
      </c>
      <c r="J1304" s="455">
        <v>46068</v>
      </c>
      <c r="R1304" s="455">
        <v>46114</v>
      </c>
      <c r="U1304" s="455">
        <v>46082</v>
      </c>
    </row>
    <row r="1305" spans="1:21">
      <c r="A1305" t="s">
        <v>1751</v>
      </c>
      <c r="B1305" t="s">
        <v>10071</v>
      </c>
      <c r="C1305" t="s">
        <v>1751</v>
      </c>
      <c r="D1305">
        <v>20424535</v>
      </c>
      <c r="E1305" t="s">
        <v>3190</v>
      </c>
      <c r="F1305" t="s">
        <v>8652</v>
      </c>
      <c r="G1305" t="s">
        <v>3143</v>
      </c>
      <c r="H1305" t="s">
        <v>1251</v>
      </c>
      <c r="J1305" s="455">
        <v>46035</v>
      </c>
      <c r="R1305" s="455">
        <v>46114</v>
      </c>
      <c r="U1305" s="455">
        <v>46035</v>
      </c>
    </row>
    <row r="1306" spans="1:21">
      <c r="A1306" t="s">
        <v>1751</v>
      </c>
      <c r="B1306" t="s">
        <v>10072</v>
      </c>
      <c r="C1306" t="s">
        <v>1751</v>
      </c>
      <c r="D1306">
        <v>20496576</v>
      </c>
      <c r="E1306" t="s">
        <v>3190</v>
      </c>
      <c r="F1306" t="s">
        <v>1241</v>
      </c>
      <c r="G1306" t="s">
        <v>3141</v>
      </c>
      <c r="H1306" t="s">
        <v>1248</v>
      </c>
      <c r="J1306" s="455">
        <v>46127</v>
      </c>
      <c r="R1306" s="455">
        <v>46139</v>
      </c>
      <c r="U1306" s="455">
        <v>46134</v>
      </c>
    </row>
    <row r="1307" spans="1:21">
      <c r="A1307" t="s">
        <v>1751</v>
      </c>
      <c r="B1307" t="s">
        <v>8935</v>
      </c>
      <c r="C1307" t="s">
        <v>1751</v>
      </c>
      <c r="D1307">
        <v>20458834</v>
      </c>
      <c r="E1307" t="s">
        <v>3190</v>
      </c>
      <c r="F1307" t="s">
        <v>1241</v>
      </c>
      <c r="G1307" t="s">
        <v>2009</v>
      </c>
      <c r="H1307" t="s">
        <v>1251</v>
      </c>
      <c r="I1307" t="s">
        <v>1952</v>
      </c>
      <c r="J1307" s="455">
        <v>46080</v>
      </c>
      <c r="R1307" s="455">
        <v>46114</v>
      </c>
      <c r="U1307" s="455">
        <v>46080</v>
      </c>
    </row>
    <row r="1308" spans="1:21">
      <c r="A1308" t="s">
        <v>1751</v>
      </c>
      <c r="B1308" t="s">
        <v>7168</v>
      </c>
      <c r="C1308" t="s">
        <v>1751</v>
      </c>
      <c r="D1308">
        <v>20498522</v>
      </c>
      <c r="E1308" t="s">
        <v>3142</v>
      </c>
      <c r="F1308" t="s">
        <v>1239</v>
      </c>
      <c r="G1308" t="s">
        <v>3134</v>
      </c>
      <c r="H1308" t="s">
        <v>9069</v>
      </c>
      <c r="I1308" t="s">
        <v>1818</v>
      </c>
      <c r="J1308" s="455">
        <v>46128</v>
      </c>
      <c r="K1308" s="455">
        <v>46128</v>
      </c>
      <c r="L1308" s="455">
        <v>46141</v>
      </c>
      <c r="M1308" s="455">
        <v>46141</v>
      </c>
      <c r="N1308" s="455">
        <v>46141</v>
      </c>
      <c r="P1308" s="455">
        <v>46141</v>
      </c>
      <c r="Q1308" s="455">
        <v>46142</v>
      </c>
      <c r="U1308" s="455">
        <v>46143</v>
      </c>
    </row>
    <row r="1309" spans="1:21">
      <c r="A1309" t="s">
        <v>1751</v>
      </c>
      <c r="B1309" t="s">
        <v>10073</v>
      </c>
      <c r="C1309" t="s">
        <v>1751</v>
      </c>
      <c r="D1309">
        <v>20500048</v>
      </c>
      <c r="E1309" t="s">
        <v>3190</v>
      </c>
      <c r="F1309" t="s">
        <v>1782</v>
      </c>
      <c r="G1309" t="s">
        <v>3141</v>
      </c>
      <c r="H1309" t="s">
        <v>1252</v>
      </c>
      <c r="J1309" s="455">
        <v>46129</v>
      </c>
      <c r="R1309" s="455">
        <v>46139</v>
      </c>
      <c r="U1309" s="455">
        <v>46171</v>
      </c>
    </row>
    <row r="1310" spans="1:21">
      <c r="A1310" t="s">
        <v>1751</v>
      </c>
      <c r="B1310" t="s">
        <v>8936</v>
      </c>
      <c r="C1310" t="s">
        <v>1751</v>
      </c>
      <c r="D1310">
        <v>20439638</v>
      </c>
      <c r="E1310" t="s">
        <v>3190</v>
      </c>
      <c r="F1310" t="s">
        <v>1239</v>
      </c>
      <c r="G1310" t="s">
        <v>3143</v>
      </c>
      <c r="H1310" t="s">
        <v>1248</v>
      </c>
      <c r="J1310" s="455">
        <v>46055</v>
      </c>
      <c r="R1310" s="455">
        <v>46114</v>
      </c>
      <c r="U1310" s="455">
        <v>46055</v>
      </c>
    </row>
    <row r="1311" spans="1:21">
      <c r="A1311" t="s">
        <v>1751</v>
      </c>
      <c r="B1311" t="s">
        <v>9361</v>
      </c>
      <c r="C1311" t="s">
        <v>1751</v>
      </c>
      <c r="D1311">
        <v>20480910</v>
      </c>
      <c r="E1311" t="s">
        <v>1897</v>
      </c>
      <c r="F1311" t="s">
        <v>1242</v>
      </c>
      <c r="G1311" t="s">
        <v>3143</v>
      </c>
      <c r="H1311" t="s">
        <v>1249</v>
      </c>
      <c r="I1311" t="s">
        <v>1917</v>
      </c>
      <c r="J1311" s="455">
        <v>46107</v>
      </c>
      <c r="K1311" s="455">
        <v>46119</v>
      </c>
      <c r="U1311" s="455">
        <v>46143</v>
      </c>
    </row>
    <row r="1312" spans="1:21">
      <c r="A1312" t="s">
        <v>1751</v>
      </c>
      <c r="B1312" t="s">
        <v>10074</v>
      </c>
      <c r="C1312" t="s">
        <v>1751</v>
      </c>
      <c r="D1312">
        <v>20487547</v>
      </c>
      <c r="E1312" t="s">
        <v>3190</v>
      </c>
      <c r="F1312" t="s">
        <v>1782</v>
      </c>
      <c r="G1312" t="s">
        <v>3134</v>
      </c>
      <c r="H1312" t="s">
        <v>1252</v>
      </c>
      <c r="J1312" s="455">
        <v>46117</v>
      </c>
      <c r="R1312" s="455">
        <v>46139</v>
      </c>
      <c r="U1312" s="455">
        <v>46123</v>
      </c>
    </row>
    <row r="1313" spans="1:21">
      <c r="A1313" t="s">
        <v>1751</v>
      </c>
      <c r="B1313" t="s">
        <v>10075</v>
      </c>
      <c r="C1313" t="s">
        <v>1751</v>
      </c>
      <c r="D1313">
        <v>20416774</v>
      </c>
      <c r="E1313" t="s">
        <v>3190</v>
      </c>
      <c r="F1313" t="s">
        <v>1237</v>
      </c>
      <c r="G1313" t="s">
        <v>3143</v>
      </c>
      <c r="H1313" t="s">
        <v>1252</v>
      </c>
      <c r="J1313" s="455">
        <v>46024</v>
      </c>
      <c r="R1313" s="455">
        <v>46114</v>
      </c>
      <c r="U1313" s="455">
        <v>46024</v>
      </c>
    </row>
    <row r="1314" spans="1:21">
      <c r="A1314" t="s">
        <v>1751</v>
      </c>
      <c r="B1314" t="s">
        <v>10076</v>
      </c>
      <c r="C1314" t="s">
        <v>1751</v>
      </c>
      <c r="D1314">
        <v>20417331</v>
      </c>
      <c r="E1314" t="s">
        <v>3190</v>
      </c>
      <c r="F1314" t="s">
        <v>1241</v>
      </c>
      <c r="G1314" t="s">
        <v>3129</v>
      </c>
      <c r="H1314" t="s">
        <v>1253</v>
      </c>
      <c r="J1314" s="455">
        <v>46025</v>
      </c>
      <c r="R1314" s="455">
        <v>46114</v>
      </c>
      <c r="U1314" s="455">
        <v>46025</v>
      </c>
    </row>
    <row r="1315" spans="1:21">
      <c r="A1315" t="s">
        <v>1751</v>
      </c>
      <c r="B1315" t="s">
        <v>10077</v>
      </c>
      <c r="C1315" t="s">
        <v>1751</v>
      </c>
      <c r="D1315">
        <v>20511376</v>
      </c>
      <c r="E1315" t="s">
        <v>3128</v>
      </c>
      <c r="F1315" t="s">
        <v>1782</v>
      </c>
      <c r="G1315" t="s">
        <v>3134</v>
      </c>
      <c r="H1315" t="s">
        <v>1252</v>
      </c>
      <c r="J1315" s="455">
        <v>46139</v>
      </c>
      <c r="U1315" s="455">
        <v>46235</v>
      </c>
    </row>
    <row r="1316" spans="1:21">
      <c r="A1316" t="s">
        <v>1751</v>
      </c>
      <c r="B1316" t="s">
        <v>10078</v>
      </c>
      <c r="C1316" t="s">
        <v>1751</v>
      </c>
      <c r="D1316">
        <v>20504617</v>
      </c>
      <c r="E1316" t="s">
        <v>3128</v>
      </c>
      <c r="F1316" t="s">
        <v>1241</v>
      </c>
      <c r="G1316" t="s">
        <v>3129</v>
      </c>
      <c r="H1316" t="s">
        <v>1252</v>
      </c>
      <c r="J1316" s="455">
        <v>46133</v>
      </c>
      <c r="U1316" s="455">
        <v>46133</v>
      </c>
    </row>
    <row r="1317" spans="1:21">
      <c r="A1317" t="s">
        <v>1751</v>
      </c>
      <c r="B1317" t="s">
        <v>10079</v>
      </c>
      <c r="C1317" t="s">
        <v>1751</v>
      </c>
      <c r="D1317">
        <v>20485940</v>
      </c>
      <c r="E1317" t="s">
        <v>3133</v>
      </c>
      <c r="F1317" t="s">
        <v>1799</v>
      </c>
      <c r="G1317" t="s">
        <v>3129</v>
      </c>
      <c r="H1317" t="s">
        <v>1252</v>
      </c>
      <c r="I1317" t="s">
        <v>1947</v>
      </c>
      <c r="J1317" s="455">
        <v>46114</v>
      </c>
      <c r="K1317" s="455">
        <v>46115</v>
      </c>
      <c r="R1317" s="455">
        <v>46136</v>
      </c>
      <c r="U1317" s="455">
        <v>46130</v>
      </c>
    </row>
    <row r="1318" spans="1:21">
      <c r="A1318" t="s">
        <v>1751</v>
      </c>
      <c r="B1318" t="s">
        <v>9362</v>
      </c>
      <c r="C1318" t="s">
        <v>1751</v>
      </c>
      <c r="D1318">
        <v>20471352</v>
      </c>
      <c r="E1318" t="s">
        <v>3190</v>
      </c>
      <c r="F1318" t="s">
        <v>1782</v>
      </c>
      <c r="G1318" t="s">
        <v>3134</v>
      </c>
      <c r="H1318" t="s">
        <v>1252</v>
      </c>
      <c r="J1318" s="455">
        <v>46095</v>
      </c>
      <c r="R1318" s="455">
        <v>46114</v>
      </c>
      <c r="U1318" s="455">
        <v>46111</v>
      </c>
    </row>
    <row r="1319" spans="1:21">
      <c r="A1319" t="s">
        <v>1751</v>
      </c>
      <c r="B1319" t="s">
        <v>3954</v>
      </c>
      <c r="C1319" t="s">
        <v>1751</v>
      </c>
      <c r="D1319">
        <v>20487463</v>
      </c>
      <c r="E1319" t="s">
        <v>3128</v>
      </c>
      <c r="F1319" t="s">
        <v>1782</v>
      </c>
      <c r="G1319" t="s">
        <v>2009</v>
      </c>
      <c r="H1319" t="s">
        <v>1247</v>
      </c>
      <c r="I1319" t="s">
        <v>1952</v>
      </c>
      <c r="J1319" s="455">
        <v>46117</v>
      </c>
      <c r="U1319" s="455">
        <v>46220</v>
      </c>
    </row>
    <row r="1320" spans="1:21">
      <c r="A1320" t="s">
        <v>1751</v>
      </c>
      <c r="B1320" t="s">
        <v>10080</v>
      </c>
      <c r="C1320" t="s">
        <v>1751</v>
      </c>
      <c r="D1320">
        <v>20490378</v>
      </c>
      <c r="E1320" t="s">
        <v>3190</v>
      </c>
      <c r="F1320" t="s">
        <v>1241</v>
      </c>
      <c r="G1320" t="s">
        <v>3134</v>
      </c>
      <c r="H1320" t="s">
        <v>1252</v>
      </c>
      <c r="J1320" s="455">
        <v>46120</v>
      </c>
      <c r="R1320" s="455">
        <v>46139</v>
      </c>
      <c r="U1320" s="455">
        <v>46121</v>
      </c>
    </row>
    <row r="1321" spans="1:21">
      <c r="A1321" t="s">
        <v>1751</v>
      </c>
      <c r="B1321" t="s">
        <v>10081</v>
      </c>
      <c r="C1321" t="s">
        <v>1751</v>
      </c>
      <c r="D1321">
        <v>20430817</v>
      </c>
      <c r="E1321" t="s">
        <v>3190</v>
      </c>
      <c r="F1321" t="s">
        <v>8652</v>
      </c>
      <c r="G1321" t="s">
        <v>3129</v>
      </c>
      <c r="H1321" t="s">
        <v>1252</v>
      </c>
      <c r="J1321" s="455">
        <v>46042</v>
      </c>
      <c r="R1321" s="455">
        <v>46114</v>
      </c>
      <c r="U1321" s="455">
        <v>46042</v>
      </c>
    </row>
    <row r="1322" spans="1:21">
      <c r="A1322" t="s">
        <v>1751</v>
      </c>
      <c r="B1322" t="s">
        <v>8937</v>
      </c>
      <c r="C1322" t="s">
        <v>1751</v>
      </c>
      <c r="D1322">
        <v>20448263</v>
      </c>
      <c r="E1322" t="s">
        <v>3190</v>
      </c>
      <c r="F1322" t="s">
        <v>1241</v>
      </c>
      <c r="G1322" t="s">
        <v>3129</v>
      </c>
      <c r="H1322" t="s">
        <v>1252</v>
      </c>
      <c r="J1322" s="455">
        <v>46066</v>
      </c>
      <c r="R1322" s="455">
        <v>46114</v>
      </c>
      <c r="U1322" s="455">
        <v>46068</v>
      </c>
    </row>
    <row r="1323" spans="1:21">
      <c r="A1323" t="s">
        <v>1751</v>
      </c>
      <c r="B1323" t="s">
        <v>10082</v>
      </c>
      <c r="C1323" t="s">
        <v>1751</v>
      </c>
      <c r="D1323">
        <v>20424700</v>
      </c>
      <c r="E1323" t="s">
        <v>3190</v>
      </c>
      <c r="F1323" t="s">
        <v>1241</v>
      </c>
      <c r="G1323" t="s">
        <v>3141</v>
      </c>
      <c r="H1323" t="s">
        <v>1253</v>
      </c>
      <c r="J1323" s="455">
        <v>46035</v>
      </c>
      <c r="R1323" s="455">
        <v>46114</v>
      </c>
      <c r="U1323" s="455">
        <v>46045</v>
      </c>
    </row>
    <row r="1324" spans="1:21">
      <c r="A1324" t="s">
        <v>1751</v>
      </c>
      <c r="B1324" t="s">
        <v>10083</v>
      </c>
      <c r="C1324" t="s">
        <v>1751</v>
      </c>
      <c r="D1324">
        <v>20434533</v>
      </c>
      <c r="E1324" t="s">
        <v>3133</v>
      </c>
      <c r="F1324" t="s">
        <v>1237</v>
      </c>
      <c r="G1324" t="s">
        <v>3134</v>
      </c>
      <c r="H1324" t="s">
        <v>1247</v>
      </c>
      <c r="J1324" s="455">
        <v>46047</v>
      </c>
      <c r="K1324" s="455">
        <v>46047</v>
      </c>
      <c r="R1324" s="455">
        <v>46114</v>
      </c>
      <c r="U1324" s="455">
        <v>46081</v>
      </c>
    </row>
    <row r="1325" spans="1:21">
      <c r="A1325" t="s">
        <v>1751</v>
      </c>
      <c r="B1325" t="s">
        <v>10084</v>
      </c>
      <c r="C1325" t="s">
        <v>1751</v>
      </c>
      <c r="D1325">
        <v>20418275</v>
      </c>
      <c r="E1325" t="s">
        <v>3190</v>
      </c>
      <c r="F1325" t="s">
        <v>1241</v>
      </c>
      <c r="G1325" t="s">
        <v>3141</v>
      </c>
      <c r="H1325" t="s">
        <v>1253</v>
      </c>
      <c r="J1325" s="455">
        <v>46027</v>
      </c>
      <c r="R1325" s="455">
        <v>46139</v>
      </c>
      <c r="U1325" s="455">
        <v>46143</v>
      </c>
    </row>
    <row r="1326" spans="1:21">
      <c r="A1326" t="s">
        <v>1751</v>
      </c>
      <c r="B1326" t="s">
        <v>10085</v>
      </c>
      <c r="C1326" t="s">
        <v>1751</v>
      </c>
      <c r="D1326">
        <v>20492896</v>
      </c>
      <c r="E1326" t="s">
        <v>3190</v>
      </c>
      <c r="F1326" t="s">
        <v>1241</v>
      </c>
      <c r="G1326" t="s">
        <v>3134</v>
      </c>
      <c r="H1326" t="s">
        <v>1252</v>
      </c>
      <c r="J1326" s="455">
        <v>46124</v>
      </c>
      <c r="R1326" s="455">
        <v>46139</v>
      </c>
      <c r="U1326" s="455">
        <v>46142</v>
      </c>
    </row>
    <row r="1327" spans="1:21">
      <c r="A1327" t="s">
        <v>1751</v>
      </c>
      <c r="B1327" t="s">
        <v>3955</v>
      </c>
      <c r="C1327" t="s">
        <v>1751</v>
      </c>
      <c r="D1327">
        <v>20505805</v>
      </c>
      <c r="E1327" t="s">
        <v>1897</v>
      </c>
      <c r="F1327" t="s">
        <v>1241</v>
      </c>
      <c r="G1327" t="s">
        <v>2009</v>
      </c>
      <c r="H1327" t="s">
        <v>1252</v>
      </c>
      <c r="J1327" s="455">
        <v>46134</v>
      </c>
      <c r="K1327" s="455">
        <v>46134</v>
      </c>
      <c r="U1327" s="455">
        <v>46188</v>
      </c>
    </row>
    <row r="1328" spans="1:21">
      <c r="A1328" t="s">
        <v>1751</v>
      </c>
      <c r="B1328" t="s">
        <v>9363</v>
      </c>
      <c r="C1328" t="s">
        <v>1751</v>
      </c>
      <c r="D1328">
        <v>20471990</v>
      </c>
      <c r="E1328" t="s">
        <v>3190</v>
      </c>
      <c r="F1328" t="s">
        <v>1241</v>
      </c>
      <c r="G1328" t="s">
        <v>3134</v>
      </c>
      <c r="H1328" t="s">
        <v>1252</v>
      </c>
      <c r="J1328" s="455">
        <v>46096</v>
      </c>
      <c r="R1328" s="455">
        <v>46114</v>
      </c>
      <c r="U1328" s="455">
        <v>46097</v>
      </c>
    </row>
    <row r="1329" spans="1:21">
      <c r="A1329" t="s">
        <v>1751</v>
      </c>
      <c r="B1329" t="s">
        <v>10086</v>
      </c>
      <c r="C1329" t="s">
        <v>1751</v>
      </c>
      <c r="D1329">
        <v>20436334</v>
      </c>
      <c r="E1329" t="s">
        <v>3190</v>
      </c>
      <c r="F1329" t="s">
        <v>1782</v>
      </c>
      <c r="G1329" t="s">
        <v>3129</v>
      </c>
      <c r="H1329" t="s">
        <v>3131</v>
      </c>
      <c r="J1329" s="455">
        <v>46050</v>
      </c>
      <c r="R1329" s="455">
        <v>46114</v>
      </c>
      <c r="U1329" s="455">
        <v>46050</v>
      </c>
    </row>
    <row r="1330" spans="1:21">
      <c r="A1330" t="s">
        <v>1751</v>
      </c>
      <c r="B1330" t="s">
        <v>10087</v>
      </c>
      <c r="C1330" t="s">
        <v>1751</v>
      </c>
      <c r="D1330">
        <v>20500269</v>
      </c>
      <c r="E1330" t="s">
        <v>3190</v>
      </c>
      <c r="F1330" t="s">
        <v>1782</v>
      </c>
      <c r="G1330" t="s">
        <v>3134</v>
      </c>
      <c r="H1330" t="s">
        <v>1252</v>
      </c>
      <c r="J1330" s="455">
        <v>46129</v>
      </c>
      <c r="R1330" s="455">
        <v>46139</v>
      </c>
      <c r="U1330" s="455">
        <v>46143</v>
      </c>
    </row>
    <row r="1331" spans="1:21">
      <c r="A1331" t="s">
        <v>1751</v>
      </c>
      <c r="B1331" t="s">
        <v>10088</v>
      </c>
      <c r="C1331" t="s">
        <v>1751</v>
      </c>
      <c r="D1331">
        <v>20436953</v>
      </c>
      <c r="E1331" t="s">
        <v>3190</v>
      </c>
      <c r="F1331" t="s">
        <v>1238</v>
      </c>
      <c r="G1331" t="s">
        <v>3141</v>
      </c>
      <c r="H1331" t="s">
        <v>1253</v>
      </c>
      <c r="J1331" s="455">
        <v>46051</v>
      </c>
      <c r="R1331" s="455">
        <v>46114</v>
      </c>
      <c r="U1331" s="455">
        <v>46087</v>
      </c>
    </row>
    <row r="1332" spans="1:21">
      <c r="A1332" t="s">
        <v>1751</v>
      </c>
      <c r="B1332" t="s">
        <v>10089</v>
      </c>
      <c r="C1332" t="s">
        <v>1751</v>
      </c>
      <c r="D1332">
        <v>20424070</v>
      </c>
      <c r="E1332" t="s">
        <v>3190</v>
      </c>
      <c r="F1332" t="s">
        <v>8652</v>
      </c>
      <c r="G1332" t="s">
        <v>3143</v>
      </c>
      <c r="H1332" t="s">
        <v>1248</v>
      </c>
      <c r="J1332" s="455">
        <v>46035</v>
      </c>
      <c r="R1332" s="455">
        <v>46114</v>
      </c>
      <c r="U1332" s="455">
        <v>46035</v>
      </c>
    </row>
    <row r="1333" spans="1:21">
      <c r="A1333" t="s">
        <v>1751</v>
      </c>
      <c r="B1333" t="s">
        <v>10090</v>
      </c>
      <c r="C1333" t="s">
        <v>1751</v>
      </c>
      <c r="D1333">
        <v>20510223</v>
      </c>
      <c r="E1333" t="s">
        <v>3128</v>
      </c>
      <c r="F1333" t="s">
        <v>1241</v>
      </c>
      <c r="G1333" t="s">
        <v>3137</v>
      </c>
      <c r="H1333" t="s">
        <v>1252</v>
      </c>
      <c r="J1333" s="455">
        <v>46138</v>
      </c>
      <c r="U1333" s="455">
        <v>46296</v>
      </c>
    </row>
    <row r="1334" spans="1:21">
      <c r="A1334" t="s">
        <v>1751</v>
      </c>
      <c r="B1334" t="s">
        <v>3961</v>
      </c>
      <c r="C1334" t="s">
        <v>1751</v>
      </c>
      <c r="D1334">
        <v>20504653</v>
      </c>
      <c r="E1334" t="s">
        <v>1897</v>
      </c>
      <c r="F1334" t="s">
        <v>1238</v>
      </c>
      <c r="G1334" t="s">
        <v>3134</v>
      </c>
      <c r="H1334" t="s">
        <v>1247</v>
      </c>
      <c r="J1334" s="455">
        <v>46133</v>
      </c>
      <c r="K1334" s="455">
        <v>46133</v>
      </c>
      <c r="U1334" s="455">
        <v>46133</v>
      </c>
    </row>
    <row r="1335" spans="1:21">
      <c r="A1335" t="s">
        <v>1751</v>
      </c>
      <c r="B1335" t="s">
        <v>3965</v>
      </c>
      <c r="C1335" t="s">
        <v>1751</v>
      </c>
      <c r="D1335">
        <v>20458502</v>
      </c>
      <c r="E1335" t="s">
        <v>3190</v>
      </c>
      <c r="F1335" t="s">
        <v>1241</v>
      </c>
      <c r="G1335" t="s">
        <v>3137</v>
      </c>
      <c r="H1335" t="s">
        <v>1247</v>
      </c>
      <c r="J1335" s="455">
        <v>46079</v>
      </c>
      <c r="R1335" s="455">
        <v>46114</v>
      </c>
      <c r="U1335" s="455">
        <v>46110</v>
      </c>
    </row>
    <row r="1336" spans="1:21">
      <c r="A1336" t="s">
        <v>1751</v>
      </c>
      <c r="B1336" t="s">
        <v>10091</v>
      </c>
      <c r="C1336" t="s">
        <v>1751</v>
      </c>
      <c r="D1336">
        <v>20419133</v>
      </c>
      <c r="E1336" t="s">
        <v>3190</v>
      </c>
      <c r="F1336" t="s">
        <v>1239</v>
      </c>
      <c r="G1336" t="s">
        <v>3129</v>
      </c>
      <c r="H1336" t="s">
        <v>1248</v>
      </c>
      <c r="J1336" s="455">
        <v>46028</v>
      </c>
      <c r="R1336" s="455">
        <v>46114</v>
      </c>
      <c r="U1336" s="455">
        <v>46028</v>
      </c>
    </row>
    <row r="1337" spans="1:21">
      <c r="A1337" t="s">
        <v>1751</v>
      </c>
      <c r="B1337" t="s">
        <v>10092</v>
      </c>
      <c r="C1337" t="s">
        <v>1751</v>
      </c>
      <c r="D1337">
        <v>20486594</v>
      </c>
      <c r="E1337" t="s">
        <v>3190</v>
      </c>
      <c r="F1337" t="s">
        <v>1241</v>
      </c>
      <c r="G1337" t="s">
        <v>3129</v>
      </c>
      <c r="H1337" t="s">
        <v>1252</v>
      </c>
      <c r="I1337" t="s">
        <v>1784</v>
      </c>
      <c r="J1337" s="455">
        <v>46115</v>
      </c>
      <c r="R1337" s="455">
        <v>46139</v>
      </c>
      <c r="U1337" s="455">
        <v>46115</v>
      </c>
    </row>
    <row r="1338" spans="1:21">
      <c r="A1338" t="s">
        <v>1751</v>
      </c>
      <c r="B1338" t="s">
        <v>10093</v>
      </c>
      <c r="C1338" t="s">
        <v>1751</v>
      </c>
      <c r="D1338">
        <v>20492782</v>
      </c>
      <c r="E1338" t="s">
        <v>3190</v>
      </c>
      <c r="F1338" t="s">
        <v>1241</v>
      </c>
      <c r="G1338" t="s">
        <v>3134</v>
      </c>
      <c r="H1338" t="s">
        <v>3165</v>
      </c>
      <c r="J1338" s="455">
        <v>46124</v>
      </c>
      <c r="R1338" s="455">
        <v>46139</v>
      </c>
      <c r="U1338" s="455">
        <v>46188</v>
      </c>
    </row>
    <row r="1339" spans="1:21">
      <c r="A1339" t="s">
        <v>1751</v>
      </c>
      <c r="B1339" t="s">
        <v>9364</v>
      </c>
      <c r="C1339" t="s">
        <v>1751</v>
      </c>
      <c r="D1339">
        <v>20475942</v>
      </c>
      <c r="E1339" t="s">
        <v>3190</v>
      </c>
      <c r="F1339" t="s">
        <v>1241</v>
      </c>
      <c r="G1339" t="s">
        <v>3143</v>
      </c>
      <c r="H1339" t="s">
        <v>1248</v>
      </c>
      <c r="J1339" s="455">
        <v>46100</v>
      </c>
      <c r="R1339" s="455">
        <v>46114</v>
      </c>
      <c r="U1339" s="455">
        <v>46143</v>
      </c>
    </row>
    <row r="1340" spans="1:21">
      <c r="A1340" t="s">
        <v>1751</v>
      </c>
      <c r="B1340" t="s">
        <v>10094</v>
      </c>
      <c r="C1340" t="s">
        <v>1751</v>
      </c>
      <c r="D1340">
        <v>20514078</v>
      </c>
      <c r="E1340" t="s">
        <v>3128</v>
      </c>
      <c r="F1340" t="s">
        <v>1241</v>
      </c>
      <c r="G1340" t="s">
        <v>2009</v>
      </c>
      <c r="H1340" t="s">
        <v>1252</v>
      </c>
      <c r="J1340" s="455">
        <v>46142</v>
      </c>
      <c r="U1340" s="455">
        <v>46180</v>
      </c>
    </row>
    <row r="1341" spans="1:21">
      <c r="A1341" t="s">
        <v>1751</v>
      </c>
      <c r="B1341" t="s">
        <v>3971</v>
      </c>
      <c r="C1341" t="s">
        <v>1751</v>
      </c>
      <c r="D1341">
        <v>20471888</v>
      </c>
      <c r="E1341" t="s">
        <v>3190</v>
      </c>
      <c r="F1341" t="s">
        <v>1241</v>
      </c>
      <c r="G1341" t="s">
        <v>3134</v>
      </c>
      <c r="H1341" t="s">
        <v>1252</v>
      </c>
      <c r="J1341" s="455">
        <v>46096</v>
      </c>
      <c r="R1341" s="455">
        <v>46114</v>
      </c>
      <c r="U1341" s="455">
        <v>46128</v>
      </c>
    </row>
    <row r="1342" spans="1:21">
      <c r="A1342" t="s">
        <v>1751</v>
      </c>
      <c r="B1342" t="s">
        <v>10095</v>
      </c>
      <c r="C1342" t="s">
        <v>1751</v>
      </c>
      <c r="D1342">
        <v>20511134</v>
      </c>
      <c r="E1342" t="s">
        <v>3128</v>
      </c>
      <c r="F1342" t="s">
        <v>1782</v>
      </c>
      <c r="G1342" t="s">
        <v>3134</v>
      </c>
      <c r="H1342" t="s">
        <v>1252</v>
      </c>
      <c r="J1342" s="455">
        <v>46139</v>
      </c>
      <c r="U1342" s="455">
        <v>46171</v>
      </c>
    </row>
    <row r="1343" spans="1:21">
      <c r="A1343" t="s">
        <v>1751</v>
      </c>
      <c r="B1343" t="s">
        <v>10096</v>
      </c>
      <c r="C1343" t="s">
        <v>1751</v>
      </c>
      <c r="D1343">
        <v>20487294</v>
      </c>
      <c r="E1343" t="s">
        <v>3190</v>
      </c>
      <c r="F1343" t="s">
        <v>1782</v>
      </c>
      <c r="G1343" t="s">
        <v>3134</v>
      </c>
      <c r="H1343" t="s">
        <v>1252</v>
      </c>
      <c r="J1343" s="455">
        <v>46116</v>
      </c>
      <c r="R1343" s="455">
        <v>46139</v>
      </c>
      <c r="U1343" s="455">
        <v>46204</v>
      </c>
    </row>
    <row r="1344" spans="1:21">
      <c r="A1344" t="s">
        <v>1751</v>
      </c>
      <c r="B1344" t="s">
        <v>10097</v>
      </c>
      <c r="C1344" t="s">
        <v>1751</v>
      </c>
      <c r="D1344">
        <v>20491958</v>
      </c>
      <c r="E1344" t="s">
        <v>3133</v>
      </c>
      <c r="F1344" t="s">
        <v>1242</v>
      </c>
      <c r="G1344" t="s">
        <v>3134</v>
      </c>
      <c r="H1344" t="s">
        <v>1247</v>
      </c>
      <c r="I1344" t="s">
        <v>1827</v>
      </c>
      <c r="J1344" s="455">
        <v>46122</v>
      </c>
      <c r="K1344" s="455">
        <v>46122</v>
      </c>
      <c r="L1344" s="455">
        <v>46122</v>
      </c>
      <c r="R1344" s="455">
        <v>46128</v>
      </c>
      <c r="U1344" s="455">
        <v>46130</v>
      </c>
    </row>
    <row r="1345" spans="1:21">
      <c r="A1345" t="s">
        <v>1751</v>
      </c>
      <c r="B1345" t="s">
        <v>10097</v>
      </c>
      <c r="C1345" t="s">
        <v>1751</v>
      </c>
      <c r="D1345">
        <v>20489516</v>
      </c>
      <c r="E1345" t="s">
        <v>3190</v>
      </c>
      <c r="F1345" t="s">
        <v>1242</v>
      </c>
      <c r="G1345" t="s">
        <v>3134</v>
      </c>
      <c r="H1345" t="s">
        <v>1252</v>
      </c>
      <c r="I1345" t="s">
        <v>6610</v>
      </c>
      <c r="J1345" s="455">
        <v>46119</v>
      </c>
      <c r="R1345" s="455">
        <v>46123</v>
      </c>
      <c r="U1345" s="455">
        <v>46153</v>
      </c>
    </row>
    <row r="1346" spans="1:21">
      <c r="A1346" t="s">
        <v>1751</v>
      </c>
      <c r="B1346" t="s">
        <v>9365</v>
      </c>
      <c r="C1346" t="s">
        <v>1751</v>
      </c>
      <c r="D1346">
        <v>20478172</v>
      </c>
      <c r="E1346" t="s">
        <v>3133</v>
      </c>
      <c r="F1346" t="s">
        <v>1782</v>
      </c>
      <c r="G1346" t="s">
        <v>3134</v>
      </c>
      <c r="H1346" t="s">
        <v>1252</v>
      </c>
      <c r="I1346" t="s">
        <v>1917</v>
      </c>
      <c r="J1346" s="455">
        <v>46104</v>
      </c>
      <c r="K1346" s="455">
        <v>46105</v>
      </c>
      <c r="R1346" s="455">
        <v>46114</v>
      </c>
      <c r="U1346" s="455">
        <v>46134</v>
      </c>
    </row>
    <row r="1347" spans="1:21">
      <c r="A1347" t="s">
        <v>1751</v>
      </c>
      <c r="B1347" t="s">
        <v>10098</v>
      </c>
      <c r="C1347" t="s">
        <v>1751</v>
      </c>
      <c r="D1347">
        <v>20492833</v>
      </c>
      <c r="E1347" t="s">
        <v>3190</v>
      </c>
      <c r="F1347" t="s">
        <v>1241</v>
      </c>
      <c r="G1347" t="s">
        <v>3134</v>
      </c>
      <c r="H1347" t="s">
        <v>3165</v>
      </c>
      <c r="J1347" s="455">
        <v>46124</v>
      </c>
      <c r="R1347" s="455">
        <v>46139</v>
      </c>
      <c r="U1347" s="455">
        <v>46142</v>
      </c>
    </row>
    <row r="1348" spans="1:21">
      <c r="A1348" t="s">
        <v>1751</v>
      </c>
      <c r="B1348" t="s">
        <v>10099</v>
      </c>
      <c r="C1348" t="s">
        <v>1751</v>
      </c>
      <c r="D1348">
        <v>20417632</v>
      </c>
      <c r="E1348" t="s">
        <v>3190</v>
      </c>
      <c r="F1348" t="s">
        <v>1782</v>
      </c>
      <c r="G1348" t="s">
        <v>2009</v>
      </c>
      <c r="H1348" t="s">
        <v>1251</v>
      </c>
      <c r="J1348" s="455">
        <v>46025</v>
      </c>
      <c r="R1348" s="455">
        <v>46114</v>
      </c>
      <c r="U1348" s="455">
        <v>46025</v>
      </c>
    </row>
    <row r="1349" spans="1:21">
      <c r="A1349" t="s">
        <v>1751</v>
      </c>
      <c r="B1349" t="s">
        <v>9366</v>
      </c>
      <c r="C1349" t="s">
        <v>1751</v>
      </c>
      <c r="D1349">
        <v>20483448</v>
      </c>
      <c r="E1349" t="s">
        <v>3133</v>
      </c>
      <c r="F1349" t="s">
        <v>1912</v>
      </c>
      <c r="G1349" t="s">
        <v>3134</v>
      </c>
      <c r="H1349" t="s">
        <v>1247</v>
      </c>
      <c r="I1349" t="s">
        <v>3616</v>
      </c>
      <c r="J1349" s="455">
        <v>46111</v>
      </c>
      <c r="K1349" s="455">
        <v>46111</v>
      </c>
      <c r="R1349" s="455">
        <v>46116</v>
      </c>
      <c r="U1349" s="455">
        <v>46111</v>
      </c>
    </row>
    <row r="1350" spans="1:21">
      <c r="A1350" t="s">
        <v>1751</v>
      </c>
      <c r="B1350" t="s">
        <v>9366</v>
      </c>
      <c r="C1350" t="s">
        <v>1751</v>
      </c>
      <c r="D1350">
        <v>20513710</v>
      </c>
      <c r="E1350" t="s">
        <v>3128</v>
      </c>
      <c r="F1350" t="s">
        <v>1241</v>
      </c>
      <c r="G1350" t="s">
        <v>3141</v>
      </c>
      <c r="H1350" t="s">
        <v>1247</v>
      </c>
      <c r="J1350" s="455">
        <v>46142</v>
      </c>
      <c r="U1350" s="455">
        <v>46163</v>
      </c>
    </row>
    <row r="1351" spans="1:21">
      <c r="A1351" t="s">
        <v>1751</v>
      </c>
      <c r="B1351" t="s">
        <v>10100</v>
      </c>
      <c r="C1351" t="s">
        <v>1751</v>
      </c>
      <c r="D1351">
        <v>20491427</v>
      </c>
      <c r="E1351" t="s">
        <v>3190</v>
      </c>
      <c r="F1351" t="s">
        <v>1241</v>
      </c>
      <c r="G1351" t="s">
        <v>3134</v>
      </c>
      <c r="H1351" t="s">
        <v>1252</v>
      </c>
      <c r="J1351" s="455">
        <v>46122</v>
      </c>
      <c r="R1351" s="455">
        <v>46139</v>
      </c>
      <c r="U1351" s="455">
        <v>46204</v>
      </c>
    </row>
    <row r="1352" spans="1:21">
      <c r="A1352" t="s">
        <v>1751</v>
      </c>
      <c r="B1352" t="s">
        <v>9367</v>
      </c>
      <c r="C1352" t="s">
        <v>1751</v>
      </c>
      <c r="D1352">
        <v>20478278</v>
      </c>
      <c r="E1352" t="s">
        <v>3190</v>
      </c>
      <c r="F1352" t="s">
        <v>1241</v>
      </c>
      <c r="G1352" t="s">
        <v>3141</v>
      </c>
      <c r="H1352" t="s">
        <v>1248</v>
      </c>
      <c r="J1352" s="455">
        <v>46104</v>
      </c>
      <c r="R1352" s="455">
        <v>46114</v>
      </c>
      <c r="U1352" s="455">
        <v>46143</v>
      </c>
    </row>
    <row r="1353" spans="1:21">
      <c r="A1353" t="s">
        <v>1751</v>
      </c>
      <c r="B1353" t="s">
        <v>9368</v>
      </c>
      <c r="C1353" t="s">
        <v>1751</v>
      </c>
      <c r="D1353">
        <v>20476332</v>
      </c>
      <c r="E1353" t="s">
        <v>3190</v>
      </c>
      <c r="F1353" t="s">
        <v>1241</v>
      </c>
      <c r="G1353" t="s">
        <v>3134</v>
      </c>
      <c r="H1353" t="s">
        <v>1252</v>
      </c>
      <c r="J1353" s="455">
        <v>46100</v>
      </c>
      <c r="R1353" s="455">
        <v>46139</v>
      </c>
      <c r="U1353" s="455">
        <v>46144</v>
      </c>
    </row>
    <row r="1354" spans="1:21">
      <c r="A1354" t="s">
        <v>1751</v>
      </c>
      <c r="B1354" t="s">
        <v>10101</v>
      </c>
      <c r="C1354" t="s">
        <v>1751</v>
      </c>
      <c r="D1354">
        <v>20506133</v>
      </c>
      <c r="E1354" t="s">
        <v>3128</v>
      </c>
      <c r="F1354" t="s">
        <v>1782</v>
      </c>
      <c r="G1354" t="s">
        <v>3129</v>
      </c>
      <c r="H1354" t="s">
        <v>3131</v>
      </c>
      <c r="J1354" s="455">
        <v>46134</v>
      </c>
      <c r="U1354" s="455">
        <v>46134</v>
      </c>
    </row>
    <row r="1355" spans="1:21">
      <c r="A1355" t="s">
        <v>1751</v>
      </c>
      <c r="B1355" t="s">
        <v>10102</v>
      </c>
      <c r="C1355" t="s">
        <v>1751</v>
      </c>
      <c r="D1355">
        <v>20432376</v>
      </c>
      <c r="E1355" t="s">
        <v>3190</v>
      </c>
      <c r="F1355" t="s">
        <v>1239</v>
      </c>
      <c r="G1355" t="s">
        <v>3129</v>
      </c>
      <c r="H1355" t="s">
        <v>1253</v>
      </c>
      <c r="J1355" s="455">
        <v>46044</v>
      </c>
      <c r="R1355" s="455">
        <v>46114</v>
      </c>
      <c r="U1355" s="455">
        <v>46053</v>
      </c>
    </row>
    <row r="1356" spans="1:21">
      <c r="A1356" t="s">
        <v>1751</v>
      </c>
      <c r="B1356" t="s">
        <v>9369</v>
      </c>
      <c r="C1356" t="s">
        <v>1751</v>
      </c>
      <c r="D1356">
        <v>20477535</v>
      </c>
      <c r="E1356" t="s">
        <v>3190</v>
      </c>
      <c r="F1356" t="s">
        <v>1782</v>
      </c>
      <c r="G1356" t="s">
        <v>3141</v>
      </c>
      <c r="H1356" t="s">
        <v>1251</v>
      </c>
      <c r="J1356" s="455">
        <v>46102</v>
      </c>
      <c r="R1356" s="455">
        <v>46114</v>
      </c>
      <c r="U1356" s="455">
        <v>46164</v>
      </c>
    </row>
    <row r="1357" spans="1:21">
      <c r="A1357" t="s">
        <v>1751</v>
      </c>
      <c r="B1357" t="s">
        <v>10103</v>
      </c>
      <c r="C1357" t="s">
        <v>1751</v>
      </c>
      <c r="D1357">
        <v>20435701</v>
      </c>
      <c r="E1357" t="s">
        <v>3190</v>
      </c>
      <c r="F1357" t="s">
        <v>1782</v>
      </c>
      <c r="G1357" t="s">
        <v>3129</v>
      </c>
      <c r="H1357" t="s">
        <v>1252</v>
      </c>
      <c r="J1357" s="455">
        <v>46049</v>
      </c>
      <c r="R1357" s="455">
        <v>46114</v>
      </c>
      <c r="U1357" s="455">
        <v>46049</v>
      </c>
    </row>
    <row r="1358" spans="1:21">
      <c r="A1358" t="s">
        <v>1751</v>
      </c>
      <c r="B1358" t="s">
        <v>10104</v>
      </c>
      <c r="C1358" t="s">
        <v>1751</v>
      </c>
      <c r="D1358">
        <v>20487636</v>
      </c>
      <c r="E1358" t="s">
        <v>3190</v>
      </c>
      <c r="F1358" t="s">
        <v>1241</v>
      </c>
      <c r="G1358" t="s">
        <v>3134</v>
      </c>
      <c r="H1358" t="s">
        <v>1252</v>
      </c>
      <c r="I1358" t="s">
        <v>1784</v>
      </c>
      <c r="J1358" s="455">
        <v>46117</v>
      </c>
      <c r="R1358" s="455">
        <v>46139</v>
      </c>
      <c r="U1358" s="455">
        <v>46122</v>
      </c>
    </row>
    <row r="1359" spans="1:21">
      <c r="A1359" t="s">
        <v>1751</v>
      </c>
      <c r="B1359" t="s">
        <v>3980</v>
      </c>
      <c r="C1359" t="s">
        <v>1751</v>
      </c>
      <c r="D1359">
        <v>20486921</v>
      </c>
      <c r="E1359" t="s">
        <v>1897</v>
      </c>
      <c r="F1359" t="s">
        <v>1782</v>
      </c>
      <c r="G1359" t="s">
        <v>3134</v>
      </c>
      <c r="H1359" t="s">
        <v>1252</v>
      </c>
      <c r="J1359" s="455">
        <v>46116</v>
      </c>
      <c r="K1359" s="455">
        <v>46124</v>
      </c>
      <c r="U1359" s="455">
        <v>46143</v>
      </c>
    </row>
    <row r="1360" spans="1:21">
      <c r="A1360" t="s">
        <v>1751</v>
      </c>
      <c r="B1360" t="s">
        <v>3980</v>
      </c>
      <c r="C1360" t="s">
        <v>1751</v>
      </c>
      <c r="D1360">
        <v>20487829</v>
      </c>
      <c r="E1360" t="s">
        <v>1897</v>
      </c>
      <c r="F1360" t="s">
        <v>1241</v>
      </c>
      <c r="G1360" t="s">
        <v>3134</v>
      </c>
      <c r="H1360" t="s">
        <v>1247</v>
      </c>
      <c r="I1360" t="s">
        <v>1784</v>
      </c>
      <c r="J1360" s="455">
        <v>46118</v>
      </c>
      <c r="K1360" s="455">
        <v>46118</v>
      </c>
      <c r="U1360" s="455">
        <v>46118</v>
      </c>
    </row>
    <row r="1361" spans="1:21">
      <c r="A1361" t="s">
        <v>1751</v>
      </c>
      <c r="B1361" t="s">
        <v>10105</v>
      </c>
      <c r="C1361" t="s">
        <v>1751</v>
      </c>
      <c r="D1361">
        <v>20488714</v>
      </c>
      <c r="E1361" t="s">
        <v>3190</v>
      </c>
      <c r="F1361" t="s">
        <v>1782</v>
      </c>
      <c r="G1361" t="s">
        <v>3134</v>
      </c>
      <c r="H1361" t="s">
        <v>1252</v>
      </c>
      <c r="J1361" s="455">
        <v>46118</v>
      </c>
      <c r="R1361" s="455">
        <v>46139</v>
      </c>
      <c r="U1361" s="455">
        <v>46162</v>
      </c>
    </row>
    <row r="1362" spans="1:21">
      <c r="A1362" t="s">
        <v>1751</v>
      </c>
      <c r="B1362" t="s">
        <v>8938</v>
      </c>
      <c r="C1362" t="s">
        <v>1751</v>
      </c>
      <c r="D1362">
        <v>20444577</v>
      </c>
      <c r="E1362" t="s">
        <v>3190</v>
      </c>
      <c r="F1362" t="s">
        <v>1241</v>
      </c>
      <c r="G1362" t="s">
        <v>2009</v>
      </c>
      <c r="H1362" t="s">
        <v>1247</v>
      </c>
      <c r="J1362" s="455">
        <v>46063</v>
      </c>
      <c r="R1362" s="455">
        <v>46114</v>
      </c>
      <c r="U1362" s="455">
        <v>46069</v>
      </c>
    </row>
    <row r="1363" spans="1:21">
      <c r="A1363" t="s">
        <v>1751</v>
      </c>
      <c r="B1363" t="s">
        <v>9370</v>
      </c>
      <c r="C1363" t="s">
        <v>1751</v>
      </c>
      <c r="D1363">
        <v>20463549</v>
      </c>
      <c r="E1363" t="s">
        <v>3190</v>
      </c>
      <c r="F1363" t="s">
        <v>1782</v>
      </c>
      <c r="G1363" t="s">
        <v>3141</v>
      </c>
      <c r="H1363" t="s">
        <v>1247</v>
      </c>
      <c r="J1363" s="455">
        <v>46087</v>
      </c>
      <c r="R1363" s="455">
        <v>46114</v>
      </c>
      <c r="U1363" s="455">
        <v>46107</v>
      </c>
    </row>
    <row r="1364" spans="1:21">
      <c r="A1364" t="s">
        <v>1751</v>
      </c>
      <c r="B1364" t="s">
        <v>10106</v>
      </c>
      <c r="C1364" t="s">
        <v>1751</v>
      </c>
      <c r="D1364">
        <v>20416368</v>
      </c>
      <c r="E1364" t="s">
        <v>3190</v>
      </c>
      <c r="F1364" t="s">
        <v>1241</v>
      </c>
      <c r="G1364" t="s">
        <v>3141</v>
      </c>
      <c r="H1364" t="s">
        <v>1252</v>
      </c>
      <c r="J1364" s="455">
        <v>46023</v>
      </c>
      <c r="R1364" s="455">
        <v>46114</v>
      </c>
      <c r="U1364" s="455">
        <v>46043</v>
      </c>
    </row>
    <row r="1365" spans="1:21">
      <c r="A1365" t="s">
        <v>1751</v>
      </c>
      <c r="B1365" t="s">
        <v>10107</v>
      </c>
      <c r="C1365" t="s">
        <v>1751</v>
      </c>
      <c r="D1365">
        <v>20496393</v>
      </c>
      <c r="E1365" t="s">
        <v>3190</v>
      </c>
      <c r="F1365" t="s">
        <v>1237</v>
      </c>
      <c r="G1365" t="s">
        <v>3141</v>
      </c>
      <c r="H1365" t="s">
        <v>1251</v>
      </c>
      <c r="I1365" t="s">
        <v>3013</v>
      </c>
      <c r="J1365" s="455">
        <v>46127</v>
      </c>
      <c r="R1365" s="455">
        <v>46139</v>
      </c>
      <c r="U1365" s="455">
        <v>46193</v>
      </c>
    </row>
    <row r="1366" spans="1:21">
      <c r="A1366" t="s">
        <v>1751</v>
      </c>
      <c r="B1366" t="s">
        <v>8939</v>
      </c>
      <c r="C1366" t="s">
        <v>1751</v>
      </c>
      <c r="D1366">
        <v>20442594</v>
      </c>
      <c r="E1366" t="s">
        <v>3190</v>
      </c>
      <c r="F1366" t="s">
        <v>1241</v>
      </c>
      <c r="G1366" t="s">
        <v>3141</v>
      </c>
      <c r="H1366" t="s">
        <v>1247</v>
      </c>
      <c r="J1366" s="455">
        <v>46060</v>
      </c>
      <c r="R1366" s="455">
        <v>46114</v>
      </c>
      <c r="U1366" s="455">
        <v>46191</v>
      </c>
    </row>
    <row r="1367" spans="1:21">
      <c r="A1367" t="s">
        <v>1751</v>
      </c>
      <c r="B1367" t="s">
        <v>10108</v>
      </c>
      <c r="C1367" t="s">
        <v>1751</v>
      </c>
      <c r="D1367">
        <v>20493404</v>
      </c>
      <c r="E1367" t="s">
        <v>3190</v>
      </c>
      <c r="F1367" t="s">
        <v>3158</v>
      </c>
      <c r="G1367" t="s">
        <v>3143</v>
      </c>
      <c r="H1367" t="s">
        <v>1248</v>
      </c>
      <c r="J1367" s="455">
        <v>46125</v>
      </c>
      <c r="R1367" s="455">
        <v>46139</v>
      </c>
      <c r="U1367" s="455">
        <v>46125</v>
      </c>
    </row>
    <row r="1368" spans="1:21">
      <c r="A1368" t="s">
        <v>1751</v>
      </c>
      <c r="B1368" t="s">
        <v>9371</v>
      </c>
      <c r="C1368" t="s">
        <v>1751</v>
      </c>
      <c r="D1368">
        <v>20475849</v>
      </c>
      <c r="E1368" t="s">
        <v>3190</v>
      </c>
      <c r="F1368" t="s">
        <v>1782</v>
      </c>
      <c r="G1368" t="s">
        <v>3129</v>
      </c>
      <c r="H1368" t="s">
        <v>3131</v>
      </c>
      <c r="I1368" t="s">
        <v>1831</v>
      </c>
      <c r="J1368" s="455">
        <v>46100</v>
      </c>
      <c r="R1368" s="455">
        <v>46115</v>
      </c>
      <c r="U1368" s="455">
        <v>46100</v>
      </c>
    </row>
    <row r="1369" spans="1:21">
      <c r="A1369" t="s">
        <v>1751</v>
      </c>
      <c r="B1369" t="s">
        <v>9372</v>
      </c>
      <c r="C1369" t="s">
        <v>1751</v>
      </c>
      <c r="D1369">
        <v>20478891</v>
      </c>
      <c r="E1369" t="s">
        <v>3190</v>
      </c>
      <c r="F1369" t="s">
        <v>1237</v>
      </c>
      <c r="G1369" t="s">
        <v>3143</v>
      </c>
      <c r="H1369" t="s">
        <v>3487</v>
      </c>
      <c r="J1369" s="455">
        <v>46105</v>
      </c>
      <c r="R1369" s="455">
        <v>46114</v>
      </c>
      <c r="U1369" s="455">
        <v>46108</v>
      </c>
    </row>
    <row r="1370" spans="1:21">
      <c r="A1370" t="s">
        <v>1751</v>
      </c>
      <c r="B1370" t="s">
        <v>9373</v>
      </c>
      <c r="C1370" t="s">
        <v>1751</v>
      </c>
      <c r="D1370">
        <v>20477356</v>
      </c>
      <c r="E1370" t="s">
        <v>3190</v>
      </c>
      <c r="F1370" t="s">
        <v>1782</v>
      </c>
      <c r="G1370" t="s">
        <v>3134</v>
      </c>
      <c r="H1370" t="s">
        <v>1252</v>
      </c>
      <c r="J1370" s="455">
        <v>46102</v>
      </c>
      <c r="R1370" s="455">
        <v>46114</v>
      </c>
      <c r="U1370" s="455">
        <v>46112</v>
      </c>
    </row>
    <row r="1371" spans="1:21">
      <c r="A1371" t="s">
        <v>1751</v>
      </c>
      <c r="B1371" t="s">
        <v>9374</v>
      </c>
      <c r="C1371" t="s">
        <v>1751</v>
      </c>
      <c r="D1371">
        <v>20468519</v>
      </c>
      <c r="E1371" t="s">
        <v>3190</v>
      </c>
      <c r="F1371" t="s">
        <v>1237</v>
      </c>
      <c r="G1371" t="s">
        <v>3137</v>
      </c>
      <c r="H1371" t="s">
        <v>1251</v>
      </c>
      <c r="J1371" s="455">
        <v>46092</v>
      </c>
      <c r="R1371" s="455">
        <v>46139</v>
      </c>
      <c r="U1371" s="455">
        <v>46113</v>
      </c>
    </row>
    <row r="1372" spans="1:21">
      <c r="A1372" t="s">
        <v>1751</v>
      </c>
      <c r="B1372" t="s">
        <v>9375</v>
      </c>
      <c r="C1372" t="s">
        <v>1751</v>
      </c>
      <c r="D1372">
        <v>20471179</v>
      </c>
      <c r="E1372" t="s">
        <v>3190</v>
      </c>
      <c r="F1372" t="s">
        <v>1782</v>
      </c>
      <c r="G1372" t="s">
        <v>3141</v>
      </c>
      <c r="H1372" t="s">
        <v>1247</v>
      </c>
      <c r="J1372" s="455">
        <v>46094</v>
      </c>
      <c r="R1372" s="455">
        <v>46114</v>
      </c>
      <c r="U1372" s="455">
        <v>46094</v>
      </c>
    </row>
    <row r="1373" spans="1:21">
      <c r="A1373" t="s">
        <v>1751</v>
      </c>
      <c r="B1373" t="s">
        <v>10109</v>
      </c>
      <c r="C1373" t="s">
        <v>1751</v>
      </c>
      <c r="D1373">
        <v>20415041</v>
      </c>
      <c r="E1373" t="s">
        <v>3190</v>
      </c>
      <c r="F1373" t="s">
        <v>1239</v>
      </c>
      <c r="G1373" t="s">
        <v>3129</v>
      </c>
      <c r="H1373" t="s">
        <v>1247</v>
      </c>
      <c r="J1373" s="455">
        <v>46021</v>
      </c>
      <c r="R1373" s="455">
        <v>46114</v>
      </c>
      <c r="U1373" s="455">
        <v>46113</v>
      </c>
    </row>
    <row r="1374" spans="1:21">
      <c r="A1374" t="s">
        <v>1751</v>
      </c>
      <c r="B1374" t="s">
        <v>10110</v>
      </c>
      <c r="C1374" t="s">
        <v>1751</v>
      </c>
      <c r="D1374">
        <v>20491076</v>
      </c>
      <c r="E1374" t="s">
        <v>3190</v>
      </c>
      <c r="F1374" t="s">
        <v>1237</v>
      </c>
      <c r="G1374" t="s">
        <v>3134</v>
      </c>
      <c r="H1374" t="s">
        <v>3165</v>
      </c>
      <c r="J1374" s="455">
        <v>46121</v>
      </c>
      <c r="R1374" s="455">
        <v>46139</v>
      </c>
      <c r="U1374" s="455">
        <v>46142</v>
      </c>
    </row>
    <row r="1375" spans="1:21">
      <c r="A1375" t="s">
        <v>1751</v>
      </c>
      <c r="B1375" t="s">
        <v>10111</v>
      </c>
      <c r="C1375" t="s">
        <v>1751</v>
      </c>
      <c r="D1375">
        <v>20510597</v>
      </c>
      <c r="E1375" t="s">
        <v>3128</v>
      </c>
      <c r="F1375" t="s">
        <v>1237</v>
      </c>
      <c r="G1375" t="s">
        <v>3143</v>
      </c>
      <c r="H1375" t="s">
        <v>1247</v>
      </c>
      <c r="I1375" t="s">
        <v>1780</v>
      </c>
      <c r="J1375" s="455">
        <v>46139</v>
      </c>
      <c r="U1375" s="455">
        <v>46139</v>
      </c>
    </row>
    <row r="1376" spans="1:21">
      <c r="A1376" t="s">
        <v>1751</v>
      </c>
      <c r="B1376" t="s">
        <v>10112</v>
      </c>
      <c r="C1376" t="s">
        <v>1751</v>
      </c>
      <c r="D1376">
        <v>20500933</v>
      </c>
      <c r="E1376" t="s">
        <v>3190</v>
      </c>
      <c r="F1376" t="s">
        <v>1782</v>
      </c>
      <c r="G1376" t="s">
        <v>3134</v>
      </c>
      <c r="H1376" t="s">
        <v>3165</v>
      </c>
      <c r="J1376" s="455">
        <v>46130</v>
      </c>
      <c r="R1376" s="455">
        <v>46139</v>
      </c>
      <c r="U1376" s="455">
        <v>46171</v>
      </c>
    </row>
    <row r="1377" spans="1:21">
      <c r="A1377" t="s">
        <v>1751</v>
      </c>
      <c r="B1377" t="s">
        <v>2402</v>
      </c>
      <c r="C1377" t="s">
        <v>1751</v>
      </c>
      <c r="D1377">
        <v>20508584</v>
      </c>
      <c r="E1377" t="s">
        <v>3133</v>
      </c>
      <c r="F1377" t="s">
        <v>1237</v>
      </c>
      <c r="G1377" t="s">
        <v>3137</v>
      </c>
      <c r="H1377" t="s">
        <v>1247</v>
      </c>
      <c r="I1377" t="s">
        <v>1554</v>
      </c>
      <c r="J1377" s="455">
        <v>46135</v>
      </c>
      <c r="K1377" s="455">
        <v>46137</v>
      </c>
      <c r="R1377" s="455">
        <v>46137</v>
      </c>
      <c r="U1377" s="455">
        <v>46148</v>
      </c>
    </row>
    <row r="1378" spans="1:21">
      <c r="A1378" t="s">
        <v>1751</v>
      </c>
      <c r="B1378" t="s">
        <v>2402</v>
      </c>
      <c r="C1378" t="s">
        <v>1751</v>
      </c>
      <c r="D1378">
        <v>20509560</v>
      </c>
      <c r="E1378" t="s">
        <v>1907</v>
      </c>
      <c r="F1378" t="s">
        <v>1237</v>
      </c>
      <c r="G1378" t="s">
        <v>3134</v>
      </c>
      <c r="H1378" t="s">
        <v>1247</v>
      </c>
      <c r="I1378" t="s">
        <v>1554</v>
      </c>
      <c r="J1378" s="455">
        <v>46137</v>
      </c>
      <c r="K1378" s="455">
        <v>46137</v>
      </c>
      <c r="L1378" s="455">
        <v>46139</v>
      </c>
      <c r="O1378" s="455">
        <v>46148</v>
      </c>
      <c r="U1378" s="455">
        <v>46148</v>
      </c>
    </row>
    <row r="1379" spans="1:21">
      <c r="A1379" t="s">
        <v>1751</v>
      </c>
      <c r="B1379" t="s">
        <v>2402</v>
      </c>
      <c r="C1379" t="s">
        <v>1751</v>
      </c>
      <c r="D1379">
        <v>20420989</v>
      </c>
      <c r="E1379" t="s">
        <v>3133</v>
      </c>
      <c r="F1379" t="s">
        <v>1239</v>
      </c>
      <c r="G1379" t="s">
        <v>3134</v>
      </c>
      <c r="H1379" t="s">
        <v>1247</v>
      </c>
      <c r="J1379" s="455">
        <v>46030</v>
      </c>
      <c r="K1379" s="455">
        <v>46030</v>
      </c>
      <c r="R1379" s="455">
        <v>46114</v>
      </c>
      <c r="U1379" s="455">
        <v>46081</v>
      </c>
    </row>
    <row r="1380" spans="1:21">
      <c r="A1380" t="s">
        <v>1751</v>
      </c>
      <c r="B1380" t="s">
        <v>2402</v>
      </c>
      <c r="C1380" t="s">
        <v>1751</v>
      </c>
      <c r="D1380">
        <v>20508583</v>
      </c>
      <c r="E1380" t="s">
        <v>3128</v>
      </c>
      <c r="F1380" t="s">
        <v>1237</v>
      </c>
      <c r="G1380" t="s">
        <v>3141</v>
      </c>
      <c r="H1380" t="s">
        <v>1247</v>
      </c>
      <c r="J1380" s="455">
        <v>46135</v>
      </c>
      <c r="U1380" s="455">
        <v>46136</v>
      </c>
    </row>
    <row r="1381" spans="1:21">
      <c r="A1381" t="s">
        <v>1751</v>
      </c>
      <c r="B1381" t="s">
        <v>2402</v>
      </c>
      <c r="C1381" t="s">
        <v>1751</v>
      </c>
      <c r="D1381">
        <v>20500380</v>
      </c>
      <c r="E1381" t="s">
        <v>3190</v>
      </c>
      <c r="F1381" t="s">
        <v>1782</v>
      </c>
      <c r="G1381" t="s">
        <v>3141</v>
      </c>
      <c r="H1381" t="s">
        <v>1247</v>
      </c>
      <c r="J1381" s="455">
        <v>46129</v>
      </c>
      <c r="R1381" s="455">
        <v>46139</v>
      </c>
      <c r="U1381" s="455">
        <v>46143</v>
      </c>
    </row>
    <row r="1382" spans="1:21">
      <c r="A1382" t="s">
        <v>1751</v>
      </c>
      <c r="B1382" t="s">
        <v>2402</v>
      </c>
      <c r="C1382" t="s">
        <v>1751</v>
      </c>
      <c r="D1382">
        <v>20510815</v>
      </c>
      <c r="E1382" t="s">
        <v>1897</v>
      </c>
      <c r="F1382" t="s">
        <v>1782</v>
      </c>
      <c r="G1382" t="s">
        <v>3134</v>
      </c>
      <c r="H1382" t="s">
        <v>1247</v>
      </c>
      <c r="I1382" t="s">
        <v>3363</v>
      </c>
      <c r="J1382" s="455">
        <v>46139</v>
      </c>
      <c r="K1382" s="455">
        <v>46139</v>
      </c>
      <c r="U1382" s="455">
        <v>46148</v>
      </c>
    </row>
    <row r="1383" spans="1:21">
      <c r="A1383" t="s">
        <v>1751</v>
      </c>
      <c r="B1383" t="s">
        <v>2402</v>
      </c>
      <c r="C1383" t="s">
        <v>1751</v>
      </c>
      <c r="D1383">
        <v>20505193</v>
      </c>
      <c r="E1383" t="s">
        <v>1897</v>
      </c>
      <c r="F1383" t="s">
        <v>1238</v>
      </c>
      <c r="G1383" t="s">
        <v>3134</v>
      </c>
      <c r="H1383" t="s">
        <v>1247</v>
      </c>
      <c r="J1383" s="455">
        <v>46133</v>
      </c>
      <c r="K1383" s="455">
        <v>46133</v>
      </c>
      <c r="U1383" s="455">
        <v>46133</v>
      </c>
    </row>
    <row r="1384" spans="1:21">
      <c r="A1384" t="s">
        <v>1751</v>
      </c>
      <c r="B1384" t="s">
        <v>8940</v>
      </c>
      <c r="C1384" t="s">
        <v>1751</v>
      </c>
      <c r="D1384">
        <v>20455225</v>
      </c>
      <c r="E1384" t="s">
        <v>3190</v>
      </c>
      <c r="F1384" t="s">
        <v>1241</v>
      </c>
      <c r="G1384" t="s">
        <v>3137</v>
      </c>
      <c r="H1384" t="s">
        <v>1251</v>
      </c>
      <c r="J1384" s="455">
        <v>46075</v>
      </c>
      <c r="R1384" s="455">
        <v>46114</v>
      </c>
      <c r="U1384" s="455">
        <v>46075</v>
      </c>
    </row>
    <row r="1385" spans="1:21">
      <c r="A1385" t="s">
        <v>1751</v>
      </c>
      <c r="B1385" t="s">
        <v>9376</v>
      </c>
      <c r="C1385" t="s">
        <v>1751</v>
      </c>
      <c r="D1385">
        <v>20479832</v>
      </c>
      <c r="E1385" t="s">
        <v>3190</v>
      </c>
      <c r="F1385" t="s">
        <v>1782</v>
      </c>
      <c r="G1385" t="s">
        <v>3141</v>
      </c>
      <c r="H1385" t="s">
        <v>1248</v>
      </c>
      <c r="J1385" s="455">
        <v>46106</v>
      </c>
      <c r="R1385" s="455">
        <v>46114</v>
      </c>
      <c r="U1385" s="455">
        <v>46106</v>
      </c>
    </row>
    <row r="1386" spans="1:21">
      <c r="A1386" t="s">
        <v>1751</v>
      </c>
      <c r="B1386" t="s">
        <v>9377</v>
      </c>
      <c r="C1386" t="s">
        <v>1751</v>
      </c>
      <c r="D1386">
        <v>20477945</v>
      </c>
      <c r="E1386" t="s">
        <v>3190</v>
      </c>
      <c r="F1386" t="s">
        <v>1237</v>
      </c>
      <c r="G1386" t="s">
        <v>3143</v>
      </c>
      <c r="H1386" t="s">
        <v>1251</v>
      </c>
      <c r="I1386" t="s">
        <v>1780</v>
      </c>
      <c r="J1386" s="455">
        <v>46103</v>
      </c>
      <c r="R1386" s="455">
        <v>46116</v>
      </c>
      <c r="U1386" s="455">
        <v>46103</v>
      </c>
    </row>
    <row r="1387" spans="1:21">
      <c r="A1387" t="s">
        <v>1751</v>
      </c>
      <c r="B1387" t="s">
        <v>10113</v>
      </c>
      <c r="C1387" t="s">
        <v>1751</v>
      </c>
      <c r="D1387">
        <v>20490949</v>
      </c>
      <c r="E1387" t="s">
        <v>3190</v>
      </c>
      <c r="F1387" t="s">
        <v>1241</v>
      </c>
      <c r="G1387" t="s">
        <v>3134</v>
      </c>
      <c r="H1387" t="s">
        <v>1252</v>
      </c>
      <c r="J1387" s="455">
        <v>46121</v>
      </c>
      <c r="R1387" s="455">
        <v>46139</v>
      </c>
      <c r="U1387" s="455">
        <v>46154</v>
      </c>
    </row>
    <row r="1388" spans="1:21">
      <c r="A1388" t="s">
        <v>1751</v>
      </c>
      <c r="B1388" t="s">
        <v>10114</v>
      </c>
      <c r="C1388" t="s">
        <v>1751</v>
      </c>
      <c r="D1388">
        <v>20504302</v>
      </c>
      <c r="E1388" t="s">
        <v>3128</v>
      </c>
      <c r="F1388" t="s">
        <v>1241</v>
      </c>
      <c r="G1388" t="s">
        <v>3134</v>
      </c>
      <c r="H1388" t="s">
        <v>1252</v>
      </c>
      <c r="J1388" s="455">
        <v>46132</v>
      </c>
      <c r="U1388" s="455">
        <v>46134</v>
      </c>
    </row>
    <row r="1389" spans="1:21">
      <c r="A1389" t="s">
        <v>1751</v>
      </c>
      <c r="B1389" t="s">
        <v>8941</v>
      </c>
      <c r="C1389" t="s">
        <v>1751</v>
      </c>
      <c r="D1389">
        <v>20439220</v>
      </c>
      <c r="E1389" t="s">
        <v>3190</v>
      </c>
      <c r="F1389" t="s">
        <v>1238</v>
      </c>
      <c r="G1389" t="s">
        <v>3129</v>
      </c>
      <c r="H1389" t="s">
        <v>1252</v>
      </c>
      <c r="J1389" s="455">
        <v>46055</v>
      </c>
      <c r="R1389" s="455">
        <v>46114</v>
      </c>
      <c r="U1389" s="455">
        <v>46060</v>
      </c>
    </row>
    <row r="1390" spans="1:21">
      <c r="A1390" t="s">
        <v>1751</v>
      </c>
      <c r="B1390" t="s">
        <v>10115</v>
      </c>
      <c r="C1390" t="s">
        <v>1751</v>
      </c>
      <c r="D1390">
        <v>20487991</v>
      </c>
      <c r="E1390" t="s">
        <v>3190</v>
      </c>
      <c r="F1390" t="s">
        <v>1782</v>
      </c>
      <c r="G1390" t="s">
        <v>3134</v>
      </c>
      <c r="H1390" t="s">
        <v>1252</v>
      </c>
      <c r="J1390" s="455">
        <v>46118</v>
      </c>
      <c r="R1390" s="455">
        <v>46139</v>
      </c>
      <c r="U1390" s="455">
        <v>46122</v>
      </c>
    </row>
    <row r="1391" spans="1:21">
      <c r="A1391" t="s">
        <v>1751</v>
      </c>
      <c r="B1391" t="s">
        <v>10116</v>
      </c>
      <c r="C1391" t="s">
        <v>1751</v>
      </c>
      <c r="D1391">
        <v>20511908</v>
      </c>
      <c r="E1391" t="s">
        <v>3128</v>
      </c>
      <c r="F1391" t="s">
        <v>1782</v>
      </c>
      <c r="G1391" t="s">
        <v>3129</v>
      </c>
      <c r="H1391" t="s">
        <v>3131</v>
      </c>
      <c r="J1391" s="455">
        <v>46140</v>
      </c>
      <c r="U1391" s="455">
        <v>46140</v>
      </c>
    </row>
    <row r="1392" spans="1:21">
      <c r="A1392" t="s">
        <v>1751</v>
      </c>
      <c r="B1392" t="s">
        <v>9378</v>
      </c>
      <c r="C1392" t="s">
        <v>1751</v>
      </c>
      <c r="D1392">
        <v>20470548</v>
      </c>
      <c r="E1392" t="s">
        <v>3190</v>
      </c>
      <c r="F1392" t="s">
        <v>1782</v>
      </c>
      <c r="G1392" t="s">
        <v>3134</v>
      </c>
      <c r="H1392" t="s">
        <v>1252</v>
      </c>
      <c r="J1392" s="455">
        <v>46093</v>
      </c>
      <c r="R1392" s="455">
        <v>46114</v>
      </c>
      <c r="U1392" s="455">
        <v>46119</v>
      </c>
    </row>
    <row r="1393" spans="1:21">
      <c r="A1393" t="s">
        <v>1751</v>
      </c>
      <c r="B1393" t="s">
        <v>9379</v>
      </c>
      <c r="C1393" t="s">
        <v>1751</v>
      </c>
      <c r="D1393">
        <v>20465440</v>
      </c>
      <c r="E1393" t="s">
        <v>3190</v>
      </c>
      <c r="F1393" t="s">
        <v>1241</v>
      </c>
      <c r="G1393" t="s">
        <v>2009</v>
      </c>
      <c r="H1393" t="s">
        <v>1251</v>
      </c>
      <c r="J1393" s="455">
        <v>46090</v>
      </c>
      <c r="R1393" s="455">
        <v>46114</v>
      </c>
      <c r="U1393" s="455">
        <v>46090</v>
      </c>
    </row>
    <row r="1394" spans="1:21">
      <c r="A1394" t="s">
        <v>1751</v>
      </c>
      <c r="B1394" t="s">
        <v>9380</v>
      </c>
      <c r="C1394" t="s">
        <v>1751</v>
      </c>
      <c r="D1394">
        <v>20464008</v>
      </c>
      <c r="E1394" t="s">
        <v>3190</v>
      </c>
      <c r="F1394" t="s">
        <v>1782</v>
      </c>
      <c r="G1394" t="s">
        <v>3141</v>
      </c>
      <c r="H1394" t="s">
        <v>1251</v>
      </c>
      <c r="J1394" s="455">
        <v>46087</v>
      </c>
      <c r="R1394" s="455">
        <v>46114</v>
      </c>
      <c r="U1394" s="455">
        <v>46088</v>
      </c>
    </row>
    <row r="1395" spans="1:21">
      <c r="A1395" t="s">
        <v>1751</v>
      </c>
      <c r="B1395" t="s">
        <v>10117</v>
      </c>
      <c r="C1395" t="s">
        <v>1751</v>
      </c>
      <c r="D1395">
        <v>20494175</v>
      </c>
      <c r="E1395" t="s">
        <v>3190</v>
      </c>
      <c r="F1395" t="s">
        <v>1782</v>
      </c>
      <c r="G1395" t="s">
        <v>3134</v>
      </c>
      <c r="H1395" t="s">
        <v>1252</v>
      </c>
      <c r="J1395" s="455">
        <v>46126</v>
      </c>
      <c r="R1395" s="455">
        <v>46139</v>
      </c>
      <c r="U1395" s="455">
        <v>46174</v>
      </c>
    </row>
    <row r="1396" spans="1:21">
      <c r="A1396" t="s">
        <v>1751</v>
      </c>
      <c r="B1396" t="s">
        <v>10118</v>
      </c>
      <c r="C1396" t="s">
        <v>1751</v>
      </c>
      <c r="D1396">
        <v>20511983</v>
      </c>
      <c r="E1396" t="s">
        <v>3128</v>
      </c>
      <c r="F1396" t="s">
        <v>1242</v>
      </c>
      <c r="G1396" t="s">
        <v>2009</v>
      </c>
      <c r="H1396" t="s">
        <v>1251</v>
      </c>
      <c r="J1396" s="455">
        <v>46140</v>
      </c>
      <c r="U1396" s="455">
        <v>46179</v>
      </c>
    </row>
    <row r="1397" spans="1:21">
      <c r="A1397" t="s">
        <v>1751</v>
      </c>
      <c r="B1397" t="s">
        <v>3994</v>
      </c>
      <c r="C1397" t="s">
        <v>1751</v>
      </c>
      <c r="D1397">
        <v>20499566</v>
      </c>
      <c r="E1397" t="s">
        <v>1897</v>
      </c>
      <c r="F1397" t="s">
        <v>1241</v>
      </c>
      <c r="G1397" t="s">
        <v>3134</v>
      </c>
      <c r="H1397" t="s">
        <v>1247</v>
      </c>
      <c r="I1397" t="s">
        <v>1532</v>
      </c>
      <c r="J1397" s="455">
        <v>46129</v>
      </c>
      <c r="K1397" s="455">
        <v>46129</v>
      </c>
      <c r="U1397" s="455">
        <v>46129</v>
      </c>
    </row>
    <row r="1398" spans="1:21">
      <c r="A1398" t="s">
        <v>1751</v>
      </c>
      <c r="B1398" t="s">
        <v>10119</v>
      </c>
      <c r="C1398" t="s">
        <v>1751</v>
      </c>
      <c r="D1398">
        <v>20500928</v>
      </c>
      <c r="E1398" t="s">
        <v>3190</v>
      </c>
      <c r="F1398" t="s">
        <v>1782</v>
      </c>
      <c r="G1398" t="s">
        <v>3134</v>
      </c>
      <c r="H1398" t="s">
        <v>3165</v>
      </c>
      <c r="J1398" s="455">
        <v>46130</v>
      </c>
      <c r="R1398" s="455">
        <v>46139</v>
      </c>
      <c r="U1398" s="455">
        <v>46172</v>
      </c>
    </row>
    <row r="1399" spans="1:21">
      <c r="A1399" t="s">
        <v>1751</v>
      </c>
      <c r="B1399" t="s">
        <v>8943</v>
      </c>
      <c r="C1399" t="s">
        <v>1751</v>
      </c>
      <c r="D1399">
        <v>20456299</v>
      </c>
      <c r="E1399" t="s">
        <v>3190</v>
      </c>
      <c r="F1399" t="s">
        <v>1782</v>
      </c>
      <c r="G1399" t="s">
        <v>3141</v>
      </c>
      <c r="H1399" t="s">
        <v>1247</v>
      </c>
      <c r="J1399" s="455">
        <v>46077</v>
      </c>
      <c r="R1399" s="455">
        <v>46114</v>
      </c>
      <c r="U1399" s="455">
        <v>46113</v>
      </c>
    </row>
    <row r="1400" spans="1:21">
      <c r="A1400" t="s">
        <v>1751</v>
      </c>
      <c r="B1400" t="s">
        <v>10120</v>
      </c>
      <c r="C1400" t="s">
        <v>1751</v>
      </c>
      <c r="D1400">
        <v>20510625</v>
      </c>
      <c r="E1400" t="s">
        <v>3128</v>
      </c>
      <c r="F1400" t="s">
        <v>1782</v>
      </c>
      <c r="G1400" t="s">
        <v>3129</v>
      </c>
      <c r="H1400" t="s">
        <v>1253</v>
      </c>
      <c r="J1400" s="455">
        <v>46139</v>
      </c>
      <c r="U1400" s="455">
        <v>46139</v>
      </c>
    </row>
    <row r="1401" spans="1:21">
      <c r="A1401" t="s">
        <v>1751</v>
      </c>
      <c r="B1401" t="s">
        <v>10121</v>
      </c>
      <c r="C1401" t="s">
        <v>1751</v>
      </c>
      <c r="D1401">
        <v>20500576</v>
      </c>
      <c r="E1401" t="s">
        <v>1897</v>
      </c>
      <c r="F1401" t="s">
        <v>1241</v>
      </c>
      <c r="G1401" t="s">
        <v>3134</v>
      </c>
      <c r="H1401" t="s">
        <v>1247</v>
      </c>
      <c r="I1401" t="s">
        <v>2127</v>
      </c>
      <c r="J1401" s="455">
        <v>46130</v>
      </c>
      <c r="K1401" s="455">
        <v>46130</v>
      </c>
      <c r="U1401" s="455">
        <v>46130</v>
      </c>
    </row>
    <row r="1402" spans="1:21">
      <c r="A1402" t="s">
        <v>1751</v>
      </c>
      <c r="B1402" t="s">
        <v>10122</v>
      </c>
      <c r="C1402" t="s">
        <v>1751</v>
      </c>
      <c r="D1402">
        <v>20501714</v>
      </c>
      <c r="E1402" t="s">
        <v>3190</v>
      </c>
      <c r="F1402" t="s">
        <v>1782</v>
      </c>
      <c r="G1402" t="s">
        <v>3134</v>
      </c>
      <c r="H1402" t="s">
        <v>3165</v>
      </c>
      <c r="J1402" s="455">
        <v>46131</v>
      </c>
      <c r="R1402" s="455">
        <v>46139</v>
      </c>
      <c r="U1402" s="455">
        <v>46143</v>
      </c>
    </row>
    <row r="1403" spans="1:21">
      <c r="A1403" t="s">
        <v>1751</v>
      </c>
      <c r="B1403" t="s">
        <v>9383</v>
      </c>
      <c r="C1403" t="s">
        <v>1751</v>
      </c>
      <c r="D1403">
        <v>20482139</v>
      </c>
      <c r="E1403" t="s">
        <v>3190</v>
      </c>
      <c r="F1403" t="s">
        <v>1782</v>
      </c>
      <c r="G1403" t="s">
        <v>3134</v>
      </c>
      <c r="H1403" t="s">
        <v>1252</v>
      </c>
      <c r="J1403" s="455">
        <v>46109</v>
      </c>
      <c r="R1403" s="455">
        <v>46139</v>
      </c>
      <c r="U1403" s="455">
        <v>46110</v>
      </c>
    </row>
    <row r="1404" spans="1:21">
      <c r="A1404" t="s">
        <v>1751</v>
      </c>
      <c r="B1404" t="s">
        <v>10123</v>
      </c>
      <c r="C1404" t="s">
        <v>1751</v>
      </c>
      <c r="D1404">
        <v>20437928</v>
      </c>
      <c r="E1404" t="s">
        <v>3190</v>
      </c>
      <c r="F1404" t="s">
        <v>1238</v>
      </c>
      <c r="G1404" t="s">
        <v>3141</v>
      </c>
      <c r="H1404" t="s">
        <v>1248</v>
      </c>
      <c r="J1404" s="455">
        <v>46052</v>
      </c>
      <c r="R1404" s="455">
        <v>46114</v>
      </c>
      <c r="U1404" s="455">
        <v>46076</v>
      </c>
    </row>
    <row r="1405" spans="1:21">
      <c r="A1405" t="s">
        <v>1751</v>
      </c>
      <c r="B1405" t="s">
        <v>4002</v>
      </c>
      <c r="C1405" t="s">
        <v>1751</v>
      </c>
      <c r="D1405">
        <v>20498173</v>
      </c>
      <c r="E1405" t="s">
        <v>1897</v>
      </c>
      <c r="F1405" t="s">
        <v>1242</v>
      </c>
      <c r="G1405" t="s">
        <v>3134</v>
      </c>
      <c r="H1405" t="s">
        <v>1247</v>
      </c>
      <c r="I1405" t="s">
        <v>1552</v>
      </c>
      <c r="J1405" s="455">
        <v>46128</v>
      </c>
      <c r="K1405" s="455">
        <v>46128</v>
      </c>
      <c r="U1405" s="455">
        <v>46134</v>
      </c>
    </row>
    <row r="1406" spans="1:21">
      <c r="A1406" t="s">
        <v>1751</v>
      </c>
      <c r="B1406" t="s">
        <v>8945</v>
      </c>
      <c r="C1406" t="s">
        <v>1751</v>
      </c>
      <c r="D1406">
        <v>20443286</v>
      </c>
      <c r="E1406" t="s">
        <v>3190</v>
      </c>
      <c r="F1406" t="s">
        <v>1782</v>
      </c>
      <c r="G1406" t="s">
        <v>3137</v>
      </c>
      <c r="H1406" t="s">
        <v>1247</v>
      </c>
      <c r="J1406" s="455">
        <v>46061</v>
      </c>
      <c r="R1406" s="455">
        <v>46114</v>
      </c>
      <c r="U1406" s="455">
        <v>46082</v>
      </c>
    </row>
    <row r="1407" spans="1:21">
      <c r="A1407" t="s">
        <v>1751</v>
      </c>
      <c r="B1407" t="s">
        <v>10124</v>
      </c>
      <c r="C1407" t="s">
        <v>1751</v>
      </c>
      <c r="D1407">
        <v>20420846</v>
      </c>
      <c r="E1407" t="s">
        <v>3133</v>
      </c>
      <c r="F1407" t="s">
        <v>1239</v>
      </c>
      <c r="G1407" t="s">
        <v>3134</v>
      </c>
      <c r="H1407" t="s">
        <v>1247</v>
      </c>
      <c r="I1407" t="s">
        <v>6565</v>
      </c>
      <c r="J1407" s="455">
        <v>46030</v>
      </c>
      <c r="K1407" s="455">
        <v>46030</v>
      </c>
      <c r="R1407" s="455">
        <v>46114</v>
      </c>
      <c r="U1407" s="455">
        <v>46030</v>
      </c>
    </row>
    <row r="1408" spans="1:21">
      <c r="A1408" t="s">
        <v>1751</v>
      </c>
      <c r="B1408" t="s">
        <v>10125</v>
      </c>
      <c r="C1408" t="s">
        <v>1751</v>
      </c>
      <c r="D1408">
        <v>20508447</v>
      </c>
      <c r="E1408" t="s">
        <v>3128</v>
      </c>
      <c r="F1408" t="s">
        <v>1782</v>
      </c>
      <c r="G1408" t="s">
        <v>3141</v>
      </c>
      <c r="H1408" t="s">
        <v>1252</v>
      </c>
      <c r="J1408" s="455">
        <v>46135</v>
      </c>
      <c r="U1408" s="455">
        <v>46234</v>
      </c>
    </row>
    <row r="1409" spans="1:21">
      <c r="A1409" t="s">
        <v>1751</v>
      </c>
      <c r="B1409" t="s">
        <v>1797</v>
      </c>
      <c r="C1409" t="s">
        <v>1751</v>
      </c>
      <c r="D1409">
        <v>20465210</v>
      </c>
      <c r="E1409" t="s">
        <v>3142</v>
      </c>
      <c r="F1409" t="s">
        <v>1799</v>
      </c>
      <c r="G1409" t="s">
        <v>3129</v>
      </c>
      <c r="H1409" t="s">
        <v>3377</v>
      </c>
      <c r="I1409" t="s">
        <v>1796</v>
      </c>
      <c r="J1409" s="455">
        <v>46090</v>
      </c>
      <c r="K1409" s="455">
        <v>46090</v>
      </c>
      <c r="L1409" s="455">
        <v>46090</v>
      </c>
      <c r="M1409" s="455">
        <v>46112</v>
      </c>
      <c r="N1409" s="455">
        <v>46113</v>
      </c>
      <c r="O1409" s="455">
        <v>46113</v>
      </c>
      <c r="P1409" s="455">
        <v>46113</v>
      </c>
      <c r="Q1409" s="455">
        <v>46113</v>
      </c>
      <c r="U1409" s="455">
        <v>46120</v>
      </c>
    </row>
    <row r="1410" spans="1:21">
      <c r="A1410" t="s">
        <v>1751</v>
      </c>
      <c r="B1410" t="s">
        <v>8946</v>
      </c>
      <c r="C1410" t="s">
        <v>1751</v>
      </c>
      <c r="D1410">
        <v>20443131</v>
      </c>
      <c r="E1410" t="s">
        <v>3190</v>
      </c>
      <c r="F1410" t="s">
        <v>1782</v>
      </c>
      <c r="G1410" t="s">
        <v>3141</v>
      </c>
      <c r="H1410" t="s">
        <v>1247</v>
      </c>
      <c r="J1410" s="455">
        <v>46061</v>
      </c>
      <c r="R1410" s="455">
        <v>46114</v>
      </c>
      <c r="U1410" s="455">
        <v>46112</v>
      </c>
    </row>
    <row r="1411" spans="1:21">
      <c r="A1411" t="s">
        <v>1751</v>
      </c>
      <c r="B1411" t="s">
        <v>9384</v>
      </c>
      <c r="C1411" t="s">
        <v>1751</v>
      </c>
      <c r="D1411">
        <v>20464729</v>
      </c>
      <c r="E1411" t="s">
        <v>3133</v>
      </c>
      <c r="F1411" t="s">
        <v>1912</v>
      </c>
      <c r="G1411" t="s">
        <v>3134</v>
      </c>
      <c r="H1411" t="s">
        <v>1247</v>
      </c>
      <c r="J1411" s="455">
        <v>46089</v>
      </c>
      <c r="K1411" s="455">
        <v>46089</v>
      </c>
      <c r="R1411" s="455">
        <v>46114</v>
      </c>
      <c r="U1411" s="455">
        <v>46089</v>
      </c>
    </row>
    <row r="1412" spans="1:21">
      <c r="A1412" t="s">
        <v>1751</v>
      </c>
      <c r="B1412" t="s">
        <v>4006</v>
      </c>
      <c r="C1412" t="s">
        <v>1751</v>
      </c>
      <c r="D1412">
        <v>20509686</v>
      </c>
      <c r="E1412" t="s">
        <v>1897</v>
      </c>
      <c r="F1412" t="s">
        <v>1242</v>
      </c>
      <c r="G1412" t="s">
        <v>3134</v>
      </c>
      <c r="H1412" t="s">
        <v>1247</v>
      </c>
      <c r="J1412" s="455">
        <v>46137</v>
      </c>
      <c r="K1412" s="455">
        <v>46137</v>
      </c>
      <c r="U1412" s="455">
        <v>46142</v>
      </c>
    </row>
    <row r="1413" spans="1:21">
      <c r="A1413" t="s">
        <v>1751</v>
      </c>
      <c r="B1413" t="s">
        <v>10126</v>
      </c>
      <c r="C1413" t="s">
        <v>1751</v>
      </c>
      <c r="D1413">
        <v>20507908</v>
      </c>
      <c r="E1413" t="s">
        <v>3128</v>
      </c>
      <c r="F1413" t="s">
        <v>1237</v>
      </c>
      <c r="G1413" t="s">
        <v>3143</v>
      </c>
      <c r="H1413" t="s">
        <v>1251</v>
      </c>
      <c r="I1413" t="s">
        <v>6610</v>
      </c>
      <c r="J1413" s="455">
        <v>46135</v>
      </c>
      <c r="U1413" s="455">
        <v>46157</v>
      </c>
    </row>
    <row r="1414" spans="1:21">
      <c r="A1414" t="s">
        <v>1751</v>
      </c>
      <c r="B1414" t="s">
        <v>10127</v>
      </c>
      <c r="C1414" t="s">
        <v>1751</v>
      </c>
      <c r="D1414">
        <v>20500570</v>
      </c>
      <c r="E1414" t="s">
        <v>3190</v>
      </c>
      <c r="F1414" t="s">
        <v>1782</v>
      </c>
      <c r="G1414" t="s">
        <v>3129</v>
      </c>
      <c r="H1414" t="s">
        <v>3377</v>
      </c>
      <c r="J1414" s="455">
        <v>46130</v>
      </c>
      <c r="R1414" s="455">
        <v>46139</v>
      </c>
      <c r="U1414" s="455">
        <v>46130</v>
      </c>
    </row>
    <row r="1415" spans="1:21">
      <c r="A1415" t="s">
        <v>1751</v>
      </c>
      <c r="B1415" t="s">
        <v>7110</v>
      </c>
      <c r="C1415" t="s">
        <v>1751</v>
      </c>
      <c r="D1415">
        <v>20462271</v>
      </c>
      <c r="E1415" t="s">
        <v>3133</v>
      </c>
      <c r="F1415" t="s">
        <v>1238</v>
      </c>
      <c r="G1415" t="s">
        <v>3134</v>
      </c>
      <c r="H1415" t="s">
        <v>1251</v>
      </c>
      <c r="J1415" s="455">
        <v>46085</v>
      </c>
      <c r="K1415" s="455">
        <v>46085</v>
      </c>
      <c r="R1415" s="455">
        <v>46114</v>
      </c>
      <c r="U1415" s="455">
        <v>46125</v>
      </c>
    </row>
    <row r="1416" spans="1:21">
      <c r="A1416" t="s">
        <v>1751</v>
      </c>
      <c r="B1416" t="s">
        <v>8947</v>
      </c>
      <c r="C1416" t="s">
        <v>1751</v>
      </c>
      <c r="D1416">
        <v>20446496</v>
      </c>
      <c r="E1416" t="s">
        <v>3190</v>
      </c>
      <c r="F1416" t="s">
        <v>1241</v>
      </c>
      <c r="G1416" t="s">
        <v>3129</v>
      </c>
      <c r="H1416" t="s">
        <v>1247</v>
      </c>
      <c r="J1416" s="455">
        <v>46064</v>
      </c>
      <c r="R1416" s="455">
        <v>46114</v>
      </c>
      <c r="U1416" s="455">
        <v>46069</v>
      </c>
    </row>
    <row r="1417" spans="1:21">
      <c r="A1417" t="s">
        <v>1751</v>
      </c>
      <c r="B1417" t="s">
        <v>10128</v>
      </c>
      <c r="C1417" t="s">
        <v>1751</v>
      </c>
      <c r="D1417">
        <v>20485570</v>
      </c>
      <c r="E1417" t="s">
        <v>3190</v>
      </c>
      <c r="F1417" t="s">
        <v>1782</v>
      </c>
      <c r="G1417" t="s">
        <v>3134</v>
      </c>
      <c r="H1417" t="s">
        <v>1252</v>
      </c>
      <c r="J1417" s="455">
        <v>46114</v>
      </c>
      <c r="R1417" s="455">
        <v>46139</v>
      </c>
      <c r="U1417" s="455">
        <v>46203</v>
      </c>
    </row>
    <row r="1418" spans="1:21">
      <c r="A1418" t="s">
        <v>1751</v>
      </c>
      <c r="B1418" t="s">
        <v>6555</v>
      </c>
      <c r="C1418" t="s">
        <v>1751</v>
      </c>
      <c r="D1418">
        <v>20509117</v>
      </c>
      <c r="E1418" t="s">
        <v>1907</v>
      </c>
      <c r="F1418" t="s">
        <v>1242</v>
      </c>
      <c r="G1418" t="s">
        <v>3143</v>
      </c>
      <c r="H1418" t="s">
        <v>1252</v>
      </c>
      <c r="I1418" t="s">
        <v>3262</v>
      </c>
      <c r="J1418" s="455">
        <v>46136</v>
      </c>
      <c r="K1418" s="455">
        <v>46137</v>
      </c>
      <c r="L1418" s="455">
        <v>46137</v>
      </c>
      <c r="O1418" s="455">
        <v>46155</v>
      </c>
      <c r="U1418" s="455">
        <v>46150</v>
      </c>
    </row>
    <row r="1419" spans="1:21">
      <c r="A1419" t="s">
        <v>1751</v>
      </c>
      <c r="B1419" t="s">
        <v>6555</v>
      </c>
      <c r="C1419" t="s">
        <v>1751</v>
      </c>
      <c r="D1419">
        <v>20509562</v>
      </c>
      <c r="E1419" t="s">
        <v>3133</v>
      </c>
      <c r="F1419" t="s">
        <v>1912</v>
      </c>
      <c r="G1419" t="s">
        <v>3134</v>
      </c>
      <c r="H1419" t="s">
        <v>1247</v>
      </c>
      <c r="I1419" t="s">
        <v>3262</v>
      </c>
      <c r="J1419" s="455">
        <v>46137</v>
      </c>
      <c r="K1419" s="455">
        <v>46137</v>
      </c>
      <c r="R1419" s="455">
        <v>46137</v>
      </c>
      <c r="U1419" s="455">
        <v>46137</v>
      </c>
    </row>
    <row r="1420" spans="1:21">
      <c r="A1420" t="s">
        <v>1751</v>
      </c>
      <c r="B1420" t="s">
        <v>6555</v>
      </c>
      <c r="C1420" t="s">
        <v>1751</v>
      </c>
      <c r="D1420">
        <v>20475075</v>
      </c>
      <c r="E1420" t="s">
        <v>3190</v>
      </c>
      <c r="F1420" t="s">
        <v>1241</v>
      </c>
      <c r="G1420" t="s">
        <v>3134</v>
      </c>
      <c r="H1420" t="s">
        <v>1252</v>
      </c>
      <c r="J1420" s="455">
        <v>46099</v>
      </c>
      <c r="R1420" s="455">
        <v>46114</v>
      </c>
      <c r="U1420" s="455">
        <v>46113</v>
      </c>
    </row>
    <row r="1421" spans="1:21">
      <c r="A1421" t="s">
        <v>1751</v>
      </c>
      <c r="B1421" t="s">
        <v>9386</v>
      </c>
      <c r="C1421" t="s">
        <v>1751</v>
      </c>
      <c r="D1421">
        <v>20476402</v>
      </c>
      <c r="E1421" t="s">
        <v>3190</v>
      </c>
      <c r="F1421" t="s">
        <v>1782</v>
      </c>
      <c r="G1421" t="s">
        <v>3134</v>
      </c>
      <c r="H1421" t="s">
        <v>1252</v>
      </c>
      <c r="J1421" s="455">
        <v>46100</v>
      </c>
      <c r="R1421" s="455">
        <v>46114</v>
      </c>
      <c r="U1421" s="455">
        <v>46199</v>
      </c>
    </row>
    <row r="1422" spans="1:21">
      <c r="A1422" t="s">
        <v>1751</v>
      </c>
      <c r="B1422" t="s">
        <v>8948</v>
      </c>
      <c r="C1422" t="s">
        <v>1751</v>
      </c>
      <c r="D1422">
        <v>20451683</v>
      </c>
      <c r="E1422" t="s">
        <v>3190</v>
      </c>
      <c r="F1422" t="s">
        <v>1782</v>
      </c>
      <c r="G1422" t="s">
        <v>3141</v>
      </c>
      <c r="H1422" t="s">
        <v>1247</v>
      </c>
      <c r="J1422" s="455">
        <v>46071</v>
      </c>
      <c r="R1422" s="455">
        <v>46114</v>
      </c>
      <c r="U1422" s="455">
        <v>46073</v>
      </c>
    </row>
    <row r="1423" spans="1:21">
      <c r="A1423" t="s">
        <v>1751</v>
      </c>
      <c r="B1423" t="s">
        <v>10129</v>
      </c>
      <c r="C1423" t="s">
        <v>1751</v>
      </c>
      <c r="D1423">
        <v>20488733</v>
      </c>
      <c r="E1423" t="s">
        <v>3190</v>
      </c>
      <c r="F1423" t="s">
        <v>1241</v>
      </c>
      <c r="G1423" t="s">
        <v>3134</v>
      </c>
      <c r="H1423" t="s">
        <v>1252</v>
      </c>
      <c r="J1423" s="455">
        <v>46118</v>
      </c>
      <c r="R1423" s="455">
        <v>46139</v>
      </c>
      <c r="U1423" s="455">
        <v>46143</v>
      </c>
    </row>
    <row r="1424" spans="1:21">
      <c r="A1424" t="s">
        <v>1751</v>
      </c>
      <c r="B1424" t="s">
        <v>10130</v>
      </c>
      <c r="C1424" t="s">
        <v>1751</v>
      </c>
      <c r="D1424">
        <v>20429666</v>
      </c>
      <c r="E1424" t="s">
        <v>3133</v>
      </c>
      <c r="F1424" t="s">
        <v>1237</v>
      </c>
      <c r="G1424" t="s">
        <v>3134</v>
      </c>
      <c r="H1424" t="s">
        <v>1247</v>
      </c>
      <c r="I1424" t="s">
        <v>6580</v>
      </c>
      <c r="J1424" s="455">
        <v>46039</v>
      </c>
      <c r="K1424" s="455">
        <v>46039</v>
      </c>
      <c r="R1424" s="455">
        <v>46114</v>
      </c>
      <c r="U1424" s="455">
        <v>46039</v>
      </c>
    </row>
    <row r="1425" spans="1:21">
      <c r="A1425" t="s">
        <v>1751</v>
      </c>
      <c r="B1425" t="s">
        <v>10131</v>
      </c>
      <c r="C1425" t="s">
        <v>1751</v>
      </c>
      <c r="D1425">
        <v>20486390</v>
      </c>
      <c r="E1425" t="s">
        <v>3190</v>
      </c>
      <c r="F1425" t="s">
        <v>1782</v>
      </c>
      <c r="G1425" t="s">
        <v>3134</v>
      </c>
      <c r="H1425" t="s">
        <v>1252</v>
      </c>
      <c r="J1425" s="455">
        <v>46115</v>
      </c>
      <c r="R1425" s="455">
        <v>46139</v>
      </c>
      <c r="U1425" s="455">
        <v>46175</v>
      </c>
    </row>
    <row r="1426" spans="1:21">
      <c r="A1426" t="s">
        <v>1751</v>
      </c>
      <c r="B1426" t="s">
        <v>8949</v>
      </c>
      <c r="C1426" t="s">
        <v>1751</v>
      </c>
      <c r="D1426">
        <v>20441455</v>
      </c>
      <c r="E1426" t="s">
        <v>3190</v>
      </c>
      <c r="F1426" t="s">
        <v>1241</v>
      </c>
      <c r="G1426" t="s">
        <v>3141</v>
      </c>
      <c r="H1426" t="s">
        <v>1247</v>
      </c>
      <c r="J1426" s="455">
        <v>46058</v>
      </c>
      <c r="R1426" s="455">
        <v>46114</v>
      </c>
      <c r="U1426" s="455">
        <v>46058</v>
      </c>
    </row>
    <row r="1427" spans="1:21">
      <c r="A1427" t="s">
        <v>1751</v>
      </c>
      <c r="B1427" t="s">
        <v>10132</v>
      </c>
      <c r="C1427" t="s">
        <v>1751</v>
      </c>
      <c r="D1427">
        <v>20495797</v>
      </c>
      <c r="E1427" t="s">
        <v>3190</v>
      </c>
      <c r="F1427" t="s">
        <v>1241</v>
      </c>
      <c r="G1427" t="s">
        <v>2009</v>
      </c>
      <c r="H1427" t="s">
        <v>1248</v>
      </c>
      <c r="J1427" s="455">
        <v>46127</v>
      </c>
      <c r="R1427" s="455">
        <v>46139</v>
      </c>
      <c r="U1427" s="455">
        <v>46127</v>
      </c>
    </row>
    <row r="1428" spans="1:21">
      <c r="A1428" t="s">
        <v>1751</v>
      </c>
      <c r="B1428" t="s">
        <v>10133</v>
      </c>
      <c r="C1428" t="s">
        <v>1751</v>
      </c>
      <c r="D1428">
        <v>20430895</v>
      </c>
      <c r="E1428" t="s">
        <v>3190</v>
      </c>
      <c r="F1428" t="s">
        <v>1239</v>
      </c>
      <c r="G1428" t="s">
        <v>3129</v>
      </c>
      <c r="H1428" t="s">
        <v>1248</v>
      </c>
      <c r="J1428" s="455">
        <v>46042</v>
      </c>
      <c r="R1428" s="455">
        <v>46114</v>
      </c>
      <c r="U1428" s="455">
        <v>46042</v>
      </c>
    </row>
    <row r="1429" spans="1:21">
      <c r="A1429" t="s">
        <v>1751</v>
      </c>
      <c r="B1429" t="s">
        <v>4016</v>
      </c>
      <c r="C1429" t="s">
        <v>1751</v>
      </c>
      <c r="D1429">
        <v>20497684</v>
      </c>
      <c r="E1429" t="s">
        <v>1897</v>
      </c>
      <c r="F1429" t="s">
        <v>3158</v>
      </c>
      <c r="G1429" t="s">
        <v>3134</v>
      </c>
      <c r="H1429" t="s">
        <v>1247</v>
      </c>
      <c r="I1429" t="s">
        <v>1969</v>
      </c>
      <c r="J1429" s="455">
        <v>46128</v>
      </c>
      <c r="K1429" s="455">
        <v>46128</v>
      </c>
      <c r="U1429" s="455">
        <v>46172</v>
      </c>
    </row>
    <row r="1430" spans="1:21">
      <c r="A1430" t="s">
        <v>1751</v>
      </c>
      <c r="B1430" t="s">
        <v>4016</v>
      </c>
      <c r="C1430" t="s">
        <v>1751</v>
      </c>
      <c r="D1430">
        <v>20493027</v>
      </c>
      <c r="E1430" t="s">
        <v>1907</v>
      </c>
      <c r="F1430" t="s">
        <v>3158</v>
      </c>
      <c r="G1430" t="s">
        <v>3137</v>
      </c>
      <c r="H1430" t="s">
        <v>1247</v>
      </c>
      <c r="I1430" t="s">
        <v>1519</v>
      </c>
      <c r="J1430" s="455">
        <v>46124</v>
      </c>
      <c r="K1430" s="455">
        <v>46128</v>
      </c>
      <c r="L1430" s="455">
        <v>46128</v>
      </c>
      <c r="U1430" s="455">
        <v>46162</v>
      </c>
    </row>
    <row r="1431" spans="1:21">
      <c r="A1431" t="s">
        <v>1751</v>
      </c>
      <c r="B1431" t="s">
        <v>10134</v>
      </c>
      <c r="C1431" t="s">
        <v>1751</v>
      </c>
      <c r="D1431">
        <v>20501757</v>
      </c>
      <c r="E1431" t="s">
        <v>3190</v>
      </c>
      <c r="F1431" t="s">
        <v>1782</v>
      </c>
      <c r="G1431" t="s">
        <v>3141</v>
      </c>
      <c r="H1431" t="s">
        <v>1252</v>
      </c>
      <c r="J1431" s="455">
        <v>46131</v>
      </c>
      <c r="R1431" s="455">
        <v>46139</v>
      </c>
      <c r="U1431" s="455">
        <v>46163</v>
      </c>
    </row>
    <row r="1432" spans="1:21">
      <c r="A1432" t="s">
        <v>1751</v>
      </c>
      <c r="B1432" t="s">
        <v>8950</v>
      </c>
      <c r="C1432" t="s">
        <v>1751</v>
      </c>
      <c r="D1432">
        <v>20441640</v>
      </c>
      <c r="E1432" t="s">
        <v>3190</v>
      </c>
      <c r="F1432" t="s">
        <v>1241</v>
      </c>
      <c r="G1432" t="s">
        <v>3137</v>
      </c>
      <c r="H1432" t="s">
        <v>1251</v>
      </c>
      <c r="J1432" s="455">
        <v>46058</v>
      </c>
      <c r="R1432" s="455">
        <v>46114</v>
      </c>
      <c r="U1432" s="455">
        <v>46082</v>
      </c>
    </row>
    <row r="1433" spans="1:21">
      <c r="A1433" t="s">
        <v>1751</v>
      </c>
      <c r="B1433" t="s">
        <v>10135</v>
      </c>
      <c r="C1433" t="s">
        <v>1751</v>
      </c>
      <c r="D1433">
        <v>20510601</v>
      </c>
      <c r="E1433" t="s">
        <v>3128</v>
      </c>
      <c r="F1433" t="s">
        <v>1782</v>
      </c>
      <c r="G1433" t="s">
        <v>3134</v>
      </c>
      <c r="H1433" t="s">
        <v>3165</v>
      </c>
      <c r="J1433" s="455">
        <v>46139</v>
      </c>
      <c r="U1433" s="455">
        <v>46179</v>
      </c>
    </row>
    <row r="1434" spans="1:21">
      <c r="A1434" t="s">
        <v>1751</v>
      </c>
      <c r="B1434" t="s">
        <v>10136</v>
      </c>
      <c r="C1434" t="s">
        <v>1751</v>
      </c>
      <c r="D1434">
        <v>20421792</v>
      </c>
      <c r="E1434" t="s">
        <v>3133</v>
      </c>
      <c r="F1434" t="s">
        <v>1238</v>
      </c>
      <c r="G1434" t="s">
        <v>3134</v>
      </c>
      <c r="H1434" t="s">
        <v>1252</v>
      </c>
      <c r="J1434" s="455">
        <v>46031</v>
      </c>
      <c r="K1434" s="455">
        <v>46031</v>
      </c>
      <c r="R1434" s="455">
        <v>46114</v>
      </c>
      <c r="U1434" s="455">
        <v>46088</v>
      </c>
    </row>
    <row r="1435" spans="1:21">
      <c r="A1435" t="s">
        <v>1751</v>
      </c>
      <c r="B1435" t="s">
        <v>8951</v>
      </c>
      <c r="C1435" t="s">
        <v>1751</v>
      </c>
      <c r="D1435">
        <v>20456041</v>
      </c>
      <c r="E1435" t="s">
        <v>3190</v>
      </c>
      <c r="F1435" t="s">
        <v>1241</v>
      </c>
      <c r="G1435" t="s">
        <v>3141</v>
      </c>
      <c r="H1435" t="s">
        <v>1248</v>
      </c>
      <c r="J1435" s="455">
        <v>46076</v>
      </c>
      <c r="R1435" s="455">
        <v>46114</v>
      </c>
      <c r="U1435" s="455">
        <v>46146</v>
      </c>
    </row>
    <row r="1436" spans="1:21">
      <c r="A1436" t="s">
        <v>1751</v>
      </c>
      <c r="B1436" t="s">
        <v>10137</v>
      </c>
      <c r="C1436" t="s">
        <v>1751</v>
      </c>
      <c r="D1436">
        <v>20419128</v>
      </c>
      <c r="E1436" t="s">
        <v>3190</v>
      </c>
      <c r="F1436" t="s">
        <v>1238</v>
      </c>
      <c r="G1436" t="s">
        <v>3129</v>
      </c>
      <c r="H1436" t="s">
        <v>1252</v>
      </c>
      <c r="J1436" s="455">
        <v>46028</v>
      </c>
      <c r="R1436" s="455">
        <v>46114</v>
      </c>
      <c r="U1436" s="455">
        <v>46028</v>
      </c>
    </row>
    <row r="1437" spans="1:21">
      <c r="A1437" t="s">
        <v>1751</v>
      </c>
      <c r="B1437" t="s">
        <v>8952</v>
      </c>
      <c r="C1437" t="s">
        <v>1751</v>
      </c>
      <c r="D1437">
        <v>20449315</v>
      </c>
      <c r="E1437" t="s">
        <v>3190</v>
      </c>
      <c r="F1437" t="s">
        <v>1782</v>
      </c>
      <c r="G1437" t="s">
        <v>2009</v>
      </c>
      <c r="H1437" t="s">
        <v>1247</v>
      </c>
      <c r="J1437" s="455">
        <v>46068</v>
      </c>
      <c r="R1437" s="455">
        <v>46114</v>
      </c>
      <c r="U1437" s="455">
        <v>46143</v>
      </c>
    </row>
    <row r="1438" spans="1:21">
      <c r="A1438" t="s">
        <v>1751</v>
      </c>
      <c r="B1438" t="s">
        <v>10138</v>
      </c>
      <c r="C1438" t="s">
        <v>1751</v>
      </c>
      <c r="D1438">
        <v>20495481</v>
      </c>
      <c r="E1438" t="s">
        <v>3190</v>
      </c>
      <c r="F1438" t="s">
        <v>1237</v>
      </c>
      <c r="G1438" t="s">
        <v>3134</v>
      </c>
      <c r="H1438" t="s">
        <v>1252</v>
      </c>
      <c r="J1438" s="455">
        <v>46127</v>
      </c>
      <c r="R1438" s="455">
        <v>46139</v>
      </c>
      <c r="U1438" s="455">
        <v>46139</v>
      </c>
    </row>
    <row r="1439" spans="1:21">
      <c r="A1439" t="s">
        <v>1751</v>
      </c>
      <c r="B1439" t="s">
        <v>9387</v>
      </c>
      <c r="C1439" t="s">
        <v>1751</v>
      </c>
      <c r="D1439">
        <v>20466181</v>
      </c>
      <c r="E1439" t="s">
        <v>3190</v>
      </c>
      <c r="F1439" t="s">
        <v>1782</v>
      </c>
      <c r="G1439" t="s">
        <v>3129</v>
      </c>
      <c r="H1439" t="s">
        <v>1252</v>
      </c>
      <c r="J1439" s="455">
        <v>46091</v>
      </c>
      <c r="R1439" s="455">
        <v>46114</v>
      </c>
      <c r="U1439" s="455">
        <v>46091</v>
      </c>
    </row>
    <row r="1440" spans="1:21">
      <c r="A1440" t="s">
        <v>1751</v>
      </c>
      <c r="B1440" t="s">
        <v>8953</v>
      </c>
      <c r="C1440" t="s">
        <v>1751</v>
      </c>
      <c r="D1440">
        <v>20453911</v>
      </c>
      <c r="E1440" t="s">
        <v>3190</v>
      </c>
      <c r="F1440" t="s">
        <v>1239</v>
      </c>
      <c r="G1440" t="s">
        <v>3129</v>
      </c>
      <c r="H1440" t="s">
        <v>1253</v>
      </c>
      <c r="J1440" s="455">
        <v>46073</v>
      </c>
      <c r="R1440" s="455">
        <v>46114</v>
      </c>
      <c r="U1440" s="455">
        <v>46096</v>
      </c>
    </row>
    <row r="1441" spans="1:21">
      <c r="A1441" t="s">
        <v>1751</v>
      </c>
      <c r="B1441" t="s">
        <v>8954</v>
      </c>
      <c r="C1441" t="s">
        <v>1751</v>
      </c>
      <c r="D1441">
        <v>20444539</v>
      </c>
      <c r="E1441" t="s">
        <v>3190</v>
      </c>
      <c r="F1441" t="s">
        <v>1241</v>
      </c>
      <c r="G1441" t="s">
        <v>2009</v>
      </c>
      <c r="H1441" t="s">
        <v>1247</v>
      </c>
      <c r="J1441" s="455">
        <v>46063</v>
      </c>
      <c r="R1441" s="455">
        <v>46114</v>
      </c>
      <c r="U1441" s="455">
        <v>46113</v>
      </c>
    </row>
    <row r="1442" spans="1:21">
      <c r="A1442" t="s">
        <v>1751</v>
      </c>
      <c r="B1442" t="s">
        <v>10139</v>
      </c>
      <c r="C1442" t="s">
        <v>1751</v>
      </c>
      <c r="D1442">
        <v>20507080</v>
      </c>
      <c r="E1442" t="s">
        <v>3128</v>
      </c>
      <c r="F1442" t="s">
        <v>1782</v>
      </c>
      <c r="G1442" t="s">
        <v>3137</v>
      </c>
      <c r="H1442" t="s">
        <v>1252</v>
      </c>
      <c r="J1442" s="455">
        <v>46134</v>
      </c>
      <c r="U1442" s="455">
        <v>46143</v>
      </c>
    </row>
    <row r="1443" spans="1:21">
      <c r="A1443" t="s">
        <v>1751</v>
      </c>
      <c r="B1443" t="s">
        <v>8955</v>
      </c>
      <c r="C1443" t="s">
        <v>1751</v>
      </c>
      <c r="D1443">
        <v>20495122</v>
      </c>
      <c r="E1443" t="s">
        <v>3190</v>
      </c>
      <c r="F1443" t="s">
        <v>1912</v>
      </c>
      <c r="G1443" t="s">
        <v>2009</v>
      </c>
      <c r="H1443" t="s">
        <v>1251</v>
      </c>
      <c r="J1443" s="455">
        <v>46126</v>
      </c>
      <c r="R1443" s="455">
        <v>46139</v>
      </c>
      <c r="U1443" s="455">
        <v>46126</v>
      </c>
    </row>
    <row r="1444" spans="1:21">
      <c r="A1444" t="s">
        <v>1751</v>
      </c>
      <c r="B1444" t="s">
        <v>8955</v>
      </c>
      <c r="C1444" t="s">
        <v>1751</v>
      </c>
      <c r="D1444">
        <v>20447638</v>
      </c>
      <c r="E1444" t="s">
        <v>3190</v>
      </c>
      <c r="F1444" t="s">
        <v>1241</v>
      </c>
      <c r="G1444" t="s">
        <v>2009</v>
      </c>
      <c r="H1444" t="s">
        <v>1251</v>
      </c>
      <c r="J1444" s="455">
        <v>46065</v>
      </c>
      <c r="R1444" s="455">
        <v>46114</v>
      </c>
      <c r="U1444" s="455">
        <v>46174</v>
      </c>
    </row>
    <row r="1445" spans="1:21">
      <c r="A1445" t="s">
        <v>1751</v>
      </c>
      <c r="B1445" t="s">
        <v>10140</v>
      </c>
      <c r="C1445" t="s">
        <v>1751</v>
      </c>
      <c r="D1445">
        <v>20490630</v>
      </c>
      <c r="E1445" t="s">
        <v>3190</v>
      </c>
      <c r="F1445" t="s">
        <v>1241</v>
      </c>
      <c r="G1445" t="s">
        <v>3134</v>
      </c>
      <c r="H1445" t="s">
        <v>1252</v>
      </c>
      <c r="J1445" s="455">
        <v>46121</v>
      </c>
      <c r="R1445" s="455">
        <v>46139</v>
      </c>
      <c r="U1445" s="455">
        <v>46143</v>
      </c>
    </row>
    <row r="1446" spans="1:21">
      <c r="A1446" t="s">
        <v>1751</v>
      </c>
      <c r="B1446" t="s">
        <v>8957</v>
      </c>
      <c r="C1446" t="s">
        <v>1751</v>
      </c>
      <c r="D1446">
        <v>20455996</v>
      </c>
      <c r="E1446" t="s">
        <v>3190</v>
      </c>
      <c r="F1446" t="s">
        <v>1237</v>
      </c>
      <c r="G1446" t="s">
        <v>3143</v>
      </c>
      <c r="H1446" t="s">
        <v>1247</v>
      </c>
      <c r="J1446" s="455">
        <v>46076</v>
      </c>
      <c r="R1446" s="455">
        <v>46114</v>
      </c>
      <c r="U1446" s="455">
        <v>46076</v>
      </c>
    </row>
    <row r="1447" spans="1:21">
      <c r="A1447" t="s">
        <v>1751</v>
      </c>
      <c r="B1447" t="s">
        <v>10141</v>
      </c>
      <c r="C1447" t="s">
        <v>1751</v>
      </c>
      <c r="D1447">
        <v>20485427</v>
      </c>
      <c r="E1447" t="s">
        <v>3190</v>
      </c>
      <c r="F1447" t="s">
        <v>1241</v>
      </c>
      <c r="G1447" t="s">
        <v>3134</v>
      </c>
      <c r="H1447" t="s">
        <v>1252</v>
      </c>
      <c r="J1447" s="455">
        <v>46113</v>
      </c>
      <c r="R1447" s="455">
        <v>46139</v>
      </c>
      <c r="U1447" s="455">
        <v>46208</v>
      </c>
    </row>
    <row r="1448" spans="1:21">
      <c r="A1448" t="s">
        <v>1751</v>
      </c>
      <c r="B1448" t="s">
        <v>10142</v>
      </c>
      <c r="C1448" t="s">
        <v>1751</v>
      </c>
      <c r="D1448">
        <v>20510505</v>
      </c>
      <c r="E1448" t="s">
        <v>3128</v>
      </c>
      <c r="F1448" t="s">
        <v>1782</v>
      </c>
      <c r="G1448" t="s">
        <v>3129</v>
      </c>
      <c r="H1448" t="s">
        <v>1252</v>
      </c>
      <c r="J1448" s="455">
        <v>46138</v>
      </c>
      <c r="U1448" s="455">
        <v>46138</v>
      </c>
    </row>
    <row r="1449" spans="1:21">
      <c r="A1449" t="s">
        <v>1751</v>
      </c>
      <c r="B1449" t="s">
        <v>10143</v>
      </c>
      <c r="C1449" t="s">
        <v>1751</v>
      </c>
      <c r="D1449">
        <v>20508344</v>
      </c>
      <c r="E1449" t="s">
        <v>3128</v>
      </c>
      <c r="F1449" t="s">
        <v>1239</v>
      </c>
      <c r="G1449" t="s">
        <v>3143</v>
      </c>
      <c r="H1449" t="s">
        <v>1248</v>
      </c>
      <c r="I1449" t="s">
        <v>1952</v>
      </c>
      <c r="J1449" s="455">
        <v>46135</v>
      </c>
      <c r="U1449" s="455">
        <v>46135</v>
      </c>
    </row>
    <row r="1450" spans="1:21">
      <c r="A1450" t="s">
        <v>1751</v>
      </c>
      <c r="B1450" t="s">
        <v>8959</v>
      </c>
      <c r="C1450" t="s">
        <v>1751</v>
      </c>
      <c r="D1450">
        <v>20443308</v>
      </c>
      <c r="E1450" t="s">
        <v>3190</v>
      </c>
      <c r="F1450" t="s">
        <v>1241</v>
      </c>
      <c r="G1450" t="s">
        <v>3141</v>
      </c>
      <c r="H1450" t="s">
        <v>1247</v>
      </c>
      <c r="J1450" s="455">
        <v>46061</v>
      </c>
      <c r="R1450" s="455">
        <v>46114</v>
      </c>
      <c r="U1450" s="455">
        <v>46153</v>
      </c>
    </row>
    <row r="1451" spans="1:21">
      <c r="A1451" t="s">
        <v>1751</v>
      </c>
      <c r="B1451" t="s">
        <v>10144</v>
      </c>
      <c r="C1451" t="s">
        <v>1751</v>
      </c>
      <c r="D1451">
        <v>20499641</v>
      </c>
      <c r="E1451" t="s">
        <v>3190</v>
      </c>
      <c r="F1451" t="s">
        <v>1241</v>
      </c>
      <c r="G1451" t="s">
        <v>3134</v>
      </c>
      <c r="H1451" t="s">
        <v>1252</v>
      </c>
      <c r="J1451" s="455">
        <v>46129</v>
      </c>
      <c r="R1451" s="455">
        <v>46132</v>
      </c>
      <c r="U1451" s="455">
        <v>46200</v>
      </c>
    </row>
    <row r="1452" spans="1:21">
      <c r="A1452" t="s">
        <v>1751</v>
      </c>
      <c r="B1452" t="s">
        <v>1920</v>
      </c>
      <c r="C1452" t="s">
        <v>1751</v>
      </c>
      <c r="D1452">
        <v>20448815</v>
      </c>
      <c r="E1452" t="s">
        <v>3133</v>
      </c>
      <c r="F1452" t="s">
        <v>1799</v>
      </c>
      <c r="G1452" t="s">
        <v>2009</v>
      </c>
      <c r="H1452" t="s">
        <v>1247</v>
      </c>
      <c r="I1452" t="s">
        <v>1524</v>
      </c>
      <c r="J1452" s="455">
        <v>46066</v>
      </c>
      <c r="K1452" s="455">
        <v>46072</v>
      </c>
      <c r="R1452" s="455">
        <v>46114</v>
      </c>
      <c r="U1452" s="455">
        <v>46097</v>
      </c>
    </row>
    <row r="1453" spans="1:21">
      <c r="A1453" t="s">
        <v>1751</v>
      </c>
      <c r="B1453" t="s">
        <v>8961</v>
      </c>
      <c r="C1453" t="s">
        <v>1751</v>
      </c>
      <c r="D1453">
        <v>20443300</v>
      </c>
      <c r="E1453" t="s">
        <v>3190</v>
      </c>
      <c r="F1453" t="s">
        <v>1241</v>
      </c>
      <c r="G1453" t="s">
        <v>3137</v>
      </c>
      <c r="H1453" t="s">
        <v>1247</v>
      </c>
      <c r="J1453" s="455">
        <v>46061</v>
      </c>
      <c r="R1453" s="455">
        <v>46114</v>
      </c>
      <c r="U1453" s="455">
        <v>46082</v>
      </c>
    </row>
    <row r="1454" spans="1:21">
      <c r="A1454" t="s">
        <v>1751</v>
      </c>
      <c r="B1454" t="s">
        <v>6944</v>
      </c>
      <c r="C1454" t="s">
        <v>1751</v>
      </c>
      <c r="D1454">
        <v>20509393</v>
      </c>
      <c r="E1454" t="s">
        <v>1907</v>
      </c>
      <c r="F1454" t="s">
        <v>1239</v>
      </c>
      <c r="G1454" t="s">
        <v>3141</v>
      </c>
      <c r="H1454" t="s">
        <v>1252</v>
      </c>
      <c r="I1454" t="s">
        <v>1541</v>
      </c>
      <c r="J1454" s="455">
        <v>46136</v>
      </c>
      <c r="K1454" s="455">
        <v>46141</v>
      </c>
      <c r="L1454" s="455">
        <v>46141</v>
      </c>
      <c r="U1454" s="455">
        <v>46143</v>
      </c>
    </row>
    <row r="1455" spans="1:21">
      <c r="A1455" t="s">
        <v>1751</v>
      </c>
      <c r="B1455" t="s">
        <v>10145</v>
      </c>
      <c r="C1455" t="s">
        <v>1751</v>
      </c>
      <c r="D1455">
        <v>20492072</v>
      </c>
      <c r="E1455" t="s">
        <v>3190</v>
      </c>
      <c r="F1455" t="s">
        <v>1782</v>
      </c>
      <c r="G1455" t="s">
        <v>3134</v>
      </c>
      <c r="H1455" t="s">
        <v>1252</v>
      </c>
      <c r="J1455" s="455">
        <v>46122</v>
      </c>
      <c r="R1455" s="455">
        <v>46139</v>
      </c>
      <c r="U1455" s="455">
        <v>46143</v>
      </c>
    </row>
    <row r="1456" spans="1:21">
      <c r="A1456" t="s">
        <v>1751</v>
      </c>
      <c r="B1456" t="s">
        <v>9393</v>
      </c>
      <c r="C1456" t="s">
        <v>1751</v>
      </c>
      <c r="D1456">
        <v>20470445</v>
      </c>
      <c r="E1456" t="s">
        <v>3133</v>
      </c>
      <c r="F1456" t="s">
        <v>1912</v>
      </c>
      <c r="G1456" t="s">
        <v>3134</v>
      </c>
      <c r="H1456" t="s">
        <v>1247</v>
      </c>
      <c r="I1456" t="s">
        <v>2134</v>
      </c>
      <c r="J1456" s="455">
        <v>46093</v>
      </c>
      <c r="K1456" s="455">
        <v>46093</v>
      </c>
      <c r="R1456" s="455">
        <v>46114</v>
      </c>
      <c r="U1456" s="455">
        <v>46093</v>
      </c>
    </row>
    <row r="1457" spans="1:21">
      <c r="A1457" t="s">
        <v>1751</v>
      </c>
      <c r="B1457" t="s">
        <v>10146</v>
      </c>
      <c r="C1457" t="s">
        <v>1751</v>
      </c>
      <c r="D1457">
        <v>20509077</v>
      </c>
      <c r="E1457" t="s">
        <v>3128</v>
      </c>
      <c r="F1457" t="s">
        <v>1241</v>
      </c>
      <c r="G1457" t="s">
        <v>3129</v>
      </c>
      <c r="H1457" t="s">
        <v>3131</v>
      </c>
      <c r="J1457" s="455">
        <v>46136</v>
      </c>
      <c r="U1457" s="455">
        <v>46136</v>
      </c>
    </row>
    <row r="1458" spans="1:21">
      <c r="A1458" t="s">
        <v>1751</v>
      </c>
      <c r="B1458" t="s">
        <v>10147</v>
      </c>
      <c r="C1458" t="s">
        <v>1751</v>
      </c>
      <c r="D1458">
        <v>20504053</v>
      </c>
      <c r="E1458" t="s">
        <v>3128</v>
      </c>
      <c r="F1458" t="s">
        <v>1237</v>
      </c>
      <c r="G1458" t="s">
        <v>3141</v>
      </c>
      <c r="H1458" t="s">
        <v>1252</v>
      </c>
      <c r="J1458" s="455">
        <v>46132</v>
      </c>
      <c r="U1458" s="455">
        <v>46143</v>
      </c>
    </row>
    <row r="1459" spans="1:21">
      <c r="A1459" t="s">
        <v>1751</v>
      </c>
      <c r="B1459" t="s">
        <v>9394</v>
      </c>
      <c r="C1459" t="s">
        <v>1751</v>
      </c>
      <c r="D1459">
        <v>20482556</v>
      </c>
      <c r="E1459" t="s">
        <v>3190</v>
      </c>
      <c r="F1459" t="s">
        <v>1241</v>
      </c>
      <c r="G1459" t="s">
        <v>3141</v>
      </c>
      <c r="H1459" t="s">
        <v>1252</v>
      </c>
      <c r="J1459" s="455">
        <v>46110</v>
      </c>
      <c r="R1459" s="455">
        <v>46139</v>
      </c>
      <c r="U1459" s="455">
        <v>46143</v>
      </c>
    </row>
    <row r="1460" spans="1:21">
      <c r="A1460" t="s">
        <v>1751</v>
      </c>
      <c r="B1460" t="s">
        <v>9395</v>
      </c>
      <c r="C1460" t="s">
        <v>1751</v>
      </c>
      <c r="D1460">
        <v>20483482</v>
      </c>
      <c r="E1460" t="s">
        <v>3190</v>
      </c>
      <c r="F1460" t="s">
        <v>1241</v>
      </c>
      <c r="G1460" t="s">
        <v>3143</v>
      </c>
      <c r="H1460" t="s">
        <v>1248</v>
      </c>
      <c r="J1460" s="455">
        <v>46111</v>
      </c>
      <c r="R1460" s="455">
        <v>46114</v>
      </c>
      <c r="U1460" s="455">
        <v>46147</v>
      </c>
    </row>
    <row r="1461" spans="1:21">
      <c r="A1461" t="s">
        <v>1751</v>
      </c>
      <c r="B1461" t="s">
        <v>10148</v>
      </c>
      <c r="C1461" t="s">
        <v>1751</v>
      </c>
      <c r="D1461">
        <v>20505752</v>
      </c>
      <c r="E1461" t="s">
        <v>3128</v>
      </c>
      <c r="F1461" t="s">
        <v>1782</v>
      </c>
      <c r="G1461" t="s">
        <v>3137</v>
      </c>
      <c r="H1461" t="s">
        <v>1247</v>
      </c>
      <c r="J1461" s="455">
        <v>46134</v>
      </c>
      <c r="U1461" s="455">
        <v>46134</v>
      </c>
    </row>
    <row r="1462" spans="1:21">
      <c r="A1462" t="s">
        <v>1751</v>
      </c>
      <c r="B1462" t="s">
        <v>6759</v>
      </c>
      <c r="C1462" t="s">
        <v>1751</v>
      </c>
      <c r="D1462">
        <v>20512160</v>
      </c>
      <c r="E1462" t="s">
        <v>1907</v>
      </c>
      <c r="F1462" t="s">
        <v>1237</v>
      </c>
      <c r="G1462" t="s">
        <v>3141</v>
      </c>
      <c r="H1462" t="s">
        <v>1940</v>
      </c>
      <c r="I1462" t="s">
        <v>5716</v>
      </c>
      <c r="J1462" s="455">
        <v>46140</v>
      </c>
      <c r="K1462" s="455">
        <v>46141</v>
      </c>
      <c r="L1462" s="455">
        <v>46141</v>
      </c>
      <c r="U1462" s="455">
        <v>46153</v>
      </c>
    </row>
    <row r="1463" spans="1:21">
      <c r="A1463" t="s">
        <v>1751</v>
      </c>
      <c r="B1463" t="s">
        <v>10149</v>
      </c>
      <c r="C1463" t="s">
        <v>1751</v>
      </c>
      <c r="D1463">
        <v>20510990</v>
      </c>
      <c r="E1463" t="s">
        <v>3190</v>
      </c>
      <c r="F1463" t="s">
        <v>1241</v>
      </c>
      <c r="G1463" t="s">
        <v>3134</v>
      </c>
      <c r="H1463" t="s">
        <v>1252</v>
      </c>
      <c r="J1463" s="455">
        <v>46139</v>
      </c>
      <c r="R1463" s="455">
        <v>46139</v>
      </c>
      <c r="U1463" s="455">
        <v>46149</v>
      </c>
    </row>
    <row r="1464" spans="1:21">
      <c r="A1464" t="s">
        <v>1751</v>
      </c>
      <c r="B1464" t="s">
        <v>10149</v>
      </c>
      <c r="C1464" t="s">
        <v>1751</v>
      </c>
      <c r="D1464">
        <v>20510980</v>
      </c>
      <c r="E1464" t="s">
        <v>3128</v>
      </c>
      <c r="F1464" t="s">
        <v>1241</v>
      </c>
      <c r="G1464" t="s">
        <v>3129</v>
      </c>
      <c r="H1464" t="s">
        <v>1252</v>
      </c>
      <c r="J1464" s="455">
        <v>46139</v>
      </c>
      <c r="U1464" s="455">
        <v>46153</v>
      </c>
    </row>
    <row r="1465" spans="1:21">
      <c r="A1465" t="s">
        <v>1751</v>
      </c>
      <c r="B1465" t="s">
        <v>8963</v>
      </c>
      <c r="C1465" t="s">
        <v>1751</v>
      </c>
      <c r="D1465">
        <v>20442460</v>
      </c>
      <c r="E1465" t="s">
        <v>3190</v>
      </c>
      <c r="F1465" t="s">
        <v>1241</v>
      </c>
      <c r="G1465" t="s">
        <v>3141</v>
      </c>
      <c r="H1465" t="s">
        <v>1247</v>
      </c>
      <c r="J1465" s="455">
        <v>46059</v>
      </c>
      <c r="R1465" s="455">
        <v>46114</v>
      </c>
      <c r="U1465" s="455">
        <v>46061</v>
      </c>
    </row>
    <row r="1466" spans="1:21">
      <c r="A1466" t="s">
        <v>1751</v>
      </c>
      <c r="B1466" t="s">
        <v>9396</v>
      </c>
      <c r="C1466" t="s">
        <v>1751</v>
      </c>
      <c r="D1466">
        <v>20471945</v>
      </c>
      <c r="E1466" t="s">
        <v>3190</v>
      </c>
      <c r="F1466" t="s">
        <v>1782</v>
      </c>
      <c r="G1466" t="s">
        <v>3134</v>
      </c>
      <c r="H1466" t="s">
        <v>1252</v>
      </c>
      <c r="J1466" s="455">
        <v>46096</v>
      </c>
      <c r="R1466" s="455">
        <v>46114</v>
      </c>
      <c r="U1466" s="455">
        <v>46097</v>
      </c>
    </row>
    <row r="1467" spans="1:21">
      <c r="A1467" t="s">
        <v>1751</v>
      </c>
      <c r="B1467" t="s">
        <v>10150</v>
      </c>
      <c r="C1467" t="s">
        <v>1751</v>
      </c>
      <c r="D1467">
        <v>20508469</v>
      </c>
      <c r="E1467" t="s">
        <v>3128</v>
      </c>
      <c r="F1467" t="s">
        <v>1241</v>
      </c>
      <c r="G1467" t="s">
        <v>3134</v>
      </c>
      <c r="H1467" t="s">
        <v>3165</v>
      </c>
      <c r="J1467" s="455">
        <v>46135</v>
      </c>
      <c r="U1467" s="455">
        <v>46174</v>
      </c>
    </row>
    <row r="1468" spans="1:21">
      <c r="A1468" t="s">
        <v>1751</v>
      </c>
      <c r="B1468" t="s">
        <v>9397</v>
      </c>
      <c r="C1468" t="s">
        <v>1751</v>
      </c>
      <c r="D1468">
        <v>20483283</v>
      </c>
      <c r="E1468" t="s">
        <v>3190</v>
      </c>
      <c r="F1468" t="s">
        <v>1241</v>
      </c>
      <c r="G1468" t="s">
        <v>3129</v>
      </c>
      <c r="H1468" t="s">
        <v>3131</v>
      </c>
      <c r="J1468" s="455">
        <v>46111</v>
      </c>
      <c r="R1468" s="455">
        <v>46116</v>
      </c>
      <c r="U1468" s="455">
        <v>46112</v>
      </c>
    </row>
    <row r="1469" spans="1:21">
      <c r="A1469" t="s">
        <v>1751</v>
      </c>
      <c r="B1469" t="s">
        <v>10151</v>
      </c>
      <c r="C1469" t="s">
        <v>1751</v>
      </c>
      <c r="D1469">
        <v>20411977</v>
      </c>
      <c r="E1469" t="s">
        <v>3190</v>
      </c>
      <c r="F1469" t="s">
        <v>1241</v>
      </c>
      <c r="G1469" t="s">
        <v>3129</v>
      </c>
      <c r="H1469" t="s">
        <v>1247</v>
      </c>
      <c r="J1469" s="455">
        <v>46014</v>
      </c>
      <c r="R1469" s="455">
        <v>46114</v>
      </c>
      <c r="U1469" s="455">
        <v>46014</v>
      </c>
    </row>
    <row r="1470" spans="1:21">
      <c r="A1470" t="s">
        <v>1751</v>
      </c>
      <c r="B1470" t="s">
        <v>9398</v>
      </c>
      <c r="C1470" t="s">
        <v>1751</v>
      </c>
      <c r="D1470">
        <v>20477378</v>
      </c>
      <c r="E1470" t="s">
        <v>3190</v>
      </c>
      <c r="F1470" t="s">
        <v>1782</v>
      </c>
      <c r="G1470" t="s">
        <v>3134</v>
      </c>
      <c r="H1470" t="s">
        <v>1252</v>
      </c>
      <c r="I1470" t="s">
        <v>1952</v>
      </c>
      <c r="J1470" s="455">
        <v>46102</v>
      </c>
      <c r="R1470" s="455">
        <v>46116</v>
      </c>
      <c r="U1470" s="455">
        <v>46183</v>
      </c>
    </row>
    <row r="1471" spans="1:21">
      <c r="A1471" t="s">
        <v>1751</v>
      </c>
      <c r="B1471" t="s">
        <v>8964</v>
      </c>
      <c r="C1471" t="s">
        <v>1751</v>
      </c>
      <c r="D1471">
        <v>20448322</v>
      </c>
      <c r="E1471" t="s">
        <v>3190</v>
      </c>
      <c r="F1471" t="s">
        <v>1241</v>
      </c>
      <c r="G1471" t="s">
        <v>3129</v>
      </c>
      <c r="H1471" t="s">
        <v>3131</v>
      </c>
      <c r="J1471" s="455">
        <v>46066</v>
      </c>
      <c r="R1471" s="455">
        <v>46114</v>
      </c>
      <c r="U1471" s="455">
        <v>46066</v>
      </c>
    </row>
    <row r="1472" spans="1:21">
      <c r="A1472" t="s">
        <v>1751</v>
      </c>
      <c r="B1472" t="s">
        <v>10152</v>
      </c>
      <c r="C1472" t="s">
        <v>1751</v>
      </c>
      <c r="D1472">
        <v>20420573</v>
      </c>
      <c r="E1472" t="s">
        <v>3133</v>
      </c>
      <c r="F1472" t="s">
        <v>1239</v>
      </c>
      <c r="G1472" t="s">
        <v>3134</v>
      </c>
      <c r="H1472" t="s">
        <v>1247</v>
      </c>
      <c r="I1472" t="s">
        <v>7006</v>
      </c>
      <c r="J1472" s="455">
        <v>46029</v>
      </c>
      <c r="K1472" s="455">
        <v>46029</v>
      </c>
      <c r="R1472" s="455">
        <v>46114</v>
      </c>
      <c r="U1472" s="455">
        <v>46055</v>
      </c>
    </row>
    <row r="1473" spans="1:21">
      <c r="A1473" t="s">
        <v>1751</v>
      </c>
      <c r="B1473" t="s">
        <v>10153</v>
      </c>
      <c r="C1473" t="s">
        <v>1751</v>
      </c>
      <c r="D1473">
        <v>20504263</v>
      </c>
      <c r="E1473" t="s">
        <v>3133</v>
      </c>
      <c r="F1473" t="s">
        <v>1241</v>
      </c>
      <c r="G1473" t="s">
        <v>3134</v>
      </c>
      <c r="H1473" t="s">
        <v>1247</v>
      </c>
      <c r="I1473" t="s">
        <v>1915</v>
      </c>
      <c r="J1473" s="455">
        <v>46132</v>
      </c>
      <c r="K1473" s="455">
        <v>46132</v>
      </c>
      <c r="R1473" s="455">
        <v>46135</v>
      </c>
      <c r="U1473" s="455">
        <v>46142</v>
      </c>
    </row>
    <row r="1474" spans="1:21">
      <c r="A1474" t="s">
        <v>1751</v>
      </c>
      <c r="B1474" t="s">
        <v>4040</v>
      </c>
      <c r="C1474" t="s">
        <v>1751</v>
      </c>
      <c r="D1474">
        <v>20459091</v>
      </c>
      <c r="E1474" t="s">
        <v>3190</v>
      </c>
      <c r="F1474" t="s">
        <v>1782</v>
      </c>
      <c r="G1474" t="s">
        <v>3143</v>
      </c>
      <c r="H1474" t="s">
        <v>1248</v>
      </c>
      <c r="J1474" s="455">
        <v>46080</v>
      </c>
      <c r="R1474" s="455">
        <v>46114</v>
      </c>
      <c r="U1474" s="455">
        <v>46080</v>
      </c>
    </row>
    <row r="1475" spans="1:21">
      <c r="A1475" t="s">
        <v>1751</v>
      </c>
      <c r="B1475" t="s">
        <v>8965</v>
      </c>
      <c r="C1475" t="s">
        <v>1751</v>
      </c>
      <c r="D1475">
        <v>20446038</v>
      </c>
      <c r="E1475" t="s">
        <v>3190</v>
      </c>
      <c r="F1475" t="s">
        <v>1241</v>
      </c>
      <c r="G1475" t="s">
        <v>2009</v>
      </c>
      <c r="H1475" t="s">
        <v>1247</v>
      </c>
      <c r="J1475" s="455">
        <v>46064</v>
      </c>
      <c r="R1475" s="455">
        <v>46114</v>
      </c>
      <c r="U1475" s="455">
        <v>46082</v>
      </c>
    </row>
    <row r="1476" spans="1:21">
      <c r="A1476" t="s">
        <v>1751</v>
      </c>
      <c r="B1476" t="s">
        <v>9399</v>
      </c>
      <c r="C1476" t="s">
        <v>1751</v>
      </c>
      <c r="D1476">
        <v>20462252</v>
      </c>
      <c r="E1476" t="s">
        <v>3190</v>
      </c>
      <c r="F1476" t="s">
        <v>1241</v>
      </c>
      <c r="G1476" t="s">
        <v>3137</v>
      </c>
      <c r="H1476" t="s">
        <v>1247</v>
      </c>
      <c r="J1476" s="455">
        <v>46085</v>
      </c>
      <c r="R1476" s="455">
        <v>46114</v>
      </c>
      <c r="U1476" s="455">
        <v>46095</v>
      </c>
    </row>
    <row r="1477" spans="1:21">
      <c r="A1477" t="s">
        <v>1751</v>
      </c>
      <c r="B1477" t="s">
        <v>9400</v>
      </c>
      <c r="C1477" t="s">
        <v>1751</v>
      </c>
      <c r="D1477">
        <v>20461036</v>
      </c>
      <c r="E1477" t="s">
        <v>3133</v>
      </c>
      <c r="F1477" t="s">
        <v>1912</v>
      </c>
      <c r="G1477" t="s">
        <v>3134</v>
      </c>
      <c r="H1477" t="s">
        <v>1247</v>
      </c>
      <c r="J1477" s="455">
        <v>46083</v>
      </c>
      <c r="K1477" s="455">
        <v>46083</v>
      </c>
      <c r="R1477" s="455">
        <v>46115</v>
      </c>
      <c r="U1477" s="455">
        <v>46083</v>
      </c>
    </row>
    <row r="1478" spans="1:21">
      <c r="A1478" t="s">
        <v>1751</v>
      </c>
      <c r="B1478" t="s">
        <v>10154</v>
      </c>
      <c r="C1478" t="s">
        <v>1751</v>
      </c>
      <c r="D1478">
        <v>20492770</v>
      </c>
      <c r="E1478" t="s">
        <v>3190</v>
      </c>
      <c r="F1478" t="s">
        <v>1241</v>
      </c>
      <c r="G1478" t="s">
        <v>3134</v>
      </c>
      <c r="H1478" t="s">
        <v>3165</v>
      </c>
      <c r="J1478" s="455">
        <v>46123</v>
      </c>
      <c r="R1478" s="455">
        <v>46139</v>
      </c>
      <c r="U1478" s="455">
        <v>46266</v>
      </c>
    </row>
    <row r="1479" spans="1:21">
      <c r="A1479" t="s">
        <v>1751</v>
      </c>
      <c r="B1479" t="s">
        <v>4045</v>
      </c>
      <c r="C1479" t="s">
        <v>1751</v>
      </c>
      <c r="D1479">
        <v>20493031</v>
      </c>
      <c r="E1479" t="s">
        <v>1897</v>
      </c>
      <c r="F1479" t="s">
        <v>1912</v>
      </c>
      <c r="G1479" t="s">
        <v>3134</v>
      </c>
      <c r="H1479" t="s">
        <v>1247</v>
      </c>
      <c r="J1479" s="455">
        <v>46124</v>
      </c>
      <c r="K1479" s="455">
        <v>46124</v>
      </c>
      <c r="U1479" s="455">
        <v>46125</v>
      </c>
    </row>
    <row r="1480" spans="1:21">
      <c r="A1480" t="s">
        <v>1751</v>
      </c>
      <c r="B1480" t="s">
        <v>7153</v>
      </c>
      <c r="C1480" t="s">
        <v>1751</v>
      </c>
      <c r="D1480">
        <v>20483721</v>
      </c>
      <c r="E1480" t="s">
        <v>1897</v>
      </c>
      <c r="F1480" t="s">
        <v>1238</v>
      </c>
      <c r="G1480" t="s">
        <v>3134</v>
      </c>
      <c r="H1480" t="s">
        <v>1252</v>
      </c>
      <c r="I1480" t="s">
        <v>3179</v>
      </c>
      <c r="J1480" s="455">
        <v>46111</v>
      </c>
      <c r="K1480" s="455">
        <v>46134</v>
      </c>
      <c r="U1480" s="455">
        <v>46165</v>
      </c>
    </row>
    <row r="1481" spans="1:21">
      <c r="A1481" t="s">
        <v>1751</v>
      </c>
      <c r="B1481" t="s">
        <v>7153</v>
      </c>
      <c r="C1481" t="s">
        <v>1751</v>
      </c>
      <c r="D1481">
        <v>20507077</v>
      </c>
      <c r="E1481" t="s">
        <v>1907</v>
      </c>
      <c r="F1481" t="s">
        <v>1238</v>
      </c>
      <c r="G1481" t="s">
        <v>3134</v>
      </c>
      <c r="H1481" t="s">
        <v>1251</v>
      </c>
      <c r="I1481" t="s">
        <v>3179</v>
      </c>
      <c r="J1481" s="455">
        <v>46134</v>
      </c>
      <c r="K1481" s="455">
        <v>46134</v>
      </c>
      <c r="L1481" s="455">
        <v>46136</v>
      </c>
      <c r="O1481" s="455">
        <v>46149</v>
      </c>
      <c r="U1481" s="455">
        <v>46142</v>
      </c>
    </row>
    <row r="1482" spans="1:21">
      <c r="A1482" t="s">
        <v>1751</v>
      </c>
      <c r="B1482" t="s">
        <v>8968</v>
      </c>
      <c r="C1482" t="s">
        <v>1751</v>
      </c>
      <c r="D1482">
        <v>20449671</v>
      </c>
      <c r="E1482" t="s">
        <v>3133</v>
      </c>
      <c r="F1482" t="s">
        <v>1241</v>
      </c>
      <c r="G1482" t="s">
        <v>3134</v>
      </c>
      <c r="H1482" t="s">
        <v>1249</v>
      </c>
      <c r="I1482" t="s">
        <v>3258</v>
      </c>
      <c r="J1482" s="455">
        <v>46069</v>
      </c>
      <c r="K1482" s="455">
        <v>46069</v>
      </c>
      <c r="R1482" s="455">
        <v>46114</v>
      </c>
      <c r="U1482" s="455">
        <v>46077</v>
      </c>
    </row>
    <row r="1483" spans="1:21">
      <c r="A1483" t="s">
        <v>1751</v>
      </c>
      <c r="B1483" t="s">
        <v>10155</v>
      </c>
      <c r="C1483" t="s">
        <v>1751</v>
      </c>
      <c r="D1483">
        <v>20491002</v>
      </c>
      <c r="E1483" t="s">
        <v>3128</v>
      </c>
      <c r="F1483" t="s">
        <v>1239</v>
      </c>
      <c r="G1483" t="s">
        <v>3143</v>
      </c>
      <c r="H1483" t="s">
        <v>3685</v>
      </c>
      <c r="J1483" s="455">
        <v>46121</v>
      </c>
      <c r="U1483" s="455">
        <v>46121</v>
      </c>
    </row>
    <row r="1484" spans="1:21">
      <c r="A1484" t="s">
        <v>1751</v>
      </c>
      <c r="B1484" t="s">
        <v>10156</v>
      </c>
      <c r="C1484" t="s">
        <v>1751</v>
      </c>
      <c r="D1484">
        <v>20419435</v>
      </c>
      <c r="E1484" t="s">
        <v>3190</v>
      </c>
      <c r="F1484" t="s">
        <v>1239</v>
      </c>
      <c r="G1484" t="s">
        <v>3129</v>
      </c>
      <c r="H1484" t="s">
        <v>1252</v>
      </c>
      <c r="J1484" s="455">
        <v>46028</v>
      </c>
      <c r="R1484" s="455">
        <v>46114</v>
      </c>
      <c r="U1484" s="455">
        <v>46028</v>
      </c>
    </row>
    <row r="1485" spans="1:21">
      <c r="A1485" t="s">
        <v>1751</v>
      </c>
      <c r="B1485" t="s">
        <v>10157</v>
      </c>
      <c r="C1485" t="s">
        <v>1751</v>
      </c>
      <c r="D1485">
        <v>20511413</v>
      </c>
      <c r="E1485" t="s">
        <v>3128</v>
      </c>
      <c r="F1485" t="s">
        <v>1241</v>
      </c>
      <c r="G1485" t="s">
        <v>3137</v>
      </c>
      <c r="H1485" t="s">
        <v>1247</v>
      </c>
      <c r="I1485" t="s">
        <v>1952</v>
      </c>
      <c r="J1485" s="455">
        <v>46139</v>
      </c>
      <c r="U1485" s="455">
        <v>46157</v>
      </c>
    </row>
    <row r="1486" spans="1:21">
      <c r="A1486" t="s">
        <v>1751</v>
      </c>
      <c r="B1486" t="s">
        <v>10158</v>
      </c>
      <c r="C1486" t="s">
        <v>1751</v>
      </c>
      <c r="D1486">
        <v>20431814</v>
      </c>
      <c r="E1486" t="s">
        <v>3190</v>
      </c>
      <c r="F1486" t="s">
        <v>1238</v>
      </c>
      <c r="G1486" t="s">
        <v>3143</v>
      </c>
      <c r="H1486" t="s">
        <v>1248</v>
      </c>
      <c r="J1486" s="455">
        <v>46043</v>
      </c>
      <c r="R1486" s="455">
        <v>46114</v>
      </c>
      <c r="U1486" s="455">
        <v>46043</v>
      </c>
    </row>
    <row r="1487" spans="1:21">
      <c r="A1487" t="s">
        <v>1751</v>
      </c>
      <c r="B1487" t="s">
        <v>10159</v>
      </c>
      <c r="C1487" t="s">
        <v>1751</v>
      </c>
      <c r="D1487">
        <v>20485830</v>
      </c>
      <c r="E1487" t="s">
        <v>3190</v>
      </c>
      <c r="F1487" t="s">
        <v>9896</v>
      </c>
      <c r="G1487" t="s">
        <v>3129</v>
      </c>
      <c r="H1487" t="s">
        <v>1251</v>
      </c>
      <c r="J1487" s="455">
        <v>46114</v>
      </c>
      <c r="R1487" s="455">
        <v>46129</v>
      </c>
      <c r="U1487" s="455">
        <v>46114</v>
      </c>
    </row>
    <row r="1488" spans="1:21">
      <c r="A1488" t="s">
        <v>1751</v>
      </c>
      <c r="B1488" t="s">
        <v>8970</v>
      </c>
      <c r="C1488" t="s">
        <v>1751</v>
      </c>
      <c r="D1488">
        <v>20442136</v>
      </c>
      <c r="E1488" t="s">
        <v>3190</v>
      </c>
      <c r="F1488" t="s">
        <v>1782</v>
      </c>
      <c r="G1488" t="s">
        <v>3143</v>
      </c>
      <c r="H1488" t="s">
        <v>3515</v>
      </c>
      <c r="I1488" t="s">
        <v>1831</v>
      </c>
      <c r="J1488" s="455">
        <v>46059</v>
      </c>
      <c r="R1488" s="455">
        <v>46114</v>
      </c>
      <c r="U1488" s="455">
        <v>46059</v>
      </c>
    </row>
    <row r="1489" spans="1:21">
      <c r="A1489" t="s">
        <v>1751</v>
      </c>
      <c r="B1489" t="s">
        <v>9401</v>
      </c>
      <c r="C1489" t="s">
        <v>1751</v>
      </c>
      <c r="D1489">
        <v>20478283</v>
      </c>
      <c r="E1489" t="s">
        <v>3190</v>
      </c>
      <c r="F1489" t="s">
        <v>1782</v>
      </c>
      <c r="G1489" t="s">
        <v>9402</v>
      </c>
      <c r="H1489" t="s">
        <v>1247</v>
      </c>
      <c r="J1489" s="455">
        <v>46104</v>
      </c>
      <c r="R1489" s="455">
        <v>46114</v>
      </c>
      <c r="U1489" s="455">
        <v>46104</v>
      </c>
    </row>
    <row r="1490" spans="1:21">
      <c r="A1490" t="s">
        <v>1751</v>
      </c>
      <c r="B1490" t="s">
        <v>9403</v>
      </c>
      <c r="C1490" t="s">
        <v>1751</v>
      </c>
      <c r="D1490">
        <v>20484147</v>
      </c>
      <c r="E1490" t="s">
        <v>3190</v>
      </c>
      <c r="F1490" t="s">
        <v>1241</v>
      </c>
      <c r="G1490" t="s">
        <v>2009</v>
      </c>
      <c r="H1490" t="s">
        <v>3165</v>
      </c>
      <c r="J1490" s="455">
        <v>46112</v>
      </c>
      <c r="R1490" s="455">
        <v>46139</v>
      </c>
      <c r="U1490" s="455">
        <v>46112</v>
      </c>
    </row>
    <row r="1491" spans="1:21">
      <c r="A1491" t="s">
        <v>1751</v>
      </c>
      <c r="B1491" t="s">
        <v>10160</v>
      </c>
      <c r="C1491" t="s">
        <v>1751</v>
      </c>
      <c r="D1491">
        <v>20506250</v>
      </c>
      <c r="E1491" t="s">
        <v>3128</v>
      </c>
      <c r="F1491" t="s">
        <v>1241</v>
      </c>
      <c r="G1491" t="s">
        <v>2009</v>
      </c>
      <c r="H1491" t="s">
        <v>3165</v>
      </c>
      <c r="J1491" s="455">
        <v>46134</v>
      </c>
      <c r="U1491" s="455">
        <v>46134</v>
      </c>
    </row>
    <row r="1492" spans="1:21">
      <c r="A1492" t="s">
        <v>1751</v>
      </c>
      <c r="B1492" t="s">
        <v>10161</v>
      </c>
      <c r="C1492" t="s">
        <v>1751</v>
      </c>
      <c r="D1492">
        <v>20506239</v>
      </c>
      <c r="E1492" t="s">
        <v>3128</v>
      </c>
      <c r="F1492" t="s">
        <v>1241</v>
      </c>
      <c r="G1492" t="s">
        <v>3134</v>
      </c>
      <c r="H1492" t="s">
        <v>3165</v>
      </c>
      <c r="J1492" s="455">
        <v>46134</v>
      </c>
      <c r="U1492" s="455">
        <v>46164</v>
      </c>
    </row>
    <row r="1493" spans="1:21">
      <c r="A1493" t="s">
        <v>1751</v>
      </c>
      <c r="B1493" t="s">
        <v>10162</v>
      </c>
      <c r="C1493" t="s">
        <v>1751</v>
      </c>
      <c r="D1493">
        <v>20506235</v>
      </c>
      <c r="E1493" t="s">
        <v>3128</v>
      </c>
      <c r="F1493" t="s">
        <v>1782</v>
      </c>
      <c r="G1493" t="s">
        <v>3141</v>
      </c>
      <c r="H1493" t="s">
        <v>1252</v>
      </c>
      <c r="J1493" s="455">
        <v>46134</v>
      </c>
      <c r="U1493" s="455">
        <v>46157</v>
      </c>
    </row>
    <row r="1494" spans="1:21">
      <c r="A1494" t="s">
        <v>1751</v>
      </c>
      <c r="B1494" t="s">
        <v>10163</v>
      </c>
      <c r="C1494" t="s">
        <v>1751</v>
      </c>
      <c r="D1494">
        <v>20506252</v>
      </c>
      <c r="E1494" t="s">
        <v>3128</v>
      </c>
      <c r="F1494" t="s">
        <v>1782</v>
      </c>
      <c r="G1494" t="s">
        <v>3134</v>
      </c>
      <c r="H1494" t="s">
        <v>4492</v>
      </c>
      <c r="J1494" s="455">
        <v>46134</v>
      </c>
      <c r="U1494" s="455">
        <v>46139</v>
      </c>
    </row>
    <row r="1495" spans="1:21">
      <c r="A1495" t="s">
        <v>1751</v>
      </c>
      <c r="B1495" t="s">
        <v>10164</v>
      </c>
      <c r="C1495" t="s">
        <v>1751</v>
      </c>
      <c r="D1495">
        <v>20506238</v>
      </c>
      <c r="E1495" t="s">
        <v>3128</v>
      </c>
      <c r="F1495" t="s">
        <v>1782</v>
      </c>
      <c r="G1495" t="s">
        <v>3141</v>
      </c>
      <c r="H1495" t="s">
        <v>1252</v>
      </c>
      <c r="J1495" s="455">
        <v>46134</v>
      </c>
      <c r="U1495" s="455">
        <v>46147</v>
      </c>
    </row>
    <row r="1496" spans="1:21">
      <c r="A1496" t="s">
        <v>1751</v>
      </c>
      <c r="B1496" t="s">
        <v>9404</v>
      </c>
      <c r="C1496" t="s">
        <v>1751</v>
      </c>
      <c r="D1496">
        <v>20468654</v>
      </c>
      <c r="E1496" t="s">
        <v>3190</v>
      </c>
      <c r="F1496" t="s">
        <v>1782</v>
      </c>
      <c r="G1496" t="s">
        <v>3141</v>
      </c>
      <c r="H1496" t="s">
        <v>1247</v>
      </c>
      <c r="J1496" s="455">
        <v>46092</v>
      </c>
      <c r="R1496" s="455">
        <v>46114</v>
      </c>
      <c r="U1496" s="455">
        <v>46152</v>
      </c>
    </row>
    <row r="1497" spans="1:21">
      <c r="A1497" t="s">
        <v>1751</v>
      </c>
      <c r="B1497" t="s">
        <v>9405</v>
      </c>
      <c r="C1497" t="s">
        <v>1751</v>
      </c>
      <c r="D1497">
        <v>20464926</v>
      </c>
      <c r="E1497" t="s">
        <v>3190</v>
      </c>
      <c r="F1497" t="s">
        <v>1782</v>
      </c>
      <c r="G1497" t="s">
        <v>3143</v>
      </c>
      <c r="H1497" t="s">
        <v>2291</v>
      </c>
      <c r="I1497" t="s">
        <v>1831</v>
      </c>
      <c r="J1497" s="455">
        <v>46089</v>
      </c>
      <c r="R1497" s="455">
        <v>46114</v>
      </c>
      <c r="U1497" s="455">
        <v>46089</v>
      </c>
    </row>
    <row r="1498" spans="1:21">
      <c r="A1498" t="s">
        <v>1751</v>
      </c>
      <c r="B1498" t="s">
        <v>6590</v>
      </c>
      <c r="C1498" t="s">
        <v>1751</v>
      </c>
      <c r="D1498">
        <v>20485054</v>
      </c>
      <c r="E1498" t="s">
        <v>3133</v>
      </c>
      <c r="F1498" t="s">
        <v>1243</v>
      </c>
      <c r="G1498" t="s">
        <v>3134</v>
      </c>
      <c r="H1498" t="s">
        <v>1247</v>
      </c>
      <c r="I1498" t="s">
        <v>4706</v>
      </c>
      <c r="J1498" s="455">
        <v>46113</v>
      </c>
      <c r="K1498" s="455">
        <v>46113</v>
      </c>
      <c r="R1498" s="455">
        <v>46142</v>
      </c>
      <c r="U1498" s="455">
        <v>46143</v>
      </c>
    </row>
    <row r="1499" spans="1:21">
      <c r="A1499" t="s">
        <v>1751</v>
      </c>
      <c r="B1499" t="s">
        <v>6590</v>
      </c>
      <c r="C1499" t="s">
        <v>1751</v>
      </c>
      <c r="D1499">
        <v>20484213</v>
      </c>
      <c r="E1499" t="s">
        <v>3133</v>
      </c>
      <c r="F1499" t="s">
        <v>1243</v>
      </c>
      <c r="G1499" t="s">
        <v>3134</v>
      </c>
      <c r="H1499" t="s">
        <v>1247</v>
      </c>
      <c r="I1499" t="s">
        <v>1956</v>
      </c>
      <c r="J1499" s="455">
        <v>46112</v>
      </c>
      <c r="K1499" s="455">
        <v>46112</v>
      </c>
      <c r="L1499" s="455">
        <v>46113</v>
      </c>
      <c r="R1499" s="455">
        <v>46120</v>
      </c>
      <c r="U1499" s="455">
        <v>46142</v>
      </c>
    </row>
    <row r="1500" spans="1:21">
      <c r="A1500" t="s">
        <v>1751</v>
      </c>
      <c r="B1500" t="s">
        <v>10165</v>
      </c>
      <c r="C1500" t="s">
        <v>1751</v>
      </c>
      <c r="D1500">
        <v>20434933</v>
      </c>
      <c r="E1500" t="s">
        <v>3190</v>
      </c>
      <c r="F1500" t="s">
        <v>1241</v>
      </c>
      <c r="G1500" t="s">
        <v>3129</v>
      </c>
      <c r="H1500" t="s">
        <v>1253</v>
      </c>
      <c r="J1500" s="455">
        <v>46048</v>
      </c>
      <c r="R1500" s="455">
        <v>46114</v>
      </c>
      <c r="U1500" s="455">
        <v>46062</v>
      </c>
    </row>
    <row r="1501" spans="1:21">
      <c r="A1501" t="s">
        <v>1751</v>
      </c>
      <c r="B1501" t="s">
        <v>9406</v>
      </c>
      <c r="C1501" t="s">
        <v>1751</v>
      </c>
      <c r="D1501">
        <v>20479466</v>
      </c>
      <c r="E1501" t="s">
        <v>3190</v>
      </c>
      <c r="F1501" t="s">
        <v>1241</v>
      </c>
      <c r="G1501" t="s">
        <v>2009</v>
      </c>
      <c r="H1501" t="s">
        <v>3165</v>
      </c>
      <c r="J1501" s="455">
        <v>46105</v>
      </c>
      <c r="R1501" s="455">
        <v>46139</v>
      </c>
      <c r="U1501" s="455">
        <v>46105</v>
      </c>
    </row>
    <row r="1502" spans="1:21">
      <c r="A1502" t="s">
        <v>1751</v>
      </c>
      <c r="B1502" t="s">
        <v>4047</v>
      </c>
      <c r="C1502" t="s">
        <v>1751</v>
      </c>
      <c r="D1502">
        <v>20488467</v>
      </c>
      <c r="E1502" t="s">
        <v>3190</v>
      </c>
      <c r="F1502" t="s">
        <v>1782</v>
      </c>
      <c r="G1502" t="s">
        <v>3129</v>
      </c>
      <c r="H1502" t="s">
        <v>3131</v>
      </c>
      <c r="J1502" s="455">
        <v>46118</v>
      </c>
      <c r="R1502" s="455">
        <v>46139</v>
      </c>
      <c r="U1502" s="455">
        <v>46118</v>
      </c>
    </row>
    <row r="1503" spans="1:21">
      <c r="A1503" t="s">
        <v>1751</v>
      </c>
      <c r="B1503" t="s">
        <v>4047</v>
      </c>
      <c r="C1503" t="s">
        <v>1751</v>
      </c>
      <c r="D1503">
        <v>20488952</v>
      </c>
      <c r="E1503" t="s">
        <v>1897</v>
      </c>
      <c r="F1503" t="s">
        <v>1241</v>
      </c>
      <c r="G1503" t="s">
        <v>3134</v>
      </c>
      <c r="H1503" t="s">
        <v>1247</v>
      </c>
      <c r="J1503" s="455">
        <v>46119</v>
      </c>
      <c r="K1503" s="455">
        <v>46119</v>
      </c>
      <c r="U1503" s="455">
        <v>46119</v>
      </c>
    </row>
    <row r="1504" spans="1:21">
      <c r="A1504" t="s">
        <v>1751</v>
      </c>
      <c r="B1504" t="s">
        <v>9407</v>
      </c>
      <c r="C1504" t="s">
        <v>1751</v>
      </c>
      <c r="D1504">
        <v>20482687</v>
      </c>
      <c r="E1504" t="s">
        <v>3190</v>
      </c>
      <c r="F1504" t="s">
        <v>1241</v>
      </c>
      <c r="G1504" t="s">
        <v>3134</v>
      </c>
      <c r="H1504" t="s">
        <v>1252</v>
      </c>
      <c r="J1504" s="455">
        <v>46110</v>
      </c>
      <c r="R1504" s="455">
        <v>46139</v>
      </c>
      <c r="U1504" s="455">
        <v>46119</v>
      </c>
    </row>
    <row r="1505" spans="1:21">
      <c r="A1505" t="s">
        <v>1751</v>
      </c>
      <c r="B1505" t="s">
        <v>10166</v>
      </c>
      <c r="C1505" t="s">
        <v>1751</v>
      </c>
      <c r="D1505">
        <v>20436079</v>
      </c>
      <c r="E1505" t="s">
        <v>3190</v>
      </c>
      <c r="F1505" t="s">
        <v>1237</v>
      </c>
      <c r="G1505" t="s">
        <v>3143</v>
      </c>
      <c r="H1505" t="s">
        <v>1252</v>
      </c>
      <c r="J1505" s="455">
        <v>46050</v>
      </c>
      <c r="R1505" s="455">
        <v>46114</v>
      </c>
      <c r="U1505" s="455">
        <v>46050</v>
      </c>
    </row>
    <row r="1506" spans="1:21">
      <c r="A1506" t="s">
        <v>1751</v>
      </c>
      <c r="B1506" t="s">
        <v>10166</v>
      </c>
      <c r="C1506" t="s">
        <v>1751</v>
      </c>
      <c r="D1506">
        <v>20438682</v>
      </c>
      <c r="E1506" t="s">
        <v>3133</v>
      </c>
      <c r="F1506" t="s">
        <v>1237</v>
      </c>
      <c r="G1506" t="s">
        <v>3134</v>
      </c>
      <c r="H1506" t="s">
        <v>1247</v>
      </c>
      <c r="J1506" s="455">
        <v>46053</v>
      </c>
      <c r="K1506" s="455">
        <v>46053</v>
      </c>
      <c r="R1506" s="455">
        <v>46114</v>
      </c>
      <c r="U1506" s="455">
        <v>46053</v>
      </c>
    </row>
    <row r="1507" spans="1:21">
      <c r="A1507" t="s">
        <v>1751</v>
      </c>
      <c r="B1507" t="s">
        <v>8971</v>
      </c>
      <c r="C1507" t="s">
        <v>1751</v>
      </c>
      <c r="D1507">
        <v>20441280</v>
      </c>
      <c r="E1507" t="s">
        <v>3190</v>
      </c>
      <c r="F1507" t="s">
        <v>1241</v>
      </c>
      <c r="G1507" t="s">
        <v>3141</v>
      </c>
      <c r="H1507" t="s">
        <v>1247</v>
      </c>
      <c r="J1507" s="455">
        <v>46057</v>
      </c>
      <c r="R1507" s="455">
        <v>46114</v>
      </c>
      <c r="U1507" s="455">
        <v>46061</v>
      </c>
    </row>
    <row r="1508" spans="1:21">
      <c r="A1508" t="s">
        <v>1751</v>
      </c>
      <c r="B1508" t="s">
        <v>2580</v>
      </c>
      <c r="C1508" t="s">
        <v>1751</v>
      </c>
      <c r="D1508">
        <v>20491508</v>
      </c>
      <c r="E1508" t="s">
        <v>3133</v>
      </c>
      <c r="F1508" t="s">
        <v>1912</v>
      </c>
      <c r="G1508" t="s">
        <v>3134</v>
      </c>
      <c r="H1508" t="s">
        <v>1251</v>
      </c>
      <c r="I1508" t="s">
        <v>1560</v>
      </c>
      <c r="J1508" s="455">
        <v>46122</v>
      </c>
      <c r="K1508" s="455">
        <v>46122</v>
      </c>
      <c r="L1508" s="455">
        <v>46122</v>
      </c>
      <c r="R1508" s="455">
        <v>46122</v>
      </c>
      <c r="U1508" s="455">
        <v>46136</v>
      </c>
    </row>
    <row r="1509" spans="1:21">
      <c r="A1509" t="s">
        <v>1751</v>
      </c>
      <c r="B1509" t="s">
        <v>2580</v>
      </c>
      <c r="C1509" t="s">
        <v>1751</v>
      </c>
      <c r="D1509">
        <v>20491572</v>
      </c>
      <c r="E1509" t="s">
        <v>3142</v>
      </c>
      <c r="F1509" t="s">
        <v>1241</v>
      </c>
      <c r="G1509" t="s">
        <v>3134</v>
      </c>
      <c r="H1509" t="s">
        <v>1247</v>
      </c>
      <c r="I1509" t="s">
        <v>1560</v>
      </c>
      <c r="J1509" s="455">
        <v>46122</v>
      </c>
      <c r="K1509" s="455">
        <v>46122</v>
      </c>
      <c r="L1509" s="455">
        <v>46122</v>
      </c>
      <c r="M1509" s="455">
        <v>46122</v>
      </c>
      <c r="N1509" s="455">
        <v>46122</v>
      </c>
      <c r="P1509" s="455">
        <v>46122</v>
      </c>
      <c r="Q1509" s="455">
        <v>46122</v>
      </c>
      <c r="U1509" s="455">
        <v>46136</v>
      </c>
    </row>
    <row r="1510" spans="1:21">
      <c r="A1510" t="s">
        <v>1751</v>
      </c>
      <c r="B1510" t="s">
        <v>9408</v>
      </c>
      <c r="C1510" t="s">
        <v>1751</v>
      </c>
      <c r="D1510">
        <v>20493515</v>
      </c>
      <c r="E1510" t="s">
        <v>3190</v>
      </c>
      <c r="F1510" t="s">
        <v>1912</v>
      </c>
      <c r="G1510" t="s">
        <v>2009</v>
      </c>
      <c r="H1510" t="s">
        <v>1252</v>
      </c>
      <c r="J1510" s="455">
        <v>46125</v>
      </c>
      <c r="R1510" s="455">
        <v>46139</v>
      </c>
      <c r="U1510" s="455">
        <v>46125</v>
      </c>
    </row>
    <row r="1511" spans="1:21">
      <c r="A1511" t="s">
        <v>1751</v>
      </c>
      <c r="B1511" t="s">
        <v>9408</v>
      </c>
      <c r="C1511" t="s">
        <v>1751</v>
      </c>
      <c r="D1511">
        <v>20482090</v>
      </c>
      <c r="E1511" t="s">
        <v>3190</v>
      </c>
      <c r="F1511" t="s">
        <v>1241</v>
      </c>
      <c r="G1511" t="s">
        <v>3143</v>
      </c>
      <c r="H1511" t="s">
        <v>1252</v>
      </c>
      <c r="J1511" s="455">
        <v>46109</v>
      </c>
      <c r="R1511" s="455">
        <v>46116</v>
      </c>
      <c r="U1511" s="455">
        <v>46109</v>
      </c>
    </row>
    <row r="1512" spans="1:21">
      <c r="A1512" t="s">
        <v>1751</v>
      </c>
      <c r="B1512" t="s">
        <v>10167</v>
      </c>
      <c r="C1512" t="s">
        <v>1751</v>
      </c>
      <c r="D1512">
        <v>20508891</v>
      </c>
      <c r="E1512" t="s">
        <v>3128</v>
      </c>
      <c r="F1512" t="s">
        <v>1241</v>
      </c>
      <c r="G1512" t="s">
        <v>3129</v>
      </c>
      <c r="H1512" t="s">
        <v>1253</v>
      </c>
      <c r="J1512" s="455">
        <v>46136</v>
      </c>
      <c r="U1512" s="455">
        <v>46136</v>
      </c>
    </row>
    <row r="1513" spans="1:21">
      <c r="A1513" t="s">
        <v>1751</v>
      </c>
      <c r="B1513" t="s">
        <v>9409</v>
      </c>
      <c r="C1513" t="s">
        <v>1751</v>
      </c>
      <c r="D1513">
        <v>20464182</v>
      </c>
      <c r="E1513" t="s">
        <v>3190</v>
      </c>
      <c r="F1513" t="s">
        <v>1782</v>
      </c>
      <c r="G1513" t="s">
        <v>3129</v>
      </c>
      <c r="H1513" t="s">
        <v>1253</v>
      </c>
      <c r="J1513" s="455">
        <v>46088</v>
      </c>
      <c r="R1513" s="455">
        <v>46114</v>
      </c>
      <c r="U1513" s="455">
        <v>46088</v>
      </c>
    </row>
    <row r="1514" spans="1:21">
      <c r="A1514" t="s">
        <v>1751</v>
      </c>
      <c r="B1514" t="s">
        <v>9410</v>
      </c>
      <c r="C1514" t="s">
        <v>1751</v>
      </c>
      <c r="D1514">
        <v>20471294</v>
      </c>
      <c r="E1514" t="s">
        <v>3190</v>
      </c>
      <c r="F1514" t="s">
        <v>1782</v>
      </c>
      <c r="G1514" t="s">
        <v>3134</v>
      </c>
      <c r="H1514" t="s">
        <v>1252</v>
      </c>
      <c r="J1514" s="455">
        <v>46095</v>
      </c>
      <c r="R1514" s="455">
        <v>46114</v>
      </c>
      <c r="U1514" s="455">
        <v>46113</v>
      </c>
    </row>
    <row r="1515" spans="1:21">
      <c r="A1515" t="s">
        <v>1751</v>
      </c>
      <c r="B1515" t="s">
        <v>8972</v>
      </c>
      <c r="C1515" t="s">
        <v>1751</v>
      </c>
      <c r="D1515">
        <v>20444526</v>
      </c>
      <c r="E1515" t="s">
        <v>3190</v>
      </c>
      <c r="F1515" t="s">
        <v>1782</v>
      </c>
      <c r="G1515" t="s">
        <v>3137</v>
      </c>
      <c r="H1515" t="s">
        <v>1251</v>
      </c>
      <c r="J1515" s="455">
        <v>46063</v>
      </c>
      <c r="R1515" s="455">
        <v>46114</v>
      </c>
      <c r="U1515" s="455">
        <v>46063</v>
      </c>
    </row>
    <row r="1516" spans="1:21">
      <c r="A1516" t="s">
        <v>1751</v>
      </c>
      <c r="B1516" t="s">
        <v>10168</v>
      </c>
      <c r="C1516" t="s">
        <v>1751</v>
      </c>
      <c r="D1516">
        <v>20488972</v>
      </c>
      <c r="E1516" t="s">
        <v>3190</v>
      </c>
      <c r="F1516" t="s">
        <v>1239</v>
      </c>
      <c r="G1516" t="s">
        <v>3143</v>
      </c>
      <c r="H1516" t="s">
        <v>1252</v>
      </c>
      <c r="I1516" t="s">
        <v>1952</v>
      </c>
      <c r="J1516" s="455">
        <v>46119</v>
      </c>
      <c r="R1516" s="455">
        <v>46139</v>
      </c>
      <c r="U1516" s="455">
        <v>46119</v>
      </c>
    </row>
    <row r="1517" spans="1:21">
      <c r="A1517" t="s">
        <v>1751</v>
      </c>
      <c r="B1517" t="s">
        <v>10169</v>
      </c>
      <c r="C1517" t="s">
        <v>1751</v>
      </c>
      <c r="D1517">
        <v>20509414</v>
      </c>
      <c r="E1517" t="s">
        <v>3128</v>
      </c>
      <c r="F1517" t="s">
        <v>1782</v>
      </c>
      <c r="G1517" t="s">
        <v>3141</v>
      </c>
      <c r="H1517" t="s">
        <v>1252</v>
      </c>
      <c r="J1517" s="455">
        <v>46136</v>
      </c>
      <c r="U1517" s="455">
        <v>46142</v>
      </c>
    </row>
    <row r="1518" spans="1:21">
      <c r="A1518" t="s">
        <v>1751</v>
      </c>
      <c r="B1518" t="s">
        <v>8973</v>
      </c>
      <c r="C1518" t="s">
        <v>1751</v>
      </c>
      <c r="D1518">
        <v>20442643</v>
      </c>
      <c r="E1518" t="s">
        <v>3190</v>
      </c>
      <c r="F1518" t="s">
        <v>1782</v>
      </c>
      <c r="G1518" t="s">
        <v>3137</v>
      </c>
      <c r="H1518" t="s">
        <v>1247</v>
      </c>
      <c r="J1518" s="455">
        <v>46060</v>
      </c>
      <c r="R1518" s="455">
        <v>46114</v>
      </c>
      <c r="U1518" s="455">
        <v>46114</v>
      </c>
    </row>
    <row r="1519" spans="1:21">
      <c r="A1519" t="s">
        <v>1751</v>
      </c>
      <c r="B1519" t="s">
        <v>10170</v>
      </c>
      <c r="C1519" t="s">
        <v>1751</v>
      </c>
      <c r="D1519">
        <v>20429065</v>
      </c>
      <c r="E1519" t="s">
        <v>3190</v>
      </c>
      <c r="F1519" t="s">
        <v>1237</v>
      </c>
      <c r="G1519" t="s">
        <v>3143</v>
      </c>
      <c r="H1519" t="s">
        <v>1252</v>
      </c>
      <c r="J1519" s="455">
        <v>46038</v>
      </c>
      <c r="R1519" s="455">
        <v>46114</v>
      </c>
      <c r="U1519" s="455">
        <v>46038</v>
      </c>
    </row>
    <row r="1520" spans="1:21">
      <c r="A1520" t="s">
        <v>1751</v>
      </c>
      <c r="B1520" t="s">
        <v>10171</v>
      </c>
      <c r="C1520" t="s">
        <v>1751</v>
      </c>
      <c r="D1520">
        <v>20507563</v>
      </c>
      <c r="E1520" t="s">
        <v>3128</v>
      </c>
      <c r="F1520" t="s">
        <v>1241</v>
      </c>
      <c r="G1520" t="s">
        <v>3129</v>
      </c>
      <c r="H1520" t="s">
        <v>1252</v>
      </c>
      <c r="J1520" s="455">
        <v>46135</v>
      </c>
      <c r="U1520" s="455">
        <v>46138</v>
      </c>
    </row>
    <row r="1521" spans="1:21">
      <c r="A1521" t="s">
        <v>1751</v>
      </c>
      <c r="B1521" t="s">
        <v>10172</v>
      </c>
      <c r="C1521" t="s">
        <v>1751</v>
      </c>
      <c r="D1521">
        <v>20503976</v>
      </c>
      <c r="E1521" t="s">
        <v>3128</v>
      </c>
      <c r="F1521" t="s">
        <v>1782</v>
      </c>
      <c r="G1521" t="s">
        <v>3141</v>
      </c>
      <c r="H1521" t="s">
        <v>1252</v>
      </c>
      <c r="J1521" s="455">
        <v>46132</v>
      </c>
      <c r="U1521" s="455">
        <v>46143</v>
      </c>
    </row>
    <row r="1522" spans="1:21">
      <c r="A1522" t="s">
        <v>1751</v>
      </c>
      <c r="B1522" t="s">
        <v>8974</v>
      </c>
      <c r="C1522" t="s">
        <v>1751</v>
      </c>
      <c r="D1522">
        <v>20453904</v>
      </c>
      <c r="E1522" t="s">
        <v>3133</v>
      </c>
      <c r="F1522" t="s">
        <v>1242</v>
      </c>
      <c r="G1522" t="s">
        <v>3134</v>
      </c>
      <c r="H1522" t="s">
        <v>1251</v>
      </c>
      <c r="J1522" s="455">
        <v>46073</v>
      </c>
      <c r="K1522" s="455">
        <v>46073</v>
      </c>
      <c r="R1522" s="455">
        <v>46114</v>
      </c>
      <c r="U1522" s="455">
        <v>46081</v>
      </c>
    </row>
    <row r="1523" spans="1:21">
      <c r="A1523" t="s">
        <v>1751</v>
      </c>
      <c r="B1523" t="s">
        <v>10173</v>
      </c>
      <c r="C1523" t="s">
        <v>1751</v>
      </c>
      <c r="D1523">
        <v>20428511</v>
      </c>
      <c r="E1523" t="s">
        <v>3133</v>
      </c>
      <c r="F1523" t="s">
        <v>1237</v>
      </c>
      <c r="G1523" t="s">
        <v>3134</v>
      </c>
      <c r="H1523" t="s">
        <v>1252</v>
      </c>
      <c r="I1523" t="s">
        <v>1808</v>
      </c>
      <c r="J1523" s="455">
        <v>46038</v>
      </c>
      <c r="K1523" s="455">
        <v>46038</v>
      </c>
      <c r="R1523" s="455">
        <v>46114</v>
      </c>
      <c r="U1523" s="455">
        <v>46038</v>
      </c>
    </row>
    <row r="1524" spans="1:21">
      <c r="A1524" t="s">
        <v>1751</v>
      </c>
      <c r="B1524" t="s">
        <v>10174</v>
      </c>
      <c r="C1524" t="s">
        <v>1751</v>
      </c>
      <c r="D1524">
        <v>20434035</v>
      </c>
      <c r="E1524" t="s">
        <v>3190</v>
      </c>
      <c r="F1524" t="s">
        <v>1241</v>
      </c>
      <c r="G1524" t="s">
        <v>2009</v>
      </c>
      <c r="H1524" t="s">
        <v>1251</v>
      </c>
      <c r="J1524" s="455">
        <v>46046</v>
      </c>
      <c r="R1524" s="455">
        <v>46114</v>
      </c>
      <c r="U1524" s="455">
        <v>46174</v>
      </c>
    </row>
    <row r="1525" spans="1:21">
      <c r="A1525" t="s">
        <v>1751</v>
      </c>
      <c r="B1525" t="s">
        <v>7145</v>
      </c>
      <c r="C1525" t="s">
        <v>1751</v>
      </c>
      <c r="D1525">
        <v>20495707</v>
      </c>
      <c r="E1525" t="s">
        <v>1907</v>
      </c>
      <c r="F1525" t="s">
        <v>1243</v>
      </c>
      <c r="G1525" t="s">
        <v>3134</v>
      </c>
      <c r="H1525" t="s">
        <v>1247</v>
      </c>
      <c r="I1525" t="s">
        <v>1598</v>
      </c>
      <c r="J1525" s="455">
        <v>46127</v>
      </c>
      <c r="K1525" s="455">
        <v>46127</v>
      </c>
      <c r="L1525" s="455">
        <v>46134</v>
      </c>
      <c r="T1525" s="455">
        <v>46139</v>
      </c>
      <c r="U1525" s="455">
        <v>46142</v>
      </c>
    </row>
    <row r="1526" spans="1:21">
      <c r="A1526" t="s">
        <v>1751</v>
      </c>
      <c r="B1526" t="s">
        <v>9411</v>
      </c>
      <c r="C1526" t="s">
        <v>1751</v>
      </c>
      <c r="D1526">
        <v>20483943</v>
      </c>
      <c r="E1526" t="s">
        <v>3190</v>
      </c>
      <c r="F1526" t="s">
        <v>1237</v>
      </c>
      <c r="G1526" t="s">
        <v>3143</v>
      </c>
      <c r="H1526" t="s">
        <v>1248</v>
      </c>
      <c r="I1526" t="s">
        <v>3265</v>
      </c>
      <c r="J1526" s="455">
        <v>46112</v>
      </c>
      <c r="R1526" s="455">
        <v>46116</v>
      </c>
      <c r="U1526" s="455">
        <v>46123</v>
      </c>
    </row>
    <row r="1527" spans="1:21">
      <c r="A1527" t="s">
        <v>1751</v>
      </c>
      <c r="B1527" t="s">
        <v>4884</v>
      </c>
      <c r="C1527" t="s">
        <v>1751</v>
      </c>
      <c r="D1527">
        <v>20482511</v>
      </c>
      <c r="E1527" t="s">
        <v>3190</v>
      </c>
      <c r="F1527" t="s">
        <v>1782</v>
      </c>
      <c r="G1527" t="s">
        <v>3134</v>
      </c>
      <c r="H1527" t="s">
        <v>1252</v>
      </c>
      <c r="J1527" s="455">
        <v>46110</v>
      </c>
      <c r="R1527" s="455">
        <v>46139</v>
      </c>
      <c r="U1527" s="455">
        <v>46111</v>
      </c>
    </row>
    <row r="1528" spans="1:21">
      <c r="A1528" t="s">
        <v>1751</v>
      </c>
      <c r="B1528" t="s">
        <v>9412</v>
      </c>
      <c r="C1528" t="s">
        <v>1751</v>
      </c>
      <c r="D1528">
        <v>20462471</v>
      </c>
      <c r="E1528" t="s">
        <v>3190</v>
      </c>
      <c r="F1528" t="s">
        <v>1782</v>
      </c>
      <c r="G1528" t="s">
        <v>3141</v>
      </c>
      <c r="H1528" t="s">
        <v>1248</v>
      </c>
      <c r="J1528" s="455">
        <v>46085</v>
      </c>
      <c r="R1528" s="455">
        <v>46114</v>
      </c>
      <c r="U1528" s="455">
        <v>46095</v>
      </c>
    </row>
    <row r="1529" spans="1:21">
      <c r="A1529" t="s">
        <v>1751</v>
      </c>
      <c r="B1529" t="s">
        <v>8975</v>
      </c>
      <c r="C1529" t="s">
        <v>1751</v>
      </c>
      <c r="D1529">
        <v>20455603</v>
      </c>
      <c r="E1529" t="s">
        <v>3190</v>
      </c>
      <c r="F1529" t="s">
        <v>1241</v>
      </c>
      <c r="G1529" t="s">
        <v>3129</v>
      </c>
      <c r="H1529" t="s">
        <v>3131</v>
      </c>
      <c r="J1529" s="455">
        <v>46076</v>
      </c>
      <c r="R1529" s="455">
        <v>46114</v>
      </c>
      <c r="U1529" s="455">
        <v>46167</v>
      </c>
    </row>
    <row r="1530" spans="1:21">
      <c r="A1530" t="s">
        <v>1751</v>
      </c>
      <c r="B1530" t="s">
        <v>10175</v>
      </c>
      <c r="C1530" t="s">
        <v>1751</v>
      </c>
      <c r="D1530">
        <v>20490291</v>
      </c>
      <c r="E1530" t="s">
        <v>3190</v>
      </c>
      <c r="F1530" t="s">
        <v>1782</v>
      </c>
      <c r="G1530" t="s">
        <v>3143</v>
      </c>
      <c r="H1530" t="s">
        <v>1249</v>
      </c>
      <c r="J1530" s="455">
        <v>46120</v>
      </c>
      <c r="R1530" s="455">
        <v>46139</v>
      </c>
      <c r="U1530" s="455">
        <v>46157</v>
      </c>
    </row>
    <row r="1531" spans="1:21">
      <c r="A1531" t="s">
        <v>1751</v>
      </c>
      <c r="B1531" t="s">
        <v>10176</v>
      </c>
      <c r="C1531" t="s">
        <v>1751</v>
      </c>
      <c r="D1531">
        <v>20508718</v>
      </c>
      <c r="E1531" t="s">
        <v>3128</v>
      </c>
      <c r="F1531" t="s">
        <v>1782</v>
      </c>
      <c r="G1531" t="s">
        <v>3134</v>
      </c>
      <c r="H1531" t="s">
        <v>1252</v>
      </c>
      <c r="J1531" s="455">
        <v>46136</v>
      </c>
      <c r="U1531" s="455">
        <v>46223</v>
      </c>
    </row>
    <row r="1532" spans="1:21">
      <c r="A1532" t="s">
        <v>1751</v>
      </c>
      <c r="B1532" t="s">
        <v>10176</v>
      </c>
      <c r="C1532" t="s">
        <v>1751</v>
      </c>
      <c r="D1532">
        <v>20508717</v>
      </c>
      <c r="E1532" t="s">
        <v>3128</v>
      </c>
      <c r="F1532" t="s">
        <v>1782</v>
      </c>
      <c r="G1532" t="s">
        <v>3141</v>
      </c>
      <c r="H1532" t="s">
        <v>1252</v>
      </c>
      <c r="J1532" s="455">
        <v>46136</v>
      </c>
      <c r="U1532" s="455">
        <v>46223</v>
      </c>
    </row>
    <row r="1533" spans="1:21">
      <c r="A1533" t="s">
        <v>1751</v>
      </c>
      <c r="B1533" t="s">
        <v>10177</v>
      </c>
      <c r="C1533" t="s">
        <v>1751</v>
      </c>
      <c r="D1533">
        <v>20500201</v>
      </c>
      <c r="E1533" t="s">
        <v>3190</v>
      </c>
      <c r="F1533" t="s">
        <v>1782</v>
      </c>
      <c r="G1533" t="s">
        <v>3129</v>
      </c>
      <c r="H1533" t="s">
        <v>3131</v>
      </c>
      <c r="J1533" s="455">
        <v>46129</v>
      </c>
      <c r="R1533" s="455">
        <v>46139</v>
      </c>
      <c r="U1533" s="455">
        <v>46129</v>
      </c>
    </row>
    <row r="1534" spans="1:21">
      <c r="A1534" t="s">
        <v>1751</v>
      </c>
      <c r="B1534" t="s">
        <v>4065</v>
      </c>
      <c r="C1534" t="s">
        <v>1751</v>
      </c>
      <c r="D1534">
        <v>20412706</v>
      </c>
      <c r="E1534" t="s">
        <v>3190</v>
      </c>
      <c r="F1534" t="s">
        <v>1241</v>
      </c>
      <c r="G1534" t="s">
        <v>3129</v>
      </c>
      <c r="H1534" t="s">
        <v>1253</v>
      </c>
      <c r="J1534" s="455">
        <v>46017</v>
      </c>
      <c r="R1534" s="455">
        <v>46114</v>
      </c>
      <c r="U1534" s="455">
        <v>46017</v>
      </c>
    </row>
    <row r="1535" spans="1:21">
      <c r="A1535" t="s">
        <v>1751</v>
      </c>
      <c r="B1535" t="s">
        <v>4065</v>
      </c>
      <c r="C1535" t="s">
        <v>1751</v>
      </c>
      <c r="D1535">
        <v>20474192</v>
      </c>
      <c r="E1535" t="s">
        <v>3142</v>
      </c>
      <c r="F1535" t="s">
        <v>1238</v>
      </c>
      <c r="G1535" t="s">
        <v>3134</v>
      </c>
      <c r="H1535" t="s">
        <v>1252</v>
      </c>
      <c r="I1535" t="s">
        <v>1938</v>
      </c>
      <c r="J1535" s="455">
        <v>46098</v>
      </c>
      <c r="K1535" s="455">
        <v>46107</v>
      </c>
      <c r="L1535" s="455">
        <v>46107</v>
      </c>
      <c r="M1535" s="455">
        <v>46126</v>
      </c>
      <c r="N1535" s="455">
        <v>46126</v>
      </c>
      <c r="P1535" s="455">
        <v>46127</v>
      </c>
      <c r="Q1535" s="455">
        <v>46128</v>
      </c>
      <c r="U1535" s="455">
        <v>46130</v>
      </c>
    </row>
    <row r="1536" spans="1:21">
      <c r="A1536" t="s">
        <v>1751</v>
      </c>
      <c r="B1536" t="s">
        <v>9413</v>
      </c>
      <c r="C1536" t="s">
        <v>1751</v>
      </c>
      <c r="D1536">
        <v>20480956</v>
      </c>
      <c r="E1536" t="s">
        <v>3190</v>
      </c>
      <c r="F1536" t="s">
        <v>1782</v>
      </c>
      <c r="G1536" t="s">
        <v>3134</v>
      </c>
      <c r="H1536" t="s">
        <v>1252</v>
      </c>
      <c r="J1536" s="455">
        <v>46107</v>
      </c>
      <c r="R1536" s="455">
        <v>46115</v>
      </c>
      <c r="U1536" s="455">
        <v>46111</v>
      </c>
    </row>
    <row r="1537" spans="1:21">
      <c r="A1537" t="s">
        <v>1751</v>
      </c>
      <c r="B1537" t="s">
        <v>10178</v>
      </c>
      <c r="C1537" t="s">
        <v>1751</v>
      </c>
      <c r="D1537">
        <v>20513148</v>
      </c>
      <c r="E1537" t="s">
        <v>1897</v>
      </c>
      <c r="F1537" t="s">
        <v>1782</v>
      </c>
      <c r="G1537" t="s">
        <v>3134</v>
      </c>
      <c r="H1537" t="s">
        <v>1247</v>
      </c>
      <c r="I1537" t="s">
        <v>2403</v>
      </c>
      <c r="J1537" s="455">
        <v>46141</v>
      </c>
      <c r="K1537" s="455">
        <v>46141</v>
      </c>
      <c r="U1537" s="455">
        <v>46142</v>
      </c>
    </row>
    <row r="1538" spans="1:21">
      <c r="A1538" t="s">
        <v>1751</v>
      </c>
      <c r="B1538" t="s">
        <v>10178</v>
      </c>
      <c r="C1538" t="s">
        <v>1751</v>
      </c>
      <c r="D1538">
        <v>20513374</v>
      </c>
      <c r="E1538" t="s">
        <v>3128</v>
      </c>
      <c r="F1538" t="s">
        <v>1782</v>
      </c>
      <c r="G1538" t="s">
        <v>3134</v>
      </c>
      <c r="H1538" t="s">
        <v>3165</v>
      </c>
      <c r="J1538" s="455">
        <v>46142</v>
      </c>
      <c r="U1538" s="455">
        <v>46143</v>
      </c>
    </row>
    <row r="1539" spans="1:21">
      <c r="A1539" t="s">
        <v>1751</v>
      </c>
      <c r="B1539" t="s">
        <v>9414</v>
      </c>
      <c r="C1539" t="s">
        <v>1751</v>
      </c>
      <c r="D1539">
        <v>20477151</v>
      </c>
      <c r="E1539" t="s">
        <v>3190</v>
      </c>
      <c r="F1539" t="s">
        <v>1241</v>
      </c>
      <c r="G1539" t="s">
        <v>3134</v>
      </c>
      <c r="H1539" t="s">
        <v>1252</v>
      </c>
      <c r="I1539" t="s">
        <v>1831</v>
      </c>
      <c r="J1539" s="455">
        <v>46102</v>
      </c>
      <c r="R1539" s="455">
        <v>46139</v>
      </c>
      <c r="U1539" s="455">
        <v>46232</v>
      </c>
    </row>
    <row r="1540" spans="1:21">
      <c r="A1540" t="s">
        <v>1751</v>
      </c>
      <c r="B1540" t="s">
        <v>10179</v>
      </c>
      <c r="C1540" t="s">
        <v>1751</v>
      </c>
      <c r="D1540">
        <v>20498609</v>
      </c>
      <c r="E1540" t="s">
        <v>3190</v>
      </c>
      <c r="F1540" t="s">
        <v>1241</v>
      </c>
      <c r="G1540" t="s">
        <v>3134</v>
      </c>
      <c r="H1540" t="s">
        <v>1252</v>
      </c>
      <c r="J1540" s="455">
        <v>46128</v>
      </c>
      <c r="R1540" s="455">
        <v>46139</v>
      </c>
      <c r="U1540" s="455">
        <v>46128</v>
      </c>
    </row>
    <row r="1541" spans="1:21">
      <c r="A1541" t="s">
        <v>1751</v>
      </c>
      <c r="B1541" t="s">
        <v>10180</v>
      </c>
      <c r="C1541" t="s">
        <v>1751</v>
      </c>
      <c r="D1541">
        <v>20514029</v>
      </c>
      <c r="E1541" t="s">
        <v>3128</v>
      </c>
      <c r="F1541" t="s">
        <v>1241</v>
      </c>
      <c r="G1541" t="s">
        <v>2009</v>
      </c>
      <c r="H1541" t="s">
        <v>1252</v>
      </c>
      <c r="J1541" s="455">
        <v>46142</v>
      </c>
      <c r="U1541" s="455">
        <v>46249</v>
      </c>
    </row>
    <row r="1542" spans="1:21">
      <c r="A1542" t="s">
        <v>1751</v>
      </c>
      <c r="B1542" t="s">
        <v>4892</v>
      </c>
      <c r="C1542" t="s">
        <v>1751</v>
      </c>
      <c r="D1542">
        <v>20478998</v>
      </c>
      <c r="E1542" t="s">
        <v>3190</v>
      </c>
      <c r="F1542" t="s">
        <v>1241</v>
      </c>
      <c r="G1542" t="s">
        <v>3134</v>
      </c>
      <c r="H1542" t="s">
        <v>1252</v>
      </c>
      <c r="J1542" s="455">
        <v>46105</v>
      </c>
      <c r="R1542" s="455">
        <v>46114</v>
      </c>
      <c r="U1542" s="455">
        <v>46113</v>
      </c>
    </row>
    <row r="1543" spans="1:21">
      <c r="A1543" t="s">
        <v>1751</v>
      </c>
      <c r="B1543" t="s">
        <v>10181</v>
      </c>
      <c r="C1543" t="s">
        <v>1751</v>
      </c>
      <c r="D1543">
        <v>20512771</v>
      </c>
      <c r="E1543" t="s">
        <v>3128</v>
      </c>
      <c r="F1543" t="s">
        <v>1237</v>
      </c>
      <c r="G1543" t="s">
        <v>3143</v>
      </c>
      <c r="H1543" t="s">
        <v>1252</v>
      </c>
      <c r="J1543" s="455">
        <v>46141</v>
      </c>
      <c r="U1543" s="455">
        <v>46206</v>
      </c>
    </row>
    <row r="1544" spans="1:21">
      <c r="A1544" t="s">
        <v>1751</v>
      </c>
      <c r="B1544" t="s">
        <v>10182</v>
      </c>
      <c r="C1544" t="s">
        <v>1751</v>
      </c>
      <c r="D1544">
        <v>20421532</v>
      </c>
      <c r="E1544" t="s">
        <v>3190</v>
      </c>
      <c r="F1544" t="s">
        <v>1782</v>
      </c>
      <c r="G1544" t="s">
        <v>3141</v>
      </c>
      <c r="H1544" t="s">
        <v>1251</v>
      </c>
      <c r="J1544" s="455">
        <v>46031</v>
      </c>
      <c r="R1544" s="455">
        <v>46114</v>
      </c>
      <c r="U1544" s="455">
        <v>46031</v>
      </c>
    </row>
    <row r="1545" spans="1:21">
      <c r="A1545" t="s">
        <v>1751</v>
      </c>
      <c r="B1545" t="s">
        <v>8977</v>
      </c>
      <c r="C1545" t="s">
        <v>1751</v>
      </c>
      <c r="D1545">
        <v>20455558</v>
      </c>
      <c r="E1545" t="s">
        <v>3190</v>
      </c>
      <c r="F1545" t="s">
        <v>1239</v>
      </c>
      <c r="G1545" t="s">
        <v>3129</v>
      </c>
      <c r="H1545" t="s">
        <v>1253</v>
      </c>
      <c r="J1545" s="455">
        <v>46076</v>
      </c>
      <c r="R1545" s="455">
        <v>46114</v>
      </c>
      <c r="U1545" s="455">
        <v>46143</v>
      </c>
    </row>
    <row r="1546" spans="1:21">
      <c r="A1546" t="s">
        <v>1751</v>
      </c>
      <c r="B1546" t="s">
        <v>8978</v>
      </c>
      <c r="C1546" t="s">
        <v>1751</v>
      </c>
      <c r="D1546">
        <v>20448070</v>
      </c>
      <c r="E1546" t="s">
        <v>3190</v>
      </c>
      <c r="F1546" t="s">
        <v>1241</v>
      </c>
      <c r="G1546" t="s">
        <v>3137</v>
      </c>
      <c r="H1546" t="s">
        <v>1247</v>
      </c>
      <c r="J1546" s="455">
        <v>46065</v>
      </c>
      <c r="R1546" s="455">
        <v>46114</v>
      </c>
      <c r="U1546" s="455">
        <v>46132</v>
      </c>
    </row>
    <row r="1547" spans="1:21">
      <c r="A1547" t="s">
        <v>1751</v>
      </c>
      <c r="B1547" t="s">
        <v>9415</v>
      </c>
      <c r="C1547" t="s">
        <v>1751</v>
      </c>
      <c r="D1547">
        <v>20480668</v>
      </c>
      <c r="E1547" t="s">
        <v>3190</v>
      </c>
      <c r="F1547" t="s">
        <v>1237</v>
      </c>
      <c r="G1547" t="s">
        <v>3143</v>
      </c>
      <c r="H1547" t="s">
        <v>1248</v>
      </c>
      <c r="I1547" t="s">
        <v>2533</v>
      </c>
      <c r="J1547" s="455">
        <v>46107</v>
      </c>
      <c r="R1547" s="455">
        <v>46116</v>
      </c>
      <c r="U1547" s="455">
        <v>46113</v>
      </c>
    </row>
    <row r="1548" spans="1:21">
      <c r="A1548" t="s">
        <v>1751</v>
      </c>
      <c r="B1548" t="s">
        <v>9416</v>
      </c>
      <c r="C1548" t="s">
        <v>1751</v>
      </c>
      <c r="D1548">
        <v>20479369</v>
      </c>
      <c r="E1548" t="s">
        <v>3190</v>
      </c>
      <c r="F1548" t="s">
        <v>1241</v>
      </c>
      <c r="G1548" t="s">
        <v>3134</v>
      </c>
      <c r="H1548" t="s">
        <v>1252</v>
      </c>
      <c r="J1548" s="455">
        <v>46105</v>
      </c>
      <c r="R1548" s="455">
        <v>46114</v>
      </c>
      <c r="U1548" s="455">
        <v>46127</v>
      </c>
    </row>
    <row r="1549" spans="1:21">
      <c r="A1549" t="s">
        <v>1751</v>
      </c>
      <c r="B1549" t="s">
        <v>8979</v>
      </c>
      <c r="C1549" t="s">
        <v>1751</v>
      </c>
      <c r="D1549">
        <v>20452708</v>
      </c>
      <c r="E1549" t="s">
        <v>3133</v>
      </c>
      <c r="F1549" t="s">
        <v>1799</v>
      </c>
      <c r="G1549" t="s">
        <v>3134</v>
      </c>
      <c r="H1549" t="s">
        <v>1247</v>
      </c>
      <c r="J1549" s="455">
        <v>46071</v>
      </c>
      <c r="K1549" s="455">
        <v>46071</v>
      </c>
      <c r="R1549" s="455">
        <v>46114</v>
      </c>
      <c r="U1549" s="455">
        <v>46071</v>
      </c>
    </row>
    <row r="1550" spans="1:21">
      <c r="A1550" t="s">
        <v>1751</v>
      </c>
      <c r="B1550" t="s">
        <v>8980</v>
      </c>
      <c r="C1550" t="s">
        <v>1751</v>
      </c>
      <c r="D1550">
        <v>20440228</v>
      </c>
      <c r="E1550" t="s">
        <v>3190</v>
      </c>
      <c r="F1550" t="s">
        <v>1238</v>
      </c>
      <c r="G1550" t="s">
        <v>2009</v>
      </c>
      <c r="H1550" t="s">
        <v>1251</v>
      </c>
      <c r="J1550" s="455">
        <v>46056</v>
      </c>
      <c r="R1550" s="455">
        <v>46114</v>
      </c>
      <c r="U1550" s="455">
        <v>46090</v>
      </c>
    </row>
    <row r="1551" spans="1:21">
      <c r="A1551" t="s">
        <v>1751</v>
      </c>
      <c r="B1551" t="s">
        <v>10183</v>
      </c>
      <c r="C1551" t="s">
        <v>1751</v>
      </c>
      <c r="D1551">
        <v>20493111</v>
      </c>
      <c r="E1551" t="s">
        <v>3128</v>
      </c>
      <c r="F1551" t="s">
        <v>1241</v>
      </c>
      <c r="G1551" t="s">
        <v>3134</v>
      </c>
      <c r="H1551" t="s">
        <v>1252</v>
      </c>
      <c r="J1551" s="455">
        <v>46124</v>
      </c>
      <c r="U1551" s="455">
        <v>46156</v>
      </c>
    </row>
    <row r="1552" spans="1:21">
      <c r="A1552" t="s">
        <v>1751</v>
      </c>
      <c r="B1552" t="s">
        <v>10184</v>
      </c>
      <c r="C1552" t="s">
        <v>1751</v>
      </c>
      <c r="D1552">
        <v>20496846</v>
      </c>
      <c r="E1552" t="s">
        <v>3190</v>
      </c>
      <c r="F1552" t="s">
        <v>1782</v>
      </c>
      <c r="G1552" t="s">
        <v>3129</v>
      </c>
      <c r="H1552" t="s">
        <v>1252</v>
      </c>
      <c r="J1552" s="455">
        <v>46127</v>
      </c>
      <c r="R1552" s="455">
        <v>46139</v>
      </c>
      <c r="U1552" s="455">
        <v>46127</v>
      </c>
    </row>
    <row r="1553" spans="1:21">
      <c r="A1553" t="s">
        <v>1751</v>
      </c>
      <c r="B1553" t="s">
        <v>10185</v>
      </c>
      <c r="C1553" t="s">
        <v>1751</v>
      </c>
      <c r="D1553">
        <v>20513089</v>
      </c>
      <c r="E1553" t="s">
        <v>3128</v>
      </c>
      <c r="F1553" t="s">
        <v>1782</v>
      </c>
      <c r="G1553" t="s">
        <v>3134</v>
      </c>
      <c r="H1553" t="s">
        <v>3165</v>
      </c>
      <c r="J1553" s="455">
        <v>46141</v>
      </c>
      <c r="U1553" s="455">
        <v>46142</v>
      </c>
    </row>
    <row r="1554" spans="1:21">
      <c r="A1554" t="s">
        <v>1751</v>
      </c>
      <c r="B1554" t="s">
        <v>10186</v>
      </c>
      <c r="C1554" t="s">
        <v>1751</v>
      </c>
      <c r="D1554">
        <v>20491751</v>
      </c>
      <c r="E1554" t="s">
        <v>3190</v>
      </c>
      <c r="F1554" t="s">
        <v>1782</v>
      </c>
      <c r="G1554" t="s">
        <v>3129</v>
      </c>
      <c r="H1554" t="s">
        <v>1253</v>
      </c>
      <c r="J1554" s="455">
        <v>46122</v>
      </c>
      <c r="R1554" s="455">
        <v>46123</v>
      </c>
      <c r="U1554" s="455">
        <v>46122</v>
      </c>
    </row>
    <row r="1555" spans="1:21">
      <c r="A1555" t="s">
        <v>1751</v>
      </c>
      <c r="B1555" t="s">
        <v>10187</v>
      </c>
      <c r="C1555" t="s">
        <v>1751</v>
      </c>
      <c r="D1555">
        <v>20486436</v>
      </c>
      <c r="E1555" t="s">
        <v>3190</v>
      </c>
      <c r="F1555" t="s">
        <v>1782</v>
      </c>
      <c r="G1555" t="s">
        <v>3129</v>
      </c>
      <c r="H1555" t="s">
        <v>3131</v>
      </c>
      <c r="J1555" s="455">
        <v>46115</v>
      </c>
      <c r="R1555" s="455">
        <v>46115</v>
      </c>
      <c r="U1555" s="455">
        <v>46115</v>
      </c>
    </row>
    <row r="1556" spans="1:21">
      <c r="A1556" t="s">
        <v>1751</v>
      </c>
      <c r="B1556" t="s">
        <v>4077</v>
      </c>
      <c r="C1556" t="s">
        <v>1751</v>
      </c>
      <c r="D1556">
        <v>20463689</v>
      </c>
      <c r="E1556" t="s">
        <v>3190</v>
      </c>
      <c r="F1556" t="s">
        <v>1782</v>
      </c>
      <c r="G1556" t="s">
        <v>3129</v>
      </c>
      <c r="H1556" t="s">
        <v>3131</v>
      </c>
      <c r="J1556" s="455">
        <v>46087</v>
      </c>
      <c r="R1556" s="455">
        <v>46114</v>
      </c>
      <c r="U1556" s="455">
        <v>46087</v>
      </c>
    </row>
    <row r="1557" spans="1:21">
      <c r="A1557" t="s">
        <v>1751</v>
      </c>
      <c r="B1557" t="s">
        <v>4078</v>
      </c>
      <c r="C1557" t="s">
        <v>1751</v>
      </c>
      <c r="D1557">
        <v>20414608</v>
      </c>
      <c r="E1557" t="s">
        <v>3190</v>
      </c>
      <c r="F1557" t="s">
        <v>1241</v>
      </c>
      <c r="G1557" t="s">
        <v>3129</v>
      </c>
      <c r="H1557" t="s">
        <v>1252</v>
      </c>
      <c r="J1557" s="455">
        <v>46020</v>
      </c>
      <c r="R1557" s="455">
        <v>46114</v>
      </c>
      <c r="U1557" s="455">
        <v>46020</v>
      </c>
    </row>
    <row r="1558" spans="1:21">
      <c r="A1558" t="s">
        <v>1751</v>
      </c>
      <c r="B1558" t="s">
        <v>4078</v>
      </c>
      <c r="C1558" t="s">
        <v>1751</v>
      </c>
      <c r="D1558">
        <v>20471544</v>
      </c>
      <c r="E1558" t="s">
        <v>3190</v>
      </c>
      <c r="F1558" t="s">
        <v>1241</v>
      </c>
      <c r="G1558" t="s">
        <v>3129</v>
      </c>
      <c r="H1558" t="s">
        <v>1252</v>
      </c>
      <c r="J1558" s="455">
        <v>46095</v>
      </c>
      <c r="R1558" s="455">
        <v>46114</v>
      </c>
      <c r="U1558" s="455">
        <v>46157</v>
      </c>
    </row>
    <row r="1559" spans="1:21">
      <c r="A1559" t="s">
        <v>1751</v>
      </c>
      <c r="B1559" t="s">
        <v>8981</v>
      </c>
      <c r="C1559" t="s">
        <v>1751</v>
      </c>
      <c r="D1559">
        <v>20444241</v>
      </c>
      <c r="E1559" t="s">
        <v>3190</v>
      </c>
      <c r="F1559" t="s">
        <v>1782</v>
      </c>
      <c r="G1559" t="s">
        <v>3129</v>
      </c>
      <c r="H1559" t="s">
        <v>1252</v>
      </c>
      <c r="J1559" s="455">
        <v>46063</v>
      </c>
      <c r="R1559" s="455">
        <v>46114</v>
      </c>
      <c r="U1559" s="455">
        <v>46073</v>
      </c>
    </row>
    <row r="1560" spans="1:21">
      <c r="A1560" t="s">
        <v>1751</v>
      </c>
      <c r="B1560" t="s">
        <v>10188</v>
      </c>
      <c r="C1560" t="s">
        <v>1751</v>
      </c>
      <c r="D1560">
        <v>20511030</v>
      </c>
      <c r="E1560" t="s">
        <v>3128</v>
      </c>
      <c r="F1560" t="s">
        <v>1782</v>
      </c>
      <c r="G1560" t="s">
        <v>3129</v>
      </c>
      <c r="H1560" t="s">
        <v>1253</v>
      </c>
      <c r="J1560" s="455">
        <v>46139</v>
      </c>
      <c r="U1560" s="455">
        <v>46139</v>
      </c>
    </row>
    <row r="1561" spans="1:21">
      <c r="A1561" t="s">
        <v>1751</v>
      </c>
      <c r="B1561" t="s">
        <v>10189</v>
      </c>
      <c r="C1561" t="s">
        <v>1751</v>
      </c>
      <c r="D1561">
        <v>20436441</v>
      </c>
      <c r="E1561" t="s">
        <v>3190</v>
      </c>
      <c r="F1561" t="s">
        <v>1782</v>
      </c>
      <c r="G1561" t="s">
        <v>3129</v>
      </c>
      <c r="H1561" t="s">
        <v>3131</v>
      </c>
      <c r="J1561" s="455">
        <v>46050</v>
      </c>
      <c r="R1561" s="455">
        <v>46114</v>
      </c>
      <c r="U1561" s="455">
        <v>46050</v>
      </c>
    </row>
    <row r="1562" spans="1:21">
      <c r="A1562" t="s">
        <v>1751</v>
      </c>
      <c r="B1562" t="s">
        <v>10190</v>
      </c>
      <c r="C1562" t="s">
        <v>1751</v>
      </c>
      <c r="D1562">
        <v>20511925</v>
      </c>
      <c r="E1562" t="s">
        <v>3128</v>
      </c>
      <c r="F1562" t="s">
        <v>1782</v>
      </c>
      <c r="G1562" t="s">
        <v>3129</v>
      </c>
      <c r="H1562" t="s">
        <v>1253</v>
      </c>
      <c r="J1562" s="455">
        <v>46140</v>
      </c>
      <c r="U1562" s="455">
        <v>46140</v>
      </c>
    </row>
    <row r="1563" spans="1:21">
      <c r="A1563" t="s">
        <v>1751</v>
      </c>
      <c r="B1563" t="s">
        <v>8982</v>
      </c>
      <c r="C1563" t="s">
        <v>1751</v>
      </c>
      <c r="D1563">
        <v>20441394</v>
      </c>
      <c r="E1563" t="s">
        <v>3190</v>
      </c>
      <c r="F1563" t="s">
        <v>1782</v>
      </c>
      <c r="G1563" t="s">
        <v>3129</v>
      </c>
      <c r="H1563" t="s">
        <v>1252</v>
      </c>
      <c r="J1563" s="455">
        <v>46058</v>
      </c>
      <c r="R1563" s="455">
        <v>46114</v>
      </c>
      <c r="U1563" s="455">
        <v>46082</v>
      </c>
    </row>
    <row r="1564" spans="1:21">
      <c r="A1564" t="s">
        <v>1751</v>
      </c>
      <c r="B1564" t="s">
        <v>8982</v>
      </c>
      <c r="C1564" t="s">
        <v>1751</v>
      </c>
      <c r="D1564">
        <v>20503824</v>
      </c>
      <c r="E1564" t="s">
        <v>3128</v>
      </c>
      <c r="F1564" t="s">
        <v>1782</v>
      </c>
      <c r="G1564" t="s">
        <v>3129</v>
      </c>
      <c r="H1564" t="s">
        <v>3377</v>
      </c>
      <c r="J1564" s="455">
        <v>46132</v>
      </c>
      <c r="U1564" s="455">
        <v>46132</v>
      </c>
    </row>
    <row r="1565" spans="1:21">
      <c r="A1565" t="s">
        <v>1751</v>
      </c>
      <c r="B1565" t="s">
        <v>8982</v>
      </c>
      <c r="C1565" t="s">
        <v>1751</v>
      </c>
      <c r="D1565">
        <v>20503960</v>
      </c>
      <c r="E1565" t="s">
        <v>3128</v>
      </c>
      <c r="F1565" t="s">
        <v>1241</v>
      </c>
      <c r="G1565" t="s">
        <v>3129</v>
      </c>
      <c r="H1565" t="s">
        <v>3377</v>
      </c>
      <c r="J1565" s="455">
        <v>46132</v>
      </c>
      <c r="U1565" s="455">
        <v>46132</v>
      </c>
    </row>
    <row r="1566" spans="1:21">
      <c r="A1566" t="s">
        <v>1751</v>
      </c>
      <c r="B1566" t="s">
        <v>8982</v>
      </c>
      <c r="C1566" t="s">
        <v>1751</v>
      </c>
      <c r="D1566">
        <v>20450683</v>
      </c>
      <c r="E1566" t="s">
        <v>3190</v>
      </c>
      <c r="F1566" t="s">
        <v>1782</v>
      </c>
      <c r="G1566" t="s">
        <v>3129</v>
      </c>
      <c r="H1566" t="s">
        <v>3131</v>
      </c>
      <c r="J1566" s="455">
        <v>46070</v>
      </c>
      <c r="R1566" s="455">
        <v>46114</v>
      </c>
      <c r="U1566" s="455">
        <v>46070</v>
      </c>
    </row>
    <row r="1567" spans="1:21">
      <c r="A1567" t="s">
        <v>1751</v>
      </c>
      <c r="B1567" t="s">
        <v>9417</v>
      </c>
      <c r="C1567" t="s">
        <v>1751</v>
      </c>
      <c r="D1567">
        <v>20480695</v>
      </c>
      <c r="E1567" t="s">
        <v>3190</v>
      </c>
      <c r="F1567" t="s">
        <v>1241</v>
      </c>
      <c r="G1567" t="s">
        <v>3129</v>
      </c>
      <c r="H1567" t="s">
        <v>1252</v>
      </c>
      <c r="J1567" s="455">
        <v>46107</v>
      </c>
      <c r="R1567" s="455">
        <v>46115</v>
      </c>
      <c r="U1567" s="455">
        <v>46111</v>
      </c>
    </row>
    <row r="1568" spans="1:21">
      <c r="A1568" t="s">
        <v>1751</v>
      </c>
      <c r="B1568" t="s">
        <v>9418</v>
      </c>
      <c r="C1568" t="s">
        <v>1751</v>
      </c>
      <c r="D1568">
        <v>20478229</v>
      </c>
      <c r="E1568" t="s">
        <v>3190</v>
      </c>
      <c r="F1568" t="s">
        <v>1782</v>
      </c>
      <c r="G1568" t="s">
        <v>3129</v>
      </c>
      <c r="H1568" t="s">
        <v>3131</v>
      </c>
      <c r="J1568" s="455">
        <v>46104</v>
      </c>
      <c r="R1568" s="455">
        <v>46114</v>
      </c>
      <c r="U1568" s="455">
        <v>46120</v>
      </c>
    </row>
    <row r="1569" spans="1:21">
      <c r="A1569" t="s">
        <v>1751</v>
      </c>
      <c r="B1569" t="s">
        <v>4911</v>
      </c>
      <c r="C1569" t="s">
        <v>1751</v>
      </c>
      <c r="D1569">
        <v>20415938</v>
      </c>
      <c r="E1569" t="s">
        <v>3190</v>
      </c>
      <c r="F1569" t="s">
        <v>1782</v>
      </c>
      <c r="G1569" t="s">
        <v>3129</v>
      </c>
      <c r="H1569" t="s">
        <v>1247</v>
      </c>
      <c r="J1569" s="455">
        <v>46022</v>
      </c>
      <c r="R1569" s="455">
        <v>46114</v>
      </c>
      <c r="U1569" s="455">
        <v>46022</v>
      </c>
    </row>
    <row r="1570" spans="1:21">
      <c r="A1570" t="s">
        <v>1751</v>
      </c>
      <c r="B1570" t="s">
        <v>8983</v>
      </c>
      <c r="C1570" t="s">
        <v>1751</v>
      </c>
      <c r="D1570">
        <v>20445944</v>
      </c>
      <c r="E1570" t="s">
        <v>3190</v>
      </c>
      <c r="F1570" t="s">
        <v>1241</v>
      </c>
      <c r="G1570" t="s">
        <v>3129</v>
      </c>
      <c r="H1570" t="s">
        <v>3131</v>
      </c>
      <c r="J1570" s="455">
        <v>46064</v>
      </c>
      <c r="R1570" s="455">
        <v>46114</v>
      </c>
      <c r="U1570" s="455">
        <v>46064</v>
      </c>
    </row>
    <row r="1571" spans="1:21">
      <c r="A1571" t="s">
        <v>1751</v>
      </c>
      <c r="B1571" t="s">
        <v>8983</v>
      </c>
      <c r="C1571" t="s">
        <v>1751</v>
      </c>
      <c r="D1571">
        <v>20430429</v>
      </c>
      <c r="E1571" t="s">
        <v>3190</v>
      </c>
      <c r="F1571" t="s">
        <v>1782</v>
      </c>
      <c r="G1571" t="s">
        <v>3129</v>
      </c>
      <c r="H1571" t="s">
        <v>1252</v>
      </c>
      <c r="J1571" s="455">
        <v>46041</v>
      </c>
      <c r="R1571" s="455">
        <v>46114</v>
      </c>
      <c r="U1571" s="455">
        <v>46054</v>
      </c>
    </row>
    <row r="1572" spans="1:21">
      <c r="A1572" t="s">
        <v>1751</v>
      </c>
      <c r="B1572" t="s">
        <v>8984</v>
      </c>
      <c r="C1572" t="s">
        <v>1751</v>
      </c>
      <c r="D1572">
        <v>20447991</v>
      </c>
      <c r="E1572" t="s">
        <v>3190</v>
      </c>
      <c r="F1572" t="s">
        <v>1782</v>
      </c>
      <c r="G1572" t="s">
        <v>3129</v>
      </c>
      <c r="H1572" t="s">
        <v>3131</v>
      </c>
      <c r="J1572" s="455">
        <v>46065</v>
      </c>
      <c r="R1572" s="455">
        <v>46114</v>
      </c>
      <c r="U1572" s="455">
        <v>46065</v>
      </c>
    </row>
    <row r="1573" spans="1:21">
      <c r="A1573" t="s">
        <v>1751</v>
      </c>
      <c r="B1573" t="s">
        <v>8984</v>
      </c>
      <c r="C1573" t="s">
        <v>1751</v>
      </c>
      <c r="D1573">
        <v>20508292</v>
      </c>
      <c r="E1573" t="s">
        <v>3128</v>
      </c>
      <c r="F1573" t="s">
        <v>1782</v>
      </c>
      <c r="G1573" t="s">
        <v>3129</v>
      </c>
      <c r="H1573" t="s">
        <v>3377</v>
      </c>
      <c r="J1573" s="455">
        <v>46135</v>
      </c>
      <c r="U1573" s="455">
        <v>46135</v>
      </c>
    </row>
    <row r="1574" spans="1:21">
      <c r="A1574" t="s">
        <v>1751</v>
      </c>
      <c r="B1574" t="s">
        <v>8984</v>
      </c>
      <c r="C1574" t="s">
        <v>1751</v>
      </c>
      <c r="D1574">
        <v>20447693</v>
      </c>
      <c r="E1574" t="s">
        <v>3190</v>
      </c>
      <c r="F1574" t="s">
        <v>1241</v>
      </c>
      <c r="G1574" t="s">
        <v>3129</v>
      </c>
      <c r="H1574" t="s">
        <v>1253</v>
      </c>
      <c r="J1574" s="455">
        <v>46065</v>
      </c>
      <c r="R1574" s="455">
        <v>46114</v>
      </c>
      <c r="U1574" s="455">
        <v>46065</v>
      </c>
    </row>
    <row r="1575" spans="1:21">
      <c r="A1575" t="s">
        <v>1751</v>
      </c>
      <c r="B1575" t="s">
        <v>8985</v>
      </c>
      <c r="C1575" t="s">
        <v>1751</v>
      </c>
      <c r="D1575">
        <v>20450302</v>
      </c>
      <c r="E1575" t="s">
        <v>3190</v>
      </c>
      <c r="F1575" t="s">
        <v>1241</v>
      </c>
      <c r="G1575" t="s">
        <v>3129</v>
      </c>
      <c r="H1575" t="s">
        <v>1253</v>
      </c>
      <c r="J1575" s="455">
        <v>46070</v>
      </c>
      <c r="R1575" s="455">
        <v>46114</v>
      </c>
      <c r="U1575" s="455">
        <v>46070</v>
      </c>
    </row>
    <row r="1576" spans="1:21">
      <c r="A1576" t="s">
        <v>1751</v>
      </c>
      <c r="B1576" t="s">
        <v>4081</v>
      </c>
      <c r="C1576" t="s">
        <v>1751</v>
      </c>
      <c r="D1576">
        <v>20457134</v>
      </c>
      <c r="E1576" t="s">
        <v>3190</v>
      </c>
      <c r="F1576" t="s">
        <v>1782</v>
      </c>
      <c r="G1576" t="s">
        <v>3129</v>
      </c>
      <c r="H1576" t="s">
        <v>1252</v>
      </c>
      <c r="J1576" s="455">
        <v>46078</v>
      </c>
      <c r="R1576" s="455">
        <v>46114</v>
      </c>
      <c r="U1576" s="455">
        <v>46081</v>
      </c>
    </row>
    <row r="1577" spans="1:21">
      <c r="A1577" t="s">
        <v>1751</v>
      </c>
      <c r="B1577" t="s">
        <v>8986</v>
      </c>
      <c r="C1577" t="s">
        <v>1751</v>
      </c>
      <c r="D1577">
        <v>20458732</v>
      </c>
      <c r="E1577" t="s">
        <v>3190</v>
      </c>
      <c r="F1577" t="s">
        <v>1241</v>
      </c>
      <c r="G1577" t="s">
        <v>3129</v>
      </c>
      <c r="H1577" t="s">
        <v>1253</v>
      </c>
      <c r="J1577" s="455">
        <v>46080</v>
      </c>
      <c r="R1577" s="455">
        <v>46116</v>
      </c>
      <c r="U1577" s="455">
        <v>46113</v>
      </c>
    </row>
    <row r="1578" spans="1:21">
      <c r="A1578" t="s">
        <v>1751</v>
      </c>
      <c r="B1578" t="s">
        <v>8987</v>
      </c>
      <c r="C1578" t="s">
        <v>1751</v>
      </c>
      <c r="D1578">
        <v>20444631</v>
      </c>
      <c r="E1578" t="s">
        <v>3190</v>
      </c>
      <c r="F1578" t="s">
        <v>1241</v>
      </c>
      <c r="G1578" t="s">
        <v>3129</v>
      </c>
      <c r="H1578" t="s">
        <v>3131</v>
      </c>
      <c r="J1578" s="455">
        <v>46063</v>
      </c>
      <c r="R1578" s="455">
        <v>46114</v>
      </c>
      <c r="U1578" s="455">
        <v>46063</v>
      </c>
    </row>
    <row r="1579" spans="1:21">
      <c r="A1579" t="s">
        <v>1751</v>
      </c>
      <c r="B1579" t="s">
        <v>10191</v>
      </c>
      <c r="C1579" t="s">
        <v>1751</v>
      </c>
      <c r="D1579">
        <v>20490734</v>
      </c>
      <c r="E1579" t="s">
        <v>3190</v>
      </c>
      <c r="F1579" t="s">
        <v>1782</v>
      </c>
      <c r="G1579" t="s">
        <v>3129</v>
      </c>
      <c r="H1579" t="s">
        <v>1253</v>
      </c>
      <c r="J1579" s="455">
        <v>46121</v>
      </c>
      <c r="R1579" s="455">
        <v>46139</v>
      </c>
      <c r="U1579" s="455">
        <v>46121</v>
      </c>
    </row>
    <row r="1580" spans="1:21">
      <c r="A1580" t="s">
        <v>1751</v>
      </c>
      <c r="B1580" t="s">
        <v>10192</v>
      </c>
      <c r="C1580" t="s">
        <v>1751</v>
      </c>
      <c r="D1580">
        <v>20423696</v>
      </c>
      <c r="E1580" t="s">
        <v>3190</v>
      </c>
      <c r="F1580" t="s">
        <v>1782</v>
      </c>
      <c r="G1580" t="s">
        <v>3141</v>
      </c>
      <c r="H1580" t="s">
        <v>1251</v>
      </c>
      <c r="J1580" s="455">
        <v>46034</v>
      </c>
      <c r="R1580" s="455">
        <v>46114</v>
      </c>
      <c r="U1580" s="455">
        <v>46034</v>
      </c>
    </row>
    <row r="1581" spans="1:21">
      <c r="A1581" t="s">
        <v>1751</v>
      </c>
      <c r="B1581" t="s">
        <v>10193</v>
      </c>
      <c r="C1581" t="s">
        <v>1751</v>
      </c>
      <c r="D1581">
        <v>20507609</v>
      </c>
      <c r="E1581" t="s">
        <v>3128</v>
      </c>
      <c r="F1581" t="s">
        <v>1782</v>
      </c>
      <c r="G1581" t="s">
        <v>3129</v>
      </c>
      <c r="H1581" t="s">
        <v>3131</v>
      </c>
      <c r="J1581" s="455">
        <v>46135</v>
      </c>
      <c r="U1581" s="455">
        <v>46135</v>
      </c>
    </row>
    <row r="1582" spans="1:21">
      <c r="A1582" t="s">
        <v>1751</v>
      </c>
      <c r="B1582" t="s">
        <v>4913</v>
      </c>
      <c r="C1582" t="s">
        <v>1751</v>
      </c>
      <c r="D1582">
        <v>20415964</v>
      </c>
      <c r="E1582" t="s">
        <v>3190</v>
      </c>
      <c r="F1582" t="s">
        <v>1241</v>
      </c>
      <c r="G1582" t="s">
        <v>3129</v>
      </c>
      <c r="H1582" t="s">
        <v>1247</v>
      </c>
      <c r="J1582" s="455">
        <v>46022</v>
      </c>
      <c r="R1582" s="455">
        <v>46114</v>
      </c>
      <c r="U1582" s="455">
        <v>46022</v>
      </c>
    </row>
    <row r="1583" spans="1:21">
      <c r="A1583" t="s">
        <v>1751</v>
      </c>
      <c r="B1583" t="s">
        <v>8988</v>
      </c>
      <c r="C1583" t="s">
        <v>1751</v>
      </c>
      <c r="D1583">
        <v>20450223</v>
      </c>
      <c r="E1583" t="s">
        <v>3190</v>
      </c>
      <c r="F1583" t="s">
        <v>1241</v>
      </c>
      <c r="G1583" t="s">
        <v>3129</v>
      </c>
      <c r="H1583" t="s">
        <v>3131</v>
      </c>
      <c r="J1583" s="455">
        <v>46070</v>
      </c>
      <c r="R1583" s="455">
        <v>46114</v>
      </c>
      <c r="U1583" s="455">
        <v>46070</v>
      </c>
    </row>
    <row r="1584" spans="1:21">
      <c r="A1584" t="s">
        <v>1751</v>
      </c>
      <c r="B1584" t="s">
        <v>8989</v>
      </c>
      <c r="C1584" t="s">
        <v>1751</v>
      </c>
      <c r="D1584">
        <v>20440025</v>
      </c>
      <c r="E1584" t="s">
        <v>3190</v>
      </c>
      <c r="F1584" t="s">
        <v>1782</v>
      </c>
      <c r="G1584" t="s">
        <v>3129</v>
      </c>
      <c r="H1584" t="s">
        <v>3131</v>
      </c>
      <c r="J1584" s="455">
        <v>46056</v>
      </c>
      <c r="R1584" s="455">
        <v>46114</v>
      </c>
      <c r="U1584" s="455">
        <v>46058</v>
      </c>
    </row>
    <row r="1585" spans="1:21">
      <c r="A1585" t="s">
        <v>1751</v>
      </c>
      <c r="B1585" t="s">
        <v>8990</v>
      </c>
      <c r="C1585" t="s">
        <v>1751</v>
      </c>
      <c r="D1585">
        <v>20456554</v>
      </c>
      <c r="E1585" t="s">
        <v>3190</v>
      </c>
      <c r="F1585" t="s">
        <v>1782</v>
      </c>
      <c r="G1585" t="s">
        <v>3129</v>
      </c>
      <c r="H1585" t="s">
        <v>1253</v>
      </c>
      <c r="J1585" s="455">
        <v>46077</v>
      </c>
      <c r="R1585" s="455">
        <v>46114</v>
      </c>
      <c r="U1585" s="455">
        <v>46077</v>
      </c>
    </row>
    <row r="1586" spans="1:21">
      <c r="A1586" t="s">
        <v>1751</v>
      </c>
      <c r="B1586" t="s">
        <v>10194</v>
      </c>
      <c r="C1586" t="s">
        <v>1751</v>
      </c>
      <c r="D1586">
        <v>20499154</v>
      </c>
      <c r="E1586" t="s">
        <v>3190</v>
      </c>
      <c r="F1586" t="s">
        <v>1782</v>
      </c>
      <c r="G1586" t="s">
        <v>3129</v>
      </c>
      <c r="H1586" t="s">
        <v>3131</v>
      </c>
      <c r="J1586" s="455">
        <v>46129</v>
      </c>
      <c r="R1586" s="455">
        <v>46139</v>
      </c>
      <c r="U1586" s="455">
        <v>46129</v>
      </c>
    </row>
    <row r="1587" spans="1:21">
      <c r="A1587" t="s">
        <v>1751</v>
      </c>
      <c r="B1587" t="s">
        <v>8991</v>
      </c>
      <c r="C1587" t="s">
        <v>1751</v>
      </c>
      <c r="D1587">
        <v>20450194</v>
      </c>
      <c r="E1587" t="s">
        <v>3190</v>
      </c>
      <c r="F1587" t="s">
        <v>1241</v>
      </c>
      <c r="G1587" t="s">
        <v>3129</v>
      </c>
      <c r="H1587" t="s">
        <v>3131</v>
      </c>
      <c r="J1587" s="455">
        <v>46070</v>
      </c>
      <c r="R1587" s="455">
        <v>46114</v>
      </c>
      <c r="U1587" s="455">
        <v>46070</v>
      </c>
    </row>
    <row r="1588" spans="1:21">
      <c r="A1588" t="s">
        <v>1751</v>
      </c>
      <c r="B1588" t="s">
        <v>8992</v>
      </c>
      <c r="C1588" t="s">
        <v>1751</v>
      </c>
      <c r="D1588">
        <v>20454854</v>
      </c>
      <c r="E1588" t="s">
        <v>3190</v>
      </c>
      <c r="F1588" t="s">
        <v>1241</v>
      </c>
      <c r="G1588" t="s">
        <v>3129</v>
      </c>
      <c r="H1588" t="s">
        <v>1253</v>
      </c>
      <c r="J1588" s="455">
        <v>46074</v>
      </c>
      <c r="R1588" s="455">
        <v>46114</v>
      </c>
      <c r="U1588" s="455">
        <v>46074</v>
      </c>
    </row>
    <row r="1589" spans="1:21">
      <c r="A1589" t="s">
        <v>1751</v>
      </c>
      <c r="B1589" t="s">
        <v>10195</v>
      </c>
      <c r="C1589" t="s">
        <v>1751</v>
      </c>
      <c r="D1589">
        <v>20435560</v>
      </c>
      <c r="E1589" t="s">
        <v>3190</v>
      </c>
      <c r="F1589" t="s">
        <v>1782</v>
      </c>
      <c r="G1589" t="s">
        <v>3129</v>
      </c>
      <c r="H1589" t="s">
        <v>1253</v>
      </c>
      <c r="J1589" s="455">
        <v>46049</v>
      </c>
      <c r="R1589" s="455">
        <v>46114</v>
      </c>
      <c r="U1589" s="455">
        <v>46049</v>
      </c>
    </row>
    <row r="1590" spans="1:21">
      <c r="A1590" t="s">
        <v>1751</v>
      </c>
      <c r="B1590" t="s">
        <v>10196</v>
      </c>
      <c r="C1590" t="s">
        <v>1751</v>
      </c>
      <c r="D1590">
        <v>20494399</v>
      </c>
      <c r="E1590" t="s">
        <v>3190</v>
      </c>
      <c r="F1590" t="s">
        <v>1782</v>
      </c>
      <c r="G1590" t="s">
        <v>3129</v>
      </c>
      <c r="H1590" t="s">
        <v>1252</v>
      </c>
      <c r="J1590" s="455">
        <v>46126</v>
      </c>
      <c r="R1590" s="455">
        <v>46139</v>
      </c>
      <c r="U1590" s="455">
        <v>46126</v>
      </c>
    </row>
    <row r="1591" spans="1:21">
      <c r="A1591" t="s">
        <v>1751</v>
      </c>
      <c r="B1591" t="s">
        <v>9419</v>
      </c>
      <c r="C1591" t="s">
        <v>1751</v>
      </c>
      <c r="D1591">
        <v>20478216</v>
      </c>
      <c r="E1591" t="s">
        <v>3190</v>
      </c>
      <c r="F1591" t="s">
        <v>1241</v>
      </c>
      <c r="G1591" t="s">
        <v>3129</v>
      </c>
      <c r="H1591" t="s">
        <v>1252</v>
      </c>
      <c r="J1591" s="455">
        <v>46104</v>
      </c>
      <c r="R1591" s="455">
        <v>46114</v>
      </c>
      <c r="U1591" s="455">
        <v>46172</v>
      </c>
    </row>
    <row r="1592" spans="1:21">
      <c r="A1592" t="s">
        <v>1751</v>
      </c>
      <c r="B1592" t="s">
        <v>10197</v>
      </c>
      <c r="C1592" t="s">
        <v>1751</v>
      </c>
      <c r="D1592">
        <v>20502942</v>
      </c>
      <c r="E1592" t="s">
        <v>3128</v>
      </c>
      <c r="F1592" t="s">
        <v>1782</v>
      </c>
      <c r="G1592" t="s">
        <v>3129</v>
      </c>
      <c r="H1592" t="s">
        <v>1252</v>
      </c>
      <c r="J1592" s="455">
        <v>46132</v>
      </c>
      <c r="U1592" s="455">
        <v>46132</v>
      </c>
    </row>
    <row r="1593" spans="1:21">
      <c r="A1593" t="s">
        <v>1751</v>
      </c>
      <c r="B1593" t="s">
        <v>8994</v>
      </c>
      <c r="C1593" t="s">
        <v>1751</v>
      </c>
      <c r="D1593">
        <v>20438887</v>
      </c>
      <c r="E1593" t="s">
        <v>3190</v>
      </c>
      <c r="F1593" t="s">
        <v>1782</v>
      </c>
      <c r="G1593" t="s">
        <v>3129</v>
      </c>
      <c r="H1593" t="s">
        <v>3131</v>
      </c>
      <c r="J1593" s="455">
        <v>46054</v>
      </c>
      <c r="R1593" s="455">
        <v>46114</v>
      </c>
      <c r="U1593" s="455">
        <v>46113</v>
      </c>
    </row>
    <row r="1594" spans="1:21">
      <c r="A1594" t="s">
        <v>1751</v>
      </c>
      <c r="B1594" t="s">
        <v>8995</v>
      </c>
      <c r="C1594" t="s">
        <v>1751</v>
      </c>
      <c r="D1594">
        <v>20452023</v>
      </c>
      <c r="E1594" t="s">
        <v>3190</v>
      </c>
      <c r="F1594" t="s">
        <v>1241</v>
      </c>
      <c r="G1594" t="s">
        <v>3129</v>
      </c>
      <c r="H1594" t="s">
        <v>1252</v>
      </c>
      <c r="J1594" s="455">
        <v>46071</v>
      </c>
      <c r="R1594" s="455">
        <v>46114</v>
      </c>
      <c r="U1594" s="455">
        <v>46082</v>
      </c>
    </row>
    <row r="1595" spans="1:21">
      <c r="A1595" t="s">
        <v>1751</v>
      </c>
      <c r="B1595" t="s">
        <v>4086</v>
      </c>
      <c r="C1595" t="s">
        <v>1751</v>
      </c>
      <c r="D1595">
        <v>20419209</v>
      </c>
      <c r="E1595" t="s">
        <v>3190</v>
      </c>
      <c r="F1595" t="s">
        <v>1237</v>
      </c>
      <c r="G1595" t="s">
        <v>3129</v>
      </c>
      <c r="H1595" t="s">
        <v>1252</v>
      </c>
      <c r="J1595" s="455">
        <v>46028</v>
      </c>
      <c r="R1595" s="455">
        <v>46114</v>
      </c>
      <c r="U1595" s="455">
        <v>46387</v>
      </c>
    </row>
    <row r="1596" spans="1:21">
      <c r="A1596" t="s">
        <v>1751</v>
      </c>
      <c r="B1596" t="s">
        <v>10198</v>
      </c>
      <c r="C1596" t="s">
        <v>1751</v>
      </c>
      <c r="D1596">
        <v>20498505</v>
      </c>
      <c r="E1596" t="s">
        <v>3190</v>
      </c>
      <c r="F1596" t="s">
        <v>1241</v>
      </c>
      <c r="G1596" t="s">
        <v>3129</v>
      </c>
      <c r="H1596" t="s">
        <v>1252</v>
      </c>
      <c r="J1596" s="455">
        <v>46128</v>
      </c>
      <c r="R1596" s="455">
        <v>46139</v>
      </c>
      <c r="U1596" s="455">
        <v>46128</v>
      </c>
    </row>
    <row r="1597" spans="1:21">
      <c r="A1597" t="s">
        <v>1751</v>
      </c>
      <c r="B1597" t="s">
        <v>8996</v>
      </c>
      <c r="C1597" t="s">
        <v>1751</v>
      </c>
      <c r="D1597">
        <v>20444389</v>
      </c>
      <c r="E1597" t="s">
        <v>3190</v>
      </c>
      <c r="F1597" t="s">
        <v>1241</v>
      </c>
      <c r="G1597" t="s">
        <v>3129</v>
      </c>
      <c r="H1597" t="s">
        <v>1253</v>
      </c>
      <c r="J1597" s="455">
        <v>46063</v>
      </c>
      <c r="R1597" s="455">
        <v>46114</v>
      </c>
      <c r="U1597" s="455">
        <v>46063</v>
      </c>
    </row>
    <row r="1598" spans="1:21">
      <c r="A1598" t="s">
        <v>1751</v>
      </c>
      <c r="B1598" t="s">
        <v>8996</v>
      </c>
      <c r="C1598" t="s">
        <v>1751</v>
      </c>
      <c r="D1598">
        <v>20501644</v>
      </c>
      <c r="E1598" t="s">
        <v>3190</v>
      </c>
      <c r="F1598" t="s">
        <v>1782</v>
      </c>
      <c r="G1598" t="s">
        <v>3129</v>
      </c>
      <c r="H1598" t="s">
        <v>1252</v>
      </c>
      <c r="J1598" s="455">
        <v>46131</v>
      </c>
      <c r="R1598" s="455">
        <v>46139</v>
      </c>
      <c r="U1598" s="455">
        <v>46131</v>
      </c>
    </row>
    <row r="1599" spans="1:21">
      <c r="A1599" t="s">
        <v>1751</v>
      </c>
      <c r="B1599" t="s">
        <v>10199</v>
      </c>
      <c r="C1599" t="s">
        <v>1751</v>
      </c>
      <c r="D1599">
        <v>20438608</v>
      </c>
      <c r="E1599" t="s">
        <v>3190</v>
      </c>
      <c r="F1599" t="s">
        <v>1782</v>
      </c>
      <c r="G1599" t="s">
        <v>3129</v>
      </c>
      <c r="H1599" t="s">
        <v>1252</v>
      </c>
      <c r="J1599" s="455">
        <v>46053</v>
      </c>
      <c r="R1599" s="455">
        <v>46114</v>
      </c>
      <c r="U1599" s="455">
        <v>46060</v>
      </c>
    </row>
    <row r="1600" spans="1:21">
      <c r="A1600" t="s">
        <v>1751</v>
      </c>
      <c r="B1600" t="s">
        <v>10200</v>
      </c>
      <c r="C1600" t="s">
        <v>1751</v>
      </c>
      <c r="D1600">
        <v>20507685</v>
      </c>
      <c r="E1600" t="s">
        <v>3190</v>
      </c>
      <c r="F1600" t="s">
        <v>1241</v>
      </c>
      <c r="G1600" t="s">
        <v>3129</v>
      </c>
      <c r="H1600" t="s">
        <v>3131</v>
      </c>
      <c r="J1600" s="455">
        <v>46135</v>
      </c>
      <c r="R1600" s="455">
        <v>46135</v>
      </c>
      <c r="U1600" s="455">
        <v>46135</v>
      </c>
    </row>
    <row r="1601" spans="1:21">
      <c r="A1601" t="s">
        <v>1751</v>
      </c>
      <c r="B1601" t="s">
        <v>10201</v>
      </c>
      <c r="C1601" t="s">
        <v>1751</v>
      </c>
      <c r="D1601">
        <v>20490657</v>
      </c>
      <c r="E1601" t="s">
        <v>3190</v>
      </c>
      <c r="F1601" t="s">
        <v>1782</v>
      </c>
      <c r="G1601" t="s">
        <v>3129</v>
      </c>
      <c r="H1601" t="s">
        <v>3131</v>
      </c>
      <c r="J1601" s="455">
        <v>46121</v>
      </c>
      <c r="R1601" s="455">
        <v>46139</v>
      </c>
      <c r="U1601" s="455">
        <v>46121</v>
      </c>
    </row>
    <row r="1602" spans="1:21">
      <c r="A1602" t="s">
        <v>1751</v>
      </c>
      <c r="B1602" t="s">
        <v>10202</v>
      </c>
      <c r="C1602" t="s">
        <v>1751</v>
      </c>
      <c r="D1602">
        <v>20437578</v>
      </c>
      <c r="E1602" t="s">
        <v>3190</v>
      </c>
      <c r="F1602" t="s">
        <v>1241</v>
      </c>
      <c r="G1602" t="s">
        <v>3129</v>
      </c>
      <c r="H1602" t="s">
        <v>3131</v>
      </c>
      <c r="J1602" s="455">
        <v>46052</v>
      </c>
      <c r="R1602" s="455">
        <v>46114</v>
      </c>
      <c r="U1602" s="455">
        <v>46052</v>
      </c>
    </row>
    <row r="1603" spans="1:21">
      <c r="A1603" t="s">
        <v>1751</v>
      </c>
      <c r="B1603" t="s">
        <v>10203</v>
      </c>
      <c r="C1603" t="s">
        <v>1751</v>
      </c>
      <c r="D1603">
        <v>20429989</v>
      </c>
      <c r="E1603" t="s">
        <v>3190</v>
      </c>
      <c r="F1603" t="s">
        <v>1241</v>
      </c>
      <c r="G1603" t="s">
        <v>3129</v>
      </c>
      <c r="H1603" t="s">
        <v>1252</v>
      </c>
      <c r="J1603" s="455">
        <v>46040</v>
      </c>
      <c r="R1603" s="455">
        <v>46114</v>
      </c>
      <c r="U1603" s="455">
        <v>46048</v>
      </c>
    </row>
    <row r="1604" spans="1:21">
      <c r="A1604" t="s">
        <v>1751</v>
      </c>
      <c r="B1604" t="s">
        <v>4922</v>
      </c>
      <c r="C1604" t="s">
        <v>1751</v>
      </c>
      <c r="D1604">
        <v>20420976</v>
      </c>
      <c r="E1604" t="s">
        <v>3190</v>
      </c>
      <c r="F1604" t="s">
        <v>1238</v>
      </c>
      <c r="G1604" t="s">
        <v>3129</v>
      </c>
      <c r="H1604" t="s">
        <v>1253</v>
      </c>
      <c r="J1604" s="455">
        <v>46030</v>
      </c>
      <c r="R1604" s="455">
        <v>46114</v>
      </c>
      <c r="U1604" s="455">
        <v>46044</v>
      </c>
    </row>
    <row r="1605" spans="1:21">
      <c r="A1605" t="s">
        <v>1751</v>
      </c>
      <c r="B1605" t="s">
        <v>4922</v>
      </c>
      <c r="C1605" t="s">
        <v>1751</v>
      </c>
      <c r="D1605">
        <v>20444338</v>
      </c>
      <c r="E1605" t="s">
        <v>3190</v>
      </c>
      <c r="F1605" t="s">
        <v>1241</v>
      </c>
      <c r="G1605" t="s">
        <v>3129</v>
      </c>
      <c r="H1605" t="s">
        <v>3131</v>
      </c>
      <c r="J1605" s="455">
        <v>46063</v>
      </c>
      <c r="R1605" s="455">
        <v>46114</v>
      </c>
      <c r="U1605" s="455">
        <v>46063</v>
      </c>
    </row>
    <row r="1606" spans="1:21">
      <c r="A1606" t="s">
        <v>1751</v>
      </c>
      <c r="B1606" t="s">
        <v>10204</v>
      </c>
      <c r="C1606" t="s">
        <v>1751</v>
      </c>
      <c r="D1606">
        <v>20511056</v>
      </c>
      <c r="E1606" t="s">
        <v>3128</v>
      </c>
      <c r="F1606" t="s">
        <v>1782</v>
      </c>
      <c r="G1606" t="s">
        <v>3129</v>
      </c>
      <c r="H1606" t="s">
        <v>1252</v>
      </c>
      <c r="J1606" s="455">
        <v>46139</v>
      </c>
      <c r="U1606" s="455">
        <v>46139</v>
      </c>
    </row>
    <row r="1607" spans="1:21">
      <c r="A1607" t="s">
        <v>1751</v>
      </c>
      <c r="B1607" t="s">
        <v>4923</v>
      </c>
      <c r="C1607" t="s">
        <v>1751</v>
      </c>
      <c r="D1607">
        <v>20443578</v>
      </c>
      <c r="E1607" t="s">
        <v>3190</v>
      </c>
      <c r="F1607" t="s">
        <v>1782</v>
      </c>
      <c r="G1607" t="s">
        <v>3129</v>
      </c>
      <c r="H1607" t="s">
        <v>3131</v>
      </c>
      <c r="J1607" s="455">
        <v>46062</v>
      </c>
      <c r="R1607" s="455">
        <v>46114</v>
      </c>
      <c r="U1607" s="455">
        <v>46062</v>
      </c>
    </row>
    <row r="1608" spans="1:21">
      <c r="A1608" t="s">
        <v>1751</v>
      </c>
      <c r="B1608" t="s">
        <v>8997</v>
      </c>
      <c r="C1608" t="s">
        <v>1751</v>
      </c>
      <c r="D1608">
        <v>20455951</v>
      </c>
      <c r="E1608" t="s">
        <v>3190</v>
      </c>
      <c r="F1608" t="s">
        <v>1782</v>
      </c>
      <c r="G1608" t="s">
        <v>3129</v>
      </c>
      <c r="H1608" t="s">
        <v>3131</v>
      </c>
      <c r="J1608" s="455">
        <v>46076</v>
      </c>
      <c r="R1608" s="455">
        <v>46114</v>
      </c>
      <c r="U1608" s="455">
        <v>46076</v>
      </c>
    </row>
    <row r="1609" spans="1:21">
      <c r="A1609" t="s">
        <v>1751</v>
      </c>
      <c r="B1609" t="s">
        <v>10205</v>
      </c>
      <c r="C1609" t="s">
        <v>1751</v>
      </c>
      <c r="D1609">
        <v>20509214</v>
      </c>
      <c r="E1609" t="s">
        <v>3128</v>
      </c>
      <c r="F1609" t="s">
        <v>1241</v>
      </c>
      <c r="G1609" t="s">
        <v>3129</v>
      </c>
      <c r="H1609" t="s">
        <v>3377</v>
      </c>
      <c r="J1609" s="455">
        <v>46136</v>
      </c>
      <c r="U1609" s="455">
        <v>46136</v>
      </c>
    </row>
    <row r="1610" spans="1:21">
      <c r="A1610" t="s">
        <v>1751</v>
      </c>
      <c r="B1610" t="s">
        <v>4093</v>
      </c>
      <c r="C1610" t="s">
        <v>1751</v>
      </c>
      <c r="D1610">
        <v>20512118</v>
      </c>
      <c r="E1610" t="s">
        <v>3128</v>
      </c>
      <c r="F1610" t="s">
        <v>1782</v>
      </c>
      <c r="G1610" t="s">
        <v>3129</v>
      </c>
      <c r="H1610" t="s">
        <v>1252</v>
      </c>
      <c r="J1610" s="455">
        <v>46140</v>
      </c>
      <c r="U1610" s="455">
        <v>46140</v>
      </c>
    </row>
    <row r="1611" spans="1:21">
      <c r="A1611" t="s">
        <v>1751</v>
      </c>
      <c r="B1611" t="s">
        <v>4093</v>
      </c>
      <c r="C1611" t="s">
        <v>1751</v>
      </c>
      <c r="D1611">
        <v>20510780</v>
      </c>
      <c r="E1611" t="s">
        <v>3128</v>
      </c>
      <c r="F1611" t="s">
        <v>1782</v>
      </c>
      <c r="G1611" t="s">
        <v>3129</v>
      </c>
      <c r="H1611" t="s">
        <v>1253</v>
      </c>
      <c r="J1611" s="455">
        <v>46139</v>
      </c>
      <c r="U1611" s="455">
        <v>46139</v>
      </c>
    </row>
    <row r="1612" spans="1:21">
      <c r="A1612" t="s">
        <v>1751</v>
      </c>
      <c r="B1612" t="s">
        <v>10206</v>
      </c>
      <c r="C1612" t="s">
        <v>1751</v>
      </c>
      <c r="D1612">
        <v>20511722</v>
      </c>
      <c r="E1612" t="s">
        <v>3128</v>
      </c>
      <c r="F1612" t="s">
        <v>1782</v>
      </c>
      <c r="G1612" t="s">
        <v>3129</v>
      </c>
      <c r="H1612" t="s">
        <v>1252</v>
      </c>
      <c r="J1612" s="455">
        <v>46140</v>
      </c>
      <c r="U1612" s="455">
        <v>46140</v>
      </c>
    </row>
    <row r="1613" spans="1:21">
      <c r="A1613" t="s">
        <v>1751</v>
      </c>
      <c r="B1613" t="s">
        <v>8998</v>
      </c>
      <c r="C1613" t="s">
        <v>1751</v>
      </c>
      <c r="D1613">
        <v>20453023</v>
      </c>
      <c r="E1613" t="s">
        <v>3190</v>
      </c>
      <c r="F1613" t="s">
        <v>1241</v>
      </c>
      <c r="G1613" t="s">
        <v>3129</v>
      </c>
      <c r="H1613" t="s">
        <v>3131</v>
      </c>
      <c r="J1613" s="455">
        <v>46072</v>
      </c>
      <c r="R1613" s="455">
        <v>46114</v>
      </c>
      <c r="U1613" s="455">
        <v>46072</v>
      </c>
    </row>
    <row r="1614" spans="1:21">
      <c r="A1614" t="s">
        <v>1751</v>
      </c>
      <c r="B1614" t="s">
        <v>10207</v>
      </c>
      <c r="C1614" t="s">
        <v>1751</v>
      </c>
      <c r="D1614">
        <v>20414452</v>
      </c>
      <c r="E1614" t="s">
        <v>3190</v>
      </c>
      <c r="F1614" t="s">
        <v>1241</v>
      </c>
      <c r="G1614" t="s">
        <v>3129</v>
      </c>
      <c r="H1614" t="s">
        <v>1247</v>
      </c>
      <c r="J1614" s="455">
        <v>46020</v>
      </c>
      <c r="R1614" s="455">
        <v>46114</v>
      </c>
      <c r="U1614" s="455">
        <v>46020</v>
      </c>
    </row>
    <row r="1615" spans="1:21">
      <c r="A1615" t="s">
        <v>1751</v>
      </c>
      <c r="B1615" t="s">
        <v>10208</v>
      </c>
      <c r="C1615" t="s">
        <v>1751</v>
      </c>
      <c r="D1615">
        <v>20510767</v>
      </c>
      <c r="E1615" t="s">
        <v>3128</v>
      </c>
      <c r="F1615" t="s">
        <v>1782</v>
      </c>
      <c r="G1615" t="s">
        <v>3129</v>
      </c>
      <c r="H1615" t="s">
        <v>3377</v>
      </c>
      <c r="J1615" s="455">
        <v>46139</v>
      </c>
      <c r="U1615" s="455">
        <v>46139</v>
      </c>
    </row>
    <row r="1616" spans="1:21">
      <c r="A1616" t="s">
        <v>1751</v>
      </c>
      <c r="B1616" t="s">
        <v>10209</v>
      </c>
      <c r="C1616" t="s">
        <v>1751</v>
      </c>
      <c r="D1616">
        <v>20435875</v>
      </c>
      <c r="E1616" t="s">
        <v>3190</v>
      </c>
      <c r="F1616" t="s">
        <v>1782</v>
      </c>
      <c r="G1616" t="s">
        <v>3129</v>
      </c>
      <c r="H1616" t="s">
        <v>1252</v>
      </c>
      <c r="J1616" s="455">
        <v>46049</v>
      </c>
      <c r="R1616" s="455">
        <v>46114</v>
      </c>
      <c r="U1616" s="455">
        <v>46049</v>
      </c>
    </row>
    <row r="1617" spans="1:21">
      <c r="A1617" t="s">
        <v>1751</v>
      </c>
      <c r="B1617" t="s">
        <v>4100</v>
      </c>
      <c r="C1617" t="s">
        <v>1751</v>
      </c>
      <c r="D1617">
        <v>20418293</v>
      </c>
      <c r="E1617" t="s">
        <v>3190</v>
      </c>
      <c r="F1617" t="s">
        <v>1241</v>
      </c>
      <c r="G1617" t="s">
        <v>3129</v>
      </c>
      <c r="H1617" t="s">
        <v>1252</v>
      </c>
      <c r="J1617" s="455">
        <v>46027</v>
      </c>
      <c r="R1617" s="455">
        <v>46114</v>
      </c>
      <c r="U1617" s="455">
        <v>46027</v>
      </c>
    </row>
    <row r="1618" spans="1:21">
      <c r="A1618" t="s">
        <v>1751</v>
      </c>
      <c r="B1618" t="s">
        <v>8999</v>
      </c>
      <c r="C1618" t="s">
        <v>1751</v>
      </c>
      <c r="D1618">
        <v>20453025</v>
      </c>
      <c r="E1618" t="s">
        <v>3190</v>
      </c>
      <c r="F1618" t="s">
        <v>1241</v>
      </c>
      <c r="G1618" t="s">
        <v>3129</v>
      </c>
      <c r="H1618" t="s">
        <v>1252</v>
      </c>
      <c r="J1618" s="455">
        <v>46072</v>
      </c>
      <c r="R1618" s="455">
        <v>46114</v>
      </c>
      <c r="U1618" s="455">
        <v>46082</v>
      </c>
    </row>
    <row r="1619" spans="1:21">
      <c r="A1619" t="s">
        <v>1751</v>
      </c>
      <c r="B1619" t="s">
        <v>10210</v>
      </c>
      <c r="C1619" t="s">
        <v>1751</v>
      </c>
      <c r="D1619">
        <v>20438331</v>
      </c>
      <c r="E1619" t="s">
        <v>3190</v>
      </c>
      <c r="F1619" t="s">
        <v>1782</v>
      </c>
      <c r="G1619" t="s">
        <v>3129</v>
      </c>
      <c r="H1619" t="s">
        <v>1253</v>
      </c>
      <c r="J1619" s="455">
        <v>46053</v>
      </c>
      <c r="R1619" s="455">
        <v>46114</v>
      </c>
      <c r="U1619" s="455">
        <v>46082</v>
      </c>
    </row>
    <row r="1620" spans="1:21">
      <c r="A1620" t="s">
        <v>1751</v>
      </c>
      <c r="B1620" t="s">
        <v>9000</v>
      </c>
      <c r="C1620" t="s">
        <v>1751</v>
      </c>
      <c r="D1620">
        <v>20450578</v>
      </c>
      <c r="E1620" t="s">
        <v>3190</v>
      </c>
      <c r="F1620" t="s">
        <v>1782</v>
      </c>
      <c r="G1620" t="s">
        <v>3129</v>
      </c>
      <c r="H1620" t="s">
        <v>3131</v>
      </c>
      <c r="J1620" s="455">
        <v>46070</v>
      </c>
      <c r="R1620" s="455">
        <v>46114</v>
      </c>
      <c r="U1620" s="455">
        <v>46173</v>
      </c>
    </row>
    <row r="1621" spans="1:21">
      <c r="A1621" t="s">
        <v>1751</v>
      </c>
      <c r="B1621" t="s">
        <v>10211</v>
      </c>
      <c r="C1621" t="s">
        <v>1751</v>
      </c>
      <c r="D1621">
        <v>20412289</v>
      </c>
      <c r="E1621" t="s">
        <v>3190</v>
      </c>
      <c r="F1621" t="s">
        <v>1241</v>
      </c>
      <c r="G1621" t="s">
        <v>3129</v>
      </c>
      <c r="H1621" t="s">
        <v>1252</v>
      </c>
      <c r="J1621" s="455">
        <v>46015</v>
      </c>
      <c r="R1621" s="455">
        <v>46114</v>
      </c>
      <c r="U1621" s="455">
        <v>46015</v>
      </c>
    </row>
    <row r="1622" spans="1:21">
      <c r="A1622" t="s">
        <v>1751</v>
      </c>
      <c r="B1622" t="s">
        <v>9001</v>
      </c>
      <c r="C1622" t="s">
        <v>1751</v>
      </c>
      <c r="D1622">
        <v>20451966</v>
      </c>
      <c r="E1622" t="s">
        <v>3190</v>
      </c>
      <c r="F1622" t="s">
        <v>1237</v>
      </c>
      <c r="G1622" t="s">
        <v>3129</v>
      </c>
      <c r="H1622" t="s">
        <v>3131</v>
      </c>
      <c r="J1622" s="455">
        <v>46071</v>
      </c>
      <c r="R1622" s="455">
        <v>46114</v>
      </c>
      <c r="U1622" s="455">
        <v>46071</v>
      </c>
    </row>
    <row r="1623" spans="1:21">
      <c r="A1623" t="s">
        <v>1751</v>
      </c>
      <c r="B1623" t="s">
        <v>10212</v>
      </c>
      <c r="C1623" t="s">
        <v>1751</v>
      </c>
      <c r="D1623">
        <v>20512503</v>
      </c>
      <c r="E1623" t="s">
        <v>3128</v>
      </c>
      <c r="F1623" t="s">
        <v>1782</v>
      </c>
      <c r="G1623" t="s">
        <v>3129</v>
      </c>
      <c r="H1623" t="s">
        <v>3131</v>
      </c>
      <c r="J1623" s="455">
        <v>46141</v>
      </c>
      <c r="U1623" s="455">
        <v>46141</v>
      </c>
    </row>
    <row r="1624" spans="1:21">
      <c r="A1624" t="s">
        <v>1751</v>
      </c>
      <c r="B1624" t="s">
        <v>9420</v>
      </c>
      <c r="C1624" t="s">
        <v>1751</v>
      </c>
      <c r="D1624">
        <v>20465252</v>
      </c>
      <c r="E1624" t="s">
        <v>3190</v>
      </c>
      <c r="F1624" t="s">
        <v>1241</v>
      </c>
      <c r="G1624" t="s">
        <v>3129</v>
      </c>
      <c r="H1624" t="s">
        <v>1253</v>
      </c>
      <c r="I1624" t="s">
        <v>2617</v>
      </c>
      <c r="J1624" s="455">
        <v>46090</v>
      </c>
      <c r="R1624" s="455">
        <v>46114</v>
      </c>
      <c r="U1624" s="455">
        <v>46115</v>
      </c>
    </row>
    <row r="1625" spans="1:21">
      <c r="A1625" t="s">
        <v>1751</v>
      </c>
      <c r="B1625" t="s">
        <v>10213</v>
      </c>
      <c r="C1625" t="s">
        <v>1751</v>
      </c>
      <c r="D1625">
        <v>20486520</v>
      </c>
      <c r="E1625" t="s">
        <v>3190</v>
      </c>
      <c r="F1625" t="s">
        <v>1782</v>
      </c>
      <c r="G1625" t="s">
        <v>3129</v>
      </c>
      <c r="H1625" t="s">
        <v>3377</v>
      </c>
      <c r="J1625" s="455">
        <v>46115</v>
      </c>
      <c r="R1625" s="455">
        <v>46115</v>
      </c>
      <c r="U1625" s="455">
        <v>46115</v>
      </c>
    </row>
    <row r="1626" spans="1:21">
      <c r="A1626" t="s">
        <v>1751</v>
      </c>
      <c r="B1626" t="s">
        <v>10214</v>
      </c>
      <c r="C1626" t="s">
        <v>1751</v>
      </c>
      <c r="D1626">
        <v>20435291</v>
      </c>
      <c r="E1626" t="s">
        <v>3190</v>
      </c>
      <c r="F1626" t="s">
        <v>1238</v>
      </c>
      <c r="G1626" t="s">
        <v>3129</v>
      </c>
      <c r="H1626" t="s">
        <v>1253</v>
      </c>
      <c r="J1626" s="455">
        <v>46048</v>
      </c>
      <c r="R1626" s="455">
        <v>46114</v>
      </c>
      <c r="U1626" s="455">
        <v>46048</v>
      </c>
    </row>
    <row r="1627" spans="1:21">
      <c r="A1627" t="s">
        <v>1751</v>
      </c>
      <c r="B1627" t="s">
        <v>4106</v>
      </c>
      <c r="C1627" t="s">
        <v>1751</v>
      </c>
      <c r="D1627">
        <v>20437863</v>
      </c>
      <c r="E1627" t="s">
        <v>3190</v>
      </c>
      <c r="F1627" t="s">
        <v>1782</v>
      </c>
      <c r="G1627" t="s">
        <v>3129</v>
      </c>
      <c r="H1627" t="s">
        <v>1253</v>
      </c>
      <c r="J1627" s="455">
        <v>46052</v>
      </c>
      <c r="R1627" s="455">
        <v>46114</v>
      </c>
      <c r="U1627" s="455">
        <v>46052</v>
      </c>
    </row>
    <row r="1628" spans="1:21">
      <c r="A1628" t="s">
        <v>1751</v>
      </c>
      <c r="B1628" t="s">
        <v>9002</v>
      </c>
      <c r="C1628" t="s">
        <v>1751</v>
      </c>
      <c r="D1628">
        <v>20454892</v>
      </c>
      <c r="E1628" t="s">
        <v>3190</v>
      </c>
      <c r="F1628" t="s">
        <v>1241</v>
      </c>
      <c r="G1628" t="s">
        <v>3129</v>
      </c>
      <c r="H1628" t="s">
        <v>3131</v>
      </c>
      <c r="J1628" s="455">
        <v>46074</v>
      </c>
      <c r="R1628" s="455">
        <v>46114</v>
      </c>
      <c r="U1628" s="455">
        <v>46157</v>
      </c>
    </row>
    <row r="1629" spans="1:21">
      <c r="A1629" t="s">
        <v>1751</v>
      </c>
      <c r="B1629" t="s">
        <v>10215</v>
      </c>
      <c r="C1629" t="s">
        <v>1751</v>
      </c>
      <c r="D1629">
        <v>20494764</v>
      </c>
      <c r="E1629" t="s">
        <v>3190</v>
      </c>
      <c r="F1629" t="s">
        <v>1782</v>
      </c>
      <c r="G1629" t="s">
        <v>3129</v>
      </c>
      <c r="H1629" t="s">
        <v>3131</v>
      </c>
      <c r="J1629" s="455">
        <v>46126</v>
      </c>
      <c r="R1629" s="455">
        <v>46139</v>
      </c>
      <c r="U1629" s="455">
        <v>46126</v>
      </c>
    </row>
    <row r="1630" spans="1:21">
      <c r="A1630" t="s">
        <v>1751</v>
      </c>
      <c r="B1630" t="s">
        <v>10216</v>
      </c>
      <c r="C1630" t="s">
        <v>1751</v>
      </c>
      <c r="D1630">
        <v>20420811</v>
      </c>
      <c r="E1630" t="s">
        <v>3190</v>
      </c>
      <c r="F1630" t="s">
        <v>1241</v>
      </c>
      <c r="G1630" t="s">
        <v>3129</v>
      </c>
      <c r="H1630" t="s">
        <v>3131</v>
      </c>
      <c r="J1630" s="455">
        <v>46030</v>
      </c>
      <c r="R1630" s="455">
        <v>46115</v>
      </c>
      <c r="U1630" s="455">
        <v>46030</v>
      </c>
    </row>
    <row r="1631" spans="1:21">
      <c r="A1631" t="s">
        <v>1751</v>
      </c>
      <c r="B1631" t="s">
        <v>10217</v>
      </c>
      <c r="C1631" t="s">
        <v>1751</v>
      </c>
      <c r="D1631">
        <v>20504719</v>
      </c>
      <c r="E1631" t="s">
        <v>3128</v>
      </c>
      <c r="F1631" t="s">
        <v>1782</v>
      </c>
      <c r="G1631" t="s">
        <v>3129</v>
      </c>
      <c r="H1631" t="s">
        <v>1247</v>
      </c>
      <c r="J1631" s="455">
        <v>46133</v>
      </c>
      <c r="U1631" s="455">
        <v>46133</v>
      </c>
    </row>
    <row r="1632" spans="1:21">
      <c r="A1632" t="s">
        <v>1751</v>
      </c>
      <c r="B1632" t="s">
        <v>9421</v>
      </c>
      <c r="C1632" t="s">
        <v>1751</v>
      </c>
      <c r="D1632">
        <v>20476117</v>
      </c>
      <c r="E1632" t="s">
        <v>3190</v>
      </c>
      <c r="F1632" t="s">
        <v>1241</v>
      </c>
      <c r="G1632" t="s">
        <v>3129</v>
      </c>
      <c r="H1632" t="s">
        <v>1253</v>
      </c>
      <c r="I1632" t="s">
        <v>1952</v>
      </c>
      <c r="J1632" s="455">
        <v>46100</v>
      </c>
      <c r="R1632" s="455">
        <v>46139</v>
      </c>
      <c r="U1632" s="455">
        <v>46100</v>
      </c>
    </row>
    <row r="1633" spans="1:21">
      <c r="A1633" t="s">
        <v>1751</v>
      </c>
      <c r="B1633" t="s">
        <v>9421</v>
      </c>
      <c r="C1633" t="s">
        <v>1751</v>
      </c>
      <c r="D1633">
        <v>20503968</v>
      </c>
      <c r="E1633" t="s">
        <v>3128</v>
      </c>
      <c r="F1633" t="s">
        <v>1241</v>
      </c>
      <c r="G1633" t="s">
        <v>3129</v>
      </c>
      <c r="H1633" t="s">
        <v>1253</v>
      </c>
      <c r="J1633" s="455">
        <v>46132</v>
      </c>
      <c r="U1633" s="455">
        <v>46132</v>
      </c>
    </row>
    <row r="1634" spans="1:21">
      <c r="A1634" t="s">
        <v>1751</v>
      </c>
      <c r="B1634" t="s">
        <v>9003</v>
      </c>
      <c r="C1634" t="s">
        <v>1751</v>
      </c>
      <c r="D1634">
        <v>20453026</v>
      </c>
      <c r="E1634" t="s">
        <v>3190</v>
      </c>
      <c r="F1634" t="s">
        <v>1241</v>
      </c>
      <c r="G1634" t="s">
        <v>3129</v>
      </c>
      <c r="H1634" t="s">
        <v>1253</v>
      </c>
      <c r="J1634" s="455">
        <v>46072</v>
      </c>
      <c r="R1634" s="455">
        <v>46114</v>
      </c>
      <c r="U1634" s="455">
        <v>46094</v>
      </c>
    </row>
    <row r="1635" spans="1:21">
      <c r="A1635" t="s">
        <v>1751</v>
      </c>
      <c r="B1635" t="s">
        <v>10218</v>
      </c>
      <c r="C1635" t="s">
        <v>1751</v>
      </c>
      <c r="D1635">
        <v>20486702</v>
      </c>
      <c r="E1635" t="s">
        <v>3190</v>
      </c>
      <c r="F1635" t="s">
        <v>1241</v>
      </c>
      <c r="G1635" t="s">
        <v>3129</v>
      </c>
      <c r="H1635" t="s">
        <v>1252</v>
      </c>
      <c r="I1635" t="s">
        <v>1952</v>
      </c>
      <c r="J1635" s="455">
        <v>46115</v>
      </c>
      <c r="R1635" s="455">
        <v>46139</v>
      </c>
      <c r="U1635" s="455">
        <v>46115</v>
      </c>
    </row>
    <row r="1636" spans="1:21">
      <c r="A1636" t="s">
        <v>1751</v>
      </c>
      <c r="B1636" t="s">
        <v>4113</v>
      </c>
      <c r="C1636" t="s">
        <v>1751</v>
      </c>
      <c r="D1636">
        <v>20437599</v>
      </c>
      <c r="E1636" t="s">
        <v>3190</v>
      </c>
      <c r="F1636" t="s">
        <v>1238</v>
      </c>
      <c r="G1636" t="s">
        <v>3129</v>
      </c>
      <c r="H1636" t="s">
        <v>3131</v>
      </c>
      <c r="J1636" s="455">
        <v>46052</v>
      </c>
      <c r="R1636" s="455">
        <v>46114</v>
      </c>
      <c r="U1636" s="455">
        <v>46052</v>
      </c>
    </row>
    <row r="1637" spans="1:21">
      <c r="A1637" t="s">
        <v>1751</v>
      </c>
      <c r="B1637" t="s">
        <v>4113</v>
      </c>
      <c r="C1637" t="s">
        <v>1751</v>
      </c>
      <c r="D1637">
        <v>20488306</v>
      </c>
      <c r="E1637" t="s">
        <v>3190</v>
      </c>
      <c r="F1637" t="s">
        <v>1241</v>
      </c>
      <c r="G1637" t="s">
        <v>3141</v>
      </c>
      <c r="H1637" t="s">
        <v>1251</v>
      </c>
      <c r="J1637" s="455">
        <v>46118</v>
      </c>
      <c r="R1637" s="455">
        <v>46139</v>
      </c>
      <c r="U1637" s="455">
        <v>46118</v>
      </c>
    </row>
    <row r="1638" spans="1:21">
      <c r="A1638" t="s">
        <v>1751</v>
      </c>
      <c r="B1638" t="s">
        <v>9422</v>
      </c>
      <c r="C1638" t="s">
        <v>1751</v>
      </c>
      <c r="D1638">
        <v>20461132</v>
      </c>
      <c r="E1638" t="s">
        <v>3190</v>
      </c>
      <c r="F1638" t="s">
        <v>1782</v>
      </c>
      <c r="G1638" t="s">
        <v>3129</v>
      </c>
      <c r="H1638" t="s">
        <v>3131</v>
      </c>
      <c r="J1638" s="455">
        <v>46084</v>
      </c>
      <c r="R1638" s="455">
        <v>46114</v>
      </c>
      <c r="U1638" s="455">
        <v>46084</v>
      </c>
    </row>
    <row r="1639" spans="1:21">
      <c r="A1639" t="s">
        <v>1751</v>
      </c>
      <c r="B1639" t="s">
        <v>4932</v>
      </c>
      <c r="C1639" t="s">
        <v>1751</v>
      </c>
      <c r="D1639">
        <v>20462200</v>
      </c>
      <c r="E1639" t="s">
        <v>3190</v>
      </c>
      <c r="F1639" t="s">
        <v>1782</v>
      </c>
      <c r="G1639" t="s">
        <v>3129</v>
      </c>
      <c r="H1639" t="s">
        <v>1252</v>
      </c>
      <c r="J1639" s="455">
        <v>46085</v>
      </c>
      <c r="R1639" s="455">
        <v>46114</v>
      </c>
      <c r="U1639" s="455">
        <v>46099</v>
      </c>
    </row>
    <row r="1640" spans="1:21">
      <c r="A1640" t="s">
        <v>1751</v>
      </c>
      <c r="B1640" t="s">
        <v>9423</v>
      </c>
      <c r="C1640" t="s">
        <v>1751</v>
      </c>
      <c r="D1640">
        <v>20463777</v>
      </c>
      <c r="E1640" t="s">
        <v>3190</v>
      </c>
      <c r="F1640" t="s">
        <v>1782</v>
      </c>
      <c r="G1640" t="s">
        <v>3129</v>
      </c>
      <c r="H1640" t="s">
        <v>3377</v>
      </c>
      <c r="J1640" s="455">
        <v>46087</v>
      </c>
      <c r="R1640" s="455">
        <v>46114</v>
      </c>
      <c r="U1640" s="455">
        <v>46087</v>
      </c>
    </row>
    <row r="1641" spans="1:21">
      <c r="A1641" t="s">
        <v>1751</v>
      </c>
      <c r="B1641" t="s">
        <v>10219</v>
      </c>
      <c r="C1641" t="s">
        <v>1751</v>
      </c>
      <c r="D1641">
        <v>20498645</v>
      </c>
      <c r="E1641" t="s">
        <v>3190</v>
      </c>
      <c r="F1641" t="s">
        <v>1241</v>
      </c>
      <c r="G1641" t="s">
        <v>2009</v>
      </c>
      <c r="H1641" t="s">
        <v>1247</v>
      </c>
      <c r="J1641" s="455">
        <v>46128</v>
      </c>
      <c r="R1641" s="455">
        <v>46139</v>
      </c>
      <c r="U1641" s="455">
        <v>46162</v>
      </c>
    </row>
    <row r="1642" spans="1:21">
      <c r="A1642" t="s">
        <v>1751</v>
      </c>
      <c r="B1642" t="s">
        <v>10220</v>
      </c>
      <c r="C1642" t="s">
        <v>1751</v>
      </c>
      <c r="D1642">
        <v>20421141</v>
      </c>
      <c r="E1642" t="s">
        <v>3190</v>
      </c>
      <c r="F1642" t="s">
        <v>1238</v>
      </c>
      <c r="G1642" t="s">
        <v>3129</v>
      </c>
      <c r="H1642" t="s">
        <v>1253</v>
      </c>
      <c r="J1642" s="455">
        <v>46030</v>
      </c>
      <c r="R1642" s="455">
        <v>46114</v>
      </c>
      <c r="U1642" s="455">
        <v>46053</v>
      </c>
    </row>
    <row r="1643" spans="1:21">
      <c r="A1643" t="s">
        <v>1751</v>
      </c>
      <c r="B1643" t="s">
        <v>10221</v>
      </c>
      <c r="C1643" t="s">
        <v>1751</v>
      </c>
      <c r="D1643">
        <v>20430442</v>
      </c>
      <c r="E1643" t="s">
        <v>3190</v>
      </c>
      <c r="F1643" t="s">
        <v>1782</v>
      </c>
      <c r="G1643" t="s">
        <v>3129</v>
      </c>
      <c r="H1643" t="s">
        <v>1253</v>
      </c>
      <c r="J1643" s="455">
        <v>46041</v>
      </c>
      <c r="R1643" s="455">
        <v>46114</v>
      </c>
      <c r="U1643" s="455">
        <v>46082</v>
      </c>
    </row>
    <row r="1644" spans="1:21">
      <c r="A1644" t="s">
        <v>1751</v>
      </c>
      <c r="B1644" t="s">
        <v>10222</v>
      </c>
      <c r="C1644" t="s">
        <v>1751</v>
      </c>
      <c r="D1644">
        <v>20490846</v>
      </c>
      <c r="E1644" t="s">
        <v>3190</v>
      </c>
      <c r="F1644" t="s">
        <v>1241</v>
      </c>
      <c r="G1644" t="s">
        <v>3129</v>
      </c>
      <c r="H1644" t="s">
        <v>1253</v>
      </c>
      <c r="J1644" s="455">
        <v>46121</v>
      </c>
      <c r="R1644" s="455">
        <v>46139</v>
      </c>
      <c r="U1644" s="455">
        <v>46121</v>
      </c>
    </row>
    <row r="1645" spans="1:21">
      <c r="A1645" t="s">
        <v>1751</v>
      </c>
      <c r="B1645" t="s">
        <v>10223</v>
      </c>
      <c r="C1645" t="s">
        <v>1751</v>
      </c>
      <c r="D1645">
        <v>20437831</v>
      </c>
      <c r="E1645" t="s">
        <v>3190</v>
      </c>
      <c r="F1645" t="s">
        <v>1238</v>
      </c>
      <c r="G1645" t="s">
        <v>3129</v>
      </c>
      <c r="H1645" t="s">
        <v>1253</v>
      </c>
      <c r="J1645" s="455">
        <v>46052</v>
      </c>
      <c r="R1645" s="455">
        <v>46114</v>
      </c>
      <c r="U1645" s="455">
        <v>46052</v>
      </c>
    </row>
    <row r="1646" spans="1:21">
      <c r="A1646" t="s">
        <v>1751</v>
      </c>
      <c r="B1646" t="s">
        <v>10224</v>
      </c>
      <c r="C1646" t="s">
        <v>1751</v>
      </c>
      <c r="D1646">
        <v>20509047</v>
      </c>
      <c r="E1646" t="s">
        <v>3128</v>
      </c>
      <c r="F1646" t="s">
        <v>1241</v>
      </c>
      <c r="G1646" t="s">
        <v>3129</v>
      </c>
      <c r="H1646" t="s">
        <v>3131</v>
      </c>
      <c r="J1646" s="455">
        <v>46136</v>
      </c>
      <c r="U1646" s="455">
        <v>46136</v>
      </c>
    </row>
    <row r="1647" spans="1:21">
      <c r="A1647" t="s">
        <v>1751</v>
      </c>
      <c r="B1647" t="s">
        <v>9424</v>
      </c>
      <c r="C1647" t="s">
        <v>1751</v>
      </c>
      <c r="D1647">
        <v>20461471</v>
      </c>
      <c r="E1647" t="s">
        <v>3190</v>
      </c>
      <c r="F1647" t="s">
        <v>1782</v>
      </c>
      <c r="G1647" t="s">
        <v>3129</v>
      </c>
      <c r="H1647" t="s">
        <v>1252</v>
      </c>
      <c r="J1647" s="455">
        <v>46084</v>
      </c>
      <c r="R1647" s="455">
        <v>46114</v>
      </c>
      <c r="U1647" s="455">
        <v>46174</v>
      </c>
    </row>
    <row r="1648" spans="1:21">
      <c r="A1648" t="s">
        <v>1751</v>
      </c>
      <c r="B1648" t="s">
        <v>9004</v>
      </c>
      <c r="C1648" t="s">
        <v>1751</v>
      </c>
      <c r="D1648">
        <v>20439505</v>
      </c>
      <c r="E1648" t="s">
        <v>3190</v>
      </c>
      <c r="F1648" t="s">
        <v>1782</v>
      </c>
      <c r="G1648" t="s">
        <v>3129</v>
      </c>
      <c r="H1648" t="s">
        <v>3131</v>
      </c>
      <c r="J1648" s="455">
        <v>46055</v>
      </c>
      <c r="R1648" s="455">
        <v>46114</v>
      </c>
      <c r="U1648" s="455">
        <v>46063</v>
      </c>
    </row>
    <row r="1649" spans="1:21">
      <c r="A1649" t="s">
        <v>1751</v>
      </c>
      <c r="B1649" t="s">
        <v>10225</v>
      </c>
      <c r="C1649" t="s">
        <v>1751</v>
      </c>
      <c r="D1649">
        <v>20504457</v>
      </c>
      <c r="E1649" t="s">
        <v>3128</v>
      </c>
      <c r="F1649" t="s">
        <v>1782</v>
      </c>
      <c r="G1649" t="s">
        <v>3129</v>
      </c>
      <c r="H1649" t="s">
        <v>1252</v>
      </c>
      <c r="J1649" s="455">
        <v>46133</v>
      </c>
      <c r="U1649" s="455">
        <v>46133</v>
      </c>
    </row>
    <row r="1650" spans="1:21">
      <c r="A1650" t="s">
        <v>1751</v>
      </c>
      <c r="B1650" t="s">
        <v>10226</v>
      </c>
      <c r="C1650" t="s">
        <v>1751</v>
      </c>
      <c r="D1650">
        <v>20507586</v>
      </c>
      <c r="E1650" t="s">
        <v>3128</v>
      </c>
      <c r="F1650" t="s">
        <v>1782</v>
      </c>
      <c r="G1650" t="s">
        <v>3129</v>
      </c>
      <c r="H1650" t="s">
        <v>1252</v>
      </c>
      <c r="J1650" s="455">
        <v>46135</v>
      </c>
      <c r="U1650" s="455">
        <v>46135</v>
      </c>
    </row>
    <row r="1651" spans="1:21">
      <c r="A1651" t="s">
        <v>1751</v>
      </c>
      <c r="B1651" t="s">
        <v>10227</v>
      </c>
      <c r="C1651" t="s">
        <v>1751</v>
      </c>
      <c r="D1651">
        <v>20495544</v>
      </c>
      <c r="E1651" t="s">
        <v>3190</v>
      </c>
      <c r="F1651" t="s">
        <v>1241</v>
      </c>
      <c r="G1651" t="s">
        <v>3129</v>
      </c>
      <c r="H1651" t="s">
        <v>3131</v>
      </c>
      <c r="I1651" t="s">
        <v>2696</v>
      </c>
      <c r="J1651" s="455">
        <v>46127</v>
      </c>
      <c r="R1651" s="455">
        <v>46139</v>
      </c>
      <c r="U1651" s="455">
        <v>46127</v>
      </c>
    </row>
    <row r="1652" spans="1:21">
      <c r="A1652" t="s">
        <v>1751</v>
      </c>
      <c r="B1652" t="s">
        <v>4934</v>
      </c>
      <c r="C1652" t="s">
        <v>1751</v>
      </c>
      <c r="D1652">
        <v>20438120</v>
      </c>
      <c r="E1652" t="s">
        <v>3190</v>
      </c>
      <c r="F1652" t="s">
        <v>1782</v>
      </c>
      <c r="G1652" t="s">
        <v>3129</v>
      </c>
      <c r="H1652" t="s">
        <v>1253</v>
      </c>
      <c r="J1652" s="455">
        <v>46052</v>
      </c>
      <c r="R1652" s="455">
        <v>46114</v>
      </c>
      <c r="U1652" s="455">
        <v>46052</v>
      </c>
    </row>
    <row r="1653" spans="1:21">
      <c r="A1653" t="s">
        <v>1751</v>
      </c>
      <c r="B1653" t="s">
        <v>4934</v>
      </c>
      <c r="C1653" t="s">
        <v>1751</v>
      </c>
      <c r="D1653">
        <v>20438631</v>
      </c>
      <c r="E1653" t="s">
        <v>3190</v>
      </c>
      <c r="F1653" t="s">
        <v>1782</v>
      </c>
      <c r="G1653" t="s">
        <v>3129</v>
      </c>
      <c r="H1653" t="s">
        <v>3131</v>
      </c>
      <c r="J1653" s="455">
        <v>46053</v>
      </c>
      <c r="R1653" s="455">
        <v>46114</v>
      </c>
      <c r="U1653" s="455">
        <v>46143</v>
      </c>
    </row>
    <row r="1654" spans="1:21">
      <c r="A1654" t="s">
        <v>1751</v>
      </c>
      <c r="B1654" t="s">
        <v>10228</v>
      </c>
      <c r="C1654" t="s">
        <v>1751</v>
      </c>
      <c r="D1654">
        <v>20493541</v>
      </c>
      <c r="E1654" t="s">
        <v>3190</v>
      </c>
      <c r="F1654" t="s">
        <v>1782</v>
      </c>
      <c r="G1654" t="s">
        <v>3129</v>
      </c>
      <c r="H1654" t="s">
        <v>1252</v>
      </c>
      <c r="J1654" s="455">
        <v>46125</v>
      </c>
      <c r="R1654" s="455">
        <v>46139</v>
      </c>
      <c r="U1654" s="455">
        <v>46125</v>
      </c>
    </row>
    <row r="1655" spans="1:21">
      <c r="A1655" t="s">
        <v>1751</v>
      </c>
      <c r="B1655" t="s">
        <v>9006</v>
      </c>
      <c r="C1655" t="s">
        <v>1751</v>
      </c>
      <c r="D1655">
        <v>20459657</v>
      </c>
      <c r="E1655" t="s">
        <v>3190</v>
      </c>
      <c r="F1655" t="s">
        <v>1782</v>
      </c>
      <c r="G1655" t="s">
        <v>3129</v>
      </c>
      <c r="H1655" t="s">
        <v>1253</v>
      </c>
      <c r="J1655" s="455">
        <v>46081</v>
      </c>
      <c r="R1655" s="455">
        <v>46114</v>
      </c>
      <c r="U1655" s="455">
        <v>46113</v>
      </c>
    </row>
    <row r="1656" spans="1:21">
      <c r="A1656" t="s">
        <v>1751</v>
      </c>
      <c r="B1656" t="s">
        <v>9007</v>
      </c>
      <c r="C1656" t="s">
        <v>1751</v>
      </c>
      <c r="D1656">
        <v>20441105</v>
      </c>
      <c r="E1656" t="s">
        <v>3190</v>
      </c>
      <c r="F1656" t="s">
        <v>1782</v>
      </c>
      <c r="G1656" t="s">
        <v>3129</v>
      </c>
      <c r="H1656" t="s">
        <v>3131</v>
      </c>
      <c r="J1656" s="455">
        <v>46057</v>
      </c>
      <c r="R1656" s="455">
        <v>46114</v>
      </c>
      <c r="U1656" s="455">
        <v>46057</v>
      </c>
    </row>
    <row r="1657" spans="1:21">
      <c r="A1657" t="s">
        <v>1751</v>
      </c>
      <c r="B1657" t="s">
        <v>9008</v>
      </c>
      <c r="C1657" t="s">
        <v>1751</v>
      </c>
      <c r="D1657">
        <v>20457414</v>
      </c>
      <c r="E1657" t="s">
        <v>3190</v>
      </c>
      <c r="F1657" t="s">
        <v>1782</v>
      </c>
      <c r="G1657" t="s">
        <v>3129</v>
      </c>
      <c r="H1657" t="s">
        <v>1253</v>
      </c>
      <c r="J1657" s="455">
        <v>46078</v>
      </c>
      <c r="R1657" s="455">
        <v>46114</v>
      </c>
      <c r="U1657" s="455">
        <v>46078</v>
      </c>
    </row>
    <row r="1658" spans="1:21">
      <c r="A1658" t="s">
        <v>1751</v>
      </c>
      <c r="B1658" t="s">
        <v>10229</v>
      </c>
      <c r="C1658" t="s">
        <v>1751</v>
      </c>
      <c r="D1658">
        <v>20424570</v>
      </c>
      <c r="E1658" t="s">
        <v>3190</v>
      </c>
      <c r="F1658" t="s">
        <v>1241</v>
      </c>
      <c r="G1658" t="s">
        <v>3129</v>
      </c>
      <c r="H1658" t="s">
        <v>1253</v>
      </c>
      <c r="J1658" s="455">
        <v>46035</v>
      </c>
      <c r="R1658" s="455">
        <v>46114</v>
      </c>
      <c r="U1658" s="455">
        <v>46035</v>
      </c>
    </row>
    <row r="1659" spans="1:21">
      <c r="A1659" t="s">
        <v>1751</v>
      </c>
      <c r="B1659" t="s">
        <v>10230</v>
      </c>
      <c r="C1659" t="s">
        <v>1751</v>
      </c>
      <c r="D1659">
        <v>20417254</v>
      </c>
      <c r="E1659" t="s">
        <v>3190</v>
      </c>
      <c r="F1659" t="s">
        <v>1241</v>
      </c>
      <c r="G1659" t="s">
        <v>3129</v>
      </c>
      <c r="H1659" t="s">
        <v>1247</v>
      </c>
      <c r="J1659" s="455">
        <v>46025</v>
      </c>
      <c r="R1659" s="455">
        <v>46114</v>
      </c>
      <c r="U1659" s="455">
        <v>46025</v>
      </c>
    </row>
    <row r="1660" spans="1:21">
      <c r="A1660" t="s">
        <v>1751</v>
      </c>
      <c r="B1660" t="s">
        <v>10230</v>
      </c>
      <c r="C1660" t="s">
        <v>1751</v>
      </c>
      <c r="D1660">
        <v>20497924</v>
      </c>
      <c r="E1660" t="s">
        <v>3190</v>
      </c>
      <c r="F1660" t="s">
        <v>1241</v>
      </c>
      <c r="G1660" t="s">
        <v>3129</v>
      </c>
      <c r="H1660" t="s">
        <v>1253</v>
      </c>
      <c r="J1660" s="455">
        <v>46128</v>
      </c>
      <c r="R1660" s="455">
        <v>46139</v>
      </c>
      <c r="U1660" s="455">
        <v>46128</v>
      </c>
    </row>
    <row r="1661" spans="1:21">
      <c r="A1661" t="s">
        <v>1751</v>
      </c>
      <c r="B1661" t="s">
        <v>10230</v>
      </c>
      <c r="C1661" t="s">
        <v>1751</v>
      </c>
      <c r="D1661">
        <v>20506980</v>
      </c>
      <c r="E1661" t="s">
        <v>3128</v>
      </c>
      <c r="F1661" t="s">
        <v>1782</v>
      </c>
      <c r="G1661" t="s">
        <v>3129</v>
      </c>
      <c r="H1661" t="s">
        <v>1253</v>
      </c>
      <c r="J1661" s="455">
        <v>46134</v>
      </c>
      <c r="U1661" s="455">
        <v>46134</v>
      </c>
    </row>
    <row r="1662" spans="1:21">
      <c r="A1662" t="s">
        <v>1751</v>
      </c>
      <c r="B1662" t="s">
        <v>4124</v>
      </c>
      <c r="C1662" t="s">
        <v>1751</v>
      </c>
      <c r="D1662">
        <v>20507985</v>
      </c>
      <c r="E1662" t="s">
        <v>3128</v>
      </c>
      <c r="F1662" t="s">
        <v>1782</v>
      </c>
      <c r="G1662" t="s">
        <v>3129</v>
      </c>
      <c r="H1662" t="s">
        <v>1253</v>
      </c>
      <c r="J1662" s="455">
        <v>46135</v>
      </c>
      <c r="U1662" s="455">
        <v>46135</v>
      </c>
    </row>
    <row r="1663" spans="1:21">
      <c r="A1663" t="s">
        <v>1751</v>
      </c>
      <c r="B1663" t="s">
        <v>4124</v>
      </c>
      <c r="C1663" t="s">
        <v>1751</v>
      </c>
      <c r="D1663">
        <v>20497374</v>
      </c>
      <c r="E1663" t="s">
        <v>3190</v>
      </c>
      <c r="F1663" t="s">
        <v>1782</v>
      </c>
      <c r="G1663" t="s">
        <v>3129</v>
      </c>
      <c r="H1663" t="s">
        <v>3487</v>
      </c>
      <c r="J1663" s="455">
        <v>46128</v>
      </c>
      <c r="R1663" s="455">
        <v>46139</v>
      </c>
      <c r="U1663" s="455">
        <v>46128</v>
      </c>
    </row>
    <row r="1664" spans="1:21">
      <c r="A1664" t="s">
        <v>1751</v>
      </c>
      <c r="B1664" t="s">
        <v>4124</v>
      </c>
      <c r="C1664" t="s">
        <v>1751</v>
      </c>
      <c r="D1664">
        <v>20454149</v>
      </c>
      <c r="E1664" t="s">
        <v>3190</v>
      </c>
      <c r="F1664" t="s">
        <v>1241</v>
      </c>
      <c r="G1664" t="s">
        <v>3129</v>
      </c>
      <c r="H1664" t="s">
        <v>1252</v>
      </c>
      <c r="I1664" t="s">
        <v>1831</v>
      </c>
      <c r="J1664" s="455">
        <v>46073</v>
      </c>
      <c r="R1664" s="455">
        <v>46114</v>
      </c>
      <c r="U1664" s="455">
        <v>46082</v>
      </c>
    </row>
    <row r="1665" spans="1:21">
      <c r="A1665" t="s">
        <v>1751</v>
      </c>
      <c r="B1665" t="s">
        <v>4124</v>
      </c>
      <c r="C1665" t="s">
        <v>1751</v>
      </c>
      <c r="D1665">
        <v>20417531</v>
      </c>
      <c r="E1665" t="s">
        <v>3190</v>
      </c>
      <c r="F1665" t="s">
        <v>1241</v>
      </c>
      <c r="G1665" t="s">
        <v>3129</v>
      </c>
      <c r="H1665" t="s">
        <v>1247</v>
      </c>
      <c r="J1665" s="455">
        <v>46025</v>
      </c>
      <c r="R1665" s="455">
        <v>46114</v>
      </c>
      <c r="U1665" s="455">
        <v>46025</v>
      </c>
    </row>
    <row r="1666" spans="1:21">
      <c r="A1666" t="s">
        <v>1751</v>
      </c>
      <c r="B1666" t="s">
        <v>4940</v>
      </c>
      <c r="C1666" t="s">
        <v>1751</v>
      </c>
      <c r="D1666">
        <v>20431615</v>
      </c>
      <c r="E1666" t="s">
        <v>3190</v>
      </c>
      <c r="F1666" t="s">
        <v>1241</v>
      </c>
      <c r="G1666" t="s">
        <v>3129</v>
      </c>
      <c r="H1666" t="s">
        <v>3131</v>
      </c>
      <c r="J1666" s="455">
        <v>46043</v>
      </c>
      <c r="R1666" s="455">
        <v>46114</v>
      </c>
      <c r="U1666" s="455">
        <v>46054</v>
      </c>
    </row>
    <row r="1667" spans="1:21">
      <c r="A1667" t="s">
        <v>1751</v>
      </c>
      <c r="B1667" t="s">
        <v>4940</v>
      </c>
      <c r="C1667" t="s">
        <v>1751</v>
      </c>
      <c r="D1667">
        <v>20454419</v>
      </c>
      <c r="E1667" t="s">
        <v>3190</v>
      </c>
      <c r="F1667" t="s">
        <v>1241</v>
      </c>
      <c r="G1667" t="s">
        <v>3129</v>
      </c>
      <c r="H1667" t="s">
        <v>3131</v>
      </c>
      <c r="J1667" s="455">
        <v>46073</v>
      </c>
      <c r="R1667" s="455">
        <v>46114</v>
      </c>
      <c r="U1667" s="455">
        <v>46086</v>
      </c>
    </row>
    <row r="1668" spans="1:21">
      <c r="A1668" t="s">
        <v>1751</v>
      </c>
      <c r="B1668" t="s">
        <v>4941</v>
      </c>
      <c r="C1668" t="s">
        <v>1751</v>
      </c>
      <c r="D1668">
        <v>20442293</v>
      </c>
      <c r="E1668" t="s">
        <v>3190</v>
      </c>
      <c r="F1668" t="s">
        <v>1241</v>
      </c>
      <c r="G1668" t="s">
        <v>3129</v>
      </c>
      <c r="H1668" t="s">
        <v>3131</v>
      </c>
      <c r="J1668" s="455">
        <v>46059</v>
      </c>
      <c r="R1668" s="455">
        <v>46114</v>
      </c>
      <c r="U1668" s="455">
        <v>46088</v>
      </c>
    </row>
    <row r="1669" spans="1:21">
      <c r="A1669" t="s">
        <v>1751</v>
      </c>
      <c r="B1669" t="s">
        <v>9009</v>
      </c>
      <c r="C1669" t="s">
        <v>1751</v>
      </c>
      <c r="D1669">
        <v>20459139</v>
      </c>
      <c r="E1669" t="s">
        <v>3190</v>
      </c>
      <c r="F1669" t="s">
        <v>1782</v>
      </c>
      <c r="G1669" t="s">
        <v>3129</v>
      </c>
      <c r="H1669" t="s">
        <v>1247</v>
      </c>
      <c r="J1669" s="455">
        <v>46080</v>
      </c>
      <c r="R1669" s="455">
        <v>46114</v>
      </c>
      <c r="U1669" s="455">
        <v>46080</v>
      </c>
    </row>
    <row r="1670" spans="1:21">
      <c r="A1670" t="s">
        <v>1751</v>
      </c>
      <c r="B1670" t="s">
        <v>4127</v>
      </c>
      <c r="C1670" t="s">
        <v>1751</v>
      </c>
      <c r="D1670">
        <v>20444303</v>
      </c>
      <c r="E1670" t="s">
        <v>3190</v>
      </c>
      <c r="F1670" t="s">
        <v>1782</v>
      </c>
      <c r="G1670" t="s">
        <v>3129</v>
      </c>
      <c r="H1670" t="s">
        <v>3131</v>
      </c>
      <c r="J1670" s="455">
        <v>46063</v>
      </c>
      <c r="R1670" s="455">
        <v>46114</v>
      </c>
      <c r="U1670" s="455">
        <v>46063</v>
      </c>
    </row>
    <row r="1671" spans="1:21">
      <c r="A1671" t="s">
        <v>1751</v>
      </c>
      <c r="B1671" t="s">
        <v>10231</v>
      </c>
      <c r="C1671" t="s">
        <v>1751</v>
      </c>
      <c r="D1671">
        <v>20486673</v>
      </c>
      <c r="E1671" t="s">
        <v>3190</v>
      </c>
      <c r="F1671" t="s">
        <v>1782</v>
      </c>
      <c r="G1671" t="s">
        <v>3129</v>
      </c>
      <c r="H1671" t="s">
        <v>3131</v>
      </c>
      <c r="J1671" s="455">
        <v>46115</v>
      </c>
      <c r="R1671" s="455">
        <v>46139</v>
      </c>
      <c r="U1671" s="455">
        <v>46115</v>
      </c>
    </row>
    <row r="1672" spans="1:21">
      <c r="A1672" t="s">
        <v>1751</v>
      </c>
      <c r="B1672" t="s">
        <v>9010</v>
      </c>
      <c r="C1672" t="s">
        <v>1751</v>
      </c>
      <c r="D1672">
        <v>20450558</v>
      </c>
      <c r="E1672" t="s">
        <v>3190</v>
      </c>
      <c r="F1672" t="s">
        <v>1241</v>
      </c>
      <c r="G1672" t="s">
        <v>3129</v>
      </c>
      <c r="H1672" t="s">
        <v>1252</v>
      </c>
      <c r="J1672" s="455">
        <v>46070</v>
      </c>
      <c r="R1672" s="455">
        <v>46114</v>
      </c>
      <c r="U1672" s="455">
        <v>46070</v>
      </c>
    </row>
    <row r="1673" spans="1:21">
      <c r="A1673" t="s">
        <v>1751</v>
      </c>
      <c r="B1673" t="s">
        <v>9011</v>
      </c>
      <c r="C1673" t="s">
        <v>1751</v>
      </c>
      <c r="D1673">
        <v>20454081</v>
      </c>
      <c r="E1673" t="s">
        <v>3190</v>
      </c>
      <c r="F1673" t="s">
        <v>1241</v>
      </c>
      <c r="G1673" t="s">
        <v>3129</v>
      </c>
      <c r="H1673" t="s">
        <v>1252</v>
      </c>
      <c r="J1673" s="455">
        <v>46073</v>
      </c>
      <c r="R1673" s="455">
        <v>46114</v>
      </c>
      <c r="U1673" s="455">
        <v>46094</v>
      </c>
    </row>
    <row r="1674" spans="1:21">
      <c r="A1674" t="s">
        <v>1751</v>
      </c>
      <c r="B1674" t="s">
        <v>9425</v>
      </c>
      <c r="C1674" t="s">
        <v>1751</v>
      </c>
      <c r="D1674">
        <v>20462146</v>
      </c>
      <c r="E1674" t="s">
        <v>3190</v>
      </c>
      <c r="F1674" t="s">
        <v>1782</v>
      </c>
      <c r="G1674" t="s">
        <v>3129</v>
      </c>
      <c r="H1674" t="s">
        <v>1253</v>
      </c>
      <c r="J1674" s="455">
        <v>46085</v>
      </c>
      <c r="R1674" s="455">
        <v>46114</v>
      </c>
      <c r="U1674" s="455">
        <v>46113</v>
      </c>
    </row>
    <row r="1675" spans="1:21">
      <c r="A1675" t="s">
        <v>1751</v>
      </c>
      <c r="B1675" t="s">
        <v>10232</v>
      </c>
      <c r="C1675" t="s">
        <v>1751</v>
      </c>
      <c r="D1675">
        <v>20430938</v>
      </c>
      <c r="E1675" t="s">
        <v>3190</v>
      </c>
      <c r="F1675" t="s">
        <v>1237</v>
      </c>
      <c r="G1675" t="s">
        <v>3129</v>
      </c>
      <c r="H1675" t="s">
        <v>3131</v>
      </c>
      <c r="J1675" s="455">
        <v>46042</v>
      </c>
      <c r="R1675" s="455">
        <v>46114</v>
      </c>
      <c r="U1675" s="455">
        <v>46042</v>
      </c>
    </row>
    <row r="1676" spans="1:21">
      <c r="A1676" t="s">
        <v>1751</v>
      </c>
      <c r="B1676" t="s">
        <v>9426</v>
      </c>
      <c r="C1676" t="s">
        <v>1751</v>
      </c>
      <c r="D1676">
        <v>20466417</v>
      </c>
      <c r="E1676" t="s">
        <v>3190</v>
      </c>
      <c r="F1676" t="s">
        <v>1241</v>
      </c>
      <c r="G1676" t="s">
        <v>3143</v>
      </c>
      <c r="H1676" t="s">
        <v>1247</v>
      </c>
      <c r="J1676" s="455">
        <v>46091</v>
      </c>
      <c r="R1676" s="455">
        <v>46114</v>
      </c>
      <c r="U1676" s="455">
        <v>46091</v>
      </c>
    </row>
    <row r="1677" spans="1:21">
      <c r="A1677" t="s">
        <v>1751</v>
      </c>
      <c r="B1677" t="s">
        <v>4132</v>
      </c>
      <c r="C1677" t="s">
        <v>1751</v>
      </c>
      <c r="D1677">
        <v>20513590</v>
      </c>
      <c r="E1677" t="s">
        <v>3128</v>
      </c>
      <c r="F1677" t="s">
        <v>1241</v>
      </c>
      <c r="G1677" t="s">
        <v>3129</v>
      </c>
      <c r="H1677" t="s">
        <v>1252</v>
      </c>
      <c r="J1677" s="455">
        <v>46142</v>
      </c>
      <c r="U1677" s="455">
        <v>46142</v>
      </c>
    </row>
    <row r="1678" spans="1:21">
      <c r="A1678" t="s">
        <v>1751</v>
      </c>
      <c r="B1678" t="s">
        <v>10233</v>
      </c>
      <c r="C1678" t="s">
        <v>1751</v>
      </c>
      <c r="D1678">
        <v>20511784</v>
      </c>
      <c r="E1678" t="s">
        <v>3128</v>
      </c>
      <c r="F1678" t="s">
        <v>1241</v>
      </c>
      <c r="G1678" t="s">
        <v>3129</v>
      </c>
      <c r="H1678" t="s">
        <v>1253</v>
      </c>
      <c r="J1678" s="455">
        <v>46140</v>
      </c>
      <c r="U1678" s="455">
        <v>46140</v>
      </c>
    </row>
    <row r="1679" spans="1:21">
      <c r="A1679" t="s">
        <v>1751</v>
      </c>
      <c r="B1679" t="s">
        <v>10234</v>
      </c>
      <c r="C1679" t="s">
        <v>1751</v>
      </c>
      <c r="D1679">
        <v>20486035</v>
      </c>
      <c r="E1679" t="s">
        <v>3190</v>
      </c>
      <c r="F1679" t="s">
        <v>1782</v>
      </c>
      <c r="G1679" t="s">
        <v>3129</v>
      </c>
      <c r="H1679" t="s">
        <v>3131</v>
      </c>
      <c r="J1679" s="455">
        <v>46114</v>
      </c>
      <c r="R1679" s="455">
        <v>46114</v>
      </c>
      <c r="U1679" s="455">
        <v>46114</v>
      </c>
    </row>
    <row r="1680" spans="1:21">
      <c r="A1680" t="s">
        <v>1751</v>
      </c>
      <c r="B1680" t="s">
        <v>9427</v>
      </c>
      <c r="C1680" t="s">
        <v>1751</v>
      </c>
      <c r="D1680">
        <v>20465526</v>
      </c>
      <c r="E1680" t="s">
        <v>3190</v>
      </c>
      <c r="F1680" t="s">
        <v>1782</v>
      </c>
      <c r="G1680" t="s">
        <v>3129</v>
      </c>
      <c r="H1680" t="s">
        <v>1252</v>
      </c>
      <c r="J1680" s="455">
        <v>46090</v>
      </c>
      <c r="R1680" s="455">
        <v>46114</v>
      </c>
      <c r="U1680" s="455">
        <v>46113</v>
      </c>
    </row>
    <row r="1681" spans="1:21">
      <c r="A1681" t="s">
        <v>1751</v>
      </c>
      <c r="B1681" t="s">
        <v>9428</v>
      </c>
      <c r="C1681" t="s">
        <v>1751</v>
      </c>
      <c r="D1681">
        <v>20462888</v>
      </c>
      <c r="E1681" t="s">
        <v>3190</v>
      </c>
      <c r="F1681" t="s">
        <v>1241</v>
      </c>
      <c r="G1681" t="s">
        <v>3129</v>
      </c>
      <c r="H1681" t="s">
        <v>1252</v>
      </c>
      <c r="J1681" s="455">
        <v>46086</v>
      </c>
      <c r="R1681" s="455">
        <v>46114</v>
      </c>
      <c r="U1681" s="455">
        <v>46096</v>
      </c>
    </row>
    <row r="1682" spans="1:21">
      <c r="A1682" t="s">
        <v>1751</v>
      </c>
      <c r="B1682" t="s">
        <v>9429</v>
      </c>
      <c r="C1682" t="s">
        <v>1751</v>
      </c>
      <c r="D1682">
        <v>20471508</v>
      </c>
      <c r="E1682" t="s">
        <v>3190</v>
      </c>
      <c r="F1682" t="s">
        <v>1241</v>
      </c>
      <c r="G1682" t="s">
        <v>3129</v>
      </c>
      <c r="H1682" t="s">
        <v>3131</v>
      </c>
      <c r="J1682" s="455">
        <v>46095</v>
      </c>
      <c r="R1682" s="455">
        <v>46114</v>
      </c>
      <c r="U1682" s="455">
        <v>46095</v>
      </c>
    </row>
    <row r="1683" spans="1:21">
      <c r="A1683" t="s">
        <v>1751</v>
      </c>
      <c r="B1683" t="s">
        <v>10235</v>
      </c>
      <c r="C1683" t="s">
        <v>1751</v>
      </c>
      <c r="D1683">
        <v>20416764</v>
      </c>
      <c r="E1683" t="s">
        <v>3190</v>
      </c>
      <c r="F1683" t="s">
        <v>1241</v>
      </c>
      <c r="G1683" t="s">
        <v>3129</v>
      </c>
      <c r="H1683" t="s">
        <v>1253</v>
      </c>
      <c r="J1683" s="455">
        <v>46024</v>
      </c>
      <c r="R1683" s="455">
        <v>46114</v>
      </c>
      <c r="U1683" s="455">
        <v>46082</v>
      </c>
    </row>
    <row r="1684" spans="1:21">
      <c r="A1684" t="s">
        <v>1751</v>
      </c>
      <c r="B1684" t="s">
        <v>9430</v>
      </c>
      <c r="C1684" t="s">
        <v>1751</v>
      </c>
      <c r="D1684">
        <v>20481265</v>
      </c>
      <c r="E1684" t="s">
        <v>3190</v>
      </c>
      <c r="F1684" t="s">
        <v>1782</v>
      </c>
      <c r="G1684" t="s">
        <v>3129</v>
      </c>
      <c r="H1684" t="s">
        <v>1252</v>
      </c>
      <c r="J1684" s="455">
        <v>46108</v>
      </c>
      <c r="R1684" s="455">
        <v>46116</v>
      </c>
      <c r="U1684" s="455">
        <v>46108</v>
      </c>
    </row>
    <row r="1685" spans="1:21">
      <c r="A1685" t="s">
        <v>1751</v>
      </c>
      <c r="B1685" t="s">
        <v>9012</v>
      </c>
      <c r="C1685" t="s">
        <v>1751</v>
      </c>
      <c r="D1685">
        <v>20454107</v>
      </c>
      <c r="E1685" t="s">
        <v>3190</v>
      </c>
      <c r="F1685" t="s">
        <v>1241</v>
      </c>
      <c r="G1685" t="s">
        <v>3129</v>
      </c>
      <c r="H1685" t="s">
        <v>3487</v>
      </c>
      <c r="J1685" s="455">
        <v>46073</v>
      </c>
      <c r="R1685" s="455">
        <v>46114</v>
      </c>
      <c r="U1685" s="455">
        <v>46073</v>
      </c>
    </row>
    <row r="1686" spans="1:21">
      <c r="A1686" t="s">
        <v>1751</v>
      </c>
      <c r="B1686" t="s">
        <v>4137</v>
      </c>
      <c r="C1686" t="s">
        <v>1751</v>
      </c>
      <c r="D1686">
        <v>20474053</v>
      </c>
      <c r="E1686" t="s">
        <v>3190</v>
      </c>
      <c r="F1686" t="s">
        <v>1241</v>
      </c>
      <c r="G1686" t="s">
        <v>3129</v>
      </c>
      <c r="H1686" t="s">
        <v>1253</v>
      </c>
      <c r="J1686" s="455">
        <v>46098</v>
      </c>
      <c r="R1686" s="455">
        <v>46114</v>
      </c>
      <c r="U1686" s="455">
        <v>46098</v>
      </c>
    </row>
    <row r="1687" spans="1:21">
      <c r="A1687" t="s">
        <v>1751</v>
      </c>
      <c r="B1687" t="s">
        <v>10236</v>
      </c>
      <c r="C1687" t="s">
        <v>1751</v>
      </c>
      <c r="D1687">
        <v>20497888</v>
      </c>
      <c r="E1687" t="s">
        <v>3190</v>
      </c>
      <c r="F1687" t="s">
        <v>1241</v>
      </c>
      <c r="G1687" t="s">
        <v>3129</v>
      </c>
      <c r="H1687" t="s">
        <v>3131</v>
      </c>
      <c r="J1687" s="455">
        <v>46128</v>
      </c>
      <c r="R1687" s="455">
        <v>46139</v>
      </c>
      <c r="U1687" s="455">
        <v>46128</v>
      </c>
    </row>
    <row r="1688" spans="1:21">
      <c r="A1688" t="s">
        <v>1751</v>
      </c>
      <c r="B1688" t="s">
        <v>10237</v>
      </c>
      <c r="C1688" t="s">
        <v>1751</v>
      </c>
      <c r="D1688">
        <v>20499020</v>
      </c>
      <c r="E1688" t="s">
        <v>3190</v>
      </c>
      <c r="F1688" t="s">
        <v>1241</v>
      </c>
      <c r="G1688" t="s">
        <v>3129</v>
      </c>
      <c r="H1688" t="s">
        <v>1252</v>
      </c>
      <c r="J1688" s="455">
        <v>46129</v>
      </c>
      <c r="R1688" s="455">
        <v>46139</v>
      </c>
      <c r="U1688" s="455">
        <v>46129</v>
      </c>
    </row>
    <row r="1689" spans="1:21">
      <c r="A1689" t="s">
        <v>1751</v>
      </c>
      <c r="B1689" t="s">
        <v>5117</v>
      </c>
      <c r="C1689" t="s">
        <v>1751</v>
      </c>
      <c r="D1689">
        <v>20442856</v>
      </c>
      <c r="E1689" t="s">
        <v>3190</v>
      </c>
      <c r="F1689" t="s">
        <v>1241</v>
      </c>
      <c r="G1689" t="s">
        <v>3129</v>
      </c>
      <c r="H1689" t="s">
        <v>1253</v>
      </c>
      <c r="J1689" s="455">
        <v>46060</v>
      </c>
      <c r="R1689" s="455">
        <v>46114</v>
      </c>
      <c r="U1689" s="455">
        <v>46082</v>
      </c>
    </row>
    <row r="1690" spans="1:21">
      <c r="A1690" t="s">
        <v>1751</v>
      </c>
      <c r="B1690" t="s">
        <v>9013</v>
      </c>
      <c r="C1690" t="s">
        <v>1751</v>
      </c>
      <c r="D1690">
        <v>20443769</v>
      </c>
      <c r="E1690" t="s">
        <v>3190</v>
      </c>
      <c r="F1690" t="s">
        <v>1241</v>
      </c>
      <c r="G1690" t="s">
        <v>3129</v>
      </c>
      <c r="H1690" t="s">
        <v>1252</v>
      </c>
      <c r="J1690" s="455">
        <v>46062</v>
      </c>
      <c r="R1690" s="455">
        <v>46114</v>
      </c>
      <c r="U1690" s="455">
        <v>46062</v>
      </c>
    </row>
    <row r="1691" spans="1:21">
      <c r="A1691" t="s">
        <v>1751</v>
      </c>
      <c r="B1691" t="s">
        <v>9013</v>
      </c>
      <c r="C1691" t="s">
        <v>1751</v>
      </c>
      <c r="D1691">
        <v>20502905</v>
      </c>
      <c r="E1691" t="s">
        <v>3128</v>
      </c>
      <c r="F1691" t="s">
        <v>1782</v>
      </c>
      <c r="G1691" t="s">
        <v>3129</v>
      </c>
      <c r="H1691" t="s">
        <v>1252</v>
      </c>
      <c r="J1691" s="455">
        <v>46132</v>
      </c>
      <c r="U1691" s="455">
        <v>46132</v>
      </c>
    </row>
    <row r="1692" spans="1:21">
      <c r="A1692" t="s">
        <v>1751</v>
      </c>
      <c r="B1692" t="s">
        <v>10238</v>
      </c>
      <c r="C1692" t="s">
        <v>1751</v>
      </c>
      <c r="D1692">
        <v>20486173</v>
      </c>
      <c r="E1692" t="s">
        <v>3190</v>
      </c>
      <c r="F1692" t="s">
        <v>1782</v>
      </c>
      <c r="G1692" t="s">
        <v>3129</v>
      </c>
      <c r="H1692" t="s">
        <v>1252</v>
      </c>
      <c r="J1692" s="455">
        <v>46114</v>
      </c>
      <c r="R1692" s="455">
        <v>46115</v>
      </c>
      <c r="U1692" s="455">
        <v>46114</v>
      </c>
    </row>
    <row r="1693" spans="1:21">
      <c r="A1693" t="s">
        <v>1751</v>
      </c>
      <c r="B1693" t="s">
        <v>9431</v>
      </c>
      <c r="C1693" t="s">
        <v>1751</v>
      </c>
      <c r="D1693">
        <v>20462849</v>
      </c>
      <c r="E1693" t="s">
        <v>3190</v>
      </c>
      <c r="F1693" t="s">
        <v>1782</v>
      </c>
      <c r="G1693" t="s">
        <v>3129</v>
      </c>
      <c r="H1693" t="s">
        <v>3377</v>
      </c>
      <c r="J1693" s="455">
        <v>46086</v>
      </c>
      <c r="R1693" s="455">
        <v>46114</v>
      </c>
      <c r="U1693" s="455">
        <v>46086</v>
      </c>
    </row>
    <row r="1694" spans="1:21">
      <c r="A1694" t="s">
        <v>1751</v>
      </c>
      <c r="B1694" t="s">
        <v>10239</v>
      </c>
      <c r="C1694" t="s">
        <v>1751</v>
      </c>
      <c r="D1694">
        <v>20414782</v>
      </c>
      <c r="E1694" t="s">
        <v>3190</v>
      </c>
      <c r="F1694" t="s">
        <v>1241</v>
      </c>
      <c r="G1694" t="s">
        <v>3129</v>
      </c>
      <c r="H1694" t="s">
        <v>1252</v>
      </c>
      <c r="J1694" s="455">
        <v>46020</v>
      </c>
      <c r="R1694" s="455">
        <v>46114</v>
      </c>
      <c r="U1694" s="455">
        <v>46020</v>
      </c>
    </row>
    <row r="1695" spans="1:21">
      <c r="A1695" t="s">
        <v>1751</v>
      </c>
      <c r="B1695" t="s">
        <v>9432</v>
      </c>
      <c r="C1695" t="s">
        <v>1751</v>
      </c>
      <c r="D1695">
        <v>20469399</v>
      </c>
      <c r="E1695" t="s">
        <v>3190</v>
      </c>
      <c r="F1695" t="s">
        <v>1239</v>
      </c>
      <c r="G1695" t="s">
        <v>3129</v>
      </c>
      <c r="H1695" t="s">
        <v>1253</v>
      </c>
      <c r="J1695" s="455">
        <v>46093</v>
      </c>
      <c r="R1695" s="455">
        <v>46114</v>
      </c>
      <c r="U1695" s="455">
        <v>46082</v>
      </c>
    </row>
    <row r="1696" spans="1:21">
      <c r="A1696" t="s">
        <v>1751</v>
      </c>
      <c r="B1696" t="s">
        <v>10240</v>
      </c>
      <c r="C1696" t="s">
        <v>1751</v>
      </c>
      <c r="D1696">
        <v>20486706</v>
      </c>
      <c r="E1696" t="s">
        <v>3190</v>
      </c>
      <c r="F1696" t="s">
        <v>1782</v>
      </c>
      <c r="G1696" t="s">
        <v>3129</v>
      </c>
      <c r="H1696" t="s">
        <v>3131</v>
      </c>
      <c r="J1696" s="455">
        <v>46115</v>
      </c>
      <c r="R1696" s="455">
        <v>46139</v>
      </c>
      <c r="U1696" s="455">
        <v>46115</v>
      </c>
    </row>
    <row r="1697" spans="1:21">
      <c r="A1697" t="s">
        <v>1751</v>
      </c>
      <c r="B1697" t="s">
        <v>10240</v>
      </c>
      <c r="C1697" t="s">
        <v>1751</v>
      </c>
      <c r="D1697">
        <v>20512656</v>
      </c>
      <c r="E1697" t="s">
        <v>3128</v>
      </c>
      <c r="F1697" t="s">
        <v>1782</v>
      </c>
      <c r="G1697" t="s">
        <v>3129</v>
      </c>
      <c r="H1697" t="s">
        <v>3131</v>
      </c>
      <c r="J1697" s="455">
        <v>46141</v>
      </c>
      <c r="U1697" s="455">
        <v>46141</v>
      </c>
    </row>
    <row r="1698" spans="1:21">
      <c r="A1698" t="s">
        <v>1751</v>
      </c>
      <c r="B1698" t="s">
        <v>10240</v>
      </c>
      <c r="C1698" t="s">
        <v>1751</v>
      </c>
      <c r="D1698">
        <v>20436009</v>
      </c>
      <c r="E1698" t="s">
        <v>3190</v>
      </c>
      <c r="F1698" t="s">
        <v>1782</v>
      </c>
      <c r="G1698" t="s">
        <v>3129</v>
      </c>
      <c r="H1698" t="s">
        <v>1252</v>
      </c>
      <c r="J1698" s="455">
        <v>46050</v>
      </c>
      <c r="R1698" s="455">
        <v>46114</v>
      </c>
      <c r="U1698" s="455">
        <v>46050</v>
      </c>
    </row>
    <row r="1699" spans="1:21">
      <c r="A1699" t="s">
        <v>1751</v>
      </c>
      <c r="B1699" t="s">
        <v>9433</v>
      </c>
      <c r="C1699" t="s">
        <v>1751</v>
      </c>
      <c r="D1699">
        <v>20436694</v>
      </c>
      <c r="E1699" t="s">
        <v>3190</v>
      </c>
      <c r="F1699" t="s">
        <v>1782</v>
      </c>
      <c r="G1699" t="s">
        <v>3129</v>
      </c>
      <c r="H1699" t="s">
        <v>1253</v>
      </c>
      <c r="J1699" s="455">
        <v>46051</v>
      </c>
      <c r="R1699" s="455">
        <v>46114</v>
      </c>
      <c r="U1699" s="455">
        <v>46051</v>
      </c>
    </row>
    <row r="1700" spans="1:21">
      <c r="A1700" t="s">
        <v>1751</v>
      </c>
      <c r="B1700" t="s">
        <v>9433</v>
      </c>
      <c r="C1700" t="s">
        <v>1751</v>
      </c>
      <c r="D1700">
        <v>20461472</v>
      </c>
      <c r="E1700" t="s">
        <v>3190</v>
      </c>
      <c r="F1700" t="s">
        <v>1241</v>
      </c>
      <c r="G1700" t="s">
        <v>3129</v>
      </c>
      <c r="H1700" t="s">
        <v>3131</v>
      </c>
      <c r="J1700" s="455">
        <v>46084</v>
      </c>
      <c r="R1700" s="455">
        <v>46114</v>
      </c>
      <c r="U1700" s="455">
        <v>46084</v>
      </c>
    </row>
    <row r="1701" spans="1:21">
      <c r="A1701" t="s">
        <v>1751</v>
      </c>
      <c r="B1701" t="s">
        <v>10241</v>
      </c>
      <c r="C1701" t="s">
        <v>1751</v>
      </c>
      <c r="D1701">
        <v>20435176</v>
      </c>
      <c r="E1701" t="s">
        <v>3190</v>
      </c>
      <c r="F1701" t="s">
        <v>1782</v>
      </c>
      <c r="G1701" t="s">
        <v>3129</v>
      </c>
      <c r="H1701" t="s">
        <v>3131</v>
      </c>
      <c r="J1701" s="455">
        <v>46048</v>
      </c>
      <c r="R1701" s="455">
        <v>46114</v>
      </c>
      <c r="U1701" s="455">
        <v>46048</v>
      </c>
    </row>
    <row r="1702" spans="1:21">
      <c r="A1702" t="s">
        <v>1751</v>
      </c>
      <c r="B1702" t="s">
        <v>10242</v>
      </c>
      <c r="C1702" t="s">
        <v>1751</v>
      </c>
      <c r="D1702">
        <v>20430861</v>
      </c>
      <c r="E1702" t="s">
        <v>3190</v>
      </c>
      <c r="F1702" t="s">
        <v>1782</v>
      </c>
      <c r="G1702" t="s">
        <v>3129</v>
      </c>
      <c r="H1702" t="s">
        <v>3131</v>
      </c>
      <c r="J1702" s="455">
        <v>46042</v>
      </c>
      <c r="R1702" s="455">
        <v>46114</v>
      </c>
      <c r="U1702" s="455">
        <v>46054</v>
      </c>
    </row>
    <row r="1703" spans="1:21">
      <c r="A1703" t="s">
        <v>1751</v>
      </c>
      <c r="B1703" t="s">
        <v>9014</v>
      </c>
      <c r="C1703" t="s">
        <v>1751</v>
      </c>
      <c r="D1703">
        <v>20440861</v>
      </c>
      <c r="E1703" t="s">
        <v>3190</v>
      </c>
      <c r="F1703" t="s">
        <v>1237</v>
      </c>
      <c r="G1703" t="s">
        <v>3129</v>
      </c>
      <c r="H1703" t="s">
        <v>3131</v>
      </c>
      <c r="J1703" s="455">
        <v>46057</v>
      </c>
      <c r="R1703" s="455">
        <v>46114</v>
      </c>
      <c r="U1703" s="455">
        <v>46057</v>
      </c>
    </row>
    <row r="1704" spans="1:21">
      <c r="A1704" t="s">
        <v>1751</v>
      </c>
      <c r="B1704" t="s">
        <v>10243</v>
      </c>
      <c r="C1704" t="s">
        <v>1751</v>
      </c>
      <c r="D1704">
        <v>20430278</v>
      </c>
      <c r="E1704" t="s">
        <v>3190</v>
      </c>
      <c r="F1704" t="s">
        <v>1782</v>
      </c>
      <c r="G1704" t="s">
        <v>3129</v>
      </c>
      <c r="H1704" t="s">
        <v>3131</v>
      </c>
      <c r="J1704" s="455">
        <v>46041</v>
      </c>
      <c r="R1704" s="455">
        <v>46114</v>
      </c>
      <c r="U1704" s="455">
        <v>46063</v>
      </c>
    </row>
    <row r="1705" spans="1:21">
      <c r="A1705" t="s">
        <v>1751</v>
      </c>
      <c r="B1705" t="s">
        <v>9434</v>
      </c>
      <c r="C1705" t="s">
        <v>1751</v>
      </c>
      <c r="D1705">
        <v>20479376</v>
      </c>
      <c r="E1705" t="s">
        <v>3190</v>
      </c>
      <c r="F1705" t="s">
        <v>1241</v>
      </c>
      <c r="G1705" t="s">
        <v>3129</v>
      </c>
      <c r="H1705" t="s">
        <v>1253</v>
      </c>
      <c r="J1705" s="455">
        <v>46105</v>
      </c>
      <c r="R1705" s="455">
        <v>46139</v>
      </c>
      <c r="U1705" s="455">
        <v>46113</v>
      </c>
    </row>
    <row r="1706" spans="1:21">
      <c r="A1706" t="s">
        <v>1751</v>
      </c>
      <c r="B1706" t="s">
        <v>9435</v>
      </c>
      <c r="C1706" t="s">
        <v>1751</v>
      </c>
      <c r="D1706">
        <v>20462459</v>
      </c>
      <c r="E1706" t="s">
        <v>3190</v>
      </c>
      <c r="F1706" t="s">
        <v>1782</v>
      </c>
      <c r="G1706" t="s">
        <v>3129</v>
      </c>
      <c r="H1706" t="s">
        <v>1252</v>
      </c>
      <c r="J1706" s="455">
        <v>46085</v>
      </c>
      <c r="R1706" s="455">
        <v>46114</v>
      </c>
      <c r="U1706" s="455">
        <v>46085</v>
      </c>
    </row>
    <row r="1707" spans="1:21">
      <c r="A1707" t="s">
        <v>1751</v>
      </c>
      <c r="B1707" t="s">
        <v>9015</v>
      </c>
      <c r="C1707" t="s">
        <v>1751</v>
      </c>
      <c r="D1707">
        <v>20446820</v>
      </c>
      <c r="E1707" t="s">
        <v>3190</v>
      </c>
      <c r="F1707" t="s">
        <v>1241</v>
      </c>
      <c r="G1707" t="s">
        <v>3129</v>
      </c>
      <c r="H1707" t="s">
        <v>3131</v>
      </c>
      <c r="J1707" s="455">
        <v>46064</v>
      </c>
      <c r="R1707" s="455">
        <v>46114</v>
      </c>
      <c r="U1707" s="455">
        <v>46064</v>
      </c>
    </row>
    <row r="1708" spans="1:21">
      <c r="A1708" t="s">
        <v>1751</v>
      </c>
      <c r="B1708" t="s">
        <v>9016</v>
      </c>
      <c r="C1708" t="s">
        <v>1751</v>
      </c>
      <c r="D1708">
        <v>20440770</v>
      </c>
      <c r="E1708" t="s">
        <v>3190</v>
      </c>
      <c r="F1708" t="s">
        <v>1782</v>
      </c>
      <c r="G1708" t="s">
        <v>3129</v>
      </c>
      <c r="H1708" t="s">
        <v>1253</v>
      </c>
      <c r="J1708" s="455">
        <v>46057</v>
      </c>
      <c r="R1708" s="455">
        <v>46114</v>
      </c>
      <c r="U1708" s="455">
        <v>46073</v>
      </c>
    </row>
    <row r="1709" spans="1:21">
      <c r="A1709" t="s">
        <v>1751</v>
      </c>
      <c r="B1709" t="s">
        <v>4153</v>
      </c>
      <c r="C1709" t="s">
        <v>1751</v>
      </c>
      <c r="D1709">
        <v>20447726</v>
      </c>
      <c r="E1709" t="s">
        <v>3190</v>
      </c>
      <c r="F1709" t="s">
        <v>1782</v>
      </c>
      <c r="G1709" t="s">
        <v>3129</v>
      </c>
      <c r="H1709" t="s">
        <v>1253</v>
      </c>
      <c r="J1709" s="455">
        <v>46065</v>
      </c>
      <c r="R1709" s="455">
        <v>46114</v>
      </c>
      <c r="U1709" s="455">
        <v>46065</v>
      </c>
    </row>
    <row r="1710" spans="1:21">
      <c r="A1710" t="s">
        <v>1751</v>
      </c>
      <c r="B1710" t="s">
        <v>4153</v>
      </c>
      <c r="C1710" t="s">
        <v>1751</v>
      </c>
      <c r="D1710">
        <v>20500577</v>
      </c>
      <c r="E1710" t="s">
        <v>3190</v>
      </c>
      <c r="F1710" t="s">
        <v>1782</v>
      </c>
      <c r="G1710" t="s">
        <v>3129</v>
      </c>
      <c r="H1710" t="s">
        <v>1252</v>
      </c>
      <c r="J1710" s="455">
        <v>46130</v>
      </c>
      <c r="R1710" s="455">
        <v>46139</v>
      </c>
      <c r="U1710" s="455">
        <v>46130</v>
      </c>
    </row>
    <row r="1711" spans="1:21">
      <c r="A1711" t="s">
        <v>1751</v>
      </c>
      <c r="B1711" t="s">
        <v>9017</v>
      </c>
      <c r="C1711" t="s">
        <v>1751</v>
      </c>
      <c r="D1711">
        <v>20440340</v>
      </c>
      <c r="E1711" t="s">
        <v>3190</v>
      </c>
      <c r="F1711" t="s">
        <v>1241</v>
      </c>
      <c r="G1711" t="s">
        <v>3129</v>
      </c>
      <c r="H1711" t="s">
        <v>3131</v>
      </c>
      <c r="J1711" s="455">
        <v>46056</v>
      </c>
      <c r="R1711" s="455">
        <v>46114</v>
      </c>
      <c r="U1711" s="455">
        <v>46081</v>
      </c>
    </row>
    <row r="1712" spans="1:21">
      <c r="A1712" t="s">
        <v>1751</v>
      </c>
      <c r="B1712" t="s">
        <v>10244</v>
      </c>
      <c r="C1712" t="s">
        <v>1751</v>
      </c>
      <c r="D1712">
        <v>20500171</v>
      </c>
      <c r="E1712" t="s">
        <v>3128</v>
      </c>
      <c r="F1712" t="s">
        <v>1782</v>
      </c>
      <c r="G1712" t="s">
        <v>3129</v>
      </c>
      <c r="H1712" t="s">
        <v>1253</v>
      </c>
      <c r="J1712" s="455">
        <v>46129</v>
      </c>
      <c r="U1712" s="455">
        <v>46129</v>
      </c>
    </row>
    <row r="1713" spans="1:21">
      <c r="A1713" t="s">
        <v>1751</v>
      </c>
      <c r="B1713" t="s">
        <v>10245</v>
      </c>
      <c r="C1713" t="s">
        <v>1751</v>
      </c>
      <c r="D1713">
        <v>20415936</v>
      </c>
      <c r="E1713" t="s">
        <v>3190</v>
      </c>
      <c r="F1713" t="s">
        <v>1241</v>
      </c>
      <c r="G1713" t="s">
        <v>3129</v>
      </c>
      <c r="H1713" t="s">
        <v>1247</v>
      </c>
      <c r="J1713" s="455">
        <v>46022</v>
      </c>
      <c r="R1713" s="455">
        <v>46114</v>
      </c>
      <c r="U1713" s="455">
        <v>46022</v>
      </c>
    </row>
    <row r="1714" spans="1:21">
      <c r="A1714" t="s">
        <v>1751</v>
      </c>
      <c r="B1714" t="s">
        <v>9018</v>
      </c>
      <c r="C1714" t="s">
        <v>1751</v>
      </c>
      <c r="D1714">
        <v>20441704</v>
      </c>
      <c r="E1714" t="s">
        <v>3190</v>
      </c>
      <c r="F1714" t="s">
        <v>1241</v>
      </c>
      <c r="G1714" t="s">
        <v>3129</v>
      </c>
      <c r="H1714" t="s">
        <v>1253</v>
      </c>
      <c r="J1714" s="455">
        <v>46058</v>
      </c>
      <c r="R1714" s="455">
        <v>46114</v>
      </c>
      <c r="U1714" s="455">
        <v>46058</v>
      </c>
    </row>
    <row r="1715" spans="1:21">
      <c r="A1715" t="s">
        <v>1751</v>
      </c>
      <c r="B1715" t="s">
        <v>4958</v>
      </c>
      <c r="C1715" t="s">
        <v>1751</v>
      </c>
      <c r="D1715">
        <v>20511193</v>
      </c>
      <c r="E1715" t="s">
        <v>3128</v>
      </c>
      <c r="F1715" t="s">
        <v>1782</v>
      </c>
      <c r="G1715" t="s">
        <v>3129</v>
      </c>
      <c r="H1715" t="s">
        <v>1252</v>
      </c>
      <c r="J1715" s="455">
        <v>46139</v>
      </c>
      <c r="U1715" s="455">
        <v>46139</v>
      </c>
    </row>
    <row r="1716" spans="1:21">
      <c r="A1716" t="s">
        <v>1751</v>
      </c>
      <c r="B1716" t="s">
        <v>10246</v>
      </c>
      <c r="C1716" t="s">
        <v>1751</v>
      </c>
      <c r="D1716">
        <v>20437107</v>
      </c>
      <c r="E1716" t="s">
        <v>3190</v>
      </c>
      <c r="F1716" t="s">
        <v>1782</v>
      </c>
      <c r="G1716" t="s">
        <v>3129</v>
      </c>
      <c r="H1716" t="s">
        <v>1252</v>
      </c>
      <c r="J1716" s="455">
        <v>46051</v>
      </c>
      <c r="R1716" s="455">
        <v>46114</v>
      </c>
      <c r="U1716" s="455">
        <v>46062</v>
      </c>
    </row>
    <row r="1717" spans="1:21">
      <c r="A1717" t="s">
        <v>1751</v>
      </c>
      <c r="B1717" t="s">
        <v>9019</v>
      </c>
      <c r="C1717" t="s">
        <v>1751</v>
      </c>
      <c r="D1717">
        <v>20455577</v>
      </c>
      <c r="E1717" t="s">
        <v>3190</v>
      </c>
      <c r="F1717" t="s">
        <v>1241</v>
      </c>
      <c r="G1717" t="s">
        <v>3129</v>
      </c>
      <c r="H1717" t="s">
        <v>3131</v>
      </c>
      <c r="J1717" s="455">
        <v>46076</v>
      </c>
      <c r="R1717" s="455">
        <v>46139</v>
      </c>
      <c r="U1717" s="455">
        <v>46076</v>
      </c>
    </row>
    <row r="1718" spans="1:21">
      <c r="A1718" t="s">
        <v>1751</v>
      </c>
      <c r="B1718" t="s">
        <v>9020</v>
      </c>
      <c r="C1718" t="s">
        <v>1751</v>
      </c>
      <c r="D1718">
        <v>20446580</v>
      </c>
      <c r="E1718" t="s">
        <v>3190</v>
      </c>
      <c r="F1718" t="s">
        <v>1241</v>
      </c>
      <c r="G1718" t="s">
        <v>3129</v>
      </c>
      <c r="H1718" t="s">
        <v>3131</v>
      </c>
      <c r="J1718" s="455">
        <v>46064</v>
      </c>
      <c r="R1718" s="455">
        <v>46114</v>
      </c>
      <c r="U1718" s="455">
        <v>46064</v>
      </c>
    </row>
    <row r="1719" spans="1:21">
      <c r="A1719" t="s">
        <v>1751</v>
      </c>
      <c r="B1719" t="s">
        <v>9021</v>
      </c>
      <c r="C1719" t="s">
        <v>1751</v>
      </c>
      <c r="D1719">
        <v>20456008</v>
      </c>
      <c r="E1719" t="s">
        <v>3190</v>
      </c>
      <c r="F1719" t="s">
        <v>1782</v>
      </c>
      <c r="G1719" t="s">
        <v>3129</v>
      </c>
      <c r="H1719" t="s">
        <v>3131</v>
      </c>
      <c r="J1719" s="455">
        <v>46076</v>
      </c>
      <c r="R1719" s="455">
        <v>46114</v>
      </c>
      <c r="U1719" s="455">
        <v>46082</v>
      </c>
    </row>
    <row r="1720" spans="1:21">
      <c r="A1720" t="s">
        <v>1751</v>
      </c>
      <c r="B1720" t="s">
        <v>9022</v>
      </c>
      <c r="C1720" t="s">
        <v>1751</v>
      </c>
      <c r="D1720">
        <v>20443921</v>
      </c>
      <c r="E1720" t="s">
        <v>3190</v>
      </c>
      <c r="F1720" t="s">
        <v>1782</v>
      </c>
      <c r="G1720" t="s">
        <v>3129</v>
      </c>
      <c r="H1720" t="s">
        <v>3131</v>
      </c>
      <c r="J1720" s="455">
        <v>46062</v>
      </c>
      <c r="R1720" s="455">
        <v>46114</v>
      </c>
      <c r="U1720" s="455">
        <v>46062</v>
      </c>
    </row>
    <row r="1721" spans="1:21">
      <c r="A1721" t="s">
        <v>1751</v>
      </c>
      <c r="B1721" t="s">
        <v>9436</v>
      </c>
      <c r="C1721" t="s">
        <v>1751</v>
      </c>
      <c r="D1721">
        <v>20469075</v>
      </c>
      <c r="E1721" t="s">
        <v>3190</v>
      </c>
      <c r="F1721" t="s">
        <v>1782</v>
      </c>
      <c r="G1721" t="s">
        <v>3141</v>
      </c>
      <c r="H1721" t="s">
        <v>3487</v>
      </c>
      <c r="J1721" s="455">
        <v>46093</v>
      </c>
      <c r="R1721" s="455">
        <v>46114</v>
      </c>
      <c r="U1721" s="455">
        <v>46093</v>
      </c>
    </row>
    <row r="1722" spans="1:21">
      <c r="A1722" t="s">
        <v>1751</v>
      </c>
      <c r="B1722" t="s">
        <v>10247</v>
      </c>
      <c r="C1722" t="s">
        <v>1751</v>
      </c>
      <c r="D1722">
        <v>20491823</v>
      </c>
      <c r="E1722" t="s">
        <v>3190</v>
      </c>
      <c r="F1722" t="s">
        <v>1782</v>
      </c>
      <c r="G1722" t="s">
        <v>3129</v>
      </c>
      <c r="H1722" t="s">
        <v>3131</v>
      </c>
      <c r="J1722" s="455">
        <v>46122</v>
      </c>
      <c r="R1722" s="455">
        <v>46123</v>
      </c>
      <c r="U1722" s="455">
        <v>46122</v>
      </c>
    </row>
    <row r="1723" spans="1:21">
      <c r="A1723" t="s">
        <v>1751</v>
      </c>
      <c r="B1723" t="s">
        <v>10248</v>
      </c>
      <c r="C1723" t="s">
        <v>1751</v>
      </c>
      <c r="D1723">
        <v>20491789</v>
      </c>
      <c r="E1723" t="s">
        <v>3190</v>
      </c>
      <c r="F1723" t="s">
        <v>1782</v>
      </c>
      <c r="G1723" t="s">
        <v>3129</v>
      </c>
      <c r="H1723" t="s">
        <v>3131</v>
      </c>
      <c r="J1723" s="455">
        <v>46122</v>
      </c>
      <c r="R1723" s="455">
        <v>46139</v>
      </c>
      <c r="U1723" s="455">
        <v>46122</v>
      </c>
    </row>
    <row r="1724" spans="1:21">
      <c r="A1724" t="s">
        <v>1751</v>
      </c>
      <c r="B1724" t="s">
        <v>10249</v>
      </c>
      <c r="C1724" t="s">
        <v>1751</v>
      </c>
      <c r="D1724">
        <v>20510952</v>
      </c>
      <c r="E1724" t="s">
        <v>3128</v>
      </c>
      <c r="F1724" t="s">
        <v>1782</v>
      </c>
      <c r="G1724" t="s">
        <v>3129</v>
      </c>
      <c r="H1724" t="s">
        <v>1253</v>
      </c>
      <c r="J1724" s="455">
        <v>46139</v>
      </c>
      <c r="U1724" s="455">
        <v>46139</v>
      </c>
    </row>
    <row r="1725" spans="1:21">
      <c r="A1725" t="s">
        <v>1751</v>
      </c>
      <c r="B1725" t="s">
        <v>10250</v>
      </c>
      <c r="C1725" t="s">
        <v>1751</v>
      </c>
      <c r="D1725">
        <v>20504422</v>
      </c>
      <c r="E1725" t="s">
        <v>3190</v>
      </c>
      <c r="F1725" t="s">
        <v>1782</v>
      </c>
      <c r="G1725" t="s">
        <v>3129</v>
      </c>
      <c r="H1725" t="s">
        <v>3131</v>
      </c>
      <c r="J1725" s="455">
        <v>46133</v>
      </c>
      <c r="R1725" s="455">
        <v>46134</v>
      </c>
      <c r="U1725" s="455">
        <v>46133</v>
      </c>
    </row>
    <row r="1726" spans="1:21">
      <c r="A1726" t="s">
        <v>1751</v>
      </c>
      <c r="B1726" t="s">
        <v>9023</v>
      </c>
      <c r="C1726" t="s">
        <v>1751</v>
      </c>
      <c r="D1726">
        <v>20449827</v>
      </c>
      <c r="E1726" t="s">
        <v>3190</v>
      </c>
      <c r="F1726" t="s">
        <v>1782</v>
      </c>
      <c r="G1726" t="s">
        <v>3129</v>
      </c>
      <c r="H1726" t="s">
        <v>1253</v>
      </c>
      <c r="J1726" s="455">
        <v>46069</v>
      </c>
      <c r="R1726" s="455">
        <v>46114</v>
      </c>
      <c r="U1726" s="455">
        <v>46069</v>
      </c>
    </row>
    <row r="1727" spans="1:21">
      <c r="A1727" t="s">
        <v>1751</v>
      </c>
      <c r="B1727" t="s">
        <v>10251</v>
      </c>
      <c r="C1727" t="s">
        <v>1751</v>
      </c>
      <c r="D1727">
        <v>20486406</v>
      </c>
      <c r="E1727" t="s">
        <v>3190</v>
      </c>
      <c r="F1727" t="s">
        <v>1782</v>
      </c>
      <c r="G1727" t="s">
        <v>3129</v>
      </c>
      <c r="H1727" t="s">
        <v>3131</v>
      </c>
      <c r="J1727" s="455">
        <v>46115</v>
      </c>
      <c r="R1727" s="455">
        <v>46115</v>
      </c>
      <c r="U1727" s="455">
        <v>46115</v>
      </c>
    </row>
    <row r="1728" spans="1:21">
      <c r="A1728" t="s">
        <v>1751</v>
      </c>
      <c r="B1728" t="s">
        <v>10252</v>
      </c>
      <c r="C1728" t="s">
        <v>1751</v>
      </c>
      <c r="D1728">
        <v>20512926</v>
      </c>
      <c r="E1728" t="s">
        <v>3128</v>
      </c>
      <c r="F1728" t="s">
        <v>1782</v>
      </c>
      <c r="G1728" t="s">
        <v>3129</v>
      </c>
      <c r="H1728" t="s">
        <v>3377</v>
      </c>
      <c r="J1728" s="455">
        <v>46141</v>
      </c>
      <c r="U1728" s="455">
        <v>46141</v>
      </c>
    </row>
    <row r="1729" spans="1:21">
      <c r="A1729" t="s">
        <v>1751</v>
      </c>
      <c r="B1729" t="s">
        <v>9437</v>
      </c>
      <c r="C1729" t="s">
        <v>1751</v>
      </c>
      <c r="D1729">
        <v>20461557</v>
      </c>
      <c r="E1729" t="s">
        <v>3190</v>
      </c>
      <c r="F1729" t="s">
        <v>1782</v>
      </c>
      <c r="G1729" t="s">
        <v>3129</v>
      </c>
      <c r="H1729" t="s">
        <v>1253</v>
      </c>
      <c r="J1729" s="455">
        <v>46084</v>
      </c>
      <c r="R1729" s="455">
        <v>46114</v>
      </c>
      <c r="U1729" s="455">
        <v>46084</v>
      </c>
    </row>
    <row r="1730" spans="1:21">
      <c r="A1730" t="s">
        <v>1751</v>
      </c>
      <c r="B1730" t="s">
        <v>10253</v>
      </c>
      <c r="C1730" t="s">
        <v>1751</v>
      </c>
      <c r="D1730">
        <v>20506273</v>
      </c>
      <c r="E1730" t="s">
        <v>3128</v>
      </c>
      <c r="F1730" t="s">
        <v>1782</v>
      </c>
      <c r="G1730" t="s">
        <v>3129</v>
      </c>
      <c r="H1730" t="s">
        <v>3131</v>
      </c>
      <c r="J1730" s="455">
        <v>46134</v>
      </c>
      <c r="U1730" s="455">
        <v>46134</v>
      </c>
    </row>
    <row r="1731" spans="1:21">
      <c r="A1731" t="s">
        <v>1751</v>
      </c>
      <c r="B1731" t="s">
        <v>10254</v>
      </c>
      <c r="C1731" t="s">
        <v>1751</v>
      </c>
      <c r="D1731">
        <v>20506265</v>
      </c>
      <c r="E1731" t="s">
        <v>3128</v>
      </c>
      <c r="F1731" t="s">
        <v>1241</v>
      </c>
      <c r="G1731" t="s">
        <v>3129</v>
      </c>
      <c r="H1731" t="s">
        <v>1252</v>
      </c>
      <c r="J1731" s="455">
        <v>46134</v>
      </c>
      <c r="U1731" s="455">
        <v>46134</v>
      </c>
    </row>
    <row r="1732" spans="1:21">
      <c r="A1732" t="s">
        <v>1751</v>
      </c>
      <c r="B1732" t="s">
        <v>10255</v>
      </c>
      <c r="C1732" t="s">
        <v>1751</v>
      </c>
      <c r="D1732">
        <v>20413403</v>
      </c>
      <c r="E1732" t="s">
        <v>3190</v>
      </c>
      <c r="F1732" t="s">
        <v>1241</v>
      </c>
      <c r="G1732" t="s">
        <v>3129</v>
      </c>
      <c r="H1732" t="s">
        <v>1247</v>
      </c>
      <c r="J1732" s="455">
        <v>46018</v>
      </c>
      <c r="R1732" s="455">
        <v>46114</v>
      </c>
      <c r="U1732" s="455">
        <v>46018</v>
      </c>
    </row>
    <row r="1733" spans="1:21">
      <c r="A1733" t="s">
        <v>1751</v>
      </c>
      <c r="B1733" t="s">
        <v>9024</v>
      </c>
      <c r="C1733" t="s">
        <v>1751</v>
      </c>
      <c r="D1733">
        <v>20456479</v>
      </c>
      <c r="E1733" t="s">
        <v>3190</v>
      </c>
      <c r="F1733" t="s">
        <v>1782</v>
      </c>
      <c r="G1733" t="s">
        <v>3129</v>
      </c>
      <c r="H1733" t="s">
        <v>1253</v>
      </c>
      <c r="J1733" s="455">
        <v>46077</v>
      </c>
      <c r="R1733" s="455">
        <v>46114</v>
      </c>
      <c r="U1733" s="455">
        <v>46077</v>
      </c>
    </row>
    <row r="1734" spans="1:21">
      <c r="A1734" t="s">
        <v>1751</v>
      </c>
      <c r="B1734" t="s">
        <v>9025</v>
      </c>
      <c r="C1734" t="s">
        <v>1751</v>
      </c>
      <c r="D1734">
        <v>20453600</v>
      </c>
      <c r="E1734" t="s">
        <v>3190</v>
      </c>
      <c r="F1734" t="s">
        <v>1241</v>
      </c>
      <c r="G1734" t="s">
        <v>3129</v>
      </c>
      <c r="H1734" t="s">
        <v>3131</v>
      </c>
      <c r="J1734" s="455">
        <v>46072</v>
      </c>
      <c r="R1734" s="455">
        <v>46114</v>
      </c>
      <c r="U1734" s="455">
        <v>46072</v>
      </c>
    </row>
    <row r="1735" spans="1:21">
      <c r="A1735" t="s">
        <v>1751</v>
      </c>
      <c r="B1735" t="s">
        <v>10256</v>
      </c>
      <c r="C1735" t="s">
        <v>1751</v>
      </c>
      <c r="D1735">
        <v>20486404</v>
      </c>
      <c r="E1735" t="s">
        <v>3190</v>
      </c>
      <c r="F1735" t="s">
        <v>1782</v>
      </c>
      <c r="G1735" t="s">
        <v>3129</v>
      </c>
      <c r="H1735" t="s">
        <v>3131</v>
      </c>
      <c r="J1735" s="455">
        <v>46115</v>
      </c>
      <c r="R1735" s="455">
        <v>46115</v>
      </c>
      <c r="U1735" s="455">
        <v>46115</v>
      </c>
    </row>
    <row r="1736" spans="1:21">
      <c r="A1736" t="s">
        <v>1751</v>
      </c>
      <c r="B1736" t="s">
        <v>10257</v>
      </c>
      <c r="C1736" t="s">
        <v>1751</v>
      </c>
      <c r="D1736">
        <v>20412311</v>
      </c>
      <c r="E1736" t="s">
        <v>3190</v>
      </c>
      <c r="F1736" t="s">
        <v>1241</v>
      </c>
      <c r="G1736" t="s">
        <v>3129</v>
      </c>
      <c r="H1736" t="s">
        <v>3131</v>
      </c>
      <c r="J1736" s="455">
        <v>46015</v>
      </c>
      <c r="R1736" s="455">
        <v>46114</v>
      </c>
      <c r="U1736" s="455">
        <v>46015</v>
      </c>
    </row>
    <row r="1737" spans="1:21">
      <c r="A1737" t="s">
        <v>1751</v>
      </c>
      <c r="B1737" t="s">
        <v>10258</v>
      </c>
      <c r="C1737" t="s">
        <v>1751</v>
      </c>
      <c r="D1737">
        <v>20412266</v>
      </c>
      <c r="E1737" t="s">
        <v>3190</v>
      </c>
      <c r="F1737" t="s">
        <v>1237</v>
      </c>
      <c r="G1737" t="s">
        <v>3129</v>
      </c>
      <c r="H1737" t="s">
        <v>1252</v>
      </c>
      <c r="J1737" s="455">
        <v>46015</v>
      </c>
      <c r="R1737" s="455">
        <v>46114</v>
      </c>
      <c r="U1737" s="455">
        <v>46015</v>
      </c>
    </row>
    <row r="1738" spans="1:21">
      <c r="A1738" t="s">
        <v>1751</v>
      </c>
      <c r="B1738" t="s">
        <v>9026</v>
      </c>
      <c r="C1738" t="s">
        <v>1751</v>
      </c>
      <c r="D1738">
        <v>20449934</v>
      </c>
      <c r="E1738" t="s">
        <v>3190</v>
      </c>
      <c r="F1738" t="s">
        <v>1782</v>
      </c>
      <c r="G1738" t="s">
        <v>3129</v>
      </c>
      <c r="H1738" t="s">
        <v>3131</v>
      </c>
      <c r="J1738" s="455">
        <v>46069</v>
      </c>
      <c r="R1738" s="455">
        <v>46114</v>
      </c>
      <c r="U1738" s="455">
        <v>46069</v>
      </c>
    </row>
    <row r="1739" spans="1:21">
      <c r="A1739" t="s">
        <v>1751</v>
      </c>
      <c r="B1739" t="s">
        <v>10259</v>
      </c>
      <c r="C1739" t="s">
        <v>1751</v>
      </c>
      <c r="D1739">
        <v>20416688</v>
      </c>
      <c r="E1739" t="s">
        <v>3190</v>
      </c>
      <c r="F1739" t="s">
        <v>1782</v>
      </c>
      <c r="G1739" t="s">
        <v>3129</v>
      </c>
      <c r="H1739" t="s">
        <v>1247</v>
      </c>
      <c r="J1739" s="455">
        <v>46024</v>
      </c>
      <c r="R1739" s="455">
        <v>46114</v>
      </c>
      <c r="U1739" s="455">
        <v>46024</v>
      </c>
    </row>
    <row r="1740" spans="1:21">
      <c r="A1740" t="s">
        <v>1751</v>
      </c>
      <c r="B1740" t="s">
        <v>9027</v>
      </c>
      <c r="C1740" t="s">
        <v>1751</v>
      </c>
      <c r="D1740">
        <v>20442105</v>
      </c>
      <c r="E1740" t="s">
        <v>3190</v>
      </c>
      <c r="F1740" t="s">
        <v>1782</v>
      </c>
      <c r="G1740" t="s">
        <v>3129</v>
      </c>
      <c r="H1740" t="s">
        <v>1252</v>
      </c>
      <c r="J1740" s="455">
        <v>46059</v>
      </c>
      <c r="R1740" s="455">
        <v>46114</v>
      </c>
      <c r="U1740" s="455">
        <v>46059</v>
      </c>
    </row>
    <row r="1741" spans="1:21">
      <c r="A1741" t="s">
        <v>1751</v>
      </c>
      <c r="B1741" t="s">
        <v>4162</v>
      </c>
      <c r="C1741" t="s">
        <v>1751</v>
      </c>
      <c r="D1741">
        <v>20496873</v>
      </c>
      <c r="E1741" t="s">
        <v>3128</v>
      </c>
      <c r="F1741" t="s">
        <v>1782</v>
      </c>
      <c r="G1741" t="s">
        <v>3129</v>
      </c>
      <c r="H1741" t="s">
        <v>1252</v>
      </c>
      <c r="J1741" s="455">
        <v>46127</v>
      </c>
      <c r="U1741" s="455">
        <v>46127</v>
      </c>
    </row>
    <row r="1742" spans="1:21">
      <c r="A1742" t="s">
        <v>1751</v>
      </c>
      <c r="B1742" t="s">
        <v>9028</v>
      </c>
      <c r="C1742" t="s">
        <v>1751</v>
      </c>
      <c r="D1742">
        <v>20456615</v>
      </c>
      <c r="E1742" t="s">
        <v>3190</v>
      </c>
      <c r="F1742" t="s">
        <v>1782</v>
      </c>
      <c r="G1742" t="s">
        <v>3129</v>
      </c>
      <c r="H1742" t="s">
        <v>1253</v>
      </c>
      <c r="J1742" s="455">
        <v>46077</v>
      </c>
      <c r="R1742" s="455">
        <v>46114</v>
      </c>
      <c r="U1742" s="455">
        <v>46081</v>
      </c>
    </row>
    <row r="1743" spans="1:21">
      <c r="A1743" t="s">
        <v>1751</v>
      </c>
      <c r="B1743" t="s">
        <v>9029</v>
      </c>
      <c r="C1743" t="s">
        <v>1751</v>
      </c>
      <c r="D1743">
        <v>20440976</v>
      </c>
      <c r="E1743" t="s">
        <v>3190</v>
      </c>
      <c r="F1743" t="s">
        <v>1241</v>
      </c>
      <c r="G1743" t="s">
        <v>3129</v>
      </c>
      <c r="H1743" t="s">
        <v>1253</v>
      </c>
      <c r="J1743" s="455">
        <v>46057</v>
      </c>
      <c r="R1743" s="455">
        <v>46114</v>
      </c>
      <c r="U1743" s="455">
        <v>46057</v>
      </c>
    </row>
    <row r="1744" spans="1:21">
      <c r="A1744" t="s">
        <v>1751</v>
      </c>
      <c r="B1744" t="s">
        <v>10260</v>
      </c>
      <c r="C1744" t="s">
        <v>1751</v>
      </c>
      <c r="D1744">
        <v>20487989</v>
      </c>
      <c r="E1744" t="s">
        <v>3190</v>
      </c>
      <c r="F1744" t="s">
        <v>1241</v>
      </c>
      <c r="G1744" t="s">
        <v>3129</v>
      </c>
      <c r="H1744" t="s">
        <v>1253</v>
      </c>
      <c r="J1744" s="455">
        <v>46118</v>
      </c>
      <c r="R1744" s="455">
        <v>46139</v>
      </c>
      <c r="U1744" s="455">
        <v>46118</v>
      </c>
    </row>
    <row r="1745" spans="1:21">
      <c r="A1745" t="s">
        <v>1751</v>
      </c>
      <c r="B1745" t="s">
        <v>9030</v>
      </c>
      <c r="C1745" t="s">
        <v>1751</v>
      </c>
      <c r="D1745">
        <v>20444472</v>
      </c>
      <c r="E1745" t="s">
        <v>3190</v>
      </c>
      <c r="F1745" t="s">
        <v>1782</v>
      </c>
      <c r="G1745" t="s">
        <v>3129</v>
      </c>
      <c r="H1745" t="s">
        <v>1253</v>
      </c>
      <c r="J1745" s="455">
        <v>46063</v>
      </c>
      <c r="R1745" s="455">
        <v>46114</v>
      </c>
      <c r="U1745" s="455">
        <v>46063</v>
      </c>
    </row>
    <row r="1746" spans="1:21">
      <c r="A1746" t="s">
        <v>1751</v>
      </c>
      <c r="B1746" t="s">
        <v>10261</v>
      </c>
      <c r="C1746" t="s">
        <v>1751</v>
      </c>
      <c r="D1746">
        <v>20491835</v>
      </c>
      <c r="E1746" t="s">
        <v>3190</v>
      </c>
      <c r="F1746" t="s">
        <v>1782</v>
      </c>
      <c r="G1746" t="s">
        <v>3129</v>
      </c>
      <c r="H1746" t="s">
        <v>1253</v>
      </c>
      <c r="J1746" s="455">
        <v>46122</v>
      </c>
      <c r="R1746" s="455">
        <v>46139</v>
      </c>
      <c r="U1746" s="455">
        <v>46122</v>
      </c>
    </row>
    <row r="1747" spans="1:21">
      <c r="A1747" t="s">
        <v>1751</v>
      </c>
      <c r="B1747" t="s">
        <v>9438</v>
      </c>
      <c r="C1747" t="s">
        <v>1751</v>
      </c>
      <c r="D1747">
        <v>20465353</v>
      </c>
      <c r="E1747" t="s">
        <v>3190</v>
      </c>
      <c r="F1747" t="s">
        <v>1782</v>
      </c>
      <c r="G1747" t="s">
        <v>3129</v>
      </c>
      <c r="H1747" t="s">
        <v>3131</v>
      </c>
      <c r="J1747" s="455">
        <v>46090</v>
      </c>
      <c r="R1747" s="455">
        <v>46114</v>
      </c>
      <c r="U1747" s="455">
        <v>46090</v>
      </c>
    </row>
    <row r="1748" spans="1:21">
      <c r="A1748" t="s">
        <v>1751</v>
      </c>
      <c r="B1748" t="s">
        <v>9031</v>
      </c>
      <c r="C1748" t="s">
        <v>1751</v>
      </c>
      <c r="D1748">
        <v>20440180</v>
      </c>
      <c r="E1748" t="s">
        <v>3190</v>
      </c>
      <c r="F1748" t="s">
        <v>1238</v>
      </c>
      <c r="G1748" t="s">
        <v>3129</v>
      </c>
      <c r="H1748" t="s">
        <v>1252</v>
      </c>
      <c r="J1748" s="455">
        <v>46056</v>
      </c>
      <c r="R1748" s="455">
        <v>46114</v>
      </c>
      <c r="U1748" s="455">
        <v>46082</v>
      </c>
    </row>
    <row r="1749" spans="1:21">
      <c r="A1749" t="s">
        <v>1751</v>
      </c>
      <c r="B1749" t="s">
        <v>9439</v>
      </c>
      <c r="C1749" t="s">
        <v>1751</v>
      </c>
      <c r="D1749">
        <v>20463734</v>
      </c>
      <c r="E1749" t="s">
        <v>3190</v>
      </c>
      <c r="F1749" t="s">
        <v>1241</v>
      </c>
      <c r="G1749" t="s">
        <v>3129</v>
      </c>
      <c r="H1749" t="s">
        <v>3131</v>
      </c>
      <c r="J1749" s="455">
        <v>46087</v>
      </c>
      <c r="R1749" s="455">
        <v>46114</v>
      </c>
      <c r="U1749" s="455">
        <v>46087</v>
      </c>
    </row>
    <row r="1750" spans="1:21">
      <c r="A1750" t="s">
        <v>1751</v>
      </c>
      <c r="B1750" t="s">
        <v>4167</v>
      </c>
      <c r="C1750" t="s">
        <v>1751</v>
      </c>
      <c r="D1750">
        <v>20422678</v>
      </c>
      <c r="E1750" t="s">
        <v>3190</v>
      </c>
      <c r="F1750" t="s">
        <v>1241</v>
      </c>
      <c r="G1750" t="s">
        <v>3129</v>
      </c>
      <c r="H1750" t="s">
        <v>1252</v>
      </c>
      <c r="J1750" s="455">
        <v>46033</v>
      </c>
      <c r="R1750" s="455">
        <v>46115</v>
      </c>
      <c r="U1750" s="455">
        <v>46033</v>
      </c>
    </row>
    <row r="1751" spans="1:21">
      <c r="A1751" t="s">
        <v>1751</v>
      </c>
      <c r="B1751" t="s">
        <v>4167</v>
      </c>
      <c r="C1751" t="s">
        <v>1751</v>
      </c>
      <c r="D1751">
        <v>20459018</v>
      </c>
      <c r="E1751" t="s">
        <v>3190</v>
      </c>
      <c r="F1751" t="s">
        <v>1241</v>
      </c>
      <c r="G1751" t="s">
        <v>3129</v>
      </c>
      <c r="H1751" t="s">
        <v>3131</v>
      </c>
      <c r="J1751" s="455">
        <v>46080</v>
      </c>
      <c r="R1751" s="455">
        <v>46114</v>
      </c>
      <c r="U1751" s="455">
        <v>46113</v>
      </c>
    </row>
    <row r="1752" spans="1:21">
      <c r="A1752" t="s">
        <v>1751</v>
      </c>
      <c r="B1752" t="s">
        <v>9032</v>
      </c>
      <c r="C1752" t="s">
        <v>1751</v>
      </c>
      <c r="D1752">
        <v>20446923</v>
      </c>
      <c r="E1752" t="s">
        <v>3190</v>
      </c>
      <c r="F1752" t="s">
        <v>1241</v>
      </c>
      <c r="G1752" t="s">
        <v>3129</v>
      </c>
      <c r="H1752" t="s">
        <v>1252</v>
      </c>
      <c r="J1752" s="455">
        <v>46064</v>
      </c>
      <c r="R1752" s="455">
        <v>46114</v>
      </c>
      <c r="U1752" s="455">
        <v>46076</v>
      </c>
    </row>
    <row r="1753" spans="1:21">
      <c r="A1753" t="s">
        <v>1751</v>
      </c>
      <c r="B1753" t="s">
        <v>10262</v>
      </c>
      <c r="C1753" t="s">
        <v>1751</v>
      </c>
      <c r="D1753">
        <v>20512670</v>
      </c>
      <c r="E1753" t="s">
        <v>3128</v>
      </c>
      <c r="F1753" t="s">
        <v>1782</v>
      </c>
      <c r="G1753" t="s">
        <v>3129</v>
      </c>
      <c r="H1753" t="s">
        <v>1252</v>
      </c>
      <c r="J1753" s="455">
        <v>46141</v>
      </c>
      <c r="U1753" s="455">
        <v>46141</v>
      </c>
    </row>
    <row r="1754" spans="1:21">
      <c r="A1754" t="s">
        <v>1751</v>
      </c>
      <c r="B1754" t="s">
        <v>10263</v>
      </c>
      <c r="C1754" t="s">
        <v>1751</v>
      </c>
      <c r="D1754">
        <v>20500502</v>
      </c>
      <c r="E1754" t="s">
        <v>3190</v>
      </c>
      <c r="F1754" t="s">
        <v>1237</v>
      </c>
      <c r="G1754" t="s">
        <v>3129</v>
      </c>
      <c r="H1754" t="s">
        <v>1252</v>
      </c>
      <c r="J1754" s="455">
        <v>46130</v>
      </c>
      <c r="R1754" s="455">
        <v>46139</v>
      </c>
      <c r="U1754" s="455">
        <v>46130</v>
      </c>
    </row>
    <row r="1755" spans="1:21">
      <c r="A1755" t="s">
        <v>1751</v>
      </c>
      <c r="B1755" t="s">
        <v>9033</v>
      </c>
      <c r="C1755" t="s">
        <v>1751</v>
      </c>
      <c r="D1755">
        <v>20454286</v>
      </c>
      <c r="E1755" t="s">
        <v>3190</v>
      </c>
      <c r="F1755" t="s">
        <v>1241</v>
      </c>
      <c r="G1755" t="s">
        <v>3129</v>
      </c>
      <c r="H1755" t="s">
        <v>1252</v>
      </c>
      <c r="J1755" s="455">
        <v>46073</v>
      </c>
      <c r="R1755" s="455">
        <v>46114</v>
      </c>
      <c r="U1755" s="455">
        <v>46073</v>
      </c>
    </row>
    <row r="1756" spans="1:21">
      <c r="A1756" t="s">
        <v>1751</v>
      </c>
      <c r="B1756" t="s">
        <v>9034</v>
      </c>
      <c r="C1756" t="s">
        <v>1751</v>
      </c>
      <c r="D1756">
        <v>20450359</v>
      </c>
      <c r="E1756" t="s">
        <v>3190</v>
      </c>
      <c r="F1756" t="s">
        <v>1241</v>
      </c>
      <c r="G1756" t="s">
        <v>3129</v>
      </c>
      <c r="H1756" t="s">
        <v>3131</v>
      </c>
      <c r="J1756" s="455">
        <v>46070</v>
      </c>
      <c r="R1756" s="455">
        <v>46114</v>
      </c>
      <c r="U1756" s="455">
        <v>46070</v>
      </c>
    </row>
    <row r="1757" spans="1:21">
      <c r="A1757" t="s">
        <v>1751</v>
      </c>
      <c r="B1757" t="s">
        <v>10264</v>
      </c>
      <c r="C1757" t="s">
        <v>1751</v>
      </c>
      <c r="D1757">
        <v>20422821</v>
      </c>
      <c r="E1757" t="s">
        <v>3190</v>
      </c>
      <c r="F1757" t="s">
        <v>1241</v>
      </c>
      <c r="G1757" t="s">
        <v>3129</v>
      </c>
      <c r="H1757" t="s">
        <v>1252</v>
      </c>
      <c r="J1757" s="455">
        <v>46033</v>
      </c>
      <c r="R1757" s="455">
        <v>46114</v>
      </c>
      <c r="U1757" s="455">
        <v>46113</v>
      </c>
    </row>
    <row r="1758" spans="1:21">
      <c r="A1758" t="s">
        <v>1751</v>
      </c>
      <c r="B1758" t="s">
        <v>10265</v>
      </c>
      <c r="C1758" t="s">
        <v>1751</v>
      </c>
      <c r="D1758">
        <v>20510179</v>
      </c>
      <c r="E1758" t="s">
        <v>3128</v>
      </c>
      <c r="F1758" t="s">
        <v>1241</v>
      </c>
      <c r="G1758" t="s">
        <v>3129</v>
      </c>
      <c r="H1758" t="s">
        <v>1253</v>
      </c>
      <c r="J1758" s="455">
        <v>46138</v>
      </c>
      <c r="U1758" s="455">
        <v>46138</v>
      </c>
    </row>
    <row r="1759" spans="1:21">
      <c r="A1759" t="s">
        <v>1751</v>
      </c>
      <c r="B1759" t="s">
        <v>9035</v>
      </c>
      <c r="C1759" t="s">
        <v>1751</v>
      </c>
      <c r="D1759">
        <v>20458652</v>
      </c>
      <c r="E1759" t="s">
        <v>3190</v>
      </c>
      <c r="F1759" t="s">
        <v>1782</v>
      </c>
      <c r="G1759" t="s">
        <v>3129</v>
      </c>
      <c r="H1759" t="s">
        <v>1253</v>
      </c>
      <c r="J1759" s="455">
        <v>46080</v>
      </c>
      <c r="R1759" s="455">
        <v>46114</v>
      </c>
      <c r="U1759" s="455">
        <v>46080</v>
      </c>
    </row>
    <row r="1760" spans="1:21">
      <c r="A1760" t="s">
        <v>1751</v>
      </c>
      <c r="B1760" t="s">
        <v>9036</v>
      </c>
      <c r="C1760" t="s">
        <v>1751</v>
      </c>
      <c r="D1760">
        <v>20440260</v>
      </c>
      <c r="E1760" t="s">
        <v>3190</v>
      </c>
      <c r="F1760" t="s">
        <v>9037</v>
      </c>
      <c r="G1760" t="s">
        <v>3129</v>
      </c>
      <c r="H1760" t="s">
        <v>3131</v>
      </c>
      <c r="J1760" s="455">
        <v>46056</v>
      </c>
      <c r="R1760" s="455">
        <v>46114</v>
      </c>
      <c r="U1760" s="455">
        <v>46078</v>
      </c>
    </row>
    <row r="1761" spans="1:21">
      <c r="A1761" t="s">
        <v>1751</v>
      </c>
      <c r="B1761" t="s">
        <v>9038</v>
      </c>
      <c r="C1761" t="s">
        <v>1751</v>
      </c>
      <c r="D1761">
        <v>20456835</v>
      </c>
      <c r="E1761" t="s">
        <v>3190</v>
      </c>
      <c r="F1761" t="s">
        <v>1782</v>
      </c>
      <c r="G1761" t="s">
        <v>3129</v>
      </c>
      <c r="H1761" t="s">
        <v>3131</v>
      </c>
      <c r="J1761" s="455">
        <v>46077</v>
      </c>
      <c r="R1761" s="455">
        <v>46114</v>
      </c>
      <c r="U1761" s="455">
        <v>46077</v>
      </c>
    </row>
    <row r="1762" spans="1:21">
      <c r="A1762" t="s">
        <v>1751</v>
      </c>
      <c r="B1762" t="s">
        <v>4969</v>
      </c>
      <c r="C1762" t="s">
        <v>1751</v>
      </c>
      <c r="D1762">
        <v>20493424</v>
      </c>
      <c r="E1762" t="s">
        <v>3190</v>
      </c>
      <c r="F1762" t="s">
        <v>1241</v>
      </c>
      <c r="G1762" t="s">
        <v>3129</v>
      </c>
      <c r="H1762" t="s">
        <v>3131</v>
      </c>
      <c r="J1762" s="455">
        <v>46125</v>
      </c>
      <c r="R1762" s="455">
        <v>46129</v>
      </c>
      <c r="U1762" s="455">
        <v>46125</v>
      </c>
    </row>
    <row r="1763" spans="1:21">
      <c r="A1763" t="s">
        <v>1751</v>
      </c>
      <c r="B1763" t="s">
        <v>10266</v>
      </c>
      <c r="C1763" t="s">
        <v>1751</v>
      </c>
      <c r="D1763">
        <v>20500758</v>
      </c>
      <c r="E1763" t="s">
        <v>3190</v>
      </c>
      <c r="F1763" t="s">
        <v>1782</v>
      </c>
      <c r="G1763" t="s">
        <v>3129</v>
      </c>
      <c r="H1763" t="s">
        <v>3377</v>
      </c>
      <c r="J1763" s="455">
        <v>46130</v>
      </c>
      <c r="R1763" s="455">
        <v>46139</v>
      </c>
      <c r="U1763" s="455">
        <v>46130</v>
      </c>
    </row>
    <row r="1764" spans="1:21">
      <c r="A1764" t="s">
        <v>1751</v>
      </c>
      <c r="B1764" t="s">
        <v>9039</v>
      </c>
      <c r="C1764" t="s">
        <v>1751</v>
      </c>
      <c r="D1764">
        <v>20447695</v>
      </c>
      <c r="E1764" t="s">
        <v>3190</v>
      </c>
      <c r="F1764" t="s">
        <v>1241</v>
      </c>
      <c r="G1764" t="s">
        <v>3129</v>
      </c>
      <c r="H1764" t="s">
        <v>3131</v>
      </c>
      <c r="J1764" s="455">
        <v>46065</v>
      </c>
      <c r="R1764" s="455">
        <v>46114</v>
      </c>
      <c r="U1764" s="455">
        <v>46065</v>
      </c>
    </row>
    <row r="1765" spans="1:21">
      <c r="A1765" t="s">
        <v>1751</v>
      </c>
      <c r="B1765" t="s">
        <v>4970</v>
      </c>
      <c r="C1765" t="s">
        <v>1751</v>
      </c>
      <c r="D1765">
        <v>20504479</v>
      </c>
      <c r="E1765" t="s">
        <v>3128</v>
      </c>
      <c r="F1765" t="s">
        <v>1782</v>
      </c>
      <c r="G1765" t="s">
        <v>3129</v>
      </c>
      <c r="H1765" t="s">
        <v>1252</v>
      </c>
      <c r="J1765" s="455">
        <v>46133</v>
      </c>
      <c r="U1765" s="455">
        <v>46133</v>
      </c>
    </row>
    <row r="1766" spans="1:21">
      <c r="A1766" t="s">
        <v>1751</v>
      </c>
      <c r="B1766" t="s">
        <v>9040</v>
      </c>
      <c r="C1766" t="s">
        <v>1751</v>
      </c>
      <c r="D1766">
        <v>20446843</v>
      </c>
      <c r="E1766" t="s">
        <v>3190</v>
      </c>
      <c r="F1766" t="s">
        <v>1241</v>
      </c>
      <c r="G1766" t="s">
        <v>3129</v>
      </c>
      <c r="H1766" t="s">
        <v>3131</v>
      </c>
      <c r="J1766" s="455">
        <v>46064</v>
      </c>
      <c r="R1766" s="455">
        <v>46114</v>
      </c>
      <c r="U1766" s="455">
        <v>46064</v>
      </c>
    </row>
    <row r="1767" spans="1:21">
      <c r="A1767" t="s">
        <v>1751</v>
      </c>
      <c r="B1767" t="s">
        <v>4174</v>
      </c>
      <c r="C1767" t="s">
        <v>1751</v>
      </c>
      <c r="D1767">
        <v>20441170</v>
      </c>
      <c r="E1767" t="s">
        <v>3190</v>
      </c>
      <c r="F1767" t="s">
        <v>1241</v>
      </c>
      <c r="G1767" t="s">
        <v>3129</v>
      </c>
      <c r="H1767" t="s">
        <v>1252</v>
      </c>
      <c r="J1767" s="455">
        <v>46057</v>
      </c>
      <c r="R1767" s="455">
        <v>46114</v>
      </c>
      <c r="U1767" s="455">
        <v>46266</v>
      </c>
    </row>
    <row r="1768" spans="1:21">
      <c r="A1768" t="s">
        <v>1751</v>
      </c>
      <c r="B1768" t="s">
        <v>10267</v>
      </c>
      <c r="C1768" t="s">
        <v>1751</v>
      </c>
      <c r="D1768">
        <v>20436805</v>
      </c>
      <c r="E1768" t="s">
        <v>3190</v>
      </c>
      <c r="F1768" t="s">
        <v>1237</v>
      </c>
      <c r="G1768" t="s">
        <v>3129</v>
      </c>
      <c r="H1768" t="s">
        <v>1253</v>
      </c>
      <c r="J1768" s="455">
        <v>46051</v>
      </c>
      <c r="R1768" s="455">
        <v>46114</v>
      </c>
      <c r="U1768" s="455">
        <v>46051</v>
      </c>
    </row>
    <row r="1769" spans="1:21">
      <c r="A1769" t="s">
        <v>1751</v>
      </c>
      <c r="B1769" t="s">
        <v>9041</v>
      </c>
      <c r="C1769" t="s">
        <v>1751</v>
      </c>
      <c r="D1769">
        <v>20446785</v>
      </c>
      <c r="E1769" t="s">
        <v>3190</v>
      </c>
      <c r="F1769" t="s">
        <v>1782</v>
      </c>
      <c r="G1769" t="s">
        <v>3129</v>
      </c>
      <c r="H1769" t="s">
        <v>3131</v>
      </c>
      <c r="J1769" s="455">
        <v>46064</v>
      </c>
      <c r="R1769" s="455">
        <v>46114</v>
      </c>
      <c r="U1769" s="455">
        <v>46064</v>
      </c>
    </row>
    <row r="1770" spans="1:21">
      <c r="A1770" t="s">
        <v>1751</v>
      </c>
      <c r="B1770" t="s">
        <v>10268</v>
      </c>
      <c r="C1770" t="s">
        <v>1751</v>
      </c>
      <c r="D1770">
        <v>20484772</v>
      </c>
      <c r="E1770" t="s">
        <v>3190</v>
      </c>
      <c r="F1770" t="s">
        <v>1782</v>
      </c>
      <c r="G1770" t="s">
        <v>3129</v>
      </c>
      <c r="H1770" t="s">
        <v>3131</v>
      </c>
      <c r="J1770" s="455">
        <v>46113</v>
      </c>
      <c r="R1770" s="455">
        <v>46114</v>
      </c>
      <c r="U1770" s="455">
        <v>46143</v>
      </c>
    </row>
    <row r="1771" spans="1:21">
      <c r="A1771" t="s">
        <v>1751</v>
      </c>
      <c r="B1771" t="s">
        <v>9042</v>
      </c>
      <c r="C1771" t="s">
        <v>1751</v>
      </c>
      <c r="D1771">
        <v>20456374</v>
      </c>
      <c r="E1771" t="s">
        <v>3190</v>
      </c>
      <c r="F1771" t="s">
        <v>1241</v>
      </c>
      <c r="G1771" t="s">
        <v>3129</v>
      </c>
      <c r="H1771" t="s">
        <v>3131</v>
      </c>
      <c r="J1771" s="455">
        <v>46077</v>
      </c>
      <c r="R1771" s="455">
        <v>46114</v>
      </c>
      <c r="U1771" s="455">
        <v>46077</v>
      </c>
    </row>
    <row r="1772" spans="1:21">
      <c r="A1772" t="s">
        <v>1751</v>
      </c>
      <c r="B1772" t="s">
        <v>10269</v>
      </c>
      <c r="C1772" t="s">
        <v>1751</v>
      </c>
      <c r="D1772">
        <v>20512119</v>
      </c>
      <c r="E1772" t="s">
        <v>3128</v>
      </c>
      <c r="F1772" t="s">
        <v>1782</v>
      </c>
      <c r="G1772" t="s">
        <v>3129</v>
      </c>
      <c r="H1772" t="s">
        <v>3131</v>
      </c>
      <c r="J1772" s="455">
        <v>46140</v>
      </c>
      <c r="U1772" s="455">
        <v>46140</v>
      </c>
    </row>
    <row r="1773" spans="1:21">
      <c r="A1773" t="s">
        <v>1751</v>
      </c>
      <c r="B1773" t="s">
        <v>10270</v>
      </c>
      <c r="C1773" t="s">
        <v>1751</v>
      </c>
      <c r="D1773">
        <v>20415977</v>
      </c>
      <c r="E1773" t="s">
        <v>3190</v>
      </c>
      <c r="F1773" t="s">
        <v>1241</v>
      </c>
      <c r="G1773" t="s">
        <v>3129</v>
      </c>
      <c r="H1773" t="s">
        <v>1247</v>
      </c>
      <c r="J1773" s="455">
        <v>46022</v>
      </c>
      <c r="R1773" s="455">
        <v>46114</v>
      </c>
      <c r="U1773" s="455">
        <v>46023</v>
      </c>
    </row>
    <row r="1774" spans="1:21">
      <c r="A1774" t="s">
        <v>1751</v>
      </c>
      <c r="B1774" t="s">
        <v>4179</v>
      </c>
      <c r="C1774" t="s">
        <v>1751</v>
      </c>
      <c r="D1774">
        <v>20441438</v>
      </c>
      <c r="E1774" t="s">
        <v>3190</v>
      </c>
      <c r="F1774" t="s">
        <v>1239</v>
      </c>
      <c r="G1774" t="s">
        <v>3129</v>
      </c>
      <c r="H1774" t="s">
        <v>3131</v>
      </c>
      <c r="J1774" s="455">
        <v>46058</v>
      </c>
      <c r="R1774" s="455">
        <v>46114</v>
      </c>
      <c r="U1774" s="455">
        <v>46058</v>
      </c>
    </row>
    <row r="1775" spans="1:21">
      <c r="A1775" t="s">
        <v>1751</v>
      </c>
      <c r="B1775" t="s">
        <v>4179</v>
      </c>
      <c r="C1775" t="s">
        <v>1751</v>
      </c>
      <c r="D1775">
        <v>20503602</v>
      </c>
      <c r="E1775" t="s">
        <v>3128</v>
      </c>
      <c r="F1775" t="s">
        <v>1782</v>
      </c>
      <c r="G1775" t="s">
        <v>3129</v>
      </c>
      <c r="H1775" t="s">
        <v>3131</v>
      </c>
      <c r="J1775" s="455">
        <v>46132</v>
      </c>
      <c r="U1775" s="455">
        <v>46132</v>
      </c>
    </row>
    <row r="1776" spans="1:21">
      <c r="A1776" t="s">
        <v>1751</v>
      </c>
      <c r="B1776" t="s">
        <v>4179</v>
      </c>
      <c r="C1776" t="s">
        <v>1751</v>
      </c>
      <c r="D1776">
        <v>20503619</v>
      </c>
      <c r="E1776" t="s">
        <v>3190</v>
      </c>
      <c r="F1776" t="s">
        <v>1782</v>
      </c>
      <c r="G1776" t="s">
        <v>3129</v>
      </c>
      <c r="H1776" t="s">
        <v>3377</v>
      </c>
      <c r="J1776" s="455">
        <v>46132</v>
      </c>
      <c r="R1776" s="455">
        <v>46134</v>
      </c>
      <c r="U1776" s="455">
        <v>46132</v>
      </c>
    </row>
    <row r="1777" spans="1:21">
      <c r="A1777" t="s">
        <v>1751</v>
      </c>
      <c r="B1777" t="s">
        <v>4179</v>
      </c>
      <c r="C1777" t="s">
        <v>1751</v>
      </c>
      <c r="D1777">
        <v>20428782</v>
      </c>
      <c r="E1777" t="s">
        <v>3190</v>
      </c>
      <c r="F1777" t="s">
        <v>1241</v>
      </c>
      <c r="G1777" t="s">
        <v>3129</v>
      </c>
      <c r="H1777" t="s">
        <v>1253</v>
      </c>
      <c r="J1777" s="455">
        <v>46038</v>
      </c>
      <c r="R1777" s="455">
        <v>46114</v>
      </c>
      <c r="U1777" s="455">
        <v>46038</v>
      </c>
    </row>
    <row r="1778" spans="1:21">
      <c r="A1778" t="s">
        <v>1751</v>
      </c>
      <c r="B1778" t="s">
        <v>4179</v>
      </c>
      <c r="C1778" t="s">
        <v>1751</v>
      </c>
      <c r="D1778">
        <v>20449846</v>
      </c>
      <c r="E1778" t="s">
        <v>3190</v>
      </c>
      <c r="F1778" t="s">
        <v>1782</v>
      </c>
      <c r="G1778" t="s">
        <v>3129</v>
      </c>
      <c r="H1778" t="s">
        <v>3131</v>
      </c>
      <c r="J1778" s="455">
        <v>46069</v>
      </c>
      <c r="R1778" s="455">
        <v>46114</v>
      </c>
      <c r="U1778" s="455">
        <v>46069</v>
      </c>
    </row>
    <row r="1779" spans="1:21">
      <c r="A1779" t="s">
        <v>1751</v>
      </c>
      <c r="B1779" t="s">
        <v>4179</v>
      </c>
      <c r="C1779" t="s">
        <v>1751</v>
      </c>
      <c r="D1779">
        <v>20482264</v>
      </c>
      <c r="E1779" t="s">
        <v>3190</v>
      </c>
      <c r="F1779" t="s">
        <v>1782</v>
      </c>
      <c r="G1779" t="s">
        <v>3129</v>
      </c>
      <c r="H1779" t="s">
        <v>1253</v>
      </c>
      <c r="J1779" s="455">
        <v>46109</v>
      </c>
      <c r="R1779" s="455">
        <v>46139</v>
      </c>
      <c r="U1779" s="455">
        <v>46109</v>
      </c>
    </row>
    <row r="1780" spans="1:21">
      <c r="A1780" t="s">
        <v>1751</v>
      </c>
      <c r="B1780" t="s">
        <v>4179</v>
      </c>
      <c r="C1780" t="s">
        <v>1751</v>
      </c>
      <c r="D1780">
        <v>20449931</v>
      </c>
      <c r="E1780" t="s">
        <v>3190</v>
      </c>
      <c r="F1780" t="s">
        <v>1782</v>
      </c>
      <c r="G1780" t="s">
        <v>3129</v>
      </c>
      <c r="H1780" t="s">
        <v>1252</v>
      </c>
      <c r="J1780" s="455">
        <v>46069</v>
      </c>
      <c r="R1780" s="455">
        <v>46114</v>
      </c>
      <c r="U1780" s="455">
        <v>46069</v>
      </c>
    </row>
    <row r="1781" spans="1:21">
      <c r="A1781" t="s">
        <v>1751</v>
      </c>
      <c r="B1781" t="s">
        <v>4179</v>
      </c>
      <c r="C1781" t="s">
        <v>1751</v>
      </c>
      <c r="D1781">
        <v>20504278</v>
      </c>
      <c r="E1781" t="s">
        <v>3128</v>
      </c>
      <c r="F1781" t="s">
        <v>1241</v>
      </c>
      <c r="G1781" t="s">
        <v>3141</v>
      </c>
      <c r="H1781" t="s">
        <v>1247</v>
      </c>
      <c r="J1781" s="455">
        <v>46132</v>
      </c>
      <c r="U1781" s="455">
        <v>46132</v>
      </c>
    </row>
    <row r="1782" spans="1:21">
      <c r="A1782" t="s">
        <v>1751</v>
      </c>
      <c r="B1782" t="s">
        <v>4179</v>
      </c>
      <c r="C1782" t="s">
        <v>1751</v>
      </c>
      <c r="D1782">
        <v>20504279</v>
      </c>
      <c r="E1782" t="s">
        <v>3190</v>
      </c>
      <c r="F1782" t="s">
        <v>1241</v>
      </c>
      <c r="G1782" t="s">
        <v>3137</v>
      </c>
      <c r="H1782" t="s">
        <v>1251</v>
      </c>
      <c r="J1782" s="455">
        <v>46132</v>
      </c>
      <c r="R1782" s="455">
        <v>46139</v>
      </c>
      <c r="U1782" s="455">
        <v>46132</v>
      </c>
    </row>
    <row r="1783" spans="1:21">
      <c r="A1783" t="s">
        <v>1751</v>
      </c>
      <c r="B1783" t="s">
        <v>4179</v>
      </c>
      <c r="C1783" t="s">
        <v>1751</v>
      </c>
      <c r="D1783">
        <v>20450466</v>
      </c>
      <c r="E1783" t="s">
        <v>3190</v>
      </c>
      <c r="F1783" t="s">
        <v>1241</v>
      </c>
      <c r="G1783" t="s">
        <v>3129</v>
      </c>
      <c r="H1783" t="s">
        <v>3131</v>
      </c>
      <c r="J1783" s="455">
        <v>46070</v>
      </c>
      <c r="R1783" s="455">
        <v>46114</v>
      </c>
      <c r="U1783" s="455">
        <v>46096</v>
      </c>
    </row>
    <row r="1784" spans="1:21">
      <c r="A1784" t="s">
        <v>1751</v>
      </c>
      <c r="B1784" t="s">
        <v>4179</v>
      </c>
      <c r="C1784" t="s">
        <v>1751</v>
      </c>
      <c r="D1784">
        <v>20448452</v>
      </c>
      <c r="E1784" t="s">
        <v>3190</v>
      </c>
      <c r="F1784" t="s">
        <v>1782</v>
      </c>
      <c r="G1784" t="s">
        <v>3129</v>
      </c>
      <c r="H1784" t="s">
        <v>1253</v>
      </c>
      <c r="J1784" s="455">
        <v>46066</v>
      </c>
      <c r="R1784" s="455">
        <v>46114</v>
      </c>
      <c r="U1784" s="455">
        <v>46066</v>
      </c>
    </row>
    <row r="1785" spans="1:21">
      <c r="A1785" t="s">
        <v>1751</v>
      </c>
      <c r="B1785" t="s">
        <v>4179</v>
      </c>
      <c r="C1785" t="s">
        <v>1751</v>
      </c>
      <c r="D1785">
        <v>20422574</v>
      </c>
      <c r="E1785" t="s">
        <v>3190</v>
      </c>
      <c r="F1785" t="s">
        <v>1241</v>
      </c>
      <c r="G1785" t="s">
        <v>2009</v>
      </c>
      <c r="H1785" t="s">
        <v>1247</v>
      </c>
      <c r="J1785" s="455">
        <v>46032</v>
      </c>
      <c r="R1785" s="455">
        <v>46114</v>
      </c>
      <c r="U1785" s="455">
        <v>46032</v>
      </c>
    </row>
    <row r="1786" spans="1:21">
      <c r="A1786" t="s">
        <v>1751</v>
      </c>
      <c r="B1786" t="s">
        <v>4179</v>
      </c>
      <c r="C1786" t="s">
        <v>1751</v>
      </c>
      <c r="D1786">
        <v>20453628</v>
      </c>
      <c r="E1786" t="s">
        <v>3190</v>
      </c>
      <c r="F1786" t="s">
        <v>1241</v>
      </c>
      <c r="G1786" t="s">
        <v>3129</v>
      </c>
      <c r="H1786" t="s">
        <v>3131</v>
      </c>
      <c r="J1786" s="455">
        <v>46072</v>
      </c>
      <c r="R1786" s="455">
        <v>46114</v>
      </c>
      <c r="U1786" s="455">
        <v>46072</v>
      </c>
    </row>
    <row r="1787" spans="1:21">
      <c r="A1787" t="s">
        <v>1751</v>
      </c>
      <c r="B1787" t="s">
        <v>4179</v>
      </c>
      <c r="C1787" t="s">
        <v>1751</v>
      </c>
      <c r="D1787">
        <v>20432115</v>
      </c>
      <c r="E1787" t="s">
        <v>3190</v>
      </c>
      <c r="F1787" t="s">
        <v>1237</v>
      </c>
      <c r="G1787" t="s">
        <v>3129</v>
      </c>
      <c r="H1787" t="s">
        <v>3131</v>
      </c>
      <c r="J1787" s="455">
        <v>46043</v>
      </c>
      <c r="R1787" s="455">
        <v>46114</v>
      </c>
      <c r="U1787" s="455">
        <v>46043</v>
      </c>
    </row>
    <row r="1788" spans="1:21">
      <c r="A1788" t="s">
        <v>1751</v>
      </c>
      <c r="B1788" t="s">
        <v>4179</v>
      </c>
      <c r="C1788" t="s">
        <v>1751</v>
      </c>
      <c r="D1788">
        <v>20499835</v>
      </c>
      <c r="E1788" t="s">
        <v>3190</v>
      </c>
      <c r="F1788" t="s">
        <v>1782</v>
      </c>
      <c r="G1788" t="s">
        <v>3129</v>
      </c>
      <c r="H1788" t="s">
        <v>1253</v>
      </c>
      <c r="J1788" s="455">
        <v>46129</v>
      </c>
      <c r="R1788" s="455">
        <v>46130</v>
      </c>
      <c r="U1788" s="455">
        <v>46129</v>
      </c>
    </row>
    <row r="1789" spans="1:21">
      <c r="A1789" t="s">
        <v>1751</v>
      </c>
      <c r="B1789" t="s">
        <v>4179</v>
      </c>
      <c r="C1789" t="s">
        <v>1751</v>
      </c>
      <c r="D1789">
        <v>20485894</v>
      </c>
      <c r="E1789" t="s">
        <v>3190</v>
      </c>
      <c r="F1789" t="s">
        <v>1241</v>
      </c>
      <c r="G1789" t="s">
        <v>3129</v>
      </c>
      <c r="H1789" t="s">
        <v>1252</v>
      </c>
      <c r="J1789" s="455">
        <v>46114</v>
      </c>
      <c r="R1789" s="455">
        <v>46114</v>
      </c>
      <c r="U1789" s="455">
        <v>46114</v>
      </c>
    </row>
    <row r="1790" spans="1:21">
      <c r="A1790" t="s">
        <v>1751</v>
      </c>
      <c r="B1790" t="s">
        <v>4179</v>
      </c>
      <c r="C1790" t="s">
        <v>1751</v>
      </c>
      <c r="D1790">
        <v>20499110</v>
      </c>
      <c r="E1790" t="s">
        <v>3190</v>
      </c>
      <c r="F1790" t="s">
        <v>1782</v>
      </c>
      <c r="G1790" t="s">
        <v>3129</v>
      </c>
      <c r="H1790" t="s">
        <v>3131</v>
      </c>
      <c r="J1790" s="455">
        <v>46129</v>
      </c>
      <c r="R1790" s="455">
        <v>46139</v>
      </c>
      <c r="U1790" s="455">
        <v>46129</v>
      </c>
    </row>
    <row r="1791" spans="1:21">
      <c r="A1791" t="s">
        <v>1751</v>
      </c>
      <c r="B1791" t="s">
        <v>4179</v>
      </c>
      <c r="C1791" t="s">
        <v>1751</v>
      </c>
      <c r="D1791">
        <v>20499101</v>
      </c>
      <c r="E1791" t="s">
        <v>3190</v>
      </c>
      <c r="F1791" t="s">
        <v>1782</v>
      </c>
      <c r="G1791" t="s">
        <v>3129</v>
      </c>
      <c r="H1791" t="s">
        <v>3131</v>
      </c>
      <c r="J1791" s="455">
        <v>46129</v>
      </c>
      <c r="R1791" s="455">
        <v>46139</v>
      </c>
      <c r="U1791" s="455">
        <v>46129</v>
      </c>
    </row>
    <row r="1792" spans="1:21">
      <c r="A1792" t="s">
        <v>1751</v>
      </c>
      <c r="B1792" t="s">
        <v>4179</v>
      </c>
      <c r="C1792" t="s">
        <v>1751</v>
      </c>
      <c r="D1792">
        <v>20486090</v>
      </c>
      <c r="E1792" t="s">
        <v>3190</v>
      </c>
      <c r="F1792" t="s">
        <v>1241</v>
      </c>
      <c r="G1792" t="s">
        <v>3129</v>
      </c>
      <c r="H1792" t="s">
        <v>1253</v>
      </c>
      <c r="J1792" s="455">
        <v>46114</v>
      </c>
      <c r="R1792" s="455">
        <v>46114</v>
      </c>
      <c r="U1792" s="455">
        <v>46114</v>
      </c>
    </row>
    <row r="1793" spans="1:21">
      <c r="A1793" t="s">
        <v>1751</v>
      </c>
      <c r="B1793" t="s">
        <v>4179</v>
      </c>
      <c r="C1793" t="s">
        <v>1751</v>
      </c>
      <c r="D1793">
        <v>20454324</v>
      </c>
      <c r="E1793" t="s">
        <v>3190</v>
      </c>
      <c r="F1793" t="s">
        <v>1241</v>
      </c>
      <c r="G1793" t="s">
        <v>3129</v>
      </c>
      <c r="H1793" t="s">
        <v>1252</v>
      </c>
      <c r="J1793" s="455">
        <v>46073</v>
      </c>
      <c r="R1793" s="455">
        <v>46114</v>
      </c>
      <c r="U1793" s="455">
        <v>46143</v>
      </c>
    </row>
    <row r="1794" spans="1:21">
      <c r="A1794" t="s">
        <v>1751</v>
      </c>
      <c r="B1794" t="s">
        <v>4179</v>
      </c>
      <c r="C1794" t="s">
        <v>1751</v>
      </c>
      <c r="D1794">
        <v>20507621</v>
      </c>
      <c r="E1794" t="s">
        <v>3128</v>
      </c>
      <c r="F1794" t="s">
        <v>1782</v>
      </c>
      <c r="G1794" t="s">
        <v>3129</v>
      </c>
      <c r="H1794" t="s">
        <v>1252</v>
      </c>
      <c r="J1794" s="455">
        <v>46135</v>
      </c>
      <c r="U1794" s="455">
        <v>46135</v>
      </c>
    </row>
    <row r="1795" spans="1:21">
      <c r="A1795" t="s">
        <v>1751</v>
      </c>
      <c r="B1795" t="s">
        <v>4179</v>
      </c>
      <c r="C1795" t="s">
        <v>1751</v>
      </c>
      <c r="D1795">
        <v>20498804</v>
      </c>
      <c r="E1795" t="s">
        <v>3190</v>
      </c>
      <c r="F1795" t="s">
        <v>1241</v>
      </c>
      <c r="G1795" t="s">
        <v>3129</v>
      </c>
      <c r="H1795" t="s">
        <v>1253</v>
      </c>
      <c r="J1795" s="455">
        <v>46129</v>
      </c>
      <c r="R1795" s="455">
        <v>46130</v>
      </c>
      <c r="U1795" s="455">
        <v>46129</v>
      </c>
    </row>
    <row r="1796" spans="1:21">
      <c r="A1796" t="s">
        <v>1751</v>
      </c>
      <c r="B1796" t="s">
        <v>4179</v>
      </c>
      <c r="C1796" t="s">
        <v>1751</v>
      </c>
      <c r="D1796">
        <v>20507718</v>
      </c>
      <c r="E1796" t="s">
        <v>3128</v>
      </c>
      <c r="F1796" t="s">
        <v>1782</v>
      </c>
      <c r="G1796" t="s">
        <v>3129</v>
      </c>
      <c r="H1796" t="s">
        <v>3131</v>
      </c>
      <c r="J1796" s="455">
        <v>46135</v>
      </c>
      <c r="U1796" s="455">
        <v>46135</v>
      </c>
    </row>
    <row r="1797" spans="1:21">
      <c r="A1797" t="s">
        <v>1751</v>
      </c>
      <c r="B1797" t="s">
        <v>4179</v>
      </c>
      <c r="C1797" t="s">
        <v>1751</v>
      </c>
      <c r="D1797">
        <v>20507828</v>
      </c>
      <c r="E1797" t="s">
        <v>3128</v>
      </c>
      <c r="F1797" t="s">
        <v>1782</v>
      </c>
      <c r="G1797" t="s">
        <v>3129</v>
      </c>
      <c r="H1797" t="s">
        <v>3131</v>
      </c>
      <c r="J1797" s="455">
        <v>46135</v>
      </c>
      <c r="U1797" s="455">
        <v>46135</v>
      </c>
    </row>
    <row r="1798" spans="1:21">
      <c r="A1798" t="s">
        <v>1751</v>
      </c>
      <c r="B1798" t="s">
        <v>4179</v>
      </c>
      <c r="C1798" t="s">
        <v>1751</v>
      </c>
      <c r="D1798">
        <v>20507889</v>
      </c>
      <c r="E1798" t="s">
        <v>3128</v>
      </c>
      <c r="F1798" t="s">
        <v>1782</v>
      </c>
      <c r="G1798" t="s">
        <v>3129</v>
      </c>
      <c r="H1798" t="s">
        <v>3131</v>
      </c>
      <c r="J1798" s="455">
        <v>46135</v>
      </c>
      <c r="U1798" s="455">
        <v>46135</v>
      </c>
    </row>
    <row r="1799" spans="1:21">
      <c r="A1799" t="s">
        <v>1751</v>
      </c>
      <c r="B1799" t="s">
        <v>4179</v>
      </c>
      <c r="C1799" t="s">
        <v>1751</v>
      </c>
      <c r="D1799">
        <v>20508180</v>
      </c>
      <c r="E1799" t="s">
        <v>3128</v>
      </c>
      <c r="F1799" t="s">
        <v>1782</v>
      </c>
      <c r="G1799" t="s">
        <v>3129</v>
      </c>
      <c r="H1799" t="s">
        <v>3131</v>
      </c>
      <c r="J1799" s="455">
        <v>46135</v>
      </c>
      <c r="U1799" s="455">
        <v>46135</v>
      </c>
    </row>
    <row r="1800" spans="1:21">
      <c r="A1800" t="s">
        <v>1751</v>
      </c>
      <c r="B1800" t="s">
        <v>4179</v>
      </c>
      <c r="C1800" t="s">
        <v>1751</v>
      </c>
      <c r="D1800">
        <v>20435548</v>
      </c>
      <c r="E1800" t="s">
        <v>3190</v>
      </c>
      <c r="F1800" t="s">
        <v>1238</v>
      </c>
      <c r="G1800" t="s">
        <v>3129</v>
      </c>
      <c r="H1800" t="s">
        <v>1247</v>
      </c>
      <c r="J1800" s="455">
        <v>46049</v>
      </c>
      <c r="R1800" s="455">
        <v>46114</v>
      </c>
      <c r="U1800" s="455">
        <v>46049</v>
      </c>
    </row>
    <row r="1801" spans="1:21">
      <c r="A1801" t="s">
        <v>1751</v>
      </c>
      <c r="B1801" t="s">
        <v>4179</v>
      </c>
      <c r="C1801" t="s">
        <v>1751</v>
      </c>
      <c r="D1801">
        <v>20419108</v>
      </c>
      <c r="E1801" t="s">
        <v>3190</v>
      </c>
      <c r="F1801" t="s">
        <v>1241</v>
      </c>
      <c r="G1801" t="s">
        <v>3129</v>
      </c>
      <c r="H1801" t="s">
        <v>1247</v>
      </c>
      <c r="J1801" s="455">
        <v>46028</v>
      </c>
      <c r="R1801" s="455">
        <v>46114</v>
      </c>
      <c r="U1801" s="455">
        <v>46028</v>
      </c>
    </row>
    <row r="1802" spans="1:21">
      <c r="A1802" t="s">
        <v>1751</v>
      </c>
      <c r="B1802" t="s">
        <v>4179</v>
      </c>
      <c r="C1802" t="s">
        <v>1751</v>
      </c>
      <c r="D1802">
        <v>20486571</v>
      </c>
      <c r="E1802" t="s">
        <v>3190</v>
      </c>
      <c r="F1802" t="s">
        <v>1241</v>
      </c>
      <c r="G1802" t="s">
        <v>3129</v>
      </c>
      <c r="H1802" t="s">
        <v>3377</v>
      </c>
      <c r="J1802" s="455">
        <v>46115</v>
      </c>
      <c r="R1802" s="455">
        <v>46115</v>
      </c>
      <c r="U1802" s="455">
        <v>46115</v>
      </c>
    </row>
    <row r="1803" spans="1:21">
      <c r="A1803" t="s">
        <v>1751</v>
      </c>
      <c r="B1803" t="s">
        <v>4179</v>
      </c>
      <c r="C1803" t="s">
        <v>1751</v>
      </c>
      <c r="D1803">
        <v>20509073</v>
      </c>
      <c r="E1803" t="s">
        <v>3128</v>
      </c>
      <c r="F1803" t="s">
        <v>1782</v>
      </c>
      <c r="G1803" t="s">
        <v>3129</v>
      </c>
      <c r="H1803" t="s">
        <v>3131</v>
      </c>
      <c r="J1803" s="455">
        <v>46136</v>
      </c>
      <c r="U1803" s="455">
        <v>46136</v>
      </c>
    </row>
    <row r="1804" spans="1:21">
      <c r="A1804" t="s">
        <v>1751</v>
      </c>
      <c r="B1804" t="s">
        <v>4179</v>
      </c>
      <c r="C1804" t="s">
        <v>1751</v>
      </c>
      <c r="D1804">
        <v>20475771</v>
      </c>
      <c r="E1804" t="s">
        <v>3190</v>
      </c>
      <c r="F1804" t="s">
        <v>1241</v>
      </c>
      <c r="G1804" t="s">
        <v>3129</v>
      </c>
      <c r="H1804" t="s">
        <v>3131</v>
      </c>
      <c r="J1804" s="455">
        <v>46100</v>
      </c>
      <c r="R1804" s="455">
        <v>46114</v>
      </c>
      <c r="U1804" s="455">
        <v>46157</v>
      </c>
    </row>
    <row r="1805" spans="1:21">
      <c r="A1805" t="s">
        <v>1751</v>
      </c>
      <c r="B1805" t="s">
        <v>4179</v>
      </c>
      <c r="C1805" t="s">
        <v>1751</v>
      </c>
      <c r="D1805">
        <v>20496966</v>
      </c>
      <c r="E1805" t="s">
        <v>3128</v>
      </c>
      <c r="F1805" t="s">
        <v>1782</v>
      </c>
      <c r="G1805" t="s">
        <v>3129</v>
      </c>
      <c r="H1805" t="s">
        <v>3131</v>
      </c>
      <c r="J1805" s="455">
        <v>46127</v>
      </c>
      <c r="U1805" s="455">
        <v>46127</v>
      </c>
    </row>
    <row r="1806" spans="1:21">
      <c r="A1806" t="s">
        <v>1751</v>
      </c>
      <c r="B1806" t="s">
        <v>4179</v>
      </c>
      <c r="C1806" t="s">
        <v>1751</v>
      </c>
      <c r="D1806">
        <v>20509166</v>
      </c>
      <c r="E1806" t="s">
        <v>3128</v>
      </c>
      <c r="F1806" t="s">
        <v>1782</v>
      </c>
      <c r="G1806" t="s">
        <v>3129</v>
      </c>
      <c r="H1806" t="s">
        <v>1252</v>
      </c>
      <c r="J1806" s="455">
        <v>46136</v>
      </c>
      <c r="U1806" s="455">
        <v>46136</v>
      </c>
    </row>
    <row r="1807" spans="1:21">
      <c r="A1807" t="s">
        <v>1751</v>
      </c>
      <c r="B1807" t="s">
        <v>4179</v>
      </c>
      <c r="C1807" t="s">
        <v>1751</v>
      </c>
      <c r="D1807">
        <v>20509445</v>
      </c>
      <c r="E1807" t="s">
        <v>3128</v>
      </c>
      <c r="F1807" t="s">
        <v>1782</v>
      </c>
      <c r="G1807" t="s">
        <v>3141</v>
      </c>
      <c r="H1807" t="s">
        <v>1247</v>
      </c>
      <c r="J1807" s="455">
        <v>46136</v>
      </c>
      <c r="U1807" s="455">
        <v>46136</v>
      </c>
    </row>
    <row r="1808" spans="1:21">
      <c r="A1808" t="s">
        <v>1751</v>
      </c>
      <c r="B1808" t="s">
        <v>4179</v>
      </c>
      <c r="C1808" t="s">
        <v>1751</v>
      </c>
      <c r="D1808">
        <v>20488205</v>
      </c>
      <c r="E1808" t="s">
        <v>3190</v>
      </c>
      <c r="F1808" t="s">
        <v>1782</v>
      </c>
      <c r="G1808" t="s">
        <v>3129</v>
      </c>
      <c r="H1808" t="s">
        <v>3131</v>
      </c>
      <c r="J1808" s="455">
        <v>46118</v>
      </c>
      <c r="R1808" s="455">
        <v>46139</v>
      </c>
      <c r="U1808" s="455">
        <v>46118</v>
      </c>
    </row>
    <row r="1809" spans="1:21">
      <c r="A1809" t="s">
        <v>1751</v>
      </c>
      <c r="B1809" t="s">
        <v>4179</v>
      </c>
      <c r="C1809" t="s">
        <v>1751</v>
      </c>
      <c r="D1809">
        <v>20473505</v>
      </c>
      <c r="E1809" t="s">
        <v>3190</v>
      </c>
      <c r="F1809" t="s">
        <v>1241</v>
      </c>
      <c r="G1809" t="s">
        <v>3137</v>
      </c>
      <c r="H1809" t="s">
        <v>1247</v>
      </c>
      <c r="J1809" s="455">
        <v>46098</v>
      </c>
      <c r="R1809" s="455">
        <v>46114</v>
      </c>
      <c r="U1809" s="455">
        <v>46098</v>
      </c>
    </row>
    <row r="1810" spans="1:21">
      <c r="A1810" t="s">
        <v>1751</v>
      </c>
      <c r="B1810" t="s">
        <v>4179</v>
      </c>
      <c r="C1810" t="s">
        <v>1751</v>
      </c>
      <c r="D1810">
        <v>20416990</v>
      </c>
      <c r="E1810" t="s">
        <v>3190</v>
      </c>
      <c r="F1810" t="s">
        <v>1241</v>
      </c>
      <c r="G1810" t="s">
        <v>3129</v>
      </c>
      <c r="H1810" t="s">
        <v>1247</v>
      </c>
      <c r="J1810" s="455">
        <v>46024</v>
      </c>
      <c r="R1810" s="455">
        <v>46114</v>
      </c>
      <c r="U1810" s="455">
        <v>46024</v>
      </c>
    </row>
    <row r="1811" spans="1:21">
      <c r="A1811" t="s">
        <v>1751</v>
      </c>
      <c r="B1811" t="s">
        <v>4179</v>
      </c>
      <c r="C1811" t="s">
        <v>1751</v>
      </c>
      <c r="D1811">
        <v>20509715</v>
      </c>
      <c r="E1811" t="s">
        <v>3128</v>
      </c>
      <c r="F1811" t="s">
        <v>1782</v>
      </c>
      <c r="G1811" t="s">
        <v>3129</v>
      </c>
      <c r="H1811" t="s">
        <v>1252</v>
      </c>
      <c r="J1811" s="455">
        <v>46137</v>
      </c>
      <c r="U1811" s="455">
        <v>46137</v>
      </c>
    </row>
    <row r="1812" spans="1:21">
      <c r="A1812" t="s">
        <v>1751</v>
      </c>
      <c r="B1812" t="s">
        <v>4179</v>
      </c>
      <c r="C1812" t="s">
        <v>1751</v>
      </c>
      <c r="D1812">
        <v>20488503</v>
      </c>
      <c r="E1812" t="s">
        <v>3190</v>
      </c>
      <c r="F1812" t="s">
        <v>1782</v>
      </c>
      <c r="G1812" t="s">
        <v>3129</v>
      </c>
      <c r="H1812" t="s">
        <v>1253</v>
      </c>
      <c r="J1812" s="455">
        <v>46118</v>
      </c>
      <c r="R1812" s="455">
        <v>46139</v>
      </c>
      <c r="U1812" s="455">
        <v>46118</v>
      </c>
    </row>
    <row r="1813" spans="1:21">
      <c r="A1813" t="s">
        <v>1751</v>
      </c>
      <c r="B1813" t="s">
        <v>4179</v>
      </c>
      <c r="C1813" t="s">
        <v>1751</v>
      </c>
      <c r="D1813">
        <v>20472330</v>
      </c>
      <c r="E1813" t="s">
        <v>3190</v>
      </c>
      <c r="F1813" t="s">
        <v>1782</v>
      </c>
      <c r="G1813" t="s">
        <v>3129</v>
      </c>
      <c r="H1813" t="s">
        <v>3131</v>
      </c>
      <c r="J1813" s="455">
        <v>46097</v>
      </c>
      <c r="R1813" s="455">
        <v>46114</v>
      </c>
      <c r="U1813" s="455">
        <v>46097</v>
      </c>
    </row>
    <row r="1814" spans="1:21">
      <c r="A1814" t="s">
        <v>1751</v>
      </c>
      <c r="B1814" t="s">
        <v>4179</v>
      </c>
      <c r="C1814" t="s">
        <v>1751</v>
      </c>
      <c r="D1814">
        <v>20416632</v>
      </c>
      <c r="E1814" t="s">
        <v>3190</v>
      </c>
      <c r="F1814" t="s">
        <v>1238</v>
      </c>
      <c r="G1814" t="s">
        <v>3129</v>
      </c>
      <c r="H1814" t="s">
        <v>1247</v>
      </c>
      <c r="J1814" s="455">
        <v>46024</v>
      </c>
      <c r="R1814" s="455">
        <v>46114</v>
      </c>
      <c r="U1814" s="455">
        <v>46024</v>
      </c>
    </row>
    <row r="1815" spans="1:21">
      <c r="A1815" t="s">
        <v>1751</v>
      </c>
      <c r="B1815" t="s">
        <v>4179</v>
      </c>
      <c r="C1815" t="s">
        <v>1751</v>
      </c>
      <c r="D1815">
        <v>20416533</v>
      </c>
      <c r="E1815" t="s">
        <v>3190</v>
      </c>
      <c r="F1815" t="s">
        <v>1241</v>
      </c>
      <c r="G1815" t="s">
        <v>3129</v>
      </c>
      <c r="H1815" t="s">
        <v>1247</v>
      </c>
      <c r="J1815" s="455">
        <v>46024</v>
      </c>
      <c r="R1815" s="455">
        <v>46114</v>
      </c>
      <c r="U1815" s="455">
        <v>46024</v>
      </c>
    </row>
    <row r="1816" spans="1:21">
      <c r="A1816" t="s">
        <v>1751</v>
      </c>
      <c r="B1816" t="s">
        <v>4179</v>
      </c>
      <c r="C1816" t="s">
        <v>1751</v>
      </c>
      <c r="D1816">
        <v>20438121</v>
      </c>
      <c r="E1816" t="s">
        <v>3190</v>
      </c>
      <c r="F1816" t="s">
        <v>1238</v>
      </c>
      <c r="G1816" t="s">
        <v>3141</v>
      </c>
      <c r="H1816" t="s">
        <v>1251</v>
      </c>
      <c r="J1816" s="455">
        <v>46052</v>
      </c>
      <c r="R1816" s="455">
        <v>46114</v>
      </c>
      <c r="U1816" s="455">
        <v>46052</v>
      </c>
    </row>
    <row r="1817" spans="1:21">
      <c r="A1817" t="s">
        <v>1751</v>
      </c>
      <c r="B1817" t="s">
        <v>4179</v>
      </c>
      <c r="C1817" t="s">
        <v>1751</v>
      </c>
      <c r="D1817">
        <v>20415966</v>
      </c>
      <c r="E1817" t="s">
        <v>3190</v>
      </c>
      <c r="F1817" t="s">
        <v>1241</v>
      </c>
      <c r="G1817" t="s">
        <v>3129</v>
      </c>
      <c r="H1817" t="s">
        <v>1251</v>
      </c>
      <c r="J1817" s="455">
        <v>46022</v>
      </c>
      <c r="R1817" s="455">
        <v>46114</v>
      </c>
      <c r="U1817" s="455">
        <v>46022</v>
      </c>
    </row>
    <row r="1818" spans="1:21">
      <c r="A1818" t="s">
        <v>1751</v>
      </c>
      <c r="B1818" t="s">
        <v>4179</v>
      </c>
      <c r="C1818" t="s">
        <v>1751</v>
      </c>
      <c r="D1818">
        <v>20495092</v>
      </c>
      <c r="E1818" t="s">
        <v>3190</v>
      </c>
      <c r="F1818" t="s">
        <v>1241</v>
      </c>
      <c r="G1818" t="s">
        <v>3129</v>
      </c>
      <c r="H1818" t="s">
        <v>1252</v>
      </c>
      <c r="J1818" s="455">
        <v>46126</v>
      </c>
      <c r="R1818" s="455">
        <v>46139</v>
      </c>
      <c r="U1818" s="455">
        <v>46126</v>
      </c>
    </row>
    <row r="1819" spans="1:21">
      <c r="A1819" t="s">
        <v>1751</v>
      </c>
      <c r="B1819" t="s">
        <v>4179</v>
      </c>
      <c r="C1819" t="s">
        <v>1751</v>
      </c>
      <c r="D1819">
        <v>20459633</v>
      </c>
      <c r="E1819" t="s">
        <v>3190</v>
      </c>
      <c r="F1819" t="s">
        <v>1241</v>
      </c>
      <c r="G1819" t="s">
        <v>3129</v>
      </c>
      <c r="H1819" t="s">
        <v>1252</v>
      </c>
      <c r="J1819" s="455">
        <v>46081</v>
      </c>
      <c r="R1819" s="455">
        <v>46114</v>
      </c>
      <c r="U1819" s="455">
        <v>46096</v>
      </c>
    </row>
    <row r="1820" spans="1:21">
      <c r="A1820" t="s">
        <v>1751</v>
      </c>
      <c r="B1820" t="s">
        <v>4179</v>
      </c>
      <c r="C1820" t="s">
        <v>1751</v>
      </c>
      <c r="D1820">
        <v>20460387</v>
      </c>
      <c r="E1820" t="s">
        <v>3190</v>
      </c>
      <c r="F1820" t="s">
        <v>1782</v>
      </c>
      <c r="G1820" t="s">
        <v>3129</v>
      </c>
      <c r="H1820" t="s">
        <v>3131</v>
      </c>
      <c r="J1820" s="455">
        <v>46083</v>
      </c>
      <c r="R1820" s="455">
        <v>46114</v>
      </c>
      <c r="U1820" s="455">
        <v>46083</v>
      </c>
    </row>
    <row r="1821" spans="1:21">
      <c r="A1821" t="s">
        <v>1751</v>
      </c>
      <c r="B1821" t="s">
        <v>4179</v>
      </c>
      <c r="C1821" t="s">
        <v>1751</v>
      </c>
      <c r="D1821">
        <v>20415045</v>
      </c>
      <c r="E1821" t="s">
        <v>3190</v>
      </c>
      <c r="F1821" t="s">
        <v>1241</v>
      </c>
      <c r="G1821" t="s">
        <v>3129</v>
      </c>
      <c r="H1821" t="s">
        <v>1247</v>
      </c>
      <c r="J1821" s="455">
        <v>46021</v>
      </c>
      <c r="R1821" s="455">
        <v>46114</v>
      </c>
      <c r="U1821" s="455">
        <v>46021</v>
      </c>
    </row>
    <row r="1822" spans="1:21">
      <c r="A1822" t="s">
        <v>1751</v>
      </c>
      <c r="B1822" t="s">
        <v>4179</v>
      </c>
      <c r="C1822" t="s">
        <v>1751</v>
      </c>
      <c r="D1822">
        <v>20493484</v>
      </c>
      <c r="E1822" t="s">
        <v>3190</v>
      </c>
      <c r="F1822" t="s">
        <v>1241</v>
      </c>
      <c r="G1822" t="s">
        <v>3129</v>
      </c>
      <c r="H1822" t="s">
        <v>1253</v>
      </c>
      <c r="J1822" s="455">
        <v>46125</v>
      </c>
      <c r="R1822" s="455">
        <v>46129</v>
      </c>
      <c r="U1822" s="455">
        <v>46125</v>
      </c>
    </row>
    <row r="1823" spans="1:21">
      <c r="A1823" t="s">
        <v>1751</v>
      </c>
      <c r="B1823" t="s">
        <v>4179</v>
      </c>
      <c r="C1823" t="s">
        <v>1751</v>
      </c>
      <c r="D1823">
        <v>20511257</v>
      </c>
      <c r="E1823" t="s">
        <v>3128</v>
      </c>
      <c r="F1823" t="s">
        <v>1241</v>
      </c>
      <c r="G1823" t="s">
        <v>3129</v>
      </c>
      <c r="H1823" t="s">
        <v>1252</v>
      </c>
      <c r="J1823" s="455">
        <v>46139</v>
      </c>
      <c r="U1823" s="455">
        <v>46139</v>
      </c>
    </row>
    <row r="1824" spans="1:21">
      <c r="A1824" t="s">
        <v>1751</v>
      </c>
      <c r="B1824" t="s">
        <v>4179</v>
      </c>
      <c r="C1824" t="s">
        <v>1751</v>
      </c>
      <c r="D1824">
        <v>20461435</v>
      </c>
      <c r="E1824" t="s">
        <v>3190</v>
      </c>
      <c r="F1824" t="s">
        <v>1241</v>
      </c>
      <c r="G1824" t="s">
        <v>3129</v>
      </c>
      <c r="H1824" t="s">
        <v>1252</v>
      </c>
      <c r="J1824" s="455">
        <v>46084</v>
      </c>
      <c r="R1824" s="455">
        <v>46114</v>
      </c>
      <c r="U1824" s="455">
        <v>46084</v>
      </c>
    </row>
    <row r="1825" spans="1:21">
      <c r="A1825" t="s">
        <v>1751</v>
      </c>
      <c r="B1825" t="s">
        <v>4179</v>
      </c>
      <c r="C1825" t="s">
        <v>1751</v>
      </c>
      <c r="D1825">
        <v>20490661</v>
      </c>
      <c r="E1825" t="s">
        <v>3190</v>
      </c>
      <c r="F1825" t="s">
        <v>1241</v>
      </c>
      <c r="G1825" t="s">
        <v>3129</v>
      </c>
      <c r="H1825" t="s">
        <v>3131</v>
      </c>
      <c r="J1825" s="455">
        <v>46121</v>
      </c>
      <c r="R1825" s="455">
        <v>46139</v>
      </c>
      <c r="U1825" s="455">
        <v>46121</v>
      </c>
    </row>
    <row r="1826" spans="1:21">
      <c r="A1826" t="s">
        <v>1751</v>
      </c>
      <c r="B1826" t="s">
        <v>4179</v>
      </c>
      <c r="C1826" t="s">
        <v>1751</v>
      </c>
      <c r="D1826">
        <v>20442427</v>
      </c>
      <c r="E1826" t="s">
        <v>3190</v>
      </c>
      <c r="F1826" t="s">
        <v>1241</v>
      </c>
      <c r="G1826" t="s">
        <v>3129</v>
      </c>
      <c r="H1826" t="s">
        <v>3131</v>
      </c>
      <c r="J1826" s="455">
        <v>46059</v>
      </c>
      <c r="R1826" s="455">
        <v>46114</v>
      </c>
      <c r="U1826" s="455">
        <v>46059</v>
      </c>
    </row>
    <row r="1827" spans="1:21">
      <c r="A1827" t="s">
        <v>1751</v>
      </c>
      <c r="B1827" t="s">
        <v>4179</v>
      </c>
      <c r="C1827" t="s">
        <v>1751</v>
      </c>
      <c r="D1827">
        <v>20511891</v>
      </c>
      <c r="E1827" t="s">
        <v>3128</v>
      </c>
      <c r="F1827" t="s">
        <v>1782</v>
      </c>
      <c r="G1827" t="s">
        <v>3129</v>
      </c>
      <c r="H1827" t="s">
        <v>3377</v>
      </c>
      <c r="J1827" s="455">
        <v>46140</v>
      </c>
      <c r="U1827" s="455">
        <v>46140</v>
      </c>
    </row>
    <row r="1828" spans="1:21">
      <c r="A1828" t="s">
        <v>1751</v>
      </c>
      <c r="B1828" t="s">
        <v>4179</v>
      </c>
      <c r="C1828" t="s">
        <v>1751</v>
      </c>
      <c r="D1828">
        <v>20511937</v>
      </c>
      <c r="E1828" t="s">
        <v>3128</v>
      </c>
      <c r="F1828" t="s">
        <v>1782</v>
      </c>
      <c r="G1828" t="s">
        <v>3129</v>
      </c>
      <c r="H1828" t="s">
        <v>3377</v>
      </c>
      <c r="J1828" s="455">
        <v>46140</v>
      </c>
      <c r="U1828" s="455">
        <v>46140</v>
      </c>
    </row>
    <row r="1829" spans="1:21">
      <c r="A1829" t="s">
        <v>1751</v>
      </c>
      <c r="B1829" t="s">
        <v>4179</v>
      </c>
      <c r="C1829" t="s">
        <v>1751</v>
      </c>
      <c r="D1829">
        <v>20511973</v>
      </c>
      <c r="E1829" t="s">
        <v>3128</v>
      </c>
      <c r="F1829" t="s">
        <v>1782</v>
      </c>
      <c r="G1829" t="s">
        <v>3129</v>
      </c>
      <c r="H1829" t="s">
        <v>1252</v>
      </c>
      <c r="J1829" s="455">
        <v>46140</v>
      </c>
      <c r="U1829" s="455">
        <v>46140</v>
      </c>
    </row>
    <row r="1830" spans="1:21">
      <c r="A1830" t="s">
        <v>1751</v>
      </c>
      <c r="B1830" t="s">
        <v>4179</v>
      </c>
      <c r="C1830" t="s">
        <v>1751</v>
      </c>
      <c r="D1830">
        <v>20512081</v>
      </c>
      <c r="E1830" t="s">
        <v>3128</v>
      </c>
      <c r="F1830" t="s">
        <v>1782</v>
      </c>
      <c r="G1830" t="s">
        <v>3129</v>
      </c>
      <c r="H1830" t="s">
        <v>3131</v>
      </c>
      <c r="J1830" s="455">
        <v>46140</v>
      </c>
      <c r="U1830" s="455">
        <v>46140</v>
      </c>
    </row>
    <row r="1831" spans="1:21">
      <c r="A1831" t="s">
        <v>1751</v>
      </c>
      <c r="B1831" t="s">
        <v>4179</v>
      </c>
      <c r="C1831" t="s">
        <v>1751</v>
      </c>
      <c r="D1831">
        <v>20461553</v>
      </c>
      <c r="E1831" t="s">
        <v>3190</v>
      </c>
      <c r="F1831" t="s">
        <v>1782</v>
      </c>
      <c r="G1831" t="s">
        <v>3129</v>
      </c>
      <c r="H1831" t="s">
        <v>3131</v>
      </c>
      <c r="J1831" s="455">
        <v>46084</v>
      </c>
      <c r="R1831" s="455">
        <v>46114</v>
      </c>
      <c r="U1831" s="455">
        <v>46084</v>
      </c>
    </row>
    <row r="1832" spans="1:21">
      <c r="A1832" t="s">
        <v>1751</v>
      </c>
      <c r="B1832" t="s">
        <v>4179</v>
      </c>
      <c r="C1832" t="s">
        <v>1751</v>
      </c>
      <c r="D1832">
        <v>20412906</v>
      </c>
      <c r="E1832" t="s">
        <v>3190</v>
      </c>
      <c r="F1832" t="s">
        <v>1241</v>
      </c>
      <c r="G1832" t="s">
        <v>3129</v>
      </c>
      <c r="H1832" t="s">
        <v>1253</v>
      </c>
      <c r="J1832" s="455">
        <v>46017</v>
      </c>
      <c r="R1832" s="455">
        <v>46114</v>
      </c>
      <c r="U1832" s="455">
        <v>46017</v>
      </c>
    </row>
    <row r="1833" spans="1:21">
      <c r="A1833" t="s">
        <v>1751</v>
      </c>
      <c r="B1833" t="s">
        <v>4179</v>
      </c>
      <c r="C1833" t="s">
        <v>1751</v>
      </c>
      <c r="D1833">
        <v>20442155</v>
      </c>
      <c r="E1833" t="s">
        <v>3190</v>
      </c>
      <c r="F1833" t="s">
        <v>1782</v>
      </c>
      <c r="G1833" t="s">
        <v>3129</v>
      </c>
      <c r="H1833" t="s">
        <v>1252</v>
      </c>
      <c r="J1833" s="455">
        <v>46059</v>
      </c>
      <c r="R1833" s="455">
        <v>46114</v>
      </c>
      <c r="U1833" s="455">
        <v>46074</v>
      </c>
    </row>
    <row r="1834" spans="1:21">
      <c r="A1834" t="s">
        <v>1751</v>
      </c>
      <c r="B1834" t="s">
        <v>4179</v>
      </c>
      <c r="C1834" t="s">
        <v>1751</v>
      </c>
      <c r="D1834">
        <v>20412789</v>
      </c>
      <c r="E1834" t="s">
        <v>3190</v>
      </c>
      <c r="F1834" t="s">
        <v>1782</v>
      </c>
      <c r="G1834" t="s">
        <v>3129</v>
      </c>
      <c r="H1834" t="s">
        <v>1253</v>
      </c>
      <c r="J1834" s="455">
        <v>46017</v>
      </c>
      <c r="R1834" s="455">
        <v>46114</v>
      </c>
      <c r="U1834" s="455">
        <v>46017</v>
      </c>
    </row>
    <row r="1835" spans="1:21">
      <c r="A1835" t="s">
        <v>1751</v>
      </c>
      <c r="B1835" t="s">
        <v>4179</v>
      </c>
      <c r="C1835" t="s">
        <v>1751</v>
      </c>
      <c r="D1835">
        <v>20412788</v>
      </c>
      <c r="E1835" t="s">
        <v>3190</v>
      </c>
      <c r="F1835" t="s">
        <v>1782</v>
      </c>
      <c r="G1835" t="s">
        <v>3129</v>
      </c>
      <c r="H1835" t="s">
        <v>1253</v>
      </c>
      <c r="J1835" s="455">
        <v>46017</v>
      </c>
      <c r="R1835" s="455">
        <v>46114</v>
      </c>
      <c r="U1835" s="455">
        <v>46017</v>
      </c>
    </row>
    <row r="1836" spans="1:21">
      <c r="A1836" t="s">
        <v>1751</v>
      </c>
      <c r="B1836" t="s">
        <v>4179</v>
      </c>
      <c r="C1836" t="s">
        <v>1751</v>
      </c>
      <c r="D1836">
        <v>20412785</v>
      </c>
      <c r="E1836" t="s">
        <v>3190</v>
      </c>
      <c r="F1836" t="s">
        <v>1237</v>
      </c>
      <c r="G1836" t="s">
        <v>3129</v>
      </c>
      <c r="H1836" t="s">
        <v>1247</v>
      </c>
      <c r="J1836" s="455">
        <v>46017</v>
      </c>
      <c r="R1836" s="455">
        <v>46114</v>
      </c>
      <c r="U1836" s="455">
        <v>46017</v>
      </c>
    </row>
    <row r="1837" spans="1:21">
      <c r="A1837" t="s">
        <v>1751</v>
      </c>
      <c r="B1837" t="s">
        <v>4179</v>
      </c>
      <c r="C1837" t="s">
        <v>1751</v>
      </c>
      <c r="D1837">
        <v>20461559</v>
      </c>
      <c r="E1837" t="s">
        <v>3190</v>
      </c>
      <c r="F1837" t="s">
        <v>1782</v>
      </c>
      <c r="G1837" t="s">
        <v>3129</v>
      </c>
      <c r="H1837" t="s">
        <v>3131</v>
      </c>
      <c r="J1837" s="455">
        <v>46084</v>
      </c>
      <c r="R1837" s="455">
        <v>46114</v>
      </c>
      <c r="U1837" s="455">
        <v>46084</v>
      </c>
    </row>
    <row r="1838" spans="1:21">
      <c r="A1838" t="s">
        <v>1751</v>
      </c>
      <c r="B1838" t="s">
        <v>4179</v>
      </c>
      <c r="C1838" t="s">
        <v>1751</v>
      </c>
      <c r="D1838">
        <v>20412328</v>
      </c>
      <c r="E1838" t="s">
        <v>3190</v>
      </c>
      <c r="F1838" t="s">
        <v>1241</v>
      </c>
      <c r="G1838" t="s">
        <v>3129</v>
      </c>
      <c r="H1838" t="s">
        <v>1253</v>
      </c>
      <c r="J1838" s="455">
        <v>46015</v>
      </c>
      <c r="R1838" s="455">
        <v>46114</v>
      </c>
      <c r="U1838" s="455">
        <v>46015</v>
      </c>
    </row>
    <row r="1839" spans="1:21">
      <c r="A1839" t="s">
        <v>1751</v>
      </c>
      <c r="B1839" t="s">
        <v>4179</v>
      </c>
      <c r="C1839" t="s">
        <v>1751</v>
      </c>
      <c r="D1839">
        <v>20492394</v>
      </c>
      <c r="E1839" t="s">
        <v>3190</v>
      </c>
      <c r="F1839" t="s">
        <v>1782</v>
      </c>
      <c r="G1839" t="s">
        <v>3129</v>
      </c>
      <c r="H1839" t="s">
        <v>1252</v>
      </c>
      <c r="J1839" s="455">
        <v>46123</v>
      </c>
      <c r="R1839" s="455">
        <v>46139</v>
      </c>
      <c r="U1839" s="455">
        <v>46123</v>
      </c>
    </row>
    <row r="1840" spans="1:21">
      <c r="A1840" t="s">
        <v>1751</v>
      </c>
      <c r="B1840" t="s">
        <v>4179</v>
      </c>
      <c r="C1840" t="s">
        <v>1751</v>
      </c>
      <c r="D1840">
        <v>20462220</v>
      </c>
      <c r="E1840" t="s">
        <v>3190</v>
      </c>
      <c r="F1840" t="s">
        <v>1782</v>
      </c>
      <c r="G1840" t="s">
        <v>3129</v>
      </c>
      <c r="H1840" t="s">
        <v>3131</v>
      </c>
      <c r="J1840" s="455">
        <v>46085</v>
      </c>
      <c r="R1840" s="455">
        <v>46114</v>
      </c>
      <c r="U1840" s="455">
        <v>46085</v>
      </c>
    </row>
    <row r="1841" spans="1:21">
      <c r="A1841" t="s">
        <v>1751</v>
      </c>
      <c r="B1841" t="s">
        <v>4179</v>
      </c>
      <c r="C1841" t="s">
        <v>1751</v>
      </c>
      <c r="D1841">
        <v>20411920</v>
      </c>
      <c r="E1841" t="s">
        <v>3190</v>
      </c>
      <c r="F1841" t="s">
        <v>1241</v>
      </c>
      <c r="G1841" t="s">
        <v>3129</v>
      </c>
      <c r="H1841" t="s">
        <v>1247</v>
      </c>
      <c r="J1841" s="455">
        <v>46014</v>
      </c>
      <c r="R1841" s="455">
        <v>46114</v>
      </c>
      <c r="U1841" s="455">
        <v>46014</v>
      </c>
    </row>
    <row r="1842" spans="1:21">
      <c r="A1842" t="s">
        <v>1751</v>
      </c>
      <c r="B1842" t="s">
        <v>4179</v>
      </c>
      <c r="C1842" t="s">
        <v>1751</v>
      </c>
      <c r="D1842">
        <v>20465384</v>
      </c>
      <c r="E1842" t="s">
        <v>3190</v>
      </c>
      <c r="F1842" t="s">
        <v>1782</v>
      </c>
      <c r="G1842" t="s">
        <v>3129</v>
      </c>
      <c r="H1842" t="s">
        <v>3131</v>
      </c>
      <c r="J1842" s="455">
        <v>46090</v>
      </c>
      <c r="R1842" s="455">
        <v>46114</v>
      </c>
      <c r="U1842" s="455">
        <v>46090</v>
      </c>
    </row>
    <row r="1843" spans="1:21">
      <c r="A1843" t="s">
        <v>1751</v>
      </c>
      <c r="B1843" t="s">
        <v>4179</v>
      </c>
      <c r="C1843" t="s">
        <v>1751</v>
      </c>
      <c r="D1843">
        <v>20513507</v>
      </c>
      <c r="E1843" t="s">
        <v>3128</v>
      </c>
      <c r="F1843" t="s">
        <v>1782</v>
      </c>
      <c r="G1843" t="s">
        <v>3129</v>
      </c>
      <c r="H1843" t="s">
        <v>3131</v>
      </c>
      <c r="J1843" s="455">
        <v>46142</v>
      </c>
      <c r="U1843" s="455">
        <v>46142</v>
      </c>
    </row>
    <row r="1844" spans="1:21">
      <c r="A1844" t="s">
        <v>1751</v>
      </c>
      <c r="B1844" t="s">
        <v>4179</v>
      </c>
      <c r="C1844" t="s">
        <v>1751</v>
      </c>
      <c r="D1844">
        <v>20513654</v>
      </c>
      <c r="E1844" t="s">
        <v>3128</v>
      </c>
      <c r="F1844" t="s">
        <v>1782</v>
      </c>
      <c r="G1844" t="s">
        <v>3129</v>
      </c>
      <c r="H1844" t="s">
        <v>1252</v>
      </c>
      <c r="J1844" s="455">
        <v>46142</v>
      </c>
      <c r="U1844" s="455">
        <v>46142</v>
      </c>
    </row>
    <row r="1845" spans="1:21">
      <c r="A1845" t="s">
        <v>1751</v>
      </c>
      <c r="B1845" t="s">
        <v>4179</v>
      </c>
      <c r="C1845" t="s">
        <v>1751</v>
      </c>
      <c r="D1845">
        <v>20491906</v>
      </c>
      <c r="E1845" t="s">
        <v>3190</v>
      </c>
      <c r="F1845" t="s">
        <v>1782</v>
      </c>
      <c r="G1845" t="s">
        <v>3129</v>
      </c>
      <c r="H1845" t="s">
        <v>1252</v>
      </c>
      <c r="J1845" s="455">
        <v>46122</v>
      </c>
      <c r="R1845" s="455">
        <v>46139</v>
      </c>
      <c r="U1845" s="455">
        <v>46122</v>
      </c>
    </row>
    <row r="1846" spans="1:21">
      <c r="A1846" t="s">
        <v>1751</v>
      </c>
      <c r="B1846" t="s">
        <v>4179</v>
      </c>
      <c r="C1846" t="s">
        <v>1751</v>
      </c>
      <c r="D1846">
        <v>20463880</v>
      </c>
      <c r="E1846" t="s">
        <v>3190</v>
      </c>
      <c r="F1846" t="s">
        <v>1241</v>
      </c>
      <c r="G1846" t="s">
        <v>3129</v>
      </c>
      <c r="H1846" t="s">
        <v>1252</v>
      </c>
      <c r="J1846" s="455">
        <v>46087</v>
      </c>
      <c r="R1846" s="455">
        <v>46114</v>
      </c>
      <c r="U1846" s="455">
        <v>46087</v>
      </c>
    </row>
    <row r="1847" spans="1:21">
      <c r="A1847" t="s">
        <v>1751</v>
      </c>
      <c r="B1847" t="s">
        <v>4179</v>
      </c>
      <c r="C1847" t="s">
        <v>1751</v>
      </c>
      <c r="D1847">
        <v>20491851</v>
      </c>
      <c r="E1847" t="s">
        <v>3190</v>
      </c>
      <c r="F1847" t="s">
        <v>1782</v>
      </c>
      <c r="G1847" t="s">
        <v>3129</v>
      </c>
      <c r="H1847" t="s">
        <v>1253</v>
      </c>
      <c r="J1847" s="455">
        <v>46122</v>
      </c>
      <c r="R1847" s="455">
        <v>46139</v>
      </c>
      <c r="U1847" s="455">
        <v>46122</v>
      </c>
    </row>
    <row r="1848" spans="1:21">
      <c r="A1848" t="s">
        <v>1751</v>
      </c>
      <c r="B1848" t="s">
        <v>10271</v>
      </c>
      <c r="C1848" t="s">
        <v>1751</v>
      </c>
      <c r="D1848">
        <v>20486655</v>
      </c>
      <c r="E1848" t="s">
        <v>3190</v>
      </c>
      <c r="F1848" t="s">
        <v>1241</v>
      </c>
      <c r="G1848" t="s">
        <v>3129</v>
      </c>
      <c r="H1848" t="s">
        <v>3131</v>
      </c>
      <c r="J1848" s="455">
        <v>46115</v>
      </c>
      <c r="R1848" s="455">
        <v>46139</v>
      </c>
      <c r="U1848" s="455">
        <v>46115</v>
      </c>
    </row>
    <row r="1849" spans="1:21">
      <c r="A1849" t="s">
        <v>1751</v>
      </c>
      <c r="B1849" t="s">
        <v>9440</v>
      </c>
      <c r="C1849" t="s">
        <v>1751</v>
      </c>
      <c r="D1849">
        <v>20461415</v>
      </c>
      <c r="E1849" t="s">
        <v>3190</v>
      </c>
      <c r="F1849" t="s">
        <v>1782</v>
      </c>
      <c r="G1849" t="s">
        <v>3129</v>
      </c>
      <c r="H1849" t="s">
        <v>1252</v>
      </c>
      <c r="J1849" s="455">
        <v>46084</v>
      </c>
      <c r="R1849" s="455">
        <v>46114</v>
      </c>
      <c r="U1849" s="455">
        <v>46091</v>
      </c>
    </row>
    <row r="1850" spans="1:21">
      <c r="A1850" t="s">
        <v>1751</v>
      </c>
      <c r="B1850" t="s">
        <v>9440</v>
      </c>
      <c r="C1850" t="s">
        <v>1751</v>
      </c>
      <c r="D1850">
        <v>20416588</v>
      </c>
      <c r="E1850" t="s">
        <v>3190</v>
      </c>
      <c r="F1850" t="s">
        <v>1241</v>
      </c>
      <c r="G1850" t="s">
        <v>3129</v>
      </c>
      <c r="H1850" t="s">
        <v>1253</v>
      </c>
      <c r="J1850" s="455">
        <v>46024</v>
      </c>
      <c r="R1850" s="455">
        <v>46114</v>
      </c>
      <c r="U1850" s="455">
        <v>46024</v>
      </c>
    </row>
    <row r="1851" spans="1:21">
      <c r="A1851" t="s">
        <v>1751</v>
      </c>
      <c r="B1851" t="s">
        <v>9440</v>
      </c>
      <c r="C1851" t="s">
        <v>1751</v>
      </c>
      <c r="D1851">
        <v>20416481</v>
      </c>
      <c r="E1851" t="s">
        <v>3190</v>
      </c>
      <c r="F1851" t="s">
        <v>1241</v>
      </c>
      <c r="G1851" t="s">
        <v>3129</v>
      </c>
      <c r="H1851" t="s">
        <v>1253</v>
      </c>
      <c r="J1851" s="455">
        <v>46024</v>
      </c>
      <c r="R1851" s="455">
        <v>46114</v>
      </c>
      <c r="U1851" s="455">
        <v>46024</v>
      </c>
    </row>
    <row r="1852" spans="1:21">
      <c r="A1852" t="s">
        <v>1751</v>
      </c>
      <c r="B1852" t="s">
        <v>9043</v>
      </c>
      <c r="C1852" t="s">
        <v>1751</v>
      </c>
      <c r="D1852">
        <v>20454260</v>
      </c>
      <c r="E1852" t="s">
        <v>3190</v>
      </c>
      <c r="F1852" t="s">
        <v>1241</v>
      </c>
      <c r="G1852" t="s">
        <v>2009</v>
      </c>
      <c r="H1852" t="s">
        <v>1247</v>
      </c>
      <c r="J1852" s="455">
        <v>46073</v>
      </c>
      <c r="R1852" s="455">
        <v>46114</v>
      </c>
      <c r="U1852" s="455">
        <v>46142</v>
      </c>
    </row>
    <row r="1853" spans="1:21">
      <c r="A1853" t="s">
        <v>1751</v>
      </c>
      <c r="B1853" t="s">
        <v>9044</v>
      </c>
      <c r="C1853" t="s">
        <v>1751</v>
      </c>
      <c r="D1853">
        <v>20459406</v>
      </c>
      <c r="E1853" t="s">
        <v>3190</v>
      </c>
      <c r="F1853" t="s">
        <v>1241</v>
      </c>
      <c r="G1853" t="s">
        <v>3129</v>
      </c>
      <c r="H1853" t="s">
        <v>3131</v>
      </c>
      <c r="J1853" s="455">
        <v>46081</v>
      </c>
      <c r="R1853" s="455">
        <v>46114</v>
      </c>
      <c r="U1853" s="455">
        <v>46081</v>
      </c>
    </row>
    <row r="1854" spans="1:21">
      <c r="A1854" t="s">
        <v>1751</v>
      </c>
      <c r="B1854" t="s">
        <v>10272</v>
      </c>
      <c r="C1854" t="s">
        <v>1751</v>
      </c>
      <c r="D1854">
        <v>20435620</v>
      </c>
      <c r="E1854" t="s">
        <v>3190</v>
      </c>
      <c r="F1854" t="s">
        <v>1238</v>
      </c>
      <c r="G1854" t="s">
        <v>3129</v>
      </c>
      <c r="H1854" t="s">
        <v>1252</v>
      </c>
      <c r="J1854" s="455">
        <v>46049</v>
      </c>
      <c r="R1854" s="455">
        <v>46114</v>
      </c>
      <c r="U1854" s="455">
        <v>46049</v>
      </c>
    </row>
    <row r="1855" spans="1:21">
      <c r="A1855" t="s">
        <v>1751</v>
      </c>
      <c r="B1855" t="s">
        <v>9045</v>
      </c>
      <c r="C1855" t="s">
        <v>1751</v>
      </c>
      <c r="D1855">
        <v>20447016</v>
      </c>
      <c r="E1855" t="s">
        <v>3190</v>
      </c>
      <c r="F1855" t="s">
        <v>1241</v>
      </c>
      <c r="G1855" t="s">
        <v>3129</v>
      </c>
      <c r="H1855" t="s">
        <v>1253</v>
      </c>
      <c r="J1855" s="455">
        <v>46064</v>
      </c>
      <c r="R1855" s="455">
        <v>46114</v>
      </c>
      <c r="U1855" s="455">
        <v>46064</v>
      </c>
    </row>
    <row r="1856" spans="1:21">
      <c r="A1856" t="s">
        <v>1751</v>
      </c>
      <c r="B1856" t="s">
        <v>10273</v>
      </c>
      <c r="C1856" t="s">
        <v>1751</v>
      </c>
      <c r="D1856">
        <v>20430491</v>
      </c>
      <c r="E1856" t="s">
        <v>3190</v>
      </c>
      <c r="F1856" t="s">
        <v>1782</v>
      </c>
      <c r="G1856" t="s">
        <v>3129</v>
      </c>
      <c r="H1856" t="s">
        <v>3131</v>
      </c>
      <c r="J1856" s="455">
        <v>46041</v>
      </c>
      <c r="R1856" s="455">
        <v>46114</v>
      </c>
      <c r="U1856" s="455">
        <v>46041</v>
      </c>
    </row>
    <row r="1857" spans="1:21">
      <c r="A1857" t="s">
        <v>1751</v>
      </c>
      <c r="B1857" t="s">
        <v>10274</v>
      </c>
      <c r="C1857" t="s">
        <v>1751</v>
      </c>
      <c r="D1857">
        <v>20491535</v>
      </c>
      <c r="E1857" t="s">
        <v>3190</v>
      </c>
      <c r="F1857" t="s">
        <v>1782</v>
      </c>
      <c r="G1857" t="s">
        <v>3129</v>
      </c>
      <c r="H1857" t="s">
        <v>3131</v>
      </c>
      <c r="J1857" s="455">
        <v>46122</v>
      </c>
      <c r="R1857" s="455">
        <v>46139</v>
      </c>
      <c r="U1857" s="455">
        <v>46122</v>
      </c>
    </row>
    <row r="1858" spans="1:21">
      <c r="A1858" t="s">
        <v>1751</v>
      </c>
      <c r="B1858" t="s">
        <v>9046</v>
      </c>
      <c r="C1858" t="s">
        <v>1751</v>
      </c>
      <c r="D1858">
        <v>20458849</v>
      </c>
      <c r="E1858" t="s">
        <v>3190</v>
      </c>
      <c r="F1858" t="s">
        <v>1237</v>
      </c>
      <c r="G1858" t="s">
        <v>3143</v>
      </c>
      <c r="H1858" t="s">
        <v>1248</v>
      </c>
      <c r="J1858" s="455">
        <v>46080</v>
      </c>
      <c r="R1858" s="455">
        <v>46114</v>
      </c>
      <c r="U1858" s="455">
        <v>46080</v>
      </c>
    </row>
    <row r="1859" spans="1:21">
      <c r="A1859" t="s">
        <v>1751</v>
      </c>
      <c r="B1859" t="s">
        <v>10275</v>
      </c>
      <c r="C1859" t="s">
        <v>1751</v>
      </c>
      <c r="D1859">
        <v>20512873</v>
      </c>
      <c r="E1859" t="s">
        <v>3128</v>
      </c>
      <c r="F1859" t="s">
        <v>1782</v>
      </c>
      <c r="G1859" t="s">
        <v>3137</v>
      </c>
      <c r="H1859" t="s">
        <v>1252</v>
      </c>
      <c r="J1859" s="455">
        <v>46141</v>
      </c>
      <c r="U1859" s="455">
        <v>46174</v>
      </c>
    </row>
    <row r="1860" spans="1:21">
      <c r="A1860" t="s">
        <v>1751</v>
      </c>
      <c r="B1860" t="s">
        <v>10276</v>
      </c>
      <c r="C1860" t="s">
        <v>1751</v>
      </c>
      <c r="D1860">
        <v>20488180</v>
      </c>
      <c r="E1860" t="s">
        <v>3128</v>
      </c>
      <c r="F1860" t="s">
        <v>1782</v>
      </c>
      <c r="G1860" t="s">
        <v>3137</v>
      </c>
      <c r="H1860" t="s">
        <v>1247</v>
      </c>
      <c r="J1860" s="455">
        <v>46118</v>
      </c>
      <c r="U1860" s="455">
        <v>46118</v>
      </c>
    </row>
    <row r="1861" spans="1:21">
      <c r="A1861" t="s">
        <v>1751</v>
      </c>
      <c r="B1861" t="s">
        <v>10277</v>
      </c>
      <c r="C1861" t="s">
        <v>1751</v>
      </c>
      <c r="D1861">
        <v>20418752</v>
      </c>
      <c r="E1861" t="s">
        <v>3190</v>
      </c>
      <c r="F1861" t="s">
        <v>1237</v>
      </c>
      <c r="G1861" t="s">
        <v>3143</v>
      </c>
      <c r="H1861" t="s">
        <v>1248</v>
      </c>
      <c r="I1861" t="s">
        <v>1796</v>
      </c>
      <c r="J1861" s="455">
        <v>46027</v>
      </c>
      <c r="R1861" s="455">
        <v>46114</v>
      </c>
      <c r="U1861" s="455">
        <v>46027</v>
      </c>
    </row>
    <row r="1862" spans="1:21">
      <c r="A1862" t="s">
        <v>1751</v>
      </c>
      <c r="B1862" t="s">
        <v>9441</v>
      </c>
      <c r="C1862" t="s">
        <v>1751</v>
      </c>
      <c r="D1862">
        <v>20476240</v>
      </c>
      <c r="E1862" t="s">
        <v>3133</v>
      </c>
      <c r="F1862" t="s">
        <v>1239</v>
      </c>
      <c r="G1862" t="s">
        <v>3143</v>
      </c>
      <c r="H1862" t="s">
        <v>3131</v>
      </c>
      <c r="I1862" t="s">
        <v>1938</v>
      </c>
      <c r="J1862" s="455">
        <v>46100</v>
      </c>
      <c r="K1862" s="455">
        <v>46102</v>
      </c>
      <c r="R1862" s="455">
        <v>46114</v>
      </c>
      <c r="U1862" s="455">
        <v>46114</v>
      </c>
    </row>
    <row r="1863" spans="1:21">
      <c r="A1863" t="s">
        <v>1751</v>
      </c>
      <c r="B1863" t="s">
        <v>10278</v>
      </c>
      <c r="C1863" t="s">
        <v>1751</v>
      </c>
      <c r="D1863">
        <v>20421249</v>
      </c>
      <c r="E1863" t="s">
        <v>3190</v>
      </c>
      <c r="F1863" t="s">
        <v>1782</v>
      </c>
      <c r="G1863" t="s">
        <v>3141</v>
      </c>
      <c r="H1863" t="s">
        <v>1252</v>
      </c>
      <c r="J1863" s="455">
        <v>46030</v>
      </c>
      <c r="R1863" s="455">
        <v>46114</v>
      </c>
      <c r="U1863" s="455">
        <v>46030</v>
      </c>
    </row>
    <row r="1864" spans="1:21">
      <c r="A1864" t="s">
        <v>1751</v>
      </c>
      <c r="B1864" t="s">
        <v>10279</v>
      </c>
      <c r="C1864" t="s">
        <v>1751</v>
      </c>
      <c r="D1864">
        <v>20425089</v>
      </c>
      <c r="E1864" t="s">
        <v>3190</v>
      </c>
      <c r="F1864" t="s">
        <v>1782</v>
      </c>
      <c r="G1864" t="s">
        <v>3129</v>
      </c>
      <c r="H1864" t="s">
        <v>1253</v>
      </c>
      <c r="J1864" s="455">
        <v>46036</v>
      </c>
      <c r="R1864" s="455">
        <v>46114</v>
      </c>
      <c r="U1864" s="455">
        <v>46082</v>
      </c>
    </row>
    <row r="1865" spans="1:21">
      <c r="A1865" t="s">
        <v>1751</v>
      </c>
      <c r="B1865" t="s">
        <v>4187</v>
      </c>
      <c r="C1865" t="s">
        <v>1751</v>
      </c>
      <c r="D1865">
        <v>20441372</v>
      </c>
      <c r="E1865" t="s">
        <v>3190</v>
      </c>
      <c r="F1865" t="s">
        <v>1782</v>
      </c>
      <c r="G1865" t="s">
        <v>3141</v>
      </c>
      <c r="H1865" t="s">
        <v>1247</v>
      </c>
      <c r="J1865" s="455">
        <v>46058</v>
      </c>
      <c r="R1865" s="455">
        <v>46114</v>
      </c>
      <c r="U1865" s="455">
        <v>46068</v>
      </c>
    </row>
    <row r="1866" spans="1:21">
      <c r="A1866" t="s">
        <v>1751</v>
      </c>
      <c r="B1866" t="s">
        <v>9048</v>
      </c>
      <c r="C1866" t="s">
        <v>1751</v>
      </c>
      <c r="D1866">
        <v>20451935</v>
      </c>
      <c r="E1866" t="s">
        <v>3190</v>
      </c>
      <c r="F1866" t="s">
        <v>1241</v>
      </c>
      <c r="G1866" t="s">
        <v>3129</v>
      </c>
      <c r="H1866" t="s">
        <v>1252</v>
      </c>
      <c r="J1866" s="455">
        <v>46071</v>
      </c>
      <c r="R1866" s="455">
        <v>46114</v>
      </c>
      <c r="U1866" s="455">
        <v>46078</v>
      </c>
    </row>
    <row r="1867" spans="1:21">
      <c r="A1867" t="s">
        <v>1751</v>
      </c>
      <c r="B1867" t="s">
        <v>9048</v>
      </c>
      <c r="C1867" t="s">
        <v>1751</v>
      </c>
      <c r="D1867">
        <v>20454209</v>
      </c>
      <c r="E1867" t="s">
        <v>3133</v>
      </c>
      <c r="F1867" t="s">
        <v>1799</v>
      </c>
      <c r="G1867" t="s">
        <v>3134</v>
      </c>
      <c r="H1867" t="s">
        <v>1247</v>
      </c>
      <c r="J1867" s="455">
        <v>46073</v>
      </c>
      <c r="K1867" s="455">
        <v>46073</v>
      </c>
      <c r="R1867" s="455">
        <v>46114</v>
      </c>
      <c r="U1867" s="455">
        <v>46073</v>
      </c>
    </row>
    <row r="1868" spans="1:21">
      <c r="A1868" t="s">
        <v>1751</v>
      </c>
      <c r="B1868" t="s">
        <v>9050</v>
      </c>
      <c r="C1868" t="s">
        <v>1751</v>
      </c>
      <c r="D1868">
        <v>20454551</v>
      </c>
      <c r="E1868" t="s">
        <v>3190</v>
      </c>
      <c r="F1868" t="s">
        <v>1782</v>
      </c>
      <c r="G1868" t="s">
        <v>3141</v>
      </c>
      <c r="H1868" t="s">
        <v>1247</v>
      </c>
      <c r="J1868" s="455">
        <v>46073</v>
      </c>
      <c r="R1868" s="455">
        <v>46114</v>
      </c>
      <c r="U1868" s="455">
        <v>46091</v>
      </c>
    </row>
    <row r="1869" spans="1:21">
      <c r="A1869" t="s">
        <v>1751</v>
      </c>
      <c r="B1869" t="s">
        <v>1792</v>
      </c>
      <c r="C1869" t="s">
        <v>1751</v>
      </c>
      <c r="D1869">
        <v>20448359</v>
      </c>
      <c r="E1869" t="s">
        <v>3190</v>
      </c>
      <c r="F1869" t="s">
        <v>1238</v>
      </c>
      <c r="G1869" t="s">
        <v>3143</v>
      </c>
      <c r="H1869" t="s">
        <v>1252</v>
      </c>
      <c r="J1869" s="455">
        <v>46066</v>
      </c>
      <c r="R1869" s="455">
        <v>46115</v>
      </c>
      <c r="U1869" s="455">
        <v>46066</v>
      </c>
    </row>
    <row r="1870" spans="1:21">
      <c r="A1870" t="s">
        <v>1751</v>
      </c>
      <c r="B1870" t="s">
        <v>10280</v>
      </c>
      <c r="C1870" t="s">
        <v>1751</v>
      </c>
      <c r="D1870">
        <v>20422531</v>
      </c>
      <c r="E1870" t="s">
        <v>3133</v>
      </c>
      <c r="F1870" t="s">
        <v>1237</v>
      </c>
      <c r="G1870" t="s">
        <v>3134</v>
      </c>
      <c r="H1870" t="s">
        <v>1247</v>
      </c>
      <c r="I1870" t="s">
        <v>2173</v>
      </c>
      <c r="J1870" s="455">
        <v>46032</v>
      </c>
      <c r="K1870" s="455">
        <v>46032</v>
      </c>
      <c r="R1870" s="455">
        <v>46114</v>
      </c>
      <c r="U1870" s="455">
        <v>46055</v>
      </c>
    </row>
    <row r="1871" spans="1:21">
      <c r="A1871" t="s">
        <v>1751</v>
      </c>
      <c r="B1871" t="s">
        <v>9051</v>
      </c>
      <c r="C1871" t="s">
        <v>1751</v>
      </c>
      <c r="D1871">
        <v>20441380</v>
      </c>
      <c r="E1871" t="s">
        <v>3190</v>
      </c>
      <c r="F1871" t="s">
        <v>1782</v>
      </c>
      <c r="G1871" t="s">
        <v>3141</v>
      </c>
      <c r="H1871" t="s">
        <v>1247</v>
      </c>
      <c r="J1871" s="455">
        <v>46058</v>
      </c>
      <c r="R1871" s="455">
        <v>46114</v>
      </c>
      <c r="U1871" s="455">
        <v>46127</v>
      </c>
    </row>
    <row r="1872" spans="1:21">
      <c r="A1872" t="s">
        <v>1751</v>
      </c>
      <c r="B1872" t="s">
        <v>10281</v>
      </c>
      <c r="C1872" t="s">
        <v>1751</v>
      </c>
      <c r="D1872">
        <v>20511971</v>
      </c>
      <c r="E1872" t="s">
        <v>3128</v>
      </c>
      <c r="F1872" t="s">
        <v>1782</v>
      </c>
      <c r="G1872" t="s">
        <v>3129</v>
      </c>
      <c r="H1872" t="s">
        <v>1252</v>
      </c>
      <c r="J1872" s="455">
        <v>46140</v>
      </c>
      <c r="U1872" s="455">
        <v>46140</v>
      </c>
    </row>
    <row r="1873" spans="1:21">
      <c r="A1873" t="s">
        <v>1751</v>
      </c>
      <c r="B1873" t="s">
        <v>10282</v>
      </c>
      <c r="C1873" t="s">
        <v>1751</v>
      </c>
      <c r="D1873">
        <v>20494130</v>
      </c>
      <c r="E1873" t="s">
        <v>3190</v>
      </c>
      <c r="F1873" t="s">
        <v>1241</v>
      </c>
      <c r="G1873" t="s">
        <v>3134</v>
      </c>
      <c r="H1873" t="s">
        <v>3165</v>
      </c>
      <c r="J1873" s="455">
        <v>46125</v>
      </c>
      <c r="R1873" s="455">
        <v>46139</v>
      </c>
      <c r="U1873" s="455">
        <v>46127</v>
      </c>
    </row>
    <row r="1874" spans="1:21">
      <c r="A1874" t="s">
        <v>1751</v>
      </c>
      <c r="B1874" t="s">
        <v>9052</v>
      </c>
      <c r="C1874" t="s">
        <v>1751</v>
      </c>
      <c r="D1874">
        <v>20454855</v>
      </c>
      <c r="E1874" t="s">
        <v>3190</v>
      </c>
      <c r="F1874" t="s">
        <v>1239</v>
      </c>
      <c r="G1874" t="s">
        <v>3143</v>
      </c>
      <c r="H1874" t="s">
        <v>1248</v>
      </c>
      <c r="J1874" s="455">
        <v>46074</v>
      </c>
      <c r="R1874" s="455">
        <v>46115</v>
      </c>
      <c r="U1874" s="455">
        <v>46074</v>
      </c>
    </row>
    <row r="1875" spans="1:21">
      <c r="A1875" t="s">
        <v>1751</v>
      </c>
      <c r="B1875" t="s">
        <v>10283</v>
      </c>
      <c r="C1875" t="s">
        <v>1751</v>
      </c>
      <c r="D1875">
        <v>20412790</v>
      </c>
      <c r="E1875" t="s">
        <v>3190</v>
      </c>
      <c r="F1875" t="s">
        <v>1239</v>
      </c>
      <c r="G1875" t="s">
        <v>3129</v>
      </c>
      <c r="H1875" t="s">
        <v>1247</v>
      </c>
      <c r="J1875" s="455">
        <v>46017</v>
      </c>
      <c r="R1875" s="455">
        <v>46114</v>
      </c>
      <c r="U1875" s="455">
        <v>46017</v>
      </c>
    </row>
    <row r="1876" spans="1:21">
      <c r="A1876" t="s">
        <v>1751</v>
      </c>
      <c r="B1876" t="s">
        <v>9442</v>
      </c>
      <c r="C1876" t="s">
        <v>1751</v>
      </c>
      <c r="D1876">
        <v>20460026</v>
      </c>
      <c r="E1876" t="s">
        <v>3190</v>
      </c>
      <c r="F1876" t="s">
        <v>1782</v>
      </c>
      <c r="G1876" t="s">
        <v>3137</v>
      </c>
      <c r="H1876" t="s">
        <v>1247</v>
      </c>
      <c r="J1876" s="455">
        <v>46082</v>
      </c>
      <c r="R1876" s="455">
        <v>46114</v>
      </c>
      <c r="U1876" s="455">
        <v>46082</v>
      </c>
    </row>
    <row r="1877" spans="1:21">
      <c r="A1877" t="s">
        <v>1751</v>
      </c>
      <c r="B1877" t="s">
        <v>9442</v>
      </c>
      <c r="C1877" t="s">
        <v>1751</v>
      </c>
      <c r="D1877">
        <v>20463371</v>
      </c>
      <c r="E1877" t="s">
        <v>3133</v>
      </c>
      <c r="F1877" t="s">
        <v>1912</v>
      </c>
      <c r="G1877" t="s">
        <v>3134</v>
      </c>
      <c r="H1877" t="s">
        <v>1247</v>
      </c>
      <c r="I1877" t="s">
        <v>1552</v>
      </c>
      <c r="J1877" s="455">
        <v>46086</v>
      </c>
      <c r="K1877" s="455">
        <v>46086</v>
      </c>
      <c r="R1877" s="455">
        <v>46115</v>
      </c>
      <c r="U1877" s="455">
        <v>46086</v>
      </c>
    </row>
    <row r="1878" spans="1:21">
      <c r="A1878" t="s">
        <v>1751</v>
      </c>
      <c r="B1878" t="s">
        <v>4200</v>
      </c>
      <c r="C1878" t="s">
        <v>1751</v>
      </c>
      <c r="D1878">
        <v>20440412</v>
      </c>
      <c r="E1878" t="s">
        <v>3133</v>
      </c>
      <c r="F1878" t="s">
        <v>1238</v>
      </c>
      <c r="G1878" t="s">
        <v>2009</v>
      </c>
      <c r="H1878" t="s">
        <v>1248</v>
      </c>
      <c r="I1878" t="s">
        <v>1559</v>
      </c>
      <c r="J1878" s="455">
        <v>46056</v>
      </c>
      <c r="K1878" s="455">
        <v>46056</v>
      </c>
      <c r="R1878" s="455">
        <v>46114</v>
      </c>
      <c r="U1878" s="455">
        <v>46081</v>
      </c>
    </row>
    <row r="1879" spans="1:21">
      <c r="A1879" t="s">
        <v>1751</v>
      </c>
      <c r="B1879" t="s">
        <v>10284</v>
      </c>
      <c r="C1879" t="s">
        <v>1751</v>
      </c>
      <c r="D1879">
        <v>20490593</v>
      </c>
      <c r="E1879" t="s">
        <v>3190</v>
      </c>
      <c r="F1879" t="s">
        <v>1241</v>
      </c>
      <c r="G1879" t="s">
        <v>3137</v>
      </c>
      <c r="H1879" t="s">
        <v>1247</v>
      </c>
      <c r="J1879" s="455">
        <v>46121</v>
      </c>
      <c r="R1879" s="455">
        <v>46139</v>
      </c>
      <c r="U1879" s="455">
        <v>46121</v>
      </c>
    </row>
    <row r="1880" spans="1:21">
      <c r="A1880" t="s">
        <v>1751</v>
      </c>
      <c r="B1880" t="s">
        <v>10285</v>
      </c>
      <c r="C1880" t="s">
        <v>1751</v>
      </c>
      <c r="D1880">
        <v>20497711</v>
      </c>
      <c r="E1880" t="s">
        <v>3128</v>
      </c>
      <c r="F1880" t="s">
        <v>1241</v>
      </c>
      <c r="G1880" t="s">
        <v>3134</v>
      </c>
      <c r="H1880" t="s">
        <v>3165</v>
      </c>
      <c r="J1880" s="455">
        <v>46128</v>
      </c>
      <c r="U1880" s="455">
        <v>46129</v>
      </c>
    </row>
    <row r="1881" spans="1:21">
      <c r="A1881" t="s">
        <v>1751</v>
      </c>
      <c r="B1881" t="s">
        <v>6532</v>
      </c>
      <c r="C1881" t="s">
        <v>1751</v>
      </c>
      <c r="D1881">
        <v>20429188</v>
      </c>
      <c r="E1881" t="s">
        <v>3133</v>
      </c>
      <c r="F1881" t="s">
        <v>1241</v>
      </c>
      <c r="G1881" t="s">
        <v>3134</v>
      </c>
      <c r="H1881" t="s">
        <v>3165</v>
      </c>
      <c r="I1881" t="s">
        <v>6531</v>
      </c>
      <c r="J1881" s="455">
        <v>46038</v>
      </c>
      <c r="K1881" s="455">
        <v>46038</v>
      </c>
      <c r="R1881" s="455">
        <v>46114</v>
      </c>
      <c r="U1881" s="455">
        <v>46038</v>
      </c>
    </row>
    <row r="1882" spans="1:21">
      <c r="A1882" t="s">
        <v>1751</v>
      </c>
      <c r="B1882" t="s">
        <v>10286</v>
      </c>
      <c r="C1882" t="s">
        <v>1751</v>
      </c>
      <c r="D1882">
        <v>20418620</v>
      </c>
      <c r="E1882" t="s">
        <v>3133</v>
      </c>
      <c r="F1882" t="s">
        <v>1237</v>
      </c>
      <c r="G1882" t="s">
        <v>3134</v>
      </c>
      <c r="H1882" t="s">
        <v>1249</v>
      </c>
      <c r="J1882" s="455">
        <v>46027</v>
      </c>
      <c r="K1882" s="455">
        <v>46027</v>
      </c>
      <c r="R1882" s="455">
        <v>46114</v>
      </c>
      <c r="U1882" s="455">
        <v>46027</v>
      </c>
    </row>
    <row r="1883" spans="1:21">
      <c r="A1883" t="s">
        <v>1751</v>
      </c>
      <c r="B1883" t="s">
        <v>10287</v>
      </c>
      <c r="C1883" t="s">
        <v>1751</v>
      </c>
      <c r="D1883">
        <v>20427778</v>
      </c>
      <c r="E1883" t="s">
        <v>3190</v>
      </c>
      <c r="F1883" t="s">
        <v>1241</v>
      </c>
      <c r="G1883" t="s">
        <v>3129</v>
      </c>
      <c r="H1883" t="s">
        <v>1252</v>
      </c>
      <c r="J1883" s="455">
        <v>46037</v>
      </c>
      <c r="R1883" s="455">
        <v>46114</v>
      </c>
      <c r="U1883" s="455">
        <v>46037</v>
      </c>
    </row>
    <row r="1884" spans="1:21">
      <c r="A1884" t="s">
        <v>1751</v>
      </c>
      <c r="B1884" t="s">
        <v>10288</v>
      </c>
      <c r="C1884" t="s">
        <v>1751</v>
      </c>
      <c r="D1884">
        <v>20428832</v>
      </c>
      <c r="E1884" t="s">
        <v>3190</v>
      </c>
      <c r="F1884" t="s">
        <v>1237</v>
      </c>
      <c r="G1884" t="s">
        <v>3129</v>
      </c>
      <c r="H1884" t="s">
        <v>1252</v>
      </c>
      <c r="J1884" s="455">
        <v>46038</v>
      </c>
      <c r="R1884" s="455">
        <v>46114</v>
      </c>
      <c r="U1884" s="455">
        <v>46039</v>
      </c>
    </row>
    <row r="1885" spans="1:21">
      <c r="A1885" t="s">
        <v>1751</v>
      </c>
      <c r="B1885" t="s">
        <v>10289</v>
      </c>
      <c r="C1885" t="s">
        <v>1751</v>
      </c>
      <c r="D1885">
        <v>20429104</v>
      </c>
      <c r="E1885" t="s">
        <v>3190</v>
      </c>
      <c r="F1885" t="s">
        <v>1782</v>
      </c>
      <c r="G1885" t="s">
        <v>2009</v>
      </c>
      <c r="H1885" t="s">
        <v>1251</v>
      </c>
      <c r="J1885" s="455">
        <v>46038</v>
      </c>
      <c r="R1885" s="455">
        <v>46114</v>
      </c>
      <c r="U1885" s="455">
        <v>46038</v>
      </c>
    </row>
    <row r="1886" spans="1:21">
      <c r="A1886" t="s">
        <v>1751</v>
      </c>
      <c r="B1886" t="s">
        <v>10290</v>
      </c>
      <c r="C1886" t="s">
        <v>1751</v>
      </c>
      <c r="D1886">
        <v>20504835</v>
      </c>
      <c r="E1886" t="s">
        <v>3128</v>
      </c>
      <c r="F1886" t="s">
        <v>1782</v>
      </c>
      <c r="G1886" t="s">
        <v>3134</v>
      </c>
      <c r="H1886" t="s">
        <v>1252</v>
      </c>
      <c r="J1886" s="455">
        <v>46133</v>
      </c>
      <c r="U1886" s="455">
        <v>46143</v>
      </c>
    </row>
    <row r="1887" spans="1:21">
      <c r="A1887" t="s">
        <v>1751</v>
      </c>
      <c r="B1887" t="s">
        <v>10291</v>
      </c>
      <c r="C1887" t="s">
        <v>1751</v>
      </c>
      <c r="D1887">
        <v>20422188</v>
      </c>
      <c r="E1887" t="s">
        <v>3190</v>
      </c>
      <c r="F1887" t="s">
        <v>1239</v>
      </c>
      <c r="G1887" t="s">
        <v>3143</v>
      </c>
      <c r="H1887" t="s">
        <v>1248</v>
      </c>
      <c r="J1887" s="455">
        <v>46032</v>
      </c>
      <c r="R1887" s="455">
        <v>46114</v>
      </c>
      <c r="U1887" s="455">
        <v>46032</v>
      </c>
    </row>
    <row r="1888" spans="1:21">
      <c r="A1888" t="s">
        <v>1751</v>
      </c>
      <c r="B1888" t="s">
        <v>9444</v>
      </c>
      <c r="C1888" t="s">
        <v>1751</v>
      </c>
      <c r="D1888">
        <v>20481326</v>
      </c>
      <c r="E1888" t="s">
        <v>3190</v>
      </c>
      <c r="F1888" t="s">
        <v>1241</v>
      </c>
      <c r="G1888" t="s">
        <v>3137</v>
      </c>
      <c r="H1888" t="s">
        <v>3165</v>
      </c>
      <c r="J1888" s="455">
        <v>46108</v>
      </c>
      <c r="R1888" s="455">
        <v>46116</v>
      </c>
      <c r="U1888" s="455">
        <v>46108</v>
      </c>
    </row>
    <row r="1889" spans="1:21">
      <c r="A1889" t="s">
        <v>1751</v>
      </c>
      <c r="B1889" t="s">
        <v>10292</v>
      </c>
      <c r="C1889" t="s">
        <v>1751</v>
      </c>
      <c r="D1889">
        <v>20511915</v>
      </c>
      <c r="E1889" t="s">
        <v>3190</v>
      </c>
      <c r="F1889" t="s">
        <v>1241</v>
      </c>
      <c r="G1889" t="s">
        <v>3129</v>
      </c>
      <c r="H1889" t="s">
        <v>1253</v>
      </c>
      <c r="J1889" s="455">
        <v>46140</v>
      </c>
      <c r="R1889" s="455">
        <v>46140</v>
      </c>
      <c r="U1889" s="455">
        <v>46140</v>
      </c>
    </row>
    <row r="1890" spans="1:21">
      <c r="A1890" t="s">
        <v>1751</v>
      </c>
      <c r="B1890" t="s">
        <v>9445</v>
      </c>
      <c r="C1890" t="s">
        <v>1751</v>
      </c>
      <c r="D1890">
        <v>20473119</v>
      </c>
      <c r="E1890" t="s">
        <v>3190</v>
      </c>
      <c r="F1890" t="s">
        <v>1241</v>
      </c>
      <c r="G1890" t="s">
        <v>3143</v>
      </c>
      <c r="H1890" t="s">
        <v>1251</v>
      </c>
      <c r="J1890" s="455">
        <v>46098</v>
      </c>
      <c r="R1890" s="455">
        <v>46114</v>
      </c>
      <c r="U1890" s="455">
        <v>46098</v>
      </c>
    </row>
    <row r="1891" spans="1:21">
      <c r="A1891" t="s">
        <v>1751</v>
      </c>
      <c r="B1891" t="s">
        <v>10293</v>
      </c>
      <c r="C1891" t="s">
        <v>1751</v>
      </c>
      <c r="D1891">
        <v>20414350</v>
      </c>
      <c r="E1891" t="s">
        <v>3190</v>
      </c>
      <c r="F1891" t="s">
        <v>1237</v>
      </c>
      <c r="G1891" t="s">
        <v>9402</v>
      </c>
      <c r="H1891" t="s">
        <v>1252</v>
      </c>
      <c r="I1891" t="s">
        <v>5105</v>
      </c>
      <c r="J1891" s="455">
        <v>46020</v>
      </c>
      <c r="R1891" s="455">
        <v>46114</v>
      </c>
      <c r="U1891" s="455">
        <v>46020</v>
      </c>
    </row>
    <row r="1892" spans="1:21">
      <c r="A1892" t="s">
        <v>1751</v>
      </c>
      <c r="B1892" t="s">
        <v>9054</v>
      </c>
      <c r="C1892" t="s">
        <v>1751</v>
      </c>
      <c r="D1892">
        <v>20450277</v>
      </c>
      <c r="E1892" t="s">
        <v>3190</v>
      </c>
      <c r="F1892" t="s">
        <v>1241</v>
      </c>
      <c r="G1892" t="s">
        <v>3129</v>
      </c>
      <c r="H1892" t="s">
        <v>3131</v>
      </c>
      <c r="J1892" s="455">
        <v>46070</v>
      </c>
      <c r="R1892" s="455">
        <v>46114</v>
      </c>
      <c r="U1892" s="455">
        <v>46080</v>
      </c>
    </row>
    <row r="1893" spans="1:21">
      <c r="A1893" t="s">
        <v>1751</v>
      </c>
      <c r="B1893" t="s">
        <v>9055</v>
      </c>
      <c r="C1893" t="s">
        <v>1751</v>
      </c>
      <c r="D1893">
        <v>20453601</v>
      </c>
      <c r="E1893" t="s">
        <v>3133</v>
      </c>
      <c r="F1893" t="s">
        <v>1912</v>
      </c>
      <c r="G1893" t="s">
        <v>3134</v>
      </c>
      <c r="H1893" t="s">
        <v>1247</v>
      </c>
      <c r="J1893" s="455">
        <v>46072</v>
      </c>
      <c r="K1893" s="455">
        <v>46072</v>
      </c>
      <c r="R1893" s="455">
        <v>46114</v>
      </c>
      <c r="U1893" s="455">
        <v>46072</v>
      </c>
    </row>
    <row r="1894" spans="1:21">
      <c r="A1894" t="s">
        <v>1751</v>
      </c>
      <c r="B1894" t="s">
        <v>9446</v>
      </c>
      <c r="C1894" t="s">
        <v>1751</v>
      </c>
      <c r="D1894">
        <v>20480831</v>
      </c>
      <c r="E1894" t="s">
        <v>3190</v>
      </c>
      <c r="F1894" t="s">
        <v>1241</v>
      </c>
      <c r="G1894" t="s">
        <v>3134</v>
      </c>
      <c r="H1894" t="s">
        <v>1252</v>
      </c>
      <c r="J1894" s="455">
        <v>46107</v>
      </c>
      <c r="R1894" s="455">
        <v>46115</v>
      </c>
      <c r="U1894" s="455">
        <v>46113</v>
      </c>
    </row>
    <row r="1895" spans="1:21">
      <c r="A1895" t="s">
        <v>1751</v>
      </c>
      <c r="B1895" t="s">
        <v>10294</v>
      </c>
      <c r="C1895" t="s">
        <v>1751</v>
      </c>
      <c r="D1895">
        <v>20414562</v>
      </c>
      <c r="E1895" t="s">
        <v>3190</v>
      </c>
      <c r="F1895" t="s">
        <v>1782</v>
      </c>
      <c r="G1895" t="s">
        <v>3129</v>
      </c>
      <c r="H1895" t="s">
        <v>1247</v>
      </c>
      <c r="J1895" s="455">
        <v>46020</v>
      </c>
      <c r="R1895" s="455">
        <v>46114</v>
      </c>
      <c r="U1895" s="455">
        <v>46020</v>
      </c>
    </row>
    <row r="1896" spans="1:21">
      <c r="A1896" t="s">
        <v>1751</v>
      </c>
      <c r="B1896" t="s">
        <v>9447</v>
      </c>
      <c r="C1896" t="s">
        <v>1751</v>
      </c>
      <c r="D1896">
        <v>20471043</v>
      </c>
      <c r="E1896" t="s">
        <v>3190</v>
      </c>
      <c r="F1896" t="s">
        <v>1239</v>
      </c>
      <c r="G1896" t="s">
        <v>3143</v>
      </c>
      <c r="H1896" t="s">
        <v>1248</v>
      </c>
      <c r="I1896" t="s">
        <v>1952</v>
      </c>
      <c r="J1896" s="455">
        <v>46094</v>
      </c>
      <c r="R1896" s="455">
        <v>46114</v>
      </c>
      <c r="U1896" s="455">
        <v>46094</v>
      </c>
    </row>
    <row r="1897" spans="1:21">
      <c r="A1897" t="s">
        <v>1751</v>
      </c>
      <c r="B1897" t="s">
        <v>9448</v>
      </c>
      <c r="C1897" t="s">
        <v>1751</v>
      </c>
      <c r="D1897">
        <v>20482608</v>
      </c>
      <c r="E1897" t="s">
        <v>3190</v>
      </c>
      <c r="F1897" t="s">
        <v>1782</v>
      </c>
      <c r="G1897" t="s">
        <v>3134</v>
      </c>
      <c r="H1897" t="s">
        <v>1252</v>
      </c>
      <c r="J1897" s="455">
        <v>46110</v>
      </c>
      <c r="R1897" s="455">
        <v>46139</v>
      </c>
      <c r="U1897" s="455">
        <v>46162</v>
      </c>
    </row>
    <row r="1898" spans="1:21">
      <c r="A1898" t="s">
        <v>1751</v>
      </c>
      <c r="B1898" t="s">
        <v>4213</v>
      </c>
      <c r="C1898" t="s">
        <v>1751</v>
      </c>
      <c r="D1898">
        <v>20482834</v>
      </c>
      <c r="E1898" t="s">
        <v>3133</v>
      </c>
      <c r="F1898" t="s">
        <v>1782</v>
      </c>
      <c r="G1898" t="s">
        <v>3134</v>
      </c>
      <c r="H1898" t="s">
        <v>1247</v>
      </c>
      <c r="J1898" s="455">
        <v>46110</v>
      </c>
      <c r="K1898" s="455">
        <v>46110</v>
      </c>
      <c r="R1898" s="455">
        <v>46136</v>
      </c>
      <c r="U1898" s="455">
        <v>46110</v>
      </c>
    </row>
    <row r="1899" spans="1:21">
      <c r="A1899" t="s">
        <v>1751</v>
      </c>
      <c r="B1899" t="s">
        <v>7123</v>
      </c>
      <c r="C1899" t="s">
        <v>1751</v>
      </c>
      <c r="D1899">
        <v>20485912</v>
      </c>
      <c r="E1899" t="s">
        <v>3133</v>
      </c>
      <c r="F1899" t="s">
        <v>1912</v>
      </c>
      <c r="G1899" t="s">
        <v>3134</v>
      </c>
      <c r="H1899" t="s">
        <v>1247</v>
      </c>
      <c r="I1899" t="s">
        <v>1230</v>
      </c>
      <c r="J1899" s="455">
        <v>46114</v>
      </c>
      <c r="K1899" s="455">
        <v>46114</v>
      </c>
      <c r="R1899" s="455">
        <v>46122</v>
      </c>
      <c r="U1899" s="455">
        <v>46121</v>
      </c>
    </row>
    <row r="1900" spans="1:21">
      <c r="A1900" t="s">
        <v>1751</v>
      </c>
      <c r="B1900" t="s">
        <v>7123</v>
      </c>
      <c r="C1900" t="s">
        <v>1751</v>
      </c>
      <c r="D1900">
        <v>20494845</v>
      </c>
      <c r="E1900" t="s">
        <v>3190</v>
      </c>
      <c r="F1900" t="s">
        <v>1782</v>
      </c>
      <c r="G1900" t="s">
        <v>3129</v>
      </c>
      <c r="H1900" t="s">
        <v>1253</v>
      </c>
      <c r="J1900" s="455">
        <v>46126</v>
      </c>
      <c r="R1900" s="455">
        <v>46139</v>
      </c>
      <c r="U1900" s="455">
        <v>46126</v>
      </c>
    </row>
    <row r="1901" spans="1:21">
      <c r="A1901" t="s">
        <v>1751</v>
      </c>
      <c r="B1901" t="s">
        <v>7123</v>
      </c>
      <c r="C1901" t="s">
        <v>1751</v>
      </c>
      <c r="D1901">
        <v>20485868</v>
      </c>
      <c r="E1901" t="s">
        <v>3142</v>
      </c>
      <c r="F1901" t="s">
        <v>1243</v>
      </c>
      <c r="G1901" t="s">
        <v>3129</v>
      </c>
      <c r="H1901" t="s">
        <v>1247</v>
      </c>
      <c r="I1901" t="s">
        <v>1823</v>
      </c>
      <c r="J1901" s="455">
        <v>46114</v>
      </c>
      <c r="K1901" s="455">
        <v>46114</v>
      </c>
      <c r="L1901" s="455">
        <v>46115</v>
      </c>
      <c r="M1901" s="455">
        <v>46122</v>
      </c>
      <c r="N1901" s="455">
        <v>46122</v>
      </c>
      <c r="P1901" s="455">
        <v>46124</v>
      </c>
      <c r="Q1901" s="455">
        <v>46124</v>
      </c>
      <c r="U1901" s="455">
        <v>46128</v>
      </c>
    </row>
    <row r="1902" spans="1:21">
      <c r="A1902" t="s">
        <v>1751</v>
      </c>
      <c r="B1902" t="s">
        <v>10295</v>
      </c>
      <c r="C1902" t="s">
        <v>1751</v>
      </c>
      <c r="D1902">
        <v>20509656</v>
      </c>
      <c r="E1902" t="s">
        <v>3128</v>
      </c>
      <c r="F1902" t="s">
        <v>1782</v>
      </c>
      <c r="G1902" t="s">
        <v>3134</v>
      </c>
      <c r="H1902" t="s">
        <v>1252</v>
      </c>
      <c r="J1902" s="455">
        <v>46137</v>
      </c>
      <c r="U1902" s="455">
        <v>46203</v>
      </c>
    </row>
    <row r="1903" spans="1:21">
      <c r="A1903" t="s">
        <v>1751</v>
      </c>
      <c r="B1903" t="s">
        <v>10296</v>
      </c>
      <c r="C1903" t="s">
        <v>1751</v>
      </c>
      <c r="D1903">
        <v>20438199</v>
      </c>
      <c r="E1903" t="s">
        <v>3190</v>
      </c>
      <c r="F1903" t="s">
        <v>1782</v>
      </c>
      <c r="G1903" t="s">
        <v>3141</v>
      </c>
      <c r="H1903" t="s">
        <v>1252</v>
      </c>
      <c r="J1903" s="455">
        <v>46052</v>
      </c>
      <c r="R1903" s="455">
        <v>46114</v>
      </c>
      <c r="U1903" s="455">
        <v>46062</v>
      </c>
    </row>
    <row r="1904" spans="1:21">
      <c r="A1904" t="s">
        <v>1751</v>
      </c>
      <c r="B1904" t="s">
        <v>10297</v>
      </c>
      <c r="C1904" t="s">
        <v>1751</v>
      </c>
      <c r="D1904">
        <v>20507134</v>
      </c>
      <c r="E1904" t="s">
        <v>1897</v>
      </c>
      <c r="F1904" t="s">
        <v>1241</v>
      </c>
      <c r="G1904" t="s">
        <v>3134</v>
      </c>
      <c r="H1904" t="s">
        <v>1247</v>
      </c>
      <c r="I1904" t="s">
        <v>7131</v>
      </c>
      <c r="J1904" s="455">
        <v>46134</v>
      </c>
      <c r="K1904" s="455">
        <v>46134</v>
      </c>
      <c r="U1904" s="455">
        <v>46134</v>
      </c>
    </row>
    <row r="1905" spans="1:21">
      <c r="A1905" t="s">
        <v>1751</v>
      </c>
      <c r="B1905" t="s">
        <v>10298</v>
      </c>
      <c r="C1905" t="s">
        <v>1751</v>
      </c>
      <c r="D1905">
        <v>20415818</v>
      </c>
      <c r="E1905" t="s">
        <v>3133</v>
      </c>
      <c r="F1905" t="s">
        <v>1241</v>
      </c>
      <c r="G1905" t="s">
        <v>3134</v>
      </c>
      <c r="H1905" t="s">
        <v>1247</v>
      </c>
      <c r="I1905" t="s">
        <v>6580</v>
      </c>
      <c r="J1905" s="455">
        <v>46022</v>
      </c>
      <c r="K1905" s="455">
        <v>46022</v>
      </c>
      <c r="R1905" s="455">
        <v>46114</v>
      </c>
      <c r="U1905" s="455">
        <v>46022</v>
      </c>
    </row>
    <row r="1906" spans="1:21">
      <c r="A1906" t="s">
        <v>1751</v>
      </c>
      <c r="B1906" t="s">
        <v>9449</v>
      </c>
      <c r="C1906" t="s">
        <v>1751</v>
      </c>
      <c r="D1906">
        <v>20469775</v>
      </c>
      <c r="E1906" t="s">
        <v>3190</v>
      </c>
      <c r="F1906" t="s">
        <v>1241</v>
      </c>
      <c r="G1906" t="s">
        <v>3137</v>
      </c>
      <c r="H1906" t="s">
        <v>1251</v>
      </c>
      <c r="I1906" t="s">
        <v>1952</v>
      </c>
      <c r="J1906" s="455">
        <v>46093</v>
      </c>
      <c r="R1906" s="455">
        <v>46114</v>
      </c>
      <c r="U1906" s="455">
        <v>46112</v>
      </c>
    </row>
    <row r="1907" spans="1:21">
      <c r="A1907" t="s">
        <v>1751</v>
      </c>
      <c r="B1907" t="s">
        <v>10299</v>
      </c>
      <c r="C1907" t="s">
        <v>1751</v>
      </c>
      <c r="D1907">
        <v>20495840</v>
      </c>
      <c r="E1907" t="s">
        <v>3190</v>
      </c>
      <c r="F1907" t="s">
        <v>1241</v>
      </c>
      <c r="G1907" t="s">
        <v>2009</v>
      </c>
      <c r="H1907" t="s">
        <v>1251</v>
      </c>
      <c r="J1907" s="455">
        <v>46127</v>
      </c>
      <c r="R1907" s="455">
        <v>46139</v>
      </c>
      <c r="U1907" s="455">
        <v>46112</v>
      </c>
    </row>
    <row r="1908" spans="1:21">
      <c r="A1908" t="s">
        <v>1751</v>
      </c>
      <c r="B1908" t="s">
        <v>10300</v>
      </c>
      <c r="C1908" t="s">
        <v>1751</v>
      </c>
      <c r="D1908">
        <v>20435831</v>
      </c>
      <c r="E1908" t="s">
        <v>3133</v>
      </c>
      <c r="F1908" t="s">
        <v>1782</v>
      </c>
      <c r="G1908" t="s">
        <v>3134</v>
      </c>
      <c r="H1908" t="s">
        <v>1247</v>
      </c>
      <c r="J1908" s="455">
        <v>46049</v>
      </c>
      <c r="K1908" s="455">
        <v>46049</v>
      </c>
      <c r="R1908" s="455">
        <v>46114</v>
      </c>
      <c r="U1908" s="455">
        <v>46112</v>
      </c>
    </row>
    <row r="1909" spans="1:21">
      <c r="A1909" t="s">
        <v>1751</v>
      </c>
      <c r="B1909" t="s">
        <v>9450</v>
      </c>
      <c r="C1909" t="s">
        <v>1751</v>
      </c>
      <c r="D1909">
        <v>20478212</v>
      </c>
      <c r="E1909" t="s">
        <v>3190</v>
      </c>
      <c r="F1909" t="s">
        <v>1239</v>
      </c>
      <c r="G1909" t="s">
        <v>3129</v>
      </c>
      <c r="H1909" t="s">
        <v>1247</v>
      </c>
      <c r="J1909" s="455">
        <v>46104</v>
      </c>
      <c r="R1909" s="455">
        <v>46114</v>
      </c>
      <c r="U1909" s="455">
        <v>46104</v>
      </c>
    </row>
    <row r="1910" spans="1:21">
      <c r="A1910" t="s">
        <v>1751</v>
      </c>
      <c r="B1910" t="s">
        <v>9057</v>
      </c>
      <c r="C1910" t="s">
        <v>1751</v>
      </c>
      <c r="D1910">
        <v>20459601</v>
      </c>
      <c r="E1910" t="s">
        <v>3190</v>
      </c>
      <c r="F1910" t="s">
        <v>1241</v>
      </c>
      <c r="G1910" t="s">
        <v>3129</v>
      </c>
      <c r="H1910" t="s">
        <v>3131</v>
      </c>
      <c r="J1910" s="455">
        <v>46081</v>
      </c>
      <c r="R1910" s="455">
        <v>46114</v>
      </c>
      <c r="U1910" s="455">
        <v>46081</v>
      </c>
    </row>
    <row r="1911" spans="1:21">
      <c r="A1911" t="s">
        <v>1751</v>
      </c>
      <c r="B1911" t="s">
        <v>10301</v>
      </c>
      <c r="C1911" t="s">
        <v>1751</v>
      </c>
      <c r="D1911">
        <v>20500997</v>
      </c>
      <c r="E1911" t="s">
        <v>3128</v>
      </c>
      <c r="F1911" t="s">
        <v>1782</v>
      </c>
      <c r="G1911" t="s">
        <v>3141</v>
      </c>
      <c r="H1911" t="s">
        <v>1252</v>
      </c>
      <c r="J1911" s="455">
        <v>46131</v>
      </c>
      <c r="U1911" s="455">
        <v>46132</v>
      </c>
    </row>
    <row r="1912" spans="1:21">
      <c r="A1912" t="s">
        <v>1751</v>
      </c>
      <c r="B1912" t="s">
        <v>9058</v>
      </c>
      <c r="C1912" t="s">
        <v>1751</v>
      </c>
      <c r="D1912">
        <v>20450207</v>
      </c>
      <c r="E1912" t="s">
        <v>3190</v>
      </c>
      <c r="F1912" t="s">
        <v>1782</v>
      </c>
      <c r="G1912" t="s">
        <v>3129</v>
      </c>
      <c r="H1912" t="s">
        <v>1247</v>
      </c>
      <c r="J1912" s="455">
        <v>46070</v>
      </c>
      <c r="R1912" s="455">
        <v>46114</v>
      </c>
      <c r="U1912" s="455">
        <v>46257</v>
      </c>
    </row>
    <row r="1913" spans="1:21">
      <c r="A1913" t="s">
        <v>1751</v>
      </c>
      <c r="B1913" t="s">
        <v>9059</v>
      </c>
      <c r="C1913" t="s">
        <v>1751</v>
      </c>
      <c r="D1913">
        <v>20448753</v>
      </c>
      <c r="E1913" t="s">
        <v>3190</v>
      </c>
      <c r="F1913" t="s">
        <v>1782</v>
      </c>
      <c r="G1913" t="s">
        <v>2009</v>
      </c>
      <c r="H1913" t="s">
        <v>1247</v>
      </c>
      <c r="J1913" s="455">
        <v>46066</v>
      </c>
      <c r="R1913" s="455">
        <v>46114</v>
      </c>
      <c r="U1913" s="455">
        <v>46081</v>
      </c>
    </row>
    <row r="1914" spans="1:21">
      <c r="A1914" t="s">
        <v>1751</v>
      </c>
      <c r="B1914" t="s">
        <v>9060</v>
      </c>
      <c r="C1914" t="s">
        <v>1751</v>
      </c>
      <c r="D1914">
        <v>20453655</v>
      </c>
      <c r="E1914" t="s">
        <v>3190</v>
      </c>
      <c r="F1914" t="s">
        <v>1782</v>
      </c>
      <c r="G1914" t="s">
        <v>3141</v>
      </c>
      <c r="H1914" t="s">
        <v>1247</v>
      </c>
      <c r="J1914" s="455">
        <v>46072</v>
      </c>
      <c r="R1914" s="455">
        <v>46114</v>
      </c>
      <c r="U1914" s="455">
        <v>46211</v>
      </c>
    </row>
    <row r="1915" spans="1:21">
      <c r="A1915" t="s">
        <v>1751</v>
      </c>
      <c r="B1915" t="s">
        <v>10302</v>
      </c>
      <c r="C1915" t="s">
        <v>1751</v>
      </c>
      <c r="D1915">
        <v>20508449</v>
      </c>
      <c r="E1915" t="s">
        <v>3128</v>
      </c>
      <c r="F1915" t="s">
        <v>1782</v>
      </c>
      <c r="G1915" t="s">
        <v>3134</v>
      </c>
      <c r="H1915" t="s">
        <v>1252</v>
      </c>
      <c r="J1915" s="455">
        <v>46135</v>
      </c>
      <c r="U1915" s="455">
        <v>46174</v>
      </c>
    </row>
    <row r="1916" spans="1:21">
      <c r="A1916" t="s">
        <v>1751</v>
      </c>
      <c r="B1916" t="s">
        <v>10303</v>
      </c>
      <c r="C1916" t="s">
        <v>1751</v>
      </c>
      <c r="D1916">
        <v>20492097</v>
      </c>
      <c r="E1916" t="s">
        <v>3190</v>
      </c>
      <c r="F1916" t="s">
        <v>1782</v>
      </c>
      <c r="G1916" t="s">
        <v>3134</v>
      </c>
      <c r="H1916" t="s">
        <v>1252</v>
      </c>
      <c r="J1916" s="455">
        <v>46122</v>
      </c>
      <c r="R1916" s="455">
        <v>46139</v>
      </c>
      <c r="U1916" s="455">
        <v>46123</v>
      </c>
    </row>
    <row r="1917" spans="1:21">
      <c r="A1917" t="s">
        <v>1751</v>
      </c>
      <c r="B1917" t="s">
        <v>10304</v>
      </c>
      <c r="C1917" t="s">
        <v>1751</v>
      </c>
      <c r="D1917">
        <v>20485100</v>
      </c>
      <c r="E1917" t="s">
        <v>3190</v>
      </c>
      <c r="F1917" t="s">
        <v>1243</v>
      </c>
      <c r="G1917" t="s">
        <v>3141</v>
      </c>
      <c r="H1917" t="s">
        <v>1248</v>
      </c>
      <c r="J1917" s="455">
        <v>46113</v>
      </c>
      <c r="R1917" s="455">
        <v>46114</v>
      </c>
      <c r="U1917" s="455">
        <v>46113</v>
      </c>
    </row>
    <row r="1918" spans="1:21">
      <c r="A1918" t="s">
        <v>1751</v>
      </c>
      <c r="B1918" t="s">
        <v>4227</v>
      </c>
      <c r="C1918" t="s">
        <v>1751</v>
      </c>
      <c r="D1918">
        <v>20512527</v>
      </c>
      <c r="E1918" t="s">
        <v>1897</v>
      </c>
      <c r="F1918" t="s">
        <v>1912</v>
      </c>
      <c r="G1918" t="s">
        <v>3134</v>
      </c>
      <c r="H1918" t="s">
        <v>1247</v>
      </c>
      <c r="I1918" t="s">
        <v>1532</v>
      </c>
      <c r="J1918" s="455">
        <v>46141</v>
      </c>
      <c r="K1918" s="455">
        <v>46141</v>
      </c>
      <c r="U1918" s="455">
        <v>46141</v>
      </c>
    </row>
    <row r="1919" spans="1:21">
      <c r="A1919" t="s">
        <v>1751</v>
      </c>
      <c r="B1919" t="s">
        <v>4227</v>
      </c>
      <c r="C1919" t="s">
        <v>1751</v>
      </c>
      <c r="D1919">
        <v>20500518</v>
      </c>
      <c r="E1919" t="s">
        <v>1897</v>
      </c>
      <c r="F1919" t="s">
        <v>1237</v>
      </c>
      <c r="G1919" t="s">
        <v>3134</v>
      </c>
      <c r="H1919" t="s">
        <v>1247</v>
      </c>
      <c r="I1919" t="s">
        <v>3363</v>
      </c>
      <c r="J1919" s="455">
        <v>46130</v>
      </c>
      <c r="K1919" s="455">
        <v>46130</v>
      </c>
      <c r="U1919" s="455">
        <v>46135</v>
      </c>
    </row>
    <row r="1920" spans="1:21">
      <c r="A1920" t="s">
        <v>1751</v>
      </c>
      <c r="B1920" t="s">
        <v>10305</v>
      </c>
      <c r="C1920" t="s">
        <v>1751</v>
      </c>
      <c r="D1920">
        <v>20509733</v>
      </c>
      <c r="E1920" t="s">
        <v>3128</v>
      </c>
      <c r="F1920" t="s">
        <v>1782</v>
      </c>
      <c r="G1920" t="s">
        <v>3141</v>
      </c>
      <c r="H1920" t="s">
        <v>1252</v>
      </c>
      <c r="J1920" s="455">
        <v>46137</v>
      </c>
      <c r="U1920" s="455">
        <v>46388</v>
      </c>
    </row>
    <row r="1921" spans="1:21">
      <c r="A1921" t="s">
        <v>1751</v>
      </c>
      <c r="B1921" t="s">
        <v>9451</v>
      </c>
      <c r="C1921" t="s">
        <v>1751</v>
      </c>
      <c r="D1921">
        <v>20491272</v>
      </c>
      <c r="E1921" t="s">
        <v>3133</v>
      </c>
      <c r="F1921" t="s">
        <v>1241</v>
      </c>
      <c r="G1921" t="s">
        <v>3134</v>
      </c>
      <c r="H1921" t="s">
        <v>1247</v>
      </c>
      <c r="I1921" t="s">
        <v>3055</v>
      </c>
      <c r="J1921" s="455">
        <v>46121</v>
      </c>
      <c r="K1921" s="455">
        <v>46121</v>
      </c>
      <c r="R1921" s="455">
        <v>46142</v>
      </c>
      <c r="U1921" s="455">
        <v>46139</v>
      </c>
    </row>
    <row r="1922" spans="1:21">
      <c r="A1922" t="s">
        <v>1751</v>
      </c>
      <c r="B1922" t="s">
        <v>9451</v>
      </c>
      <c r="C1922" t="s">
        <v>1751</v>
      </c>
      <c r="D1922">
        <v>20482329</v>
      </c>
      <c r="E1922" t="s">
        <v>3190</v>
      </c>
      <c r="F1922" t="s">
        <v>1782</v>
      </c>
      <c r="G1922" t="s">
        <v>3141</v>
      </c>
      <c r="H1922" t="s">
        <v>1252</v>
      </c>
      <c r="J1922" s="455">
        <v>46109</v>
      </c>
      <c r="R1922" s="455">
        <v>46139</v>
      </c>
      <c r="U1922" s="455">
        <v>46109</v>
      </c>
    </row>
    <row r="1923" spans="1:21">
      <c r="A1923" t="s">
        <v>1751</v>
      </c>
      <c r="B1923" t="s">
        <v>10306</v>
      </c>
      <c r="C1923" t="s">
        <v>1751</v>
      </c>
      <c r="D1923">
        <v>20417918</v>
      </c>
      <c r="E1923" t="s">
        <v>3190</v>
      </c>
      <c r="F1923" t="s">
        <v>1782</v>
      </c>
      <c r="G1923" t="s">
        <v>2009</v>
      </c>
      <c r="H1923" t="s">
        <v>1251</v>
      </c>
      <c r="J1923" s="455">
        <v>46026</v>
      </c>
      <c r="R1923" s="455">
        <v>46114</v>
      </c>
      <c r="U1923" s="455">
        <v>46026</v>
      </c>
    </row>
    <row r="1924" spans="1:21">
      <c r="A1924" t="s">
        <v>1751</v>
      </c>
      <c r="B1924" t="s">
        <v>10307</v>
      </c>
      <c r="C1924" t="s">
        <v>1751</v>
      </c>
      <c r="D1924">
        <v>20413120</v>
      </c>
      <c r="E1924" t="s">
        <v>3133</v>
      </c>
      <c r="F1924" t="s">
        <v>1241</v>
      </c>
      <c r="G1924" t="s">
        <v>3137</v>
      </c>
      <c r="H1924" t="s">
        <v>1251</v>
      </c>
      <c r="I1924" t="s">
        <v>3451</v>
      </c>
      <c r="J1924" s="455">
        <v>46017</v>
      </c>
      <c r="K1924" s="455">
        <v>46017</v>
      </c>
      <c r="R1924" s="455">
        <v>46114</v>
      </c>
      <c r="U1924" s="455">
        <v>46053</v>
      </c>
    </row>
    <row r="1925" spans="1:21">
      <c r="A1925" t="s">
        <v>1751</v>
      </c>
      <c r="B1925" t="s">
        <v>9061</v>
      </c>
      <c r="C1925" t="s">
        <v>1751</v>
      </c>
      <c r="D1925">
        <v>20448865</v>
      </c>
      <c r="E1925" t="s">
        <v>3190</v>
      </c>
      <c r="F1925" t="s">
        <v>1782</v>
      </c>
      <c r="G1925" t="s">
        <v>2009</v>
      </c>
      <c r="H1925" t="s">
        <v>1247</v>
      </c>
      <c r="J1925" s="455">
        <v>46067</v>
      </c>
      <c r="R1925" s="455">
        <v>46114</v>
      </c>
      <c r="U1925" s="455">
        <v>46084</v>
      </c>
    </row>
    <row r="1926" spans="1:21">
      <c r="A1926" t="s">
        <v>1751</v>
      </c>
      <c r="B1926" t="s">
        <v>9063</v>
      </c>
      <c r="C1926" t="s">
        <v>1751</v>
      </c>
      <c r="D1926">
        <v>20444597</v>
      </c>
      <c r="E1926" t="s">
        <v>3190</v>
      </c>
      <c r="F1926" t="s">
        <v>1799</v>
      </c>
      <c r="G1926" t="s">
        <v>2009</v>
      </c>
      <c r="H1926" t="s">
        <v>1247</v>
      </c>
      <c r="I1926" t="s">
        <v>1952</v>
      </c>
      <c r="J1926" s="455">
        <v>46063</v>
      </c>
      <c r="R1926" s="455">
        <v>46114</v>
      </c>
      <c r="U1926" s="455">
        <v>46327</v>
      </c>
    </row>
    <row r="1927" spans="1:21">
      <c r="A1927" t="s">
        <v>1751</v>
      </c>
      <c r="B1927" t="s">
        <v>9452</v>
      </c>
      <c r="C1927" t="s">
        <v>1751</v>
      </c>
      <c r="D1927">
        <v>20469437</v>
      </c>
      <c r="E1927" t="s">
        <v>3190</v>
      </c>
      <c r="F1927" t="s">
        <v>1782</v>
      </c>
      <c r="G1927" t="s">
        <v>3134</v>
      </c>
      <c r="H1927" t="s">
        <v>1252</v>
      </c>
      <c r="J1927" s="455">
        <v>46093</v>
      </c>
      <c r="R1927" s="455">
        <v>46114</v>
      </c>
      <c r="U1927" s="455">
        <v>46193</v>
      </c>
    </row>
    <row r="1928" spans="1:21">
      <c r="A1928" t="s">
        <v>1751</v>
      </c>
      <c r="B1928" t="s">
        <v>4230</v>
      </c>
      <c r="C1928" t="s">
        <v>1751</v>
      </c>
      <c r="D1928">
        <v>20511736</v>
      </c>
      <c r="E1928" t="s">
        <v>3128</v>
      </c>
      <c r="F1928" t="s">
        <v>1782</v>
      </c>
      <c r="G1928" t="s">
        <v>3134</v>
      </c>
      <c r="H1928" t="s">
        <v>3165</v>
      </c>
      <c r="J1928" s="455">
        <v>46140</v>
      </c>
      <c r="U1928" s="455">
        <v>46188</v>
      </c>
    </row>
    <row r="1929" spans="1:21">
      <c r="A1929" t="s">
        <v>1751</v>
      </c>
      <c r="B1929" t="s">
        <v>10308</v>
      </c>
      <c r="C1929" t="s">
        <v>1751</v>
      </c>
      <c r="D1929">
        <v>20501555</v>
      </c>
      <c r="E1929" t="s">
        <v>3128</v>
      </c>
      <c r="F1929" t="s">
        <v>1782</v>
      </c>
      <c r="G1929" t="s">
        <v>3137</v>
      </c>
      <c r="H1929" t="s">
        <v>1252</v>
      </c>
      <c r="J1929" s="455">
        <v>46131</v>
      </c>
      <c r="U1929" s="455">
        <v>46160</v>
      </c>
    </row>
    <row r="1930" spans="1:21">
      <c r="A1930" t="s">
        <v>1751</v>
      </c>
      <c r="B1930" t="s">
        <v>9453</v>
      </c>
      <c r="C1930" t="s">
        <v>1751</v>
      </c>
      <c r="D1930">
        <v>20478062</v>
      </c>
      <c r="E1930" t="s">
        <v>3190</v>
      </c>
      <c r="F1930" t="s">
        <v>1241</v>
      </c>
      <c r="G1930" t="s">
        <v>3134</v>
      </c>
      <c r="H1930" t="s">
        <v>1252</v>
      </c>
      <c r="J1930" s="455">
        <v>46104</v>
      </c>
      <c r="R1930" s="455">
        <v>46114</v>
      </c>
      <c r="U1930" s="455">
        <v>46143</v>
      </c>
    </row>
    <row r="1931" spans="1:21">
      <c r="A1931" t="s">
        <v>1751</v>
      </c>
      <c r="B1931" t="s">
        <v>10309</v>
      </c>
      <c r="C1931" t="s">
        <v>1751</v>
      </c>
      <c r="D1931">
        <v>20506877</v>
      </c>
      <c r="E1931" t="s">
        <v>3128</v>
      </c>
      <c r="F1931" t="s">
        <v>1782</v>
      </c>
      <c r="G1931" t="s">
        <v>3137</v>
      </c>
      <c r="H1931" t="s">
        <v>1252</v>
      </c>
      <c r="J1931" s="455">
        <v>46134</v>
      </c>
      <c r="U1931" s="455">
        <v>46201</v>
      </c>
    </row>
    <row r="1932" spans="1:21">
      <c r="A1932" t="s">
        <v>1751</v>
      </c>
      <c r="B1932" t="s">
        <v>4236</v>
      </c>
      <c r="C1932" t="s">
        <v>1751</v>
      </c>
      <c r="D1932">
        <v>20512676</v>
      </c>
      <c r="E1932" t="s">
        <v>1897</v>
      </c>
      <c r="F1932" t="s">
        <v>1912</v>
      </c>
      <c r="G1932" t="s">
        <v>3134</v>
      </c>
      <c r="H1932" t="s">
        <v>1247</v>
      </c>
      <c r="I1932" t="s">
        <v>1818</v>
      </c>
      <c r="J1932" s="455">
        <v>46141</v>
      </c>
      <c r="K1932" s="455">
        <v>46141</v>
      </c>
      <c r="U1932" s="455">
        <v>46141</v>
      </c>
    </row>
    <row r="1933" spans="1:21">
      <c r="A1933" t="s">
        <v>1751</v>
      </c>
      <c r="B1933" t="s">
        <v>4236</v>
      </c>
      <c r="C1933" t="s">
        <v>1751</v>
      </c>
      <c r="D1933">
        <v>20512664</v>
      </c>
      <c r="E1933" t="s">
        <v>3128</v>
      </c>
      <c r="F1933" t="s">
        <v>1782</v>
      </c>
      <c r="G1933" t="s">
        <v>3129</v>
      </c>
      <c r="H1933" t="s">
        <v>3131</v>
      </c>
      <c r="J1933" s="455">
        <v>46141</v>
      </c>
      <c r="U1933" s="455">
        <v>46141</v>
      </c>
    </row>
    <row r="1934" spans="1:21">
      <c r="A1934" t="s">
        <v>1751</v>
      </c>
      <c r="B1934" t="s">
        <v>4236</v>
      </c>
      <c r="C1934" t="s">
        <v>1751</v>
      </c>
      <c r="D1934">
        <v>20494150</v>
      </c>
      <c r="E1934" t="s">
        <v>1897</v>
      </c>
      <c r="F1934" t="s">
        <v>1782</v>
      </c>
      <c r="G1934" t="s">
        <v>3134</v>
      </c>
      <c r="H1934" t="s">
        <v>1247</v>
      </c>
      <c r="I1934" t="s">
        <v>1818</v>
      </c>
      <c r="J1934" s="455">
        <v>46125</v>
      </c>
      <c r="K1934" s="455">
        <v>46125</v>
      </c>
      <c r="U1934" s="455">
        <v>46130</v>
      </c>
    </row>
    <row r="1935" spans="1:21">
      <c r="A1935" t="s">
        <v>1751</v>
      </c>
      <c r="B1935" t="s">
        <v>10310</v>
      </c>
      <c r="C1935" t="s">
        <v>1751</v>
      </c>
      <c r="D1935">
        <v>20484669</v>
      </c>
      <c r="E1935" t="s">
        <v>3190</v>
      </c>
      <c r="F1935" t="s">
        <v>1782</v>
      </c>
      <c r="G1935" t="s">
        <v>3134</v>
      </c>
      <c r="H1935" t="s">
        <v>1252</v>
      </c>
      <c r="J1935" s="455">
        <v>46113</v>
      </c>
      <c r="R1935" s="455">
        <v>46139</v>
      </c>
      <c r="U1935" s="455">
        <v>46114</v>
      </c>
    </row>
    <row r="1936" spans="1:21">
      <c r="A1936" t="s">
        <v>1751</v>
      </c>
      <c r="B1936" t="s">
        <v>9065</v>
      </c>
      <c r="C1936" t="s">
        <v>1751</v>
      </c>
      <c r="D1936">
        <v>20448685</v>
      </c>
      <c r="E1936" t="s">
        <v>3190</v>
      </c>
      <c r="F1936" t="s">
        <v>1241</v>
      </c>
      <c r="G1936" t="s">
        <v>3141</v>
      </c>
      <c r="H1936" t="s">
        <v>1247</v>
      </c>
      <c r="J1936" s="455">
        <v>46066</v>
      </c>
      <c r="R1936" s="455">
        <v>46114</v>
      </c>
      <c r="U1936" s="455">
        <v>46296</v>
      </c>
    </row>
    <row r="1937" spans="1:21">
      <c r="A1937" t="s">
        <v>1751</v>
      </c>
      <c r="B1937" t="s">
        <v>10311</v>
      </c>
      <c r="C1937" t="s">
        <v>1751</v>
      </c>
      <c r="D1937">
        <v>20491153</v>
      </c>
      <c r="E1937" t="s">
        <v>3190</v>
      </c>
      <c r="F1937" t="s">
        <v>1241</v>
      </c>
      <c r="G1937" t="s">
        <v>3134</v>
      </c>
      <c r="H1937" t="s">
        <v>1252</v>
      </c>
      <c r="J1937" s="455">
        <v>46121</v>
      </c>
      <c r="R1937" s="455">
        <v>46139</v>
      </c>
      <c r="U1937" s="455">
        <v>46207</v>
      </c>
    </row>
    <row r="1938" spans="1:21">
      <c r="A1938" t="s">
        <v>1751</v>
      </c>
      <c r="B1938" t="s">
        <v>10312</v>
      </c>
      <c r="C1938" t="s">
        <v>1751</v>
      </c>
      <c r="D1938">
        <v>20491711</v>
      </c>
      <c r="E1938" t="s">
        <v>3190</v>
      </c>
      <c r="F1938" t="s">
        <v>1241</v>
      </c>
      <c r="G1938" t="s">
        <v>3134</v>
      </c>
      <c r="H1938" t="s">
        <v>1252</v>
      </c>
      <c r="J1938" s="455">
        <v>46122</v>
      </c>
      <c r="R1938" s="455">
        <v>46139</v>
      </c>
      <c r="U1938" s="455">
        <v>46125</v>
      </c>
    </row>
    <row r="1939" spans="1:21">
      <c r="A1939" t="s">
        <v>1751</v>
      </c>
      <c r="B1939" t="s">
        <v>9066</v>
      </c>
      <c r="C1939" t="s">
        <v>1751</v>
      </c>
      <c r="D1939">
        <v>20445911</v>
      </c>
      <c r="E1939" t="s">
        <v>3190</v>
      </c>
      <c r="F1939" t="s">
        <v>1241</v>
      </c>
      <c r="G1939" t="s">
        <v>2009</v>
      </c>
      <c r="H1939" t="s">
        <v>1247</v>
      </c>
      <c r="J1939" s="455">
        <v>46064</v>
      </c>
      <c r="R1939" s="455">
        <v>46114</v>
      </c>
      <c r="U1939" s="455">
        <v>46101</v>
      </c>
    </row>
    <row r="1940" spans="1:21">
      <c r="A1940" t="s">
        <v>1751</v>
      </c>
      <c r="B1940" t="s">
        <v>10313</v>
      </c>
      <c r="C1940" t="s">
        <v>1751</v>
      </c>
      <c r="D1940">
        <v>20422923</v>
      </c>
      <c r="E1940" t="s">
        <v>3133</v>
      </c>
      <c r="F1940" t="s">
        <v>1237</v>
      </c>
      <c r="G1940" t="s">
        <v>3134</v>
      </c>
      <c r="H1940" t="s">
        <v>1247</v>
      </c>
      <c r="J1940" s="455">
        <v>46033</v>
      </c>
      <c r="K1940" s="455">
        <v>46033</v>
      </c>
      <c r="R1940" s="455">
        <v>46114</v>
      </c>
      <c r="U1940" s="455">
        <v>46034</v>
      </c>
    </row>
    <row r="1941" spans="1:21">
      <c r="A1941" t="s">
        <v>1751</v>
      </c>
      <c r="B1941" t="s">
        <v>10313</v>
      </c>
      <c r="C1941" t="s">
        <v>1751</v>
      </c>
      <c r="D1941">
        <v>20500878</v>
      </c>
      <c r="E1941" t="s">
        <v>3128</v>
      </c>
      <c r="F1941" t="s">
        <v>1237</v>
      </c>
      <c r="G1941" t="s">
        <v>3141</v>
      </c>
      <c r="H1941" t="s">
        <v>1247</v>
      </c>
      <c r="J1941" s="455">
        <v>46130</v>
      </c>
      <c r="U1941" s="455">
        <v>46144</v>
      </c>
    </row>
    <row r="1942" spans="1:21">
      <c r="A1942" t="s">
        <v>1751</v>
      </c>
      <c r="B1942" t="s">
        <v>10314</v>
      </c>
      <c r="C1942" t="s">
        <v>1751</v>
      </c>
      <c r="D1942">
        <v>20509423</v>
      </c>
      <c r="E1942" t="s">
        <v>3128</v>
      </c>
      <c r="F1942" t="s">
        <v>1782</v>
      </c>
      <c r="G1942" t="s">
        <v>3141</v>
      </c>
      <c r="H1942" t="s">
        <v>1252</v>
      </c>
      <c r="J1942" s="455">
        <v>46136</v>
      </c>
      <c r="U1942" s="455">
        <v>46157</v>
      </c>
    </row>
    <row r="1943" spans="1:21">
      <c r="A1943" t="s">
        <v>1751</v>
      </c>
      <c r="B1943" t="s">
        <v>10315</v>
      </c>
      <c r="C1943" t="s">
        <v>1751</v>
      </c>
      <c r="D1943">
        <v>20422990</v>
      </c>
      <c r="E1943" t="s">
        <v>3190</v>
      </c>
      <c r="F1943" t="s">
        <v>1782</v>
      </c>
      <c r="G1943" t="s">
        <v>3137</v>
      </c>
      <c r="H1943" t="s">
        <v>1940</v>
      </c>
      <c r="J1943" s="455">
        <v>46034</v>
      </c>
      <c r="R1943" s="455">
        <v>46114</v>
      </c>
      <c r="U1943" s="455">
        <v>46054</v>
      </c>
    </row>
    <row r="1944" spans="1:21">
      <c r="A1944" t="s">
        <v>1751</v>
      </c>
      <c r="B1944" t="s">
        <v>9455</v>
      </c>
      <c r="C1944" t="s">
        <v>1751</v>
      </c>
      <c r="D1944">
        <v>20465212</v>
      </c>
      <c r="E1944" t="s">
        <v>3190</v>
      </c>
      <c r="F1944" t="s">
        <v>1241</v>
      </c>
      <c r="G1944" t="s">
        <v>3143</v>
      </c>
      <c r="H1944" t="s">
        <v>1248</v>
      </c>
      <c r="I1944" t="s">
        <v>3703</v>
      </c>
      <c r="J1944" s="455">
        <v>46090</v>
      </c>
      <c r="R1944" s="455">
        <v>46114</v>
      </c>
      <c r="U1944" s="455">
        <v>46094</v>
      </c>
    </row>
    <row r="1945" spans="1:21">
      <c r="A1945" t="s">
        <v>1751</v>
      </c>
      <c r="B1945" t="s">
        <v>10316</v>
      </c>
      <c r="C1945" t="s">
        <v>1751</v>
      </c>
      <c r="D1945">
        <v>20489543</v>
      </c>
      <c r="E1945" t="s">
        <v>3190</v>
      </c>
      <c r="F1945" t="s">
        <v>1782</v>
      </c>
      <c r="G1945" t="s">
        <v>3134</v>
      </c>
      <c r="H1945" t="s">
        <v>1252</v>
      </c>
      <c r="J1945" s="455">
        <v>46119</v>
      </c>
      <c r="R1945" s="455">
        <v>46139</v>
      </c>
      <c r="U1945" s="455">
        <v>46121</v>
      </c>
    </row>
    <row r="1946" spans="1:21">
      <c r="A1946" t="s">
        <v>1751</v>
      </c>
      <c r="B1946" t="s">
        <v>9456</v>
      </c>
      <c r="C1946" t="s">
        <v>1751</v>
      </c>
      <c r="D1946">
        <v>20475606</v>
      </c>
      <c r="E1946" t="s">
        <v>3190</v>
      </c>
      <c r="F1946" t="s">
        <v>1241</v>
      </c>
      <c r="G1946" t="s">
        <v>3134</v>
      </c>
      <c r="H1946" t="s">
        <v>1252</v>
      </c>
      <c r="J1946" s="455">
        <v>46100</v>
      </c>
      <c r="R1946" s="455">
        <v>46114</v>
      </c>
      <c r="U1946" s="455">
        <v>46101</v>
      </c>
    </row>
    <row r="1947" spans="1:21">
      <c r="A1947" t="s">
        <v>1751</v>
      </c>
      <c r="B1947" t="s">
        <v>10317</v>
      </c>
      <c r="C1947" t="s">
        <v>1751</v>
      </c>
      <c r="D1947">
        <v>20410541</v>
      </c>
      <c r="E1947" t="s">
        <v>3190</v>
      </c>
      <c r="F1947" t="s">
        <v>1238</v>
      </c>
      <c r="G1947" t="s">
        <v>3143</v>
      </c>
      <c r="H1947" t="s">
        <v>1248</v>
      </c>
      <c r="J1947" s="455">
        <v>46011</v>
      </c>
      <c r="R1947" s="455">
        <v>46114</v>
      </c>
      <c r="U1947" s="455">
        <v>46067</v>
      </c>
    </row>
    <row r="1948" spans="1:21">
      <c r="A1948" t="s">
        <v>1751</v>
      </c>
      <c r="B1948" t="s">
        <v>10318</v>
      </c>
      <c r="C1948" t="s">
        <v>1751</v>
      </c>
      <c r="D1948">
        <v>20427475</v>
      </c>
      <c r="E1948" t="s">
        <v>3190</v>
      </c>
      <c r="F1948" t="s">
        <v>1237</v>
      </c>
      <c r="G1948" t="s">
        <v>3143</v>
      </c>
      <c r="H1948" t="s">
        <v>1248</v>
      </c>
      <c r="J1948" s="455">
        <v>46037</v>
      </c>
      <c r="R1948" s="455">
        <v>46114</v>
      </c>
      <c r="U1948" s="455">
        <v>46037</v>
      </c>
    </row>
    <row r="1949" spans="1:21">
      <c r="A1949" t="s">
        <v>1751</v>
      </c>
      <c r="B1949" t="s">
        <v>10319</v>
      </c>
      <c r="C1949" t="s">
        <v>1751</v>
      </c>
      <c r="D1949">
        <v>20488126</v>
      </c>
      <c r="E1949" t="s">
        <v>3128</v>
      </c>
      <c r="F1949" t="s">
        <v>1782</v>
      </c>
      <c r="G1949" t="s">
        <v>3134</v>
      </c>
      <c r="H1949" t="s">
        <v>1252</v>
      </c>
      <c r="J1949" s="455">
        <v>46118</v>
      </c>
      <c r="U1949" s="455">
        <v>46143</v>
      </c>
    </row>
    <row r="1950" spans="1:21">
      <c r="A1950" t="s">
        <v>1751</v>
      </c>
      <c r="B1950" t="s">
        <v>10320</v>
      </c>
      <c r="C1950" t="s">
        <v>1751</v>
      </c>
      <c r="D1950">
        <v>20500089</v>
      </c>
      <c r="E1950" t="s">
        <v>3190</v>
      </c>
      <c r="F1950" t="s">
        <v>1782</v>
      </c>
      <c r="G1950" t="s">
        <v>3143</v>
      </c>
      <c r="H1950" t="s">
        <v>1247</v>
      </c>
      <c r="J1950" s="455">
        <v>46129</v>
      </c>
      <c r="R1950" s="455">
        <v>46139</v>
      </c>
      <c r="U1950" s="455">
        <v>46129</v>
      </c>
    </row>
    <row r="1951" spans="1:21">
      <c r="A1951" t="s">
        <v>1751</v>
      </c>
      <c r="B1951" t="s">
        <v>9457</v>
      </c>
      <c r="C1951" t="s">
        <v>1751</v>
      </c>
      <c r="D1951">
        <v>20461672</v>
      </c>
      <c r="E1951" t="s">
        <v>3133</v>
      </c>
      <c r="F1951" t="s">
        <v>1237</v>
      </c>
      <c r="G1951" t="s">
        <v>3143</v>
      </c>
      <c r="H1951" t="s">
        <v>1248</v>
      </c>
      <c r="I1951" t="s">
        <v>1227</v>
      </c>
      <c r="J1951" s="455">
        <v>46084</v>
      </c>
      <c r="K1951" s="455">
        <v>46086</v>
      </c>
      <c r="R1951" s="455">
        <v>46114</v>
      </c>
      <c r="U1951" s="455">
        <v>46104</v>
      </c>
    </row>
    <row r="1952" spans="1:21">
      <c r="A1952" t="s">
        <v>1751</v>
      </c>
      <c r="B1952" t="s">
        <v>10321</v>
      </c>
      <c r="C1952" t="s">
        <v>1751</v>
      </c>
      <c r="D1952">
        <v>20492168</v>
      </c>
      <c r="E1952" t="s">
        <v>3190</v>
      </c>
      <c r="F1952" t="s">
        <v>1241</v>
      </c>
      <c r="G1952" t="s">
        <v>3134</v>
      </c>
      <c r="H1952" t="s">
        <v>1252</v>
      </c>
      <c r="J1952" s="455">
        <v>46122</v>
      </c>
      <c r="R1952" s="455">
        <v>46139</v>
      </c>
      <c r="U1952" s="455">
        <v>46195</v>
      </c>
    </row>
    <row r="1953" spans="1:21">
      <c r="A1953" t="s">
        <v>1751</v>
      </c>
      <c r="B1953" t="s">
        <v>4241</v>
      </c>
      <c r="C1953" t="s">
        <v>1751</v>
      </c>
      <c r="D1953">
        <v>20508908</v>
      </c>
      <c r="E1953" t="s">
        <v>1897</v>
      </c>
      <c r="F1953" t="s">
        <v>1239</v>
      </c>
      <c r="G1953" t="s">
        <v>3143</v>
      </c>
      <c r="H1953" t="s">
        <v>1248</v>
      </c>
      <c r="I1953" t="s">
        <v>1921</v>
      </c>
      <c r="J1953" s="455">
        <v>46136</v>
      </c>
      <c r="K1953" s="455">
        <v>46137</v>
      </c>
      <c r="U1953" s="455">
        <v>46167</v>
      </c>
    </row>
    <row r="1954" spans="1:21">
      <c r="A1954" t="s">
        <v>1751</v>
      </c>
      <c r="B1954" t="s">
        <v>9458</v>
      </c>
      <c r="C1954" t="s">
        <v>1751</v>
      </c>
      <c r="D1954">
        <v>20471251</v>
      </c>
      <c r="E1954" t="s">
        <v>3190</v>
      </c>
      <c r="F1954" t="s">
        <v>1782</v>
      </c>
      <c r="G1954" t="s">
        <v>3134</v>
      </c>
      <c r="H1954" t="s">
        <v>1252</v>
      </c>
      <c r="J1954" s="455">
        <v>46095</v>
      </c>
      <c r="R1954" s="455">
        <v>46114</v>
      </c>
      <c r="U1954" s="455">
        <v>46198</v>
      </c>
    </row>
    <row r="1955" spans="1:21">
      <c r="A1955" t="s">
        <v>1751</v>
      </c>
      <c r="B1955" t="s">
        <v>10322</v>
      </c>
      <c r="C1955" t="s">
        <v>1751</v>
      </c>
      <c r="D1955">
        <v>20430204</v>
      </c>
      <c r="E1955" t="s">
        <v>3190</v>
      </c>
      <c r="F1955" t="s">
        <v>1241</v>
      </c>
      <c r="G1955" t="s">
        <v>3137</v>
      </c>
      <c r="H1955" t="s">
        <v>1251</v>
      </c>
      <c r="J1955" s="455">
        <v>46041</v>
      </c>
      <c r="R1955" s="455">
        <v>46114</v>
      </c>
      <c r="U1955" s="455">
        <v>46082</v>
      </c>
    </row>
    <row r="1956" spans="1:21">
      <c r="A1956" t="s">
        <v>1751</v>
      </c>
      <c r="B1956" t="s">
        <v>10323</v>
      </c>
      <c r="C1956" t="s">
        <v>1751</v>
      </c>
      <c r="D1956">
        <v>20421905</v>
      </c>
      <c r="E1956" t="s">
        <v>3190</v>
      </c>
      <c r="F1956" t="s">
        <v>1237</v>
      </c>
      <c r="G1956" t="s">
        <v>3141</v>
      </c>
      <c r="H1956" t="s">
        <v>1252</v>
      </c>
      <c r="J1956" s="455">
        <v>46012</v>
      </c>
      <c r="R1956" s="455">
        <v>46114</v>
      </c>
      <c r="U1956" s="455">
        <v>46031</v>
      </c>
    </row>
    <row r="1957" spans="1:21">
      <c r="A1957" t="s">
        <v>1751</v>
      </c>
      <c r="B1957" t="s">
        <v>6712</v>
      </c>
      <c r="C1957" t="s">
        <v>1751</v>
      </c>
      <c r="D1957">
        <v>20497070</v>
      </c>
      <c r="E1957" t="s">
        <v>3133</v>
      </c>
      <c r="F1957" t="s">
        <v>10324</v>
      </c>
      <c r="G1957" t="s">
        <v>3134</v>
      </c>
      <c r="H1957" t="s">
        <v>1247</v>
      </c>
      <c r="I1957" t="s">
        <v>1969</v>
      </c>
      <c r="J1957" s="455">
        <v>46127</v>
      </c>
      <c r="K1957" s="455">
        <v>46127</v>
      </c>
      <c r="L1957" s="455">
        <v>46128</v>
      </c>
      <c r="S1957" s="455">
        <v>46133</v>
      </c>
      <c r="U1957" s="455">
        <v>46171</v>
      </c>
    </row>
    <row r="1958" spans="1:21">
      <c r="A1958" t="s">
        <v>1751</v>
      </c>
      <c r="B1958" t="s">
        <v>6712</v>
      </c>
      <c r="C1958" t="s">
        <v>1751</v>
      </c>
      <c r="D1958">
        <v>20498144</v>
      </c>
      <c r="E1958" t="s">
        <v>3133</v>
      </c>
      <c r="F1958" t="s">
        <v>1912</v>
      </c>
      <c r="G1958" t="s">
        <v>3134</v>
      </c>
      <c r="H1958" t="s">
        <v>1247</v>
      </c>
      <c r="J1958" s="455">
        <v>46128</v>
      </c>
      <c r="K1958" s="455">
        <v>46128</v>
      </c>
      <c r="R1958" s="455">
        <v>46129</v>
      </c>
      <c r="U1958" s="455">
        <v>46172</v>
      </c>
    </row>
    <row r="1959" spans="1:21">
      <c r="A1959" t="s">
        <v>1751</v>
      </c>
      <c r="B1959" t="s">
        <v>9460</v>
      </c>
      <c r="C1959" t="s">
        <v>1751</v>
      </c>
      <c r="D1959">
        <v>20459996</v>
      </c>
      <c r="E1959" t="s">
        <v>3133</v>
      </c>
      <c r="F1959" t="s">
        <v>1782</v>
      </c>
      <c r="G1959" t="s">
        <v>3134</v>
      </c>
      <c r="H1959" t="s">
        <v>1247</v>
      </c>
      <c r="I1959" t="s">
        <v>1938</v>
      </c>
      <c r="J1959" s="455">
        <v>46082</v>
      </c>
      <c r="K1959" s="455">
        <v>46082</v>
      </c>
      <c r="R1959" s="455">
        <v>46114</v>
      </c>
      <c r="U1959" s="455">
        <v>46072</v>
      </c>
    </row>
    <row r="1960" spans="1:21">
      <c r="A1960" t="s">
        <v>1751</v>
      </c>
      <c r="B1960" t="s">
        <v>9068</v>
      </c>
      <c r="C1960" t="s">
        <v>1751</v>
      </c>
      <c r="D1960">
        <v>20455030</v>
      </c>
      <c r="E1960" t="s">
        <v>3190</v>
      </c>
      <c r="F1960" t="s">
        <v>1782</v>
      </c>
      <c r="G1960" t="s">
        <v>3141</v>
      </c>
      <c r="H1960" t="s">
        <v>1247</v>
      </c>
      <c r="J1960" s="455">
        <v>46074</v>
      </c>
      <c r="R1960" s="455">
        <v>46114</v>
      </c>
      <c r="U1960" s="455">
        <v>46106</v>
      </c>
    </row>
    <row r="1961" spans="1:21">
      <c r="A1961" t="s">
        <v>1751</v>
      </c>
      <c r="B1961" t="s">
        <v>4244</v>
      </c>
      <c r="C1961" t="s">
        <v>1751</v>
      </c>
      <c r="D1961">
        <v>20491953</v>
      </c>
      <c r="E1961" t="s">
        <v>3190</v>
      </c>
      <c r="F1961" t="s">
        <v>1782</v>
      </c>
      <c r="G1961" t="s">
        <v>3134</v>
      </c>
      <c r="H1961" t="s">
        <v>1252</v>
      </c>
      <c r="J1961" s="455">
        <v>46122</v>
      </c>
      <c r="R1961" s="455">
        <v>46139</v>
      </c>
      <c r="U1961" s="455">
        <v>46235</v>
      </c>
    </row>
    <row r="1962" spans="1:21">
      <c r="A1962" t="s">
        <v>1751</v>
      </c>
      <c r="B1962" t="s">
        <v>4244</v>
      </c>
      <c r="C1962" t="s">
        <v>1751</v>
      </c>
      <c r="D1962">
        <v>20492084</v>
      </c>
      <c r="E1962" t="s">
        <v>1897</v>
      </c>
      <c r="F1962" t="s">
        <v>1912</v>
      </c>
      <c r="G1962" t="s">
        <v>3134</v>
      </c>
      <c r="H1962" t="s">
        <v>1247</v>
      </c>
      <c r="J1962" s="455">
        <v>46122</v>
      </c>
      <c r="K1962" s="455">
        <v>46122</v>
      </c>
      <c r="U1962" s="455">
        <v>46122</v>
      </c>
    </row>
    <row r="1963" spans="1:21">
      <c r="A1963" t="s">
        <v>1751</v>
      </c>
      <c r="B1963" t="s">
        <v>9461</v>
      </c>
      <c r="C1963" t="s">
        <v>1751</v>
      </c>
      <c r="D1963">
        <v>20474197</v>
      </c>
      <c r="E1963" t="s">
        <v>3190</v>
      </c>
      <c r="F1963" t="s">
        <v>1782</v>
      </c>
      <c r="G1963" t="s">
        <v>3134</v>
      </c>
      <c r="H1963" t="s">
        <v>1252</v>
      </c>
      <c r="J1963" s="455">
        <v>46098</v>
      </c>
      <c r="R1963" s="455">
        <v>46114</v>
      </c>
      <c r="U1963" s="455">
        <v>46175</v>
      </c>
    </row>
    <row r="1964" spans="1:21">
      <c r="A1964" t="s">
        <v>1751</v>
      </c>
      <c r="B1964" t="s">
        <v>7043</v>
      </c>
      <c r="C1964" t="s">
        <v>1751</v>
      </c>
      <c r="D1964">
        <v>20431983</v>
      </c>
      <c r="E1964" t="s">
        <v>3190</v>
      </c>
      <c r="F1964" t="s">
        <v>8652</v>
      </c>
      <c r="G1964" t="s">
        <v>3143</v>
      </c>
      <c r="H1964" t="s">
        <v>1251</v>
      </c>
      <c r="J1964" s="455">
        <v>46043</v>
      </c>
      <c r="R1964" s="455">
        <v>46114</v>
      </c>
      <c r="U1964" s="455">
        <v>46043</v>
      </c>
    </row>
    <row r="1965" spans="1:21">
      <c r="A1965" t="s">
        <v>1751</v>
      </c>
      <c r="B1965" t="s">
        <v>4249</v>
      </c>
      <c r="C1965" t="s">
        <v>1751</v>
      </c>
      <c r="D1965">
        <v>20458281</v>
      </c>
      <c r="E1965" t="s">
        <v>3190</v>
      </c>
      <c r="F1965" t="s">
        <v>1239</v>
      </c>
      <c r="G1965" t="s">
        <v>3143</v>
      </c>
      <c r="H1965" t="s">
        <v>1252</v>
      </c>
      <c r="J1965" s="455">
        <v>46079</v>
      </c>
      <c r="R1965" s="455">
        <v>46115</v>
      </c>
      <c r="U1965" s="455">
        <v>46079</v>
      </c>
    </row>
    <row r="1966" spans="1:21">
      <c r="A1966" t="s">
        <v>1751</v>
      </c>
      <c r="B1966" t="s">
        <v>10325</v>
      </c>
      <c r="C1966" t="s">
        <v>1751</v>
      </c>
      <c r="D1966">
        <v>20413857</v>
      </c>
      <c r="E1966" t="s">
        <v>3133</v>
      </c>
      <c r="F1966" t="s">
        <v>1239</v>
      </c>
      <c r="G1966" t="s">
        <v>3134</v>
      </c>
      <c r="H1966" t="s">
        <v>1247</v>
      </c>
      <c r="I1966" t="s">
        <v>7117</v>
      </c>
      <c r="J1966" s="455">
        <v>46019</v>
      </c>
      <c r="K1966" s="455">
        <v>46019</v>
      </c>
      <c r="R1966" s="455">
        <v>46114</v>
      </c>
      <c r="U1966" s="455">
        <v>46020</v>
      </c>
    </row>
    <row r="1967" spans="1:21">
      <c r="A1967" t="s">
        <v>1751</v>
      </c>
      <c r="B1967" t="s">
        <v>9462</v>
      </c>
      <c r="C1967" t="s">
        <v>1751</v>
      </c>
      <c r="D1967">
        <v>20462254</v>
      </c>
      <c r="E1967" t="s">
        <v>3190</v>
      </c>
      <c r="F1967" t="s">
        <v>1242</v>
      </c>
      <c r="G1967" t="s">
        <v>3129</v>
      </c>
      <c r="H1967" t="s">
        <v>1251</v>
      </c>
      <c r="J1967" s="455">
        <v>46085</v>
      </c>
      <c r="R1967" s="455">
        <v>46114</v>
      </c>
      <c r="U1967" s="455">
        <v>46085</v>
      </c>
    </row>
    <row r="1968" spans="1:21">
      <c r="A1968" t="s">
        <v>1751</v>
      </c>
      <c r="B1968" t="s">
        <v>9070</v>
      </c>
      <c r="C1968" t="s">
        <v>1751</v>
      </c>
      <c r="D1968">
        <v>20444194</v>
      </c>
      <c r="E1968" t="s">
        <v>3190</v>
      </c>
      <c r="F1968" t="s">
        <v>1241</v>
      </c>
      <c r="G1968" t="s">
        <v>2009</v>
      </c>
      <c r="H1968" t="s">
        <v>1247</v>
      </c>
      <c r="J1968" s="455">
        <v>46063</v>
      </c>
      <c r="R1968" s="455">
        <v>46114</v>
      </c>
      <c r="U1968" s="455">
        <v>46072</v>
      </c>
    </row>
    <row r="1969" spans="1:21">
      <c r="A1969" t="s">
        <v>1751</v>
      </c>
      <c r="B1969" t="s">
        <v>10326</v>
      </c>
      <c r="C1969" t="s">
        <v>1751</v>
      </c>
      <c r="D1969">
        <v>20426496</v>
      </c>
      <c r="E1969" t="s">
        <v>3190</v>
      </c>
      <c r="F1969" t="s">
        <v>1237</v>
      </c>
      <c r="G1969" t="s">
        <v>3129</v>
      </c>
      <c r="H1969" t="s">
        <v>3165</v>
      </c>
      <c r="I1969" t="s">
        <v>3202</v>
      </c>
      <c r="J1969" s="455">
        <v>46037</v>
      </c>
      <c r="R1969" s="455">
        <v>46114</v>
      </c>
      <c r="U1969" s="455">
        <v>46037</v>
      </c>
    </row>
    <row r="1970" spans="1:21">
      <c r="A1970" t="s">
        <v>1751</v>
      </c>
      <c r="B1970" t="s">
        <v>10327</v>
      </c>
      <c r="C1970" t="s">
        <v>1751</v>
      </c>
      <c r="D1970">
        <v>20422157</v>
      </c>
      <c r="E1970" t="s">
        <v>3190</v>
      </c>
      <c r="F1970" t="s">
        <v>1237</v>
      </c>
      <c r="G1970" t="s">
        <v>3143</v>
      </c>
      <c r="H1970" t="s">
        <v>1940</v>
      </c>
      <c r="J1970" s="455">
        <v>46032</v>
      </c>
      <c r="R1970" s="455">
        <v>46114</v>
      </c>
      <c r="U1970" s="455">
        <v>46032</v>
      </c>
    </row>
    <row r="1971" spans="1:21">
      <c r="A1971" t="s">
        <v>1751</v>
      </c>
      <c r="B1971" t="s">
        <v>9071</v>
      </c>
      <c r="C1971" t="s">
        <v>1751</v>
      </c>
      <c r="D1971">
        <v>20446002</v>
      </c>
      <c r="E1971" t="s">
        <v>3190</v>
      </c>
      <c r="F1971" t="s">
        <v>1241</v>
      </c>
      <c r="G1971" t="s">
        <v>3129</v>
      </c>
      <c r="H1971" t="s">
        <v>1253</v>
      </c>
      <c r="I1971" t="s">
        <v>1925</v>
      </c>
      <c r="J1971" s="455">
        <v>46064</v>
      </c>
      <c r="R1971" s="455">
        <v>46114</v>
      </c>
      <c r="U1971" s="455">
        <v>46065</v>
      </c>
    </row>
    <row r="1972" spans="1:21">
      <c r="A1972" t="s">
        <v>1751</v>
      </c>
      <c r="B1972" t="s">
        <v>10328</v>
      </c>
      <c r="C1972" t="s">
        <v>1751</v>
      </c>
      <c r="D1972">
        <v>20500995</v>
      </c>
      <c r="E1972" t="s">
        <v>3190</v>
      </c>
      <c r="F1972" t="s">
        <v>1782</v>
      </c>
      <c r="G1972" t="s">
        <v>3134</v>
      </c>
      <c r="H1972" t="s">
        <v>3165</v>
      </c>
      <c r="J1972" s="455">
        <v>46131</v>
      </c>
      <c r="R1972" s="455">
        <v>46139</v>
      </c>
      <c r="U1972" s="455">
        <v>46136</v>
      </c>
    </row>
    <row r="1973" spans="1:21">
      <c r="A1973" t="s">
        <v>1751</v>
      </c>
      <c r="B1973" t="s">
        <v>10329</v>
      </c>
      <c r="C1973" t="s">
        <v>1751</v>
      </c>
      <c r="D1973">
        <v>20429623</v>
      </c>
      <c r="E1973" t="s">
        <v>3190</v>
      </c>
      <c r="F1973" t="s">
        <v>1241</v>
      </c>
      <c r="G1973" t="s">
        <v>3143</v>
      </c>
      <c r="H1973" t="s">
        <v>1252</v>
      </c>
      <c r="J1973" s="455">
        <v>46039</v>
      </c>
      <c r="R1973" s="455">
        <v>46114</v>
      </c>
      <c r="U1973" s="455">
        <v>46095</v>
      </c>
    </row>
    <row r="1974" spans="1:21">
      <c r="A1974" t="s">
        <v>1751</v>
      </c>
      <c r="B1974" t="s">
        <v>10330</v>
      </c>
      <c r="C1974" t="s">
        <v>1751</v>
      </c>
      <c r="D1974">
        <v>20507693</v>
      </c>
      <c r="E1974" t="s">
        <v>3128</v>
      </c>
      <c r="F1974" t="s">
        <v>1782</v>
      </c>
      <c r="G1974" t="s">
        <v>3129</v>
      </c>
      <c r="H1974" t="s">
        <v>1252</v>
      </c>
      <c r="J1974" s="455">
        <v>46135</v>
      </c>
      <c r="U1974" s="455">
        <v>46183</v>
      </c>
    </row>
    <row r="1975" spans="1:21">
      <c r="A1975" t="s">
        <v>1751</v>
      </c>
      <c r="B1975" t="s">
        <v>9072</v>
      </c>
      <c r="C1975" t="s">
        <v>1751</v>
      </c>
      <c r="D1975">
        <v>20446362</v>
      </c>
      <c r="E1975" t="s">
        <v>3190</v>
      </c>
      <c r="F1975" t="s">
        <v>1241</v>
      </c>
      <c r="G1975" t="s">
        <v>3129</v>
      </c>
      <c r="H1975" t="s">
        <v>1247</v>
      </c>
      <c r="J1975" s="455">
        <v>46064</v>
      </c>
      <c r="R1975" s="455">
        <v>46114</v>
      </c>
      <c r="U1975" s="455">
        <v>46124</v>
      </c>
    </row>
    <row r="1976" spans="1:21">
      <c r="A1976" t="s">
        <v>1751</v>
      </c>
      <c r="B1976" t="s">
        <v>10331</v>
      </c>
      <c r="C1976" t="s">
        <v>1751</v>
      </c>
      <c r="D1976">
        <v>20502838</v>
      </c>
      <c r="E1976" t="s">
        <v>3133</v>
      </c>
      <c r="F1976" t="s">
        <v>1799</v>
      </c>
      <c r="G1976" t="s">
        <v>3134</v>
      </c>
      <c r="H1976" t="s">
        <v>1247</v>
      </c>
      <c r="I1976" t="s">
        <v>5984</v>
      </c>
      <c r="J1976" s="455">
        <v>46132</v>
      </c>
      <c r="K1976" s="455">
        <v>46132</v>
      </c>
      <c r="R1976" s="455">
        <v>46135</v>
      </c>
      <c r="U1976" s="455">
        <v>46132</v>
      </c>
    </row>
    <row r="1977" spans="1:21">
      <c r="A1977" t="s">
        <v>1751</v>
      </c>
      <c r="B1977" t="s">
        <v>10331</v>
      </c>
      <c r="C1977" t="s">
        <v>1751</v>
      </c>
      <c r="D1977">
        <v>20500731</v>
      </c>
      <c r="E1977" t="s">
        <v>1907</v>
      </c>
      <c r="F1977" t="s">
        <v>1239</v>
      </c>
      <c r="G1977" t="s">
        <v>3129</v>
      </c>
      <c r="H1977" t="s">
        <v>1253</v>
      </c>
      <c r="I1977" t="s">
        <v>4598</v>
      </c>
      <c r="J1977" s="455">
        <v>46130</v>
      </c>
      <c r="K1977" s="455">
        <v>46132</v>
      </c>
      <c r="L1977" s="455">
        <v>46133</v>
      </c>
      <c r="U1977" s="455">
        <v>46143</v>
      </c>
    </row>
    <row r="1978" spans="1:21">
      <c r="A1978" t="s">
        <v>1751</v>
      </c>
      <c r="B1978" t="s">
        <v>10332</v>
      </c>
      <c r="C1978" t="s">
        <v>1751</v>
      </c>
      <c r="D1978">
        <v>20485356</v>
      </c>
      <c r="E1978" t="s">
        <v>3190</v>
      </c>
      <c r="F1978" t="s">
        <v>1241</v>
      </c>
      <c r="G1978" t="s">
        <v>3134</v>
      </c>
      <c r="H1978" t="s">
        <v>1252</v>
      </c>
      <c r="J1978" s="455">
        <v>46113</v>
      </c>
      <c r="R1978" s="455">
        <v>46139</v>
      </c>
      <c r="U1978" s="455">
        <v>46113</v>
      </c>
    </row>
    <row r="1979" spans="1:21">
      <c r="A1979" t="s">
        <v>1751</v>
      </c>
      <c r="B1979" t="s">
        <v>10333</v>
      </c>
      <c r="C1979" t="s">
        <v>1751</v>
      </c>
      <c r="D1979">
        <v>20487797</v>
      </c>
      <c r="E1979" t="s">
        <v>3190</v>
      </c>
      <c r="F1979" t="s">
        <v>1782</v>
      </c>
      <c r="G1979" t="s">
        <v>3134</v>
      </c>
      <c r="H1979" t="s">
        <v>1252</v>
      </c>
      <c r="J1979" s="455">
        <v>46118</v>
      </c>
      <c r="R1979" s="455">
        <v>46139</v>
      </c>
      <c r="U1979" s="455">
        <v>46136</v>
      </c>
    </row>
    <row r="1980" spans="1:21">
      <c r="A1980" t="s">
        <v>1751</v>
      </c>
      <c r="B1980" t="s">
        <v>9073</v>
      </c>
      <c r="C1980" t="s">
        <v>1751</v>
      </c>
      <c r="D1980">
        <v>20452600</v>
      </c>
      <c r="E1980" t="s">
        <v>3190</v>
      </c>
      <c r="F1980" t="s">
        <v>1241</v>
      </c>
      <c r="G1980" t="s">
        <v>3137</v>
      </c>
      <c r="H1980" t="s">
        <v>1251</v>
      </c>
      <c r="J1980" s="455">
        <v>46071</v>
      </c>
      <c r="R1980" s="455">
        <v>46114</v>
      </c>
      <c r="U1980" s="455">
        <v>46071</v>
      </c>
    </row>
    <row r="1981" spans="1:21">
      <c r="A1981" t="s">
        <v>1751</v>
      </c>
      <c r="B1981" t="s">
        <v>10334</v>
      </c>
      <c r="C1981" t="s">
        <v>1751</v>
      </c>
      <c r="D1981">
        <v>20511044</v>
      </c>
      <c r="E1981" t="s">
        <v>3128</v>
      </c>
      <c r="F1981" t="s">
        <v>1782</v>
      </c>
      <c r="G1981" t="s">
        <v>3134</v>
      </c>
      <c r="H1981" t="s">
        <v>3165</v>
      </c>
      <c r="J1981" s="455">
        <v>46139</v>
      </c>
      <c r="U1981" s="455">
        <v>46178</v>
      </c>
    </row>
    <row r="1982" spans="1:21">
      <c r="A1982" t="s">
        <v>1751</v>
      </c>
      <c r="B1982" t="s">
        <v>4257</v>
      </c>
      <c r="C1982" t="s">
        <v>1751</v>
      </c>
      <c r="D1982">
        <v>20477013</v>
      </c>
      <c r="E1982" t="s">
        <v>3133</v>
      </c>
      <c r="F1982" t="s">
        <v>1242</v>
      </c>
      <c r="G1982" t="s">
        <v>3134</v>
      </c>
      <c r="H1982" t="s">
        <v>3487</v>
      </c>
      <c r="I1982" t="s">
        <v>1570</v>
      </c>
      <c r="J1982" s="455">
        <v>46101</v>
      </c>
      <c r="K1982" s="455">
        <v>46101</v>
      </c>
      <c r="R1982" s="455">
        <v>46114</v>
      </c>
      <c r="U1982" s="455">
        <v>46174</v>
      </c>
    </row>
    <row r="1983" spans="1:21">
      <c r="A1983" t="s">
        <v>1751</v>
      </c>
      <c r="B1983" t="s">
        <v>9074</v>
      </c>
      <c r="C1983" t="s">
        <v>1751</v>
      </c>
      <c r="D1983">
        <v>20443263</v>
      </c>
      <c r="E1983" t="s">
        <v>3190</v>
      </c>
      <c r="F1983" t="s">
        <v>1782</v>
      </c>
      <c r="G1983" t="s">
        <v>3141</v>
      </c>
      <c r="H1983" t="s">
        <v>1247</v>
      </c>
      <c r="J1983" s="455">
        <v>46061</v>
      </c>
      <c r="R1983" s="455">
        <v>46114</v>
      </c>
      <c r="U1983" s="455">
        <v>46143</v>
      </c>
    </row>
    <row r="1984" spans="1:21">
      <c r="A1984" t="s">
        <v>1751</v>
      </c>
      <c r="B1984" t="s">
        <v>10335</v>
      </c>
      <c r="C1984" t="s">
        <v>1751</v>
      </c>
      <c r="D1984">
        <v>20486425</v>
      </c>
      <c r="E1984" t="s">
        <v>3190</v>
      </c>
      <c r="F1984" t="s">
        <v>1241</v>
      </c>
      <c r="G1984" t="s">
        <v>3129</v>
      </c>
      <c r="H1984" t="s">
        <v>1252</v>
      </c>
      <c r="J1984" s="455">
        <v>46115</v>
      </c>
      <c r="R1984" s="455">
        <v>46115</v>
      </c>
      <c r="U1984" s="455">
        <v>46115</v>
      </c>
    </row>
    <row r="1985" spans="1:21">
      <c r="A1985" t="s">
        <v>1751</v>
      </c>
      <c r="B1985" t="s">
        <v>10336</v>
      </c>
      <c r="C1985" t="s">
        <v>1751</v>
      </c>
      <c r="D1985">
        <v>20492286</v>
      </c>
      <c r="E1985" t="s">
        <v>3190</v>
      </c>
      <c r="F1985" t="s">
        <v>1241</v>
      </c>
      <c r="G1985" t="s">
        <v>3134</v>
      </c>
      <c r="H1985" t="s">
        <v>1252</v>
      </c>
      <c r="J1985" s="455">
        <v>46123</v>
      </c>
      <c r="R1985" s="455">
        <v>46139</v>
      </c>
      <c r="U1985" s="455">
        <v>46173</v>
      </c>
    </row>
    <row r="1986" spans="1:21">
      <c r="A1986" t="s">
        <v>1751</v>
      </c>
      <c r="B1986" t="s">
        <v>10337</v>
      </c>
      <c r="C1986" t="s">
        <v>1751</v>
      </c>
      <c r="D1986">
        <v>20490002</v>
      </c>
      <c r="E1986" t="s">
        <v>3133</v>
      </c>
      <c r="F1986" t="s">
        <v>1243</v>
      </c>
      <c r="G1986" t="s">
        <v>3134</v>
      </c>
      <c r="H1986" t="s">
        <v>1247</v>
      </c>
      <c r="I1986" t="s">
        <v>1808</v>
      </c>
      <c r="J1986" s="455">
        <v>46120</v>
      </c>
      <c r="K1986" s="455">
        <v>46120</v>
      </c>
      <c r="L1986" s="455">
        <v>46120</v>
      </c>
      <c r="M1986" s="455">
        <v>46135</v>
      </c>
      <c r="N1986" s="455">
        <v>46135</v>
      </c>
      <c r="R1986" s="455">
        <v>46136</v>
      </c>
      <c r="U1986" s="455">
        <v>46140</v>
      </c>
    </row>
    <row r="1987" spans="1:21">
      <c r="A1987" t="s">
        <v>1751</v>
      </c>
      <c r="B1987" t="s">
        <v>10337</v>
      </c>
      <c r="C1987" t="s">
        <v>1751</v>
      </c>
      <c r="D1987">
        <v>20489994</v>
      </c>
      <c r="E1987" t="s">
        <v>3133</v>
      </c>
      <c r="F1987" t="s">
        <v>1241</v>
      </c>
      <c r="G1987" t="s">
        <v>3134</v>
      </c>
      <c r="H1987" t="s">
        <v>1252</v>
      </c>
      <c r="J1987" s="455">
        <v>46120</v>
      </c>
      <c r="K1987" s="455">
        <v>46120</v>
      </c>
      <c r="R1987" s="455">
        <v>46129</v>
      </c>
      <c r="U1987" s="455">
        <v>46140</v>
      </c>
    </row>
    <row r="1988" spans="1:21">
      <c r="A1988" t="s">
        <v>1751</v>
      </c>
      <c r="B1988" t="s">
        <v>10338</v>
      </c>
      <c r="C1988" t="s">
        <v>1751</v>
      </c>
      <c r="D1988">
        <v>20486284</v>
      </c>
      <c r="E1988" t="s">
        <v>3190</v>
      </c>
      <c r="F1988" t="s">
        <v>1782</v>
      </c>
      <c r="G1988" t="s">
        <v>3134</v>
      </c>
      <c r="H1988" t="s">
        <v>1252</v>
      </c>
      <c r="J1988" s="455">
        <v>46114</v>
      </c>
      <c r="R1988" s="455">
        <v>46115</v>
      </c>
      <c r="U1988" s="455">
        <v>46115</v>
      </c>
    </row>
    <row r="1989" spans="1:21">
      <c r="A1989" t="s">
        <v>1751</v>
      </c>
      <c r="B1989" t="s">
        <v>10339</v>
      </c>
      <c r="C1989" t="s">
        <v>1751</v>
      </c>
      <c r="D1989">
        <v>20419499</v>
      </c>
      <c r="E1989" t="s">
        <v>3190</v>
      </c>
      <c r="F1989" t="s">
        <v>1241</v>
      </c>
      <c r="G1989" t="s">
        <v>3137</v>
      </c>
      <c r="H1989" t="s">
        <v>1252</v>
      </c>
      <c r="J1989" s="455">
        <v>46028</v>
      </c>
      <c r="R1989" s="455">
        <v>46114</v>
      </c>
      <c r="U1989" s="455">
        <v>46041</v>
      </c>
    </row>
    <row r="1990" spans="1:21">
      <c r="A1990" t="s">
        <v>1751</v>
      </c>
      <c r="B1990" t="s">
        <v>10340</v>
      </c>
      <c r="C1990" t="s">
        <v>1751</v>
      </c>
      <c r="D1990">
        <v>20424379</v>
      </c>
      <c r="E1990" t="s">
        <v>3190</v>
      </c>
      <c r="F1990" t="s">
        <v>1241</v>
      </c>
      <c r="G1990" t="s">
        <v>3141</v>
      </c>
      <c r="H1990" t="s">
        <v>1247</v>
      </c>
      <c r="J1990" s="455">
        <v>46035</v>
      </c>
      <c r="R1990" s="455">
        <v>46139</v>
      </c>
      <c r="U1990" s="455">
        <v>46035</v>
      </c>
    </row>
    <row r="1991" spans="1:21">
      <c r="A1991" t="s">
        <v>1751</v>
      </c>
      <c r="B1991" t="s">
        <v>9463</v>
      </c>
      <c r="C1991" t="s">
        <v>1751</v>
      </c>
      <c r="D1991">
        <v>20472147</v>
      </c>
      <c r="E1991" t="s">
        <v>3190</v>
      </c>
      <c r="F1991" t="s">
        <v>1237</v>
      </c>
      <c r="G1991" t="s">
        <v>3134</v>
      </c>
      <c r="H1991" t="s">
        <v>1252</v>
      </c>
      <c r="I1991" t="s">
        <v>5829</v>
      </c>
      <c r="J1991" s="455">
        <v>46097</v>
      </c>
      <c r="R1991" s="455">
        <v>46115</v>
      </c>
      <c r="U1991" s="455">
        <v>46167</v>
      </c>
    </row>
    <row r="1992" spans="1:21">
      <c r="A1992" t="s">
        <v>1751</v>
      </c>
      <c r="B1992" t="s">
        <v>9464</v>
      </c>
      <c r="C1992" t="s">
        <v>1751</v>
      </c>
      <c r="D1992">
        <v>20484050</v>
      </c>
      <c r="E1992" t="s">
        <v>3190</v>
      </c>
      <c r="F1992" t="s">
        <v>1237</v>
      </c>
      <c r="G1992" t="s">
        <v>3143</v>
      </c>
      <c r="H1992" t="s">
        <v>1252</v>
      </c>
      <c r="I1992" t="s">
        <v>6610</v>
      </c>
      <c r="J1992" s="455">
        <v>46112</v>
      </c>
      <c r="R1992" s="455">
        <v>46139</v>
      </c>
      <c r="U1992" s="455">
        <v>46178</v>
      </c>
    </row>
    <row r="1993" spans="1:21">
      <c r="A1993" t="s">
        <v>1751</v>
      </c>
      <c r="B1993" t="s">
        <v>10341</v>
      </c>
      <c r="C1993" t="s">
        <v>1751</v>
      </c>
      <c r="D1993">
        <v>20505817</v>
      </c>
      <c r="E1993" t="s">
        <v>3128</v>
      </c>
      <c r="F1993" t="s">
        <v>1782</v>
      </c>
      <c r="G1993" t="s">
        <v>3129</v>
      </c>
      <c r="H1993" t="s">
        <v>3131</v>
      </c>
      <c r="J1993" s="455">
        <v>46134</v>
      </c>
      <c r="U1993" s="455">
        <v>46134</v>
      </c>
    </row>
    <row r="1994" spans="1:21">
      <c r="A1994" t="s">
        <v>1751</v>
      </c>
      <c r="B1994" t="s">
        <v>10342</v>
      </c>
      <c r="C1994" t="s">
        <v>1751</v>
      </c>
      <c r="D1994">
        <v>20490670</v>
      </c>
      <c r="E1994" t="s">
        <v>3190</v>
      </c>
      <c r="F1994" t="s">
        <v>1782</v>
      </c>
      <c r="G1994" t="s">
        <v>3134</v>
      </c>
      <c r="H1994" t="s">
        <v>1252</v>
      </c>
      <c r="J1994" s="455">
        <v>46121</v>
      </c>
      <c r="R1994" s="455">
        <v>46139</v>
      </c>
      <c r="U1994" s="455">
        <v>46164</v>
      </c>
    </row>
    <row r="1995" spans="1:21">
      <c r="A1995" t="s">
        <v>1751</v>
      </c>
      <c r="B1995" t="s">
        <v>9465</v>
      </c>
      <c r="C1995" t="s">
        <v>1751</v>
      </c>
      <c r="D1995">
        <v>20475549</v>
      </c>
      <c r="E1995" t="s">
        <v>3190</v>
      </c>
      <c r="F1995" t="s">
        <v>1782</v>
      </c>
      <c r="G1995" t="s">
        <v>3134</v>
      </c>
      <c r="H1995" t="s">
        <v>1252</v>
      </c>
      <c r="J1995" s="455">
        <v>46099</v>
      </c>
      <c r="R1995" s="455">
        <v>46114</v>
      </c>
      <c r="U1995" s="455">
        <v>46223</v>
      </c>
    </row>
    <row r="1996" spans="1:21">
      <c r="A1996" t="s">
        <v>1751</v>
      </c>
      <c r="B1996" t="s">
        <v>1822</v>
      </c>
      <c r="C1996" t="s">
        <v>1751</v>
      </c>
      <c r="D1996">
        <v>20470891</v>
      </c>
      <c r="E1996" t="s">
        <v>3142</v>
      </c>
      <c r="F1996" t="s">
        <v>1243</v>
      </c>
      <c r="G1996" t="s">
        <v>3137</v>
      </c>
      <c r="H1996" t="s">
        <v>1247</v>
      </c>
      <c r="I1996" t="s">
        <v>1821</v>
      </c>
      <c r="J1996" s="455">
        <v>46094</v>
      </c>
      <c r="K1996" s="455">
        <v>46095</v>
      </c>
      <c r="L1996" s="455">
        <v>46095</v>
      </c>
      <c r="M1996" s="455">
        <v>46112</v>
      </c>
      <c r="N1996" s="455">
        <v>46113</v>
      </c>
      <c r="P1996" s="455">
        <v>46113</v>
      </c>
      <c r="Q1996" s="455">
        <v>46113</v>
      </c>
      <c r="U1996" s="455">
        <v>46114</v>
      </c>
    </row>
    <row r="1997" spans="1:21">
      <c r="A1997" t="s">
        <v>1751</v>
      </c>
      <c r="B1997" t="s">
        <v>9076</v>
      </c>
      <c r="C1997" t="s">
        <v>1751</v>
      </c>
      <c r="D1997">
        <v>20443599</v>
      </c>
      <c r="E1997" t="s">
        <v>3190</v>
      </c>
      <c r="F1997" t="s">
        <v>1782</v>
      </c>
      <c r="G1997" t="s">
        <v>3129</v>
      </c>
      <c r="H1997" t="s">
        <v>1252</v>
      </c>
      <c r="J1997" s="455">
        <v>46062</v>
      </c>
      <c r="R1997" s="455">
        <v>46114</v>
      </c>
      <c r="U1997" s="455">
        <v>46076</v>
      </c>
    </row>
    <row r="1998" spans="1:21">
      <c r="A1998" t="s">
        <v>1751</v>
      </c>
      <c r="B1998" t="s">
        <v>10343</v>
      </c>
      <c r="C1998" t="s">
        <v>1751</v>
      </c>
      <c r="D1998">
        <v>20416544</v>
      </c>
      <c r="E1998" t="s">
        <v>3190</v>
      </c>
      <c r="F1998" t="s">
        <v>1782</v>
      </c>
      <c r="G1998" t="s">
        <v>3141</v>
      </c>
      <c r="H1998" t="s">
        <v>1251</v>
      </c>
      <c r="J1998" s="455">
        <v>46024</v>
      </c>
      <c r="R1998" s="455">
        <v>46114</v>
      </c>
      <c r="U1998" s="455">
        <v>46054</v>
      </c>
    </row>
    <row r="1999" spans="1:21">
      <c r="A1999" t="s">
        <v>1751</v>
      </c>
      <c r="B1999" t="s">
        <v>10344</v>
      </c>
      <c r="C1999" t="s">
        <v>1751</v>
      </c>
      <c r="D1999">
        <v>20489969</v>
      </c>
      <c r="E1999" t="s">
        <v>3190</v>
      </c>
      <c r="F1999" t="s">
        <v>1237</v>
      </c>
      <c r="G1999" t="s">
        <v>3143</v>
      </c>
      <c r="H1999" t="s">
        <v>1248</v>
      </c>
      <c r="J1999" s="455">
        <v>46120</v>
      </c>
      <c r="R1999" s="455">
        <v>46139</v>
      </c>
      <c r="U1999" s="455">
        <v>46129</v>
      </c>
    </row>
    <row r="2000" spans="1:21">
      <c r="A2000" t="s">
        <v>1751</v>
      </c>
      <c r="B2000" t="s">
        <v>7005</v>
      </c>
      <c r="C2000" t="s">
        <v>1751</v>
      </c>
      <c r="D2000">
        <v>20484799</v>
      </c>
      <c r="E2000" t="s">
        <v>3142</v>
      </c>
      <c r="F2000" t="s">
        <v>1799</v>
      </c>
      <c r="G2000" t="s">
        <v>3143</v>
      </c>
      <c r="H2000" t="s">
        <v>1248</v>
      </c>
      <c r="I2000" t="s">
        <v>5773</v>
      </c>
      <c r="J2000" s="455">
        <v>46113</v>
      </c>
      <c r="K2000" s="455">
        <v>46113</v>
      </c>
      <c r="L2000" s="455">
        <v>46113</v>
      </c>
      <c r="M2000" s="455">
        <v>46114</v>
      </c>
      <c r="N2000" s="455">
        <v>46114</v>
      </c>
      <c r="P2000" s="455">
        <v>46114</v>
      </c>
      <c r="Q2000" s="455">
        <v>46115</v>
      </c>
      <c r="U2000" s="455">
        <v>46116</v>
      </c>
    </row>
    <row r="2001" spans="1:21">
      <c r="A2001" t="s">
        <v>1751</v>
      </c>
      <c r="B2001" t="s">
        <v>9078</v>
      </c>
      <c r="C2001" t="s">
        <v>1751</v>
      </c>
      <c r="D2001">
        <v>20456345</v>
      </c>
      <c r="E2001" t="s">
        <v>3133</v>
      </c>
      <c r="F2001" t="s">
        <v>1238</v>
      </c>
      <c r="G2001" t="s">
        <v>3129</v>
      </c>
      <c r="H2001" t="s">
        <v>1252</v>
      </c>
      <c r="I2001" t="s">
        <v>1805</v>
      </c>
      <c r="J2001" s="455">
        <v>46077</v>
      </c>
      <c r="K2001" s="455">
        <v>46077</v>
      </c>
      <c r="L2001" s="455">
        <v>46077</v>
      </c>
      <c r="R2001" s="455">
        <v>46114</v>
      </c>
      <c r="U2001" s="455">
        <v>46088</v>
      </c>
    </row>
    <row r="2002" spans="1:21">
      <c r="A2002" t="s">
        <v>1751</v>
      </c>
      <c r="B2002" t="s">
        <v>10345</v>
      </c>
      <c r="C2002" t="s">
        <v>1751</v>
      </c>
      <c r="D2002">
        <v>20438532</v>
      </c>
      <c r="E2002" t="s">
        <v>3190</v>
      </c>
      <c r="F2002" t="s">
        <v>1238</v>
      </c>
      <c r="G2002" t="s">
        <v>2009</v>
      </c>
      <c r="H2002" t="s">
        <v>1252</v>
      </c>
      <c r="J2002" s="455">
        <v>46053</v>
      </c>
      <c r="R2002" s="455">
        <v>46114</v>
      </c>
      <c r="U2002" s="455">
        <v>46167</v>
      </c>
    </row>
    <row r="2003" spans="1:21">
      <c r="A2003" t="s">
        <v>1751</v>
      </c>
      <c r="B2003" t="s">
        <v>9466</v>
      </c>
      <c r="C2003" t="s">
        <v>1751</v>
      </c>
      <c r="D2003">
        <v>20475908</v>
      </c>
      <c r="E2003" t="s">
        <v>3190</v>
      </c>
      <c r="F2003" t="s">
        <v>1241</v>
      </c>
      <c r="G2003" t="s">
        <v>3143</v>
      </c>
      <c r="H2003" t="s">
        <v>1251</v>
      </c>
      <c r="J2003" s="455">
        <v>46100</v>
      </c>
      <c r="R2003" s="455">
        <v>46115</v>
      </c>
      <c r="U2003" s="455">
        <v>46100</v>
      </c>
    </row>
    <row r="2004" spans="1:21">
      <c r="A2004" t="s">
        <v>1751</v>
      </c>
      <c r="B2004" t="s">
        <v>10346</v>
      </c>
      <c r="C2004" t="s">
        <v>1751</v>
      </c>
      <c r="D2004">
        <v>20507576</v>
      </c>
      <c r="E2004" t="s">
        <v>3128</v>
      </c>
      <c r="F2004" t="s">
        <v>1241</v>
      </c>
      <c r="G2004" t="s">
        <v>3129</v>
      </c>
      <c r="H2004" t="s">
        <v>1247</v>
      </c>
      <c r="I2004" t="s">
        <v>1943</v>
      </c>
      <c r="J2004" s="455">
        <v>46135</v>
      </c>
      <c r="U2004" s="455">
        <v>46135</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0811C4-0023-45DD-BA83-E547C863BDA7}">
  <sheetPr>
    <tabColor rgb="FFC00000"/>
  </sheetPr>
  <dimension ref="A1:U1097"/>
  <sheetViews>
    <sheetView workbookViewId="0">
      <selection activeCell="E19" sqref="E19"/>
    </sheetView>
  </sheetViews>
  <sheetFormatPr defaultRowHeight="14.4"/>
  <sheetData>
    <row r="1" spans="1:21">
      <c r="A1" t="s">
        <v>3117</v>
      </c>
      <c r="B1" t="s">
        <v>1761</v>
      </c>
      <c r="C1" t="s">
        <v>2301</v>
      </c>
      <c r="D1" t="s">
        <v>3118</v>
      </c>
      <c r="E1" t="s">
        <v>929</v>
      </c>
      <c r="F1" t="s">
        <v>1233</v>
      </c>
      <c r="G1" t="s">
        <v>3119</v>
      </c>
      <c r="H1" t="s">
        <v>1216</v>
      </c>
      <c r="I1" t="s">
        <v>1760</v>
      </c>
      <c r="J1" t="s">
        <v>3120</v>
      </c>
      <c r="K1" t="s">
        <v>3121</v>
      </c>
      <c r="L1" t="s">
        <v>2292</v>
      </c>
      <c r="M1" t="s">
        <v>2296</v>
      </c>
      <c r="N1" t="s">
        <v>3122</v>
      </c>
      <c r="O1" t="s">
        <v>3123</v>
      </c>
      <c r="P1" t="s">
        <v>2298</v>
      </c>
      <c r="Q1" t="s">
        <v>2300</v>
      </c>
      <c r="R1" t="s">
        <v>3124</v>
      </c>
      <c r="S1" t="s">
        <v>3125</v>
      </c>
      <c r="T1" t="s">
        <v>3126</v>
      </c>
      <c r="U1" t="s">
        <v>2383</v>
      </c>
    </row>
    <row r="2" spans="1:21">
      <c r="A2" t="s">
        <v>1751</v>
      </c>
      <c r="B2" t="s">
        <v>3135</v>
      </c>
      <c r="C2" t="s">
        <v>1751</v>
      </c>
      <c r="D2">
        <v>20487124</v>
      </c>
      <c r="E2" t="s">
        <v>3142</v>
      </c>
      <c r="F2" t="s">
        <v>1239</v>
      </c>
      <c r="G2" t="s">
        <v>3143</v>
      </c>
      <c r="H2" t="s">
        <v>1251</v>
      </c>
      <c r="I2" t="s">
        <v>2186</v>
      </c>
      <c r="J2" s="455">
        <v>46116</v>
      </c>
      <c r="K2" s="455">
        <v>46122</v>
      </c>
      <c r="L2" s="455">
        <v>46123</v>
      </c>
      <c r="M2" s="455">
        <v>46127</v>
      </c>
      <c r="N2" s="455">
        <v>46129</v>
      </c>
      <c r="O2" s="455">
        <v>46129</v>
      </c>
      <c r="P2" s="455">
        <v>46129</v>
      </c>
      <c r="Q2" s="455">
        <v>46130</v>
      </c>
      <c r="U2" s="455">
        <v>46150</v>
      </c>
    </row>
    <row r="3" spans="1:21">
      <c r="A3" t="s">
        <v>1751</v>
      </c>
      <c r="B3" t="s">
        <v>10347</v>
      </c>
      <c r="C3" t="s">
        <v>1751</v>
      </c>
      <c r="D3">
        <v>20523261</v>
      </c>
      <c r="E3" t="s">
        <v>3190</v>
      </c>
      <c r="F3" t="s">
        <v>1782</v>
      </c>
      <c r="G3" t="s">
        <v>3141</v>
      </c>
      <c r="H3" t="s">
        <v>1252</v>
      </c>
      <c r="J3" s="455">
        <v>46154</v>
      </c>
      <c r="R3" s="455">
        <v>46164</v>
      </c>
      <c r="U3" s="455">
        <v>46174</v>
      </c>
    </row>
    <row r="4" spans="1:21">
      <c r="A4" t="s">
        <v>1751</v>
      </c>
      <c r="B4" t="s">
        <v>10348</v>
      </c>
      <c r="C4" t="s">
        <v>1751</v>
      </c>
      <c r="D4">
        <v>20536311</v>
      </c>
      <c r="E4" t="s">
        <v>3128</v>
      </c>
      <c r="F4" t="s">
        <v>1241</v>
      </c>
      <c r="G4" t="s">
        <v>2009</v>
      </c>
      <c r="H4" t="s">
        <v>1248</v>
      </c>
      <c r="J4" s="455">
        <v>46168</v>
      </c>
      <c r="U4" s="455">
        <v>46183</v>
      </c>
    </row>
    <row r="5" spans="1:21">
      <c r="A5" t="s">
        <v>1751</v>
      </c>
      <c r="B5" t="s">
        <v>10349</v>
      </c>
      <c r="C5" t="s">
        <v>1751</v>
      </c>
      <c r="D5">
        <v>20539716</v>
      </c>
      <c r="E5" t="s">
        <v>3128</v>
      </c>
      <c r="F5" t="s">
        <v>1782</v>
      </c>
      <c r="G5" t="s">
        <v>3141</v>
      </c>
      <c r="H5" t="s">
        <v>1252</v>
      </c>
      <c r="J5" s="455">
        <v>46172</v>
      </c>
      <c r="U5" s="455">
        <v>46178</v>
      </c>
    </row>
    <row r="6" spans="1:21">
      <c r="A6" t="s">
        <v>1751</v>
      </c>
      <c r="B6" t="s">
        <v>3015</v>
      </c>
      <c r="C6" t="s">
        <v>1751</v>
      </c>
      <c r="D6">
        <v>20521716</v>
      </c>
      <c r="E6" t="s">
        <v>1897</v>
      </c>
      <c r="F6" t="s">
        <v>1912</v>
      </c>
      <c r="G6" t="s">
        <v>3134</v>
      </c>
      <c r="H6" t="s">
        <v>1247</v>
      </c>
      <c r="J6" s="455">
        <v>46152</v>
      </c>
      <c r="K6" s="455">
        <v>46152</v>
      </c>
      <c r="U6" s="455">
        <v>46231</v>
      </c>
    </row>
    <row r="7" spans="1:21">
      <c r="A7" t="s">
        <v>1751</v>
      </c>
      <c r="B7" t="s">
        <v>3015</v>
      </c>
      <c r="C7" t="s">
        <v>1751</v>
      </c>
      <c r="D7">
        <v>20520423</v>
      </c>
      <c r="E7" t="s">
        <v>1907</v>
      </c>
      <c r="F7" t="s">
        <v>1237</v>
      </c>
      <c r="G7" t="s">
        <v>3143</v>
      </c>
      <c r="H7" t="s">
        <v>1248</v>
      </c>
      <c r="I7" t="s">
        <v>3013</v>
      </c>
      <c r="J7" s="455">
        <v>46150</v>
      </c>
      <c r="K7" s="455">
        <v>46152</v>
      </c>
      <c r="L7" s="455">
        <v>46162</v>
      </c>
      <c r="U7" s="455">
        <v>46231</v>
      </c>
    </row>
    <row r="8" spans="1:21">
      <c r="A8" t="s">
        <v>1751</v>
      </c>
      <c r="B8" t="s">
        <v>3144</v>
      </c>
      <c r="C8" t="s">
        <v>1751</v>
      </c>
      <c r="D8">
        <v>20536158</v>
      </c>
      <c r="E8" t="s">
        <v>1907</v>
      </c>
      <c r="F8" t="s">
        <v>1242</v>
      </c>
      <c r="G8" t="s">
        <v>3143</v>
      </c>
      <c r="H8" t="s">
        <v>1252</v>
      </c>
      <c r="I8" t="s">
        <v>3047</v>
      </c>
      <c r="J8" s="455">
        <v>46168</v>
      </c>
      <c r="K8" s="455">
        <v>46168</v>
      </c>
      <c r="L8" s="455">
        <v>46169</v>
      </c>
      <c r="U8" s="455">
        <v>46242</v>
      </c>
    </row>
    <row r="9" spans="1:21">
      <c r="A9" t="s">
        <v>1751</v>
      </c>
      <c r="B9" t="s">
        <v>10350</v>
      </c>
      <c r="C9" t="s">
        <v>1751</v>
      </c>
      <c r="D9">
        <v>20516696</v>
      </c>
      <c r="E9" t="s">
        <v>3128</v>
      </c>
      <c r="F9" t="s">
        <v>1241</v>
      </c>
      <c r="G9" t="s">
        <v>3129</v>
      </c>
      <c r="H9" t="s">
        <v>3131</v>
      </c>
      <c r="J9" s="455">
        <v>46146</v>
      </c>
      <c r="U9" s="455">
        <v>46146</v>
      </c>
    </row>
    <row r="10" spans="1:21">
      <c r="A10" t="s">
        <v>1751</v>
      </c>
      <c r="B10" t="s">
        <v>10351</v>
      </c>
      <c r="C10" t="s">
        <v>1751</v>
      </c>
      <c r="D10">
        <v>20515200</v>
      </c>
      <c r="E10" t="s">
        <v>3128</v>
      </c>
      <c r="F10" t="s">
        <v>1238</v>
      </c>
      <c r="G10" t="s">
        <v>3141</v>
      </c>
      <c r="H10" t="s">
        <v>1248</v>
      </c>
      <c r="J10" s="455">
        <v>46144</v>
      </c>
      <c r="U10" s="455">
        <v>46185</v>
      </c>
    </row>
    <row r="11" spans="1:21">
      <c r="A11" t="s">
        <v>1751</v>
      </c>
      <c r="B11" t="s">
        <v>6666</v>
      </c>
      <c r="C11" t="s">
        <v>1751</v>
      </c>
      <c r="D11">
        <v>20515955</v>
      </c>
      <c r="E11" t="s">
        <v>3142</v>
      </c>
      <c r="F11" t="s">
        <v>1238</v>
      </c>
      <c r="G11" t="s">
        <v>3134</v>
      </c>
      <c r="H11" t="s">
        <v>1249</v>
      </c>
      <c r="I11" t="s">
        <v>5829</v>
      </c>
      <c r="J11" s="455">
        <v>46145</v>
      </c>
      <c r="K11" s="455">
        <v>46145</v>
      </c>
      <c r="L11" s="455">
        <v>46151</v>
      </c>
      <c r="M11" s="455">
        <v>46157</v>
      </c>
      <c r="N11" s="455">
        <v>46157</v>
      </c>
      <c r="P11" s="455">
        <v>46157</v>
      </c>
      <c r="Q11" s="455">
        <v>46157</v>
      </c>
      <c r="U11" s="455">
        <v>46171</v>
      </c>
    </row>
    <row r="12" spans="1:21">
      <c r="A12" t="s">
        <v>1751</v>
      </c>
      <c r="B12" t="s">
        <v>10352</v>
      </c>
      <c r="C12" t="s">
        <v>1751</v>
      </c>
      <c r="D12">
        <v>20532505</v>
      </c>
      <c r="E12" t="s">
        <v>3190</v>
      </c>
      <c r="F12" t="s">
        <v>1237</v>
      </c>
      <c r="G12" t="s">
        <v>3143</v>
      </c>
      <c r="H12" t="s">
        <v>1248</v>
      </c>
      <c r="I12" t="s">
        <v>3385</v>
      </c>
      <c r="J12" s="455">
        <v>46163</v>
      </c>
      <c r="R12" s="455">
        <v>46164</v>
      </c>
      <c r="U12" s="455">
        <v>46169</v>
      </c>
    </row>
    <row r="13" spans="1:21">
      <c r="A13" t="s">
        <v>1751</v>
      </c>
      <c r="B13" t="s">
        <v>10353</v>
      </c>
      <c r="C13" t="s">
        <v>1751</v>
      </c>
      <c r="D13">
        <v>20514927</v>
      </c>
      <c r="E13" t="s">
        <v>3128</v>
      </c>
      <c r="F13" t="s">
        <v>1782</v>
      </c>
      <c r="G13" t="s">
        <v>3141</v>
      </c>
      <c r="H13" t="s">
        <v>1247</v>
      </c>
      <c r="J13" s="455">
        <v>46143</v>
      </c>
      <c r="U13" s="455">
        <v>46143</v>
      </c>
    </row>
    <row r="14" spans="1:21">
      <c r="A14" t="s">
        <v>1751</v>
      </c>
      <c r="B14" t="s">
        <v>10354</v>
      </c>
      <c r="C14" t="s">
        <v>1751</v>
      </c>
      <c r="D14">
        <v>20526402</v>
      </c>
      <c r="E14" t="s">
        <v>3190</v>
      </c>
      <c r="F14" t="s">
        <v>1782</v>
      </c>
      <c r="G14" t="s">
        <v>3141</v>
      </c>
      <c r="H14" t="s">
        <v>1252</v>
      </c>
      <c r="J14" s="455">
        <v>46156</v>
      </c>
      <c r="R14" s="455">
        <v>46164</v>
      </c>
      <c r="U14" s="455">
        <v>46266</v>
      </c>
    </row>
    <row r="15" spans="1:21">
      <c r="A15" t="s">
        <v>1751</v>
      </c>
      <c r="B15" t="s">
        <v>10355</v>
      </c>
      <c r="C15" t="s">
        <v>1751</v>
      </c>
      <c r="D15">
        <v>20514168</v>
      </c>
      <c r="E15" t="s">
        <v>3133</v>
      </c>
      <c r="F15" t="s">
        <v>1241</v>
      </c>
      <c r="G15" t="s">
        <v>3134</v>
      </c>
      <c r="H15" t="s">
        <v>1247</v>
      </c>
      <c r="I15" t="s">
        <v>3363</v>
      </c>
      <c r="J15" s="455">
        <v>46143</v>
      </c>
      <c r="K15" s="455">
        <v>46143</v>
      </c>
      <c r="L15" s="455">
        <v>46143</v>
      </c>
      <c r="R15" s="455">
        <v>46147</v>
      </c>
      <c r="U15" s="455">
        <v>46185</v>
      </c>
    </row>
    <row r="16" spans="1:21">
      <c r="A16" t="s">
        <v>1751</v>
      </c>
      <c r="B16" t="s">
        <v>10356</v>
      </c>
      <c r="C16" t="s">
        <v>1751</v>
      </c>
      <c r="D16">
        <v>20514307</v>
      </c>
      <c r="E16" t="s">
        <v>3128</v>
      </c>
      <c r="F16" t="s">
        <v>1242</v>
      </c>
      <c r="G16" t="s">
        <v>3129</v>
      </c>
      <c r="H16" t="s">
        <v>1247</v>
      </c>
      <c r="I16" t="s">
        <v>1827</v>
      </c>
      <c r="J16" s="455">
        <v>46143</v>
      </c>
      <c r="U16" s="455">
        <v>46172</v>
      </c>
    </row>
    <row r="17" spans="1:21">
      <c r="A17" t="s">
        <v>1751</v>
      </c>
      <c r="B17" t="s">
        <v>6466</v>
      </c>
      <c r="C17" t="s">
        <v>1751</v>
      </c>
      <c r="D17">
        <v>20512824</v>
      </c>
      <c r="E17" t="s">
        <v>3142</v>
      </c>
      <c r="F17" t="s">
        <v>1237</v>
      </c>
      <c r="G17" t="s">
        <v>2009</v>
      </c>
      <c r="H17" t="s">
        <v>1249</v>
      </c>
      <c r="I17" t="s">
        <v>1929</v>
      </c>
      <c r="J17" s="455">
        <v>46141</v>
      </c>
      <c r="K17" s="455">
        <v>46141</v>
      </c>
      <c r="L17" s="455">
        <v>46141</v>
      </c>
      <c r="M17" s="455">
        <v>46141</v>
      </c>
      <c r="N17" s="455">
        <v>46144</v>
      </c>
      <c r="P17" s="455">
        <v>46157</v>
      </c>
      <c r="Q17" s="455">
        <v>46157</v>
      </c>
      <c r="U17" s="455">
        <v>46163</v>
      </c>
    </row>
    <row r="18" spans="1:21">
      <c r="A18" t="s">
        <v>1751</v>
      </c>
      <c r="B18" t="s">
        <v>10357</v>
      </c>
      <c r="C18" t="s">
        <v>1751</v>
      </c>
      <c r="D18">
        <v>20536192</v>
      </c>
      <c r="E18" t="s">
        <v>3128</v>
      </c>
      <c r="F18" t="s">
        <v>1782</v>
      </c>
      <c r="G18" t="s">
        <v>3134</v>
      </c>
      <c r="H18" t="s">
        <v>3165</v>
      </c>
      <c r="J18" s="455">
        <v>46168</v>
      </c>
      <c r="U18" s="455">
        <v>46176</v>
      </c>
    </row>
    <row r="19" spans="1:21">
      <c r="A19" t="s">
        <v>1751</v>
      </c>
      <c r="B19" t="s">
        <v>6756</v>
      </c>
      <c r="C19" t="s">
        <v>1751</v>
      </c>
      <c r="D19">
        <v>20488483</v>
      </c>
      <c r="E19" t="s">
        <v>3142</v>
      </c>
      <c r="F19" t="s">
        <v>1244</v>
      </c>
      <c r="G19" t="s">
        <v>3134</v>
      </c>
      <c r="H19" t="s">
        <v>1247</v>
      </c>
      <c r="I19" t="s">
        <v>2163</v>
      </c>
      <c r="J19" s="455">
        <v>46118</v>
      </c>
      <c r="K19" s="455">
        <v>46118</v>
      </c>
      <c r="L19" s="455">
        <v>46118</v>
      </c>
      <c r="M19" s="455">
        <v>46148</v>
      </c>
      <c r="N19" s="455">
        <v>46148</v>
      </c>
      <c r="P19" s="455">
        <v>46148</v>
      </c>
      <c r="Q19" s="455">
        <v>46148</v>
      </c>
      <c r="U19" s="455">
        <v>46148</v>
      </c>
    </row>
    <row r="20" spans="1:21">
      <c r="A20" t="s">
        <v>1751</v>
      </c>
      <c r="B20" t="s">
        <v>10358</v>
      </c>
      <c r="C20" t="s">
        <v>1751</v>
      </c>
      <c r="D20">
        <v>20516726</v>
      </c>
      <c r="E20" t="s">
        <v>3128</v>
      </c>
      <c r="F20" t="s">
        <v>1782</v>
      </c>
      <c r="G20" t="s">
        <v>3134</v>
      </c>
      <c r="H20" t="s">
        <v>1252</v>
      </c>
      <c r="J20" s="455">
        <v>46146</v>
      </c>
      <c r="U20" s="455">
        <v>46198</v>
      </c>
    </row>
    <row r="21" spans="1:21">
      <c r="A21" t="s">
        <v>1751</v>
      </c>
      <c r="B21" t="s">
        <v>9084</v>
      </c>
      <c r="C21" t="s">
        <v>1751</v>
      </c>
      <c r="D21">
        <v>20482039</v>
      </c>
      <c r="E21" t="s">
        <v>3133</v>
      </c>
      <c r="F21" t="s">
        <v>1241</v>
      </c>
      <c r="G21" t="s">
        <v>3141</v>
      </c>
      <c r="H21" t="s">
        <v>1248</v>
      </c>
      <c r="J21" s="455">
        <v>46109</v>
      </c>
      <c r="K21" s="455">
        <v>46137</v>
      </c>
      <c r="R21" s="455">
        <v>46164</v>
      </c>
      <c r="U21" s="455">
        <v>46109</v>
      </c>
    </row>
    <row r="22" spans="1:21">
      <c r="A22" t="s">
        <v>1751</v>
      </c>
      <c r="B22" t="s">
        <v>3161</v>
      </c>
      <c r="C22" t="s">
        <v>1751</v>
      </c>
      <c r="D22">
        <v>20521541</v>
      </c>
      <c r="E22" t="s">
        <v>3142</v>
      </c>
      <c r="F22" t="s">
        <v>1237</v>
      </c>
      <c r="G22" t="s">
        <v>3134</v>
      </c>
      <c r="H22" t="s">
        <v>1247</v>
      </c>
      <c r="I22" t="s">
        <v>2472</v>
      </c>
      <c r="J22" s="455">
        <v>46152</v>
      </c>
      <c r="K22" s="455">
        <v>46152</v>
      </c>
      <c r="L22" s="455">
        <v>46156</v>
      </c>
      <c r="M22" s="455">
        <v>46157</v>
      </c>
      <c r="N22" s="455">
        <v>46157</v>
      </c>
      <c r="P22" s="455">
        <v>46157</v>
      </c>
      <c r="Q22" s="455">
        <v>46157</v>
      </c>
      <c r="U22" s="455">
        <v>46190</v>
      </c>
    </row>
    <row r="23" spans="1:21">
      <c r="A23" t="s">
        <v>1751</v>
      </c>
      <c r="B23" t="s">
        <v>10359</v>
      </c>
      <c r="C23" t="s">
        <v>1751</v>
      </c>
      <c r="D23">
        <v>20518845</v>
      </c>
      <c r="E23" t="s">
        <v>3128</v>
      </c>
      <c r="F23" t="s">
        <v>1782</v>
      </c>
      <c r="G23" t="s">
        <v>3141</v>
      </c>
      <c r="H23" t="s">
        <v>1252</v>
      </c>
      <c r="J23" s="455">
        <v>46148</v>
      </c>
      <c r="U23" s="455">
        <v>46174</v>
      </c>
    </row>
    <row r="24" spans="1:21">
      <c r="A24" t="s">
        <v>1751</v>
      </c>
      <c r="B24" t="s">
        <v>10360</v>
      </c>
      <c r="C24" t="s">
        <v>1751</v>
      </c>
      <c r="D24">
        <v>20521608</v>
      </c>
      <c r="E24" t="s">
        <v>3190</v>
      </c>
      <c r="F24" t="s">
        <v>1782</v>
      </c>
      <c r="G24" t="s">
        <v>3141</v>
      </c>
      <c r="H24" t="s">
        <v>1252</v>
      </c>
      <c r="J24" s="455">
        <v>46152</v>
      </c>
      <c r="R24" s="455">
        <v>46164</v>
      </c>
      <c r="U24" s="455">
        <v>46174</v>
      </c>
    </row>
    <row r="25" spans="1:21">
      <c r="A25" t="s">
        <v>1751</v>
      </c>
      <c r="B25" t="s">
        <v>10361</v>
      </c>
      <c r="C25" t="s">
        <v>1751</v>
      </c>
      <c r="D25">
        <v>20527869</v>
      </c>
      <c r="E25" t="s">
        <v>3128</v>
      </c>
      <c r="F25" t="s">
        <v>1782</v>
      </c>
      <c r="G25" t="s">
        <v>3141</v>
      </c>
      <c r="H25" t="s">
        <v>1247</v>
      </c>
      <c r="J25" s="455">
        <v>46157</v>
      </c>
      <c r="U25" s="455">
        <v>46213</v>
      </c>
    </row>
    <row r="26" spans="1:21">
      <c r="A26" t="s">
        <v>1751</v>
      </c>
      <c r="B26" t="s">
        <v>10362</v>
      </c>
      <c r="C26" t="s">
        <v>1751</v>
      </c>
      <c r="D26">
        <v>20540132</v>
      </c>
      <c r="E26" t="s">
        <v>3128</v>
      </c>
      <c r="F26" t="s">
        <v>1241</v>
      </c>
      <c r="G26" t="s">
        <v>2009</v>
      </c>
      <c r="H26" t="s">
        <v>1252</v>
      </c>
      <c r="J26" s="455">
        <v>46173</v>
      </c>
      <c r="U26" s="455">
        <v>46173</v>
      </c>
    </row>
    <row r="27" spans="1:21">
      <c r="A27" t="s">
        <v>1751</v>
      </c>
      <c r="B27" t="s">
        <v>10363</v>
      </c>
      <c r="C27" t="s">
        <v>1751</v>
      </c>
      <c r="D27">
        <v>20516617</v>
      </c>
      <c r="E27" t="s">
        <v>3128</v>
      </c>
      <c r="F27" t="s">
        <v>1241</v>
      </c>
      <c r="G27" t="s">
        <v>2009</v>
      </c>
      <c r="H27" t="s">
        <v>1247</v>
      </c>
      <c r="J27" s="455">
        <v>46146</v>
      </c>
      <c r="U27" s="455">
        <v>46146</v>
      </c>
    </row>
    <row r="28" spans="1:21">
      <c r="A28" t="s">
        <v>1751</v>
      </c>
      <c r="B28" t="s">
        <v>10364</v>
      </c>
      <c r="C28" t="s">
        <v>1751</v>
      </c>
      <c r="D28">
        <v>20516537</v>
      </c>
      <c r="E28" t="s">
        <v>3128</v>
      </c>
      <c r="F28" t="s">
        <v>1782</v>
      </c>
      <c r="G28" t="s">
        <v>3141</v>
      </c>
      <c r="H28" t="s">
        <v>1252</v>
      </c>
      <c r="J28" s="455">
        <v>46146</v>
      </c>
      <c r="U28" s="455">
        <v>46153</v>
      </c>
    </row>
    <row r="29" spans="1:21">
      <c r="A29" t="s">
        <v>1751</v>
      </c>
      <c r="B29" t="s">
        <v>10365</v>
      </c>
      <c r="C29" t="s">
        <v>1751</v>
      </c>
      <c r="D29">
        <v>20516737</v>
      </c>
      <c r="E29" t="s">
        <v>3128</v>
      </c>
      <c r="F29" t="s">
        <v>1782</v>
      </c>
      <c r="G29" t="s">
        <v>3134</v>
      </c>
      <c r="H29" t="s">
        <v>1252</v>
      </c>
      <c r="J29" s="455">
        <v>46146</v>
      </c>
      <c r="U29" s="455">
        <v>46203</v>
      </c>
    </row>
    <row r="30" spans="1:21">
      <c r="A30" t="s">
        <v>1751</v>
      </c>
      <c r="B30" t="s">
        <v>10366</v>
      </c>
      <c r="C30" t="s">
        <v>1751</v>
      </c>
      <c r="D30">
        <v>20530887</v>
      </c>
      <c r="E30" t="s">
        <v>3128</v>
      </c>
      <c r="F30" t="s">
        <v>1242</v>
      </c>
      <c r="G30" t="s">
        <v>3137</v>
      </c>
      <c r="H30" t="s">
        <v>1252</v>
      </c>
      <c r="I30" t="s">
        <v>1952</v>
      </c>
      <c r="J30" s="455">
        <v>46161</v>
      </c>
      <c r="U30" s="455">
        <v>46183</v>
      </c>
    </row>
    <row r="31" spans="1:21">
      <c r="A31" t="s">
        <v>1751</v>
      </c>
      <c r="B31" t="s">
        <v>3172</v>
      </c>
      <c r="C31" t="s">
        <v>1751</v>
      </c>
      <c r="D31">
        <v>20537223</v>
      </c>
      <c r="E31" t="s">
        <v>1897</v>
      </c>
      <c r="F31" t="s">
        <v>1241</v>
      </c>
      <c r="G31" t="s">
        <v>3134</v>
      </c>
      <c r="H31" t="s">
        <v>1247</v>
      </c>
      <c r="J31" s="455">
        <v>46169</v>
      </c>
      <c r="K31" s="455">
        <v>46169</v>
      </c>
      <c r="U31" s="455">
        <v>46169</v>
      </c>
    </row>
    <row r="32" spans="1:21">
      <c r="A32" t="s">
        <v>1751</v>
      </c>
      <c r="B32" t="s">
        <v>10367</v>
      </c>
      <c r="C32" t="s">
        <v>1751</v>
      </c>
      <c r="D32">
        <v>20520298</v>
      </c>
      <c r="E32" t="s">
        <v>3128</v>
      </c>
      <c r="F32" t="s">
        <v>1782</v>
      </c>
      <c r="G32" t="s">
        <v>3141</v>
      </c>
      <c r="H32" t="s">
        <v>1252</v>
      </c>
      <c r="J32" s="455">
        <v>46150</v>
      </c>
      <c r="U32" s="455">
        <v>46174</v>
      </c>
    </row>
    <row r="33" spans="1:21">
      <c r="A33" t="s">
        <v>1751</v>
      </c>
      <c r="B33" t="s">
        <v>10368</v>
      </c>
      <c r="C33" t="s">
        <v>1751</v>
      </c>
      <c r="D33">
        <v>20532667</v>
      </c>
      <c r="E33" t="s">
        <v>3190</v>
      </c>
      <c r="F33" t="s">
        <v>1242</v>
      </c>
      <c r="G33" t="s">
        <v>3143</v>
      </c>
      <c r="H33" t="s">
        <v>1247</v>
      </c>
      <c r="I33" t="s">
        <v>3055</v>
      </c>
      <c r="J33" s="455">
        <v>46163</v>
      </c>
      <c r="R33" s="455">
        <v>46164</v>
      </c>
      <c r="U33" s="455">
        <v>46163</v>
      </c>
    </row>
    <row r="34" spans="1:21">
      <c r="A34" t="s">
        <v>1751</v>
      </c>
      <c r="B34" t="s">
        <v>10369</v>
      </c>
      <c r="C34" t="s">
        <v>1751</v>
      </c>
      <c r="D34">
        <v>20525145</v>
      </c>
      <c r="E34" t="s">
        <v>3190</v>
      </c>
      <c r="F34" t="s">
        <v>1782</v>
      </c>
      <c r="G34" t="s">
        <v>3134</v>
      </c>
      <c r="H34" t="s">
        <v>3165</v>
      </c>
      <c r="J34" s="455">
        <v>46155</v>
      </c>
      <c r="R34" s="455">
        <v>46164</v>
      </c>
      <c r="U34" s="455">
        <v>46234</v>
      </c>
    </row>
    <row r="35" spans="1:21">
      <c r="A35" t="s">
        <v>1751</v>
      </c>
      <c r="B35" t="s">
        <v>10370</v>
      </c>
      <c r="C35" t="s">
        <v>1751</v>
      </c>
      <c r="D35">
        <v>20531862</v>
      </c>
      <c r="E35" t="s">
        <v>3128</v>
      </c>
      <c r="F35" t="s">
        <v>1782</v>
      </c>
      <c r="G35" t="s">
        <v>3129</v>
      </c>
      <c r="H35" t="s">
        <v>1253</v>
      </c>
      <c r="J35" s="455">
        <v>46162</v>
      </c>
      <c r="U35" s="455">
        <v>46162</v>
      </c>
    </row>
    <row r="36" spans="1:21">
      <c r="A36" t="s">
        <v>1751</v>
      </c>
      <c r="B36" t="s">
        <v>3178</v>
      </c>
      <c r="C36" t="s">
        <v>1751</v>
      </c>
      <c r="D36">
        <v>20521338</v>
      </c>
      <c r="E36" t="s">
        <v>3133</v>
      </c>
      <c r="F36" t="s">
        <v>1237</v>
      </c>
      <c r="G36" t="s">
        <v>3134</v>
      </c>
      <c r="H36" t="s">
        <v>1249</v>
      </c>
      <c r="I36" t="s">
        <v>3179</v>
      </c>
      <c r="J36" s="455">
        <v>46151</v>
      </c>
      <c r="K36" s="455">
        <v>46151</v>
      </c>
      <c r="L36" s="455">
        <v>46158</v>
      </c>
      <c r="S36" s="455">
        <v>46160</v>
      </c>
      <c r="U36" s="455">
        <v>46163</v>
      </c>
    </row>
    <row r="37" spans="1:21">
      <c r="A37" t="s">
        <v>1751</v>
      </c>
      <c r="B37" t="s">
        <v>3178</v>
      </c>
      <c r="C37" t="s">
        <v>1751</v>
      </c>
      <c r="D37">
        <v>20529989</v>
      </c>
      <c r="E37" t="s">
        <v>1897</v>
      </c>
      <c r="F37" t="s">
        <v>1241</v>
      </c>
      <c r="G37" t="s">
        <v>3134</v>
      </c>
      <c r="H37" t="s">
        <v>1249</v>
      </c>
      <c r="I37" t="s">
        <v>3179</v>
      </c>
      <c r="J37" s="455">
        <v>46160</v>
      </c>
      <c r="K37" s="455">
        <v>46160</v>
      </c>
      <c r="U37" s="455">
        <v>46165</v>
      </c>
    </row>
    <row r="38" spans="1:21">
      <c r="A38" t="s">
        <v>1751</v>
      </c>
      <c r="B38" t="s">
        <v>6981</v>
      </c>
      <c r="C38" t="s">
        <v>1751</v>
      </c>
      <c r="D38">
        <v>20519040</v>
      </c>
      <c r="E38" t="s">
        <v>3128</v>
      </c>
      <c r="F38" t="s">
        <v>1782</v>
      </c>
      <c r="G38" t="s">
        <v>3137</v>
      </c>
      <c r="H38" t="s">
        <v>1249</v>
      </c>
      <c r="J38" s="455">
        <v>46149</v>
      </c>
      <c r="U38" s="455">
        <v>46149</v>
      </c>
    </row>
    <row r="39" spans="1:21">
      <c r="A39" t="s">
        <v>1751</v>
      </c>
      <c r="B39" t="s">
        <v>6981</v>
      </c>
      <c r="C39" t="s">
        <v>1751</v>
      </c>
      <c r="D39">
        <v>20509542</v>
      </c>
      <c r="E39" t="s">
        <v>3142</v>
      </c>
      <c r="F39" t="s">
        <v>1241</v>
      </c>
      <c r="G39" t="s">
        <v>3134</v>
      </c>
      <c r="H39" t="s">
        <v>1249</v>
      </c>
      <c r="I39" t="s">
        <v>1943</v>
      </c>
      <c r="J39" s="455">
        <v>46137</v>
      </c>
      <c r="K39" s="455">
        <v>46137</v>
      </c>
      <c r="L39" s="455">
        <v>46137</v>
      </c>
      <c r="M39" s="455">
        <v>46146</v>
      </c>
      <c r="N39" s="455">
        <v>46146</v>
      </c>
      <c r="O39" s="455">
        <v>46146</v>
      </c>
      <c r="P39" s="455">
        <v>46146</v>
      </c>
      <c r="Q39" s="455">
        <v>46147</v>
      </c>
      <c r="U39" s="455">
        <v>46146</v>
      </c>
    </row>
    <row r="40" spans="1:21">
      <c r="A40" t="s">
        <v>1751</v>
      </c>
      <c r="B40" t="s">
        <v>10371</v>
      </c>
      <c r="C40" t="s">
        <v>1751</v>
      </c>
      <c r="D40">
        <v>20530650</v>
      </c>
      <c r="E40" t="s">
        <v>3190</v>
      </c>
      <c r="F40" t="s">
        <v>1782</v>
      </c>
      <c r="G40" t="s">
        <v>3129</v>
      </c>
      <c r="H40" t="s">
        <v>3131</v>
      </c>
      <c r="J40" s="455">
        <v>46161</v>
      </c>
      <c r="R40" s="455">
        <v>46164</v>
      </c>
      <c r="U40" s="455">
        <v>46161</v>
      </c>
    </row>
    <row r="41" spans="1:21">
      <c r="A41" t="s">
        <v>1751</v>
      </c>
      <c r="B41" t="s">
        <v>10372</v>
      </c>
      <c r="C41" t="s">
        <v>1751</v>
      </c>
      <c r="D41">
        <v>20537015</v>
      </c>
      <c r="E41" t="s">
        <v>3128</v>
      </c>
      <c r="F41" t="s">
        <v>1782</v>
      </c>
      <c r="G41" t="s">
        <v>3134</v>
      </c>
      <c r="H41" t="s">
        <v>3165</v>
      </c>
      <c r="J41" s="455">
        <v>46169</v>
      </c>
      <c r="U41" s="455">
        <v>46178</v>
      </c>
    </row>
    <row r="42" spans="1:21">
      <c r="A42" t="s">
        <v>1751</v>
      </c>
      <c r="B42" t="s">
        <v>10373</v>
      </c>
      <c r="C42" t="s">
        <v>1751</v>
      </c>
      <c r="D42">
        <v>20536287</v>
      </c>
      <c r="E42" t="s">
        <v>3128</v>
      </c>
      <c r="F42" t="s">
        <v>1782</v>
      </c>
      <c r="G42" t="s">
        <v>3141</v>
      </c>
      <c r="H42" t="s">
        <v>1249</v>
      </c>
      <c r="J42" s="455">
        <v>46168</v>
      </c>
      <c r="U42" s="455">
        <v>46168</v>
      </c>
    </row>
    <row r="43" spans="1:21">
      <c r="A43" t="s">
        <v>1751</v>
      </c>
      <c r="B43" t="s">
        <v>9495</v>
      </c>
      <c r="C43" t="s">
        <v>1751</v>
      </c>
      <c r="D43">
        <v>20508664</v>
      </c>
      <c r="E43" t="s">
        <v>3190</v>
      </c>
      <c r="F43" t="s">
        <v>1242</v>
      </c>
      <c r="G43" t="s">
        <v>3137</v>
      </c>
      <c r="H43" t="s">
        <v>1247</v>
      </c>
      <c r="I43" t="s">
        <v>1952</v>
      </c>
      <c r="J43" s="455">
        <v>46136</v>
      </c>
      <c r="R43" s="455">
        <v>46164</v>
      </c>
      <c r="U43" s="455">
        <v>46136</v>
      </c>
    </row>
    <row r="44" spans="1:21">
      <c r="A44" t="s">
        <v>1751</v>
      </c>
      <c r="B44" t="s">
        <v>10374</v>
      </c>
      <c r="C44" t="s">
        <v>1751</v>
      </c>
      <c r="D44">
        <v>20530028</v>
      </c>
      <c r="E44" t="s">
        <v>3128</v>
      </c>
      <c r="F44" t="s">
        <v>1782</v>
      </c>
      <c r="G44" t="s">
        <v>3141</v>
      </c>
      <c r="H44" t="s">
        <v>1252</v>
      </c>
      <c r="J44" s="455">
        <v>46160</v>
      </c>
      <c r="U44" s="455">
        <v>46513</v>
      </c>
    </row>
    <row r="45" spans="1:21">
      <c r="A45" t="s">
        <v>1751</v>
      </c>
      <c r="B45" t="s">
        <v>6731</v>
      </c>
      <c r="C45" t="s">
        <v>1751</v>
      </c>
      <c r="D45">
        <v>20519332</v>
      </c>
      <c r="E45" t="s">
        <v>3142</v>
      </c>
      <c r="F45" t="s">
        <v>1239</v>
      </c>
      <c r="G45" t="s">
        <v>3134</v>
      </c>
      <c r="H45" t="s">
        <v>3165</v>
      </c>
      <c r="I45" t="s">
        <v>2122</v>
      </c>
      <c r="J45" s="455">
        <v>46149</v>
      </c>
      <c r="K45" s="455">
        <v>46149</v>
      </c>
      <c r="L45" s="455">
        <v>46149</v>
      </c>
      <c r="M45" s="455">
        <v>46155</v>
      </c>
      <c r="N45" s="455">
        <v>46155</v>
      </c>
      <c r="P45" s="455">
        <v>46155</v>
      </c>
      <c r="Q45" s="455">
        <v>46155</v>
      </c>
      <c r="U45" s="455">
        <v>46158</v>
      </c>
    </row>
    <row r="46" spans="1:21">
      <c r="A46" t="s">
        <v>1751</v>
      </c>
      <c r="B46" t="s">
        <v>6731</v>
      </c>
      <c r="C46" t="s">
        <v>1751</v>
      </c>
      <c r="D46">
        <v>20517357</v>
      </c>
      <c r="E46" t="s">
        <v>3133</v>
      </c>
      <c r="F46" t="s">
        <v>1237</v>
      </c>
      <c r="G46" t="s">
        <v>3134</v>
      </c>
      <c r="H46" t="s">
        <v>3165</v>
      </c>
      <c r="I46" t="s">
        <v>1532</v>
      </c>
      <c r="J46" s="455">
        <v>46147</v>
      </c>
      <c r="K46" s="455">
        <v>46149</v>
      </c>
      <c r="R46" s="455">
        <v>46164</v>
      </c>
      <c r="U46" s="455">
        <v>46158</v>
      </c>
    </row>
    <row r="47" spans="1:21">
      <c r="A47" t="s">
        <v>1751</v>
      </c>
      <c r="B47" t="s">
        <v>10375</v>
      </c>
      <c r="C47" t="s">
        <v>1751</v>
      </c>
      <c r="D47">
        <v>20536112</v>
      </c>
      <c r="E47" t="s">
        <v>3128</v>
      </c>
      <c r="F47" t="s">
        <v>1782</v>
      </c>
      <c r="G47" t="s">
        <v>3137</v>
      </c>
      <c r="H47" t="s">
        <v>1252</v>
      </c>
      <c r="J47" s="455">
        <v>46168</v>
      </c>
      <c r="U47" s="455">
        <v>46204</v>
      </c>
    </row>
    <row r="48" spans="1:21">
      <c r="A48" t="s">
        <v>1751</v>
      </c>
      <c r="B48" t="s">
        <v>10376</v>
      </c>
      <c r="C48" t="s">
        <v>1751</v>
      </c>
      <c r="D48">
        <v>20522149</v>
      </c>
      <c r="E48" t="s">
        <v>3190</v>
      </c>
      <c r="F48" t="s">
        <v>1782</v>
      </c>
      <c r="G48" t="s">
        <v>3137</v>
      </c>
      <c r="H48" t="s">
        <v>1252</v>
      </c>
      <c r="J48" s="455">
        <v>46153</v>
      </c>
      <c r="R48" s="455">
        <v>46164</v>
      </c>
      <c r="U48" s="455">
        <v>46154</v>
      </c>
    </row>
    <row r="49" spans="1:21">
      <c r="A49" t="s">
        <v>1751</v>
      </c>
      <c r="B49" t="s">
        <v>10377</v>
      </c>
      <c r="C49" t="s">
        <v>1751</v>
      </c>
      <c r="D49">
        <v>20521683</v>
      </c>
      <c r="E49" t="s">
        <v>3190</v>
      </c>
      <c r="F49" t="s">
        <v>1782</v>
      </c>
      <c r="G49" t="s">
        <v>3141</v>
      </c>
      <c r="H49" t="s">
        <v>1252</v>
      </c>
      <c r="J49" s="455">
        <v>46152</v>
      </c>
      <c r="R49" s="455">
        <v>46164</v>
      </c>
      <c r="U49" s="455">
        <v>46204</v>
      </c>
    </row>
    <row r="50" spans="1:21">
      <c r="A50" t="s">
        <v>1751</v>
      </c>
      <c r="B50" t="s">
        <v>10378</v>
      </c>
      <c r="C50" t="s">
        <v>1751</v>
      </c>
      <c r="D50">
        <v>20520170</v>
      </c>
      <c r="E50" t="s">
        <v>3128</v>
      </c>
      <c r="F50" t="s">
        <v>1782</v>
      </c>
      <c r="G50" t="s">
        <v>3129</v>
      </c>
      <c r="H50" t="s">
        <v>1253</v>
      </c>
      <c r="J50" s="455">
        <v>46150</v>
      </c>
      <c r="U50" s="455">
        <v>46150</v>
      </c>
    </row>
    <row r="51" spans="1:21">
      <c r="A51" t="s">
        <v>1751</v>
      </c>
      <c r="B51" t="s">
        <v>10379</v>
      </c>
      <c r="C51" t="s">
        <v>1751</v>
      </c>
      <c r="D51">
        <v>20526369</v>
      </c>
      <c r="E51" t="s">
        <v>3190</v>
      </c>
      <c r="F51" t="s">
        <v>1782</v>
      </c>
      <c r="G51" t="s">
        <v>3129</v>
      </c>
      <c r="H51" t="s">
        <v>1252</v>
      </c>
      <c r="J51" s="455">
        <v>46156</v>
      </c>
      <c r="R51" s="455">
        <v>46164</v>
      </c>
      <c r="U51" s="455">
        <v>46156</v>
      </c>
    </row>
    <row r="52" spans="1:21">
      <c r="A52" t="s">
        <v>1751</v>
      </c>
      <c r="B52" t="s">
        <v>10380</v>
      </c>
      <c r="C52" t="s">
        <v>1751</v>
      </c>
      <c r="D52">
        <v>20532576</v>
      </c>
      <c r="E52" t="s">
        <v>3190</v>
      </c>
      <c r="F52" t="s">
        <v>1238</v>
      </c>
      <c r="G52" t="s">
        <v>3134</v>
      </c>
      <c r="H52" t="s">
        <v>1247</v>
      </c>
      <c r="I52" t="s">
        <v>3832</v>
      </c>
      <c r="J52" s="455">
        <v>46163</v>
      </c>
      <c r="K52" s="455">
        <v>46163</v>
      </c>
      <c r="R52" s="455">
        <v>46165</v>
      </c>
      <c r="U52" s="455">
        <v>46168</v>
      </c>
    </row>
    <row r="53" spans="1:21">
      <c r="A53" t="s">
        <v>1751</v>
      </c>
      <c r="B53" t="s">
        <v>3191</v>
      </c>
      <c r="C53" t="s">
        <v>1751</v>
      </c>
      <c r="D53">
        <v>20524977</v>
      </c>
      <c r="E53" t="s">
        <v>3190</v>
      </c>
      <c r="F53" t="s">
        <v>1238</v>
      </c>
      <c r="G53" t="s">
        <v>3141</v>
      </c>
      <c r="H53" t="s">
        <v>1249</v>
      </c>
      <c r="I53" t="s">
        <v>1952</v>
      </c>
      <c r="J53" s="455">
        <v>46155</v>
      </c>
      <c r="R53" s="455">
        <v>46164</v>
      </c>
      <c r="U53" s="455">
        <v>46203</v>
      </c>
    </row>
    <row r="54" spans="1:21">
      <c r="A54" t="s">
        <v>1751</v>
      </c>
      <c r="B54" t="s">
        <v>10381</v>
      </c>
      <c r="C54" t="s">
        <v>1751</v>
      </c>
      <c r="D54">
        <v>20535478</v>
      </c>
      <c r="E54" t="s">
        <v>3128</v>
      </c>
      <c r="F54" t="s">
        <v>1782</v>
      </c>
      <c r="G54" t="s">
        <v>3137</v>
      </c>
      <c r="H54" t="s">
        <v>1247</v>
      </c>
      <c r="J54" s="455">
        <v>46167</v>
      </c>
      <c r="U54" s="455">
        <v>46167</v>
      </c>
    </row>
    <row r="55" spans="1:21">
      <c r="A55" t="s">
        <v>1751</v>
      </c>
      <c r="B55" t="s">
        <v>10382</v>
      </c>
      <c r="C55" t="s">
        <v>1751</v>
      </c>
      <c r="D55">
        <v>20514747</v>
      </c>
      <c r="E55" t="s">
        <v>3128</v>
      </c>
      <c r="F55" t="s">
        <v>1782</v>
      </c>
      <c r="G55" t="s">
        <v>3134</v>
      </c>
      <c r="H55" t="s">
        <v>1252</v>
      </c>
      <c r="J55" s="455">
        <v>46143</v>
      </c>
      <c r="U55" s="455">
        <v>46230</v>
      </c>
    </row>
    <row r="56" spans="1:21">
      <c r="A56" t="s">
        <v>1751</v>
      </c>
      <c r="B56" t="s">
        <v>10383</v>
      </c>
      <c r="C56" t="s">
        <v>1751</v>
      </c>
      <c r="D56">
        <v>20537359</v>
      </c>
      <c r="E56" t="s">
        <v>3128</v>
      </c>
      <c r="F56" t="s">
        <v>1782</v>
      </c>
      <c r="G56" t="s">
        <v>3134</v>
      </c>
      <c r="H56" t="s">
        <v>1252</v>
      </c>
      <c r="J56" s="455">
        <v>46169</v>
      </c>
      <c r="U56" s="455">
        <v>46187</v>
      </c>
    </row>
    <row r="57" spans="1:21">
      <c r="A57" t="s">
        <v>1751</v>
      </c>
      <c r="B57" t="s">
        <v>10383</v>
      </c>
      <c r="C57" t="s">
        <v>1751</v>
      </c>
      <c r="D57">
        <v>20537358</v>
      </c>
      <c r="E57" t="s">
        <v>3128</v>
      </c>
      <c r="F57" t="s">
        <v>1241</v>
      </c>
      <c r="G57" t="s">
        <v>3137</v>
      </c>
      <c r="H57" t="s">
        <v>1252</v>
      </c>
      <c r="J57" s="455">
        <v>46169</v>
      </c>
      <c r="U57" s="455">
        <v>46187</v>
      </c>
    </row>
    <row r="58" spans="1:21">
      <c r="A58" t="s">
        <v>1751</v>
      </c>
      <c r="B58" t="s">
        <v>10384</v>
      </c>
      <c r="C58" t="s">
        <v>1751</v>
      </c>
      <c r="D58">
        <v>20537811</v>
      </c>
      <c r="E58" t="s">
        <v>3128</v>
      </c>
      <c r="F58" t="s">
        <v>1237</v>
      </c>
      <c r="G58" t="s">
        <v>3129</v>
      </c>
      <c r="H58" t="s">
        <v>1251</v>
      </c>
      <c r="J58" s="455">
        <v>46170</v>
      </c>
      <c r="U58" s="455">
        <v>46185</v>
      </c>
    </row>
    <row r="59" spans="1:21">
      <c r="A59" t="s">
        <v>1751</v>
      </c>
      <c r="B59" t="s">
        <v>10385</v>
      </c>
      <c r="C59" t="s">
        <v>1751</v>
      </c>
      <c r="D59">
        <v>20533208</v>
      </c>
      <c r="E59" t="s">
        <v>3190</v>
      </c>
      <c r="F59" t="s">
        <v>1782</v>
      </c>
      <c r="G59" t="s">
        <v>3134</v>
      </c>
      <c r="H59" t="s">
        <v>3165</v>
      </c>
      <c r="J59" s="455">
        <v>46163</v>
      </c>
      <c r="R59" s="455">
        <v>46164</v>
      </c>
      <c r="U59" s="455">
        <v>46167</v>
      </c>
    </row>
    <row r="60" spans="1:21">
      <c r="A60" t="s">
        <v>1751</v>
      </c>
      <c r="B60" t="s">
        <v>10386</v>
      </c>
      <c r="C60" t="s">
        <v>1751</v>
      </c>
      <c r="D60">
        <v>20527969</v>
      </c>
      <c r="E60" t="s">
        <v>3128</v>
      </c>
      <c r="F60" t="s">
        <v>1782</v>
      </c>
      <c r="G60" t="s">
        <v>3141</v>
      </c>
      <c r="H60" t="s">
        <v>1252</v>
      </c>
      <c r="J60" s="455">
        <v>46158</v>
      </c>
      <c r="U60" s="455">
        <v>46162</v>
      </c>
    </row>
    <row r="61" spans="1:21">
      <c r="A61" t="s">
        <v>1751</v>
      </c>
      <c r="B61" t="s">
        <v>10387</v>
      </c>
      <c r="C61" t="s">
        <v>1751</v>
      </c>
      <c r="D61">
        <v>20529450</v>
      </c>
      <c r="E61" t="s">
        <v>3128</v>
      </c>
      <c r="F61" t="s">
        <v>1782</v>
      </c>
      <c r="G61" t="s">
        <v>3137</v>
      </c>
      <c r="H61" t="s">
        <v>1247</v>
      </c>
      <c r="J61" s="455">
        <v>46160</v>
      </c>
      <c r="U61" s="455">
        <v>46160</v>
      </c>
    </row>
    <row r="62" spans="1:21">
      <c r="A62" t="s">
        <v>1751</v>
      </c>
      <c r="B62" t="s">
        <v>10388</v>
      </c>
      <c r="C62" t="s">
        <v>1751</v>
      </c>
      <c r="D62">
        <v>20538831</v>
      </c>
      <c r="E62" t="s">
        <v>3128</v>
      </c>
      <c r="F62" t="s">
        <v>1782</v>
      </c>
      <c r="G62" t="s">
        <v>3129</v>
      </c>
      <c r="H62" t="s">
        <v>3131</v>
      </c>
      <c r="J62" s="455">
        <v>46171</v>
      </c>
      <c r="U62" s="455">
        <v>46171</v>
      </c>
    </row>
    <row r="63" spans="1:21">
      <c r="A63" t="s">
        <v>1751</v>
      </c>
      <c r="B63" t="s">
        <v>10389</v>
      </c>
      <c r="C63" t="s">
        <v>1751</v>
      </c>
      <c r="D63">
        <v>20537692</v>
      </c>
      <c r="E63" t="s">
        <v>3128</v>
      </c>
      <c r="F63" t="s">
        <v>1237</v>
      </c>
      <c r="G63" t="s">
        <v>3129</v>
      </c>
      <c r="H63" t="s">
        <v>1253</v>
      </c>
      <c r="I63" t="s">
        <v>3170</v>
      </c>
      <c r="J63" s="455">
        <v>46170</v>
      </c>
      <c r="U63" s="455">
        <v>46170</v>
      </c>
    </row>
    <row r="64" spans="1:21">
      <c r="A64" t="s">
        <v>1751</v>
      </c>
      <c r="B64" t="s">
        <v>10390</v>
      </c>
      <c r="C64" t="s">
        <v>1751</v>
      </c>
      <c r="D64">
        <v>20515956</v>
      </c>
      <c r="E64" t="s">
        <v>3128</v>
      </c>
      <c r="F64" t="s">
        <v>1782</v>
      </c>
      <c r="G64" t="s">
        <v>3141</v>
      </c>
      <c r="H64" t="s">
        <v>1252</v>
      </c>
      <c r="J64" s="455">
        <v>46145</v>
      </c>
      <c r="U64" s="455">
        <v>46175</v>
      </c>
    </row>
    <row r="65" spans="1:21">
      <c r="A65" t="s">
        <v>1751</v>
      </c>
      <c r="B65" t="s">
        <v>10391</v>
      </c>
      <c r="C65" t="s">
        <v>1751</v>
      </c>
      <c r="D65">
        <v>20523337</v>
      </c>
      <c r="E65" t="s">
        <v>3190</v>
      </c>
      <c r="F65" t="s">
        <v>1242</v>
      </c>
      <c r="G65" t="s">
        <v>3143</v>
      </c>
      <c r="H65" t="s">
        <v>1252</v>
      </c>
      <c r="J65" s="455">
        <v>46154</v>
      </c>
      <c r="R65" s="455">
        <v>46164</v>
      </c>
      <c r="U65" s="455">
        <v>46169</v>
      </c>
    </row>
    <row r="66" spans="1:21">
      <c r="A66" t="s">
        <v>1751</v>
      </c>
      <c r="B66" t="s">
        <v>10392</v>
      </c>
      <c r="C66" t="s">
        <v>1751</v>
      </c>
      <c r="D66">
        <v>20536653</v>
      </c>
      <c r="E66" t="s">
        <v>3128</v>
      </c>
      <c r="F66" t="s">
        <v>1782</v>
      </c>
      <c r="G66" t="s">
        <v>3141</v>
      </c>
      <c r="H66" t="s">
        <v>1252</v>
      </c>
      <c r="J66" s="455">
        <v>46169</v>
      </c>
      <c r="U66" s="455">
        <v>46241</v>
      </c>
    </row>
    <row r="67" spans="1:21">
      <c r="A67" t="s">
        <v>1751</v>
      </c>
      <c r="B67" t="s">
        <v>10393</v>
      </c>
      <c r="C67" t="s">
        <v>1751</v>
      </c>
      <c r="D67">
        <v>20536223</v>
      </c>
      <c r="E67" t="s">
        <v>3128</v>
      </c>
      <c r="F67" t="s">
        <v>1782</v>
      </c>
      <c r="G67" t="s">
        <v>3129</v>
      </c>
      <c r="H67" t="s">
        <v>1252</v>
      </c>
      <c r="J67" s="455">
        <v>46168</v>
      </c>
      <c r="U67" s="455">
        <v>46168</v>
      </c>
    </row>
    <row r="68" spans="1:21">
      <c r="A68" t="s">
        <v>1751</v>
      </c>
      <c r="B68" t="s">
        <v>10394</v>
      </c>
      <c r="C68" t="s">
        <v>1751</v>
      </c>
      <c r="D68">
        <v>20521233</v>
      </c>
      <c r="E68" t="s">
        <v>3133</v>
      </c>
      <c r="F68" t="s">
        <v>1782</v>
      </c>
      <c r="G68" t="s">
        <v>3141</v>
      </c>
      <c r="H68" t="s">
        <v>1252</v>
      </c>
      <c r="I68" t="s">
        <v>1532</v>
      </c>
      <c r="J68" s="455">
        <v>46151</v>
      </c>
      <c r="K68" s="455">
        <v>46156</v>
      </c>
      <c r="R68" s="455">
        <v>46164</v>
      </c>
      <c r="U68" s="455">
        <v>46152</v>
      </c>
    </row>
    <row r="69" spans="1:21">
      <c r="A69" t="s">
        <v>1751</v>
      </c>
      <c r="B69" t="s">
        <v>3197</v>
      </c>
      <c r="C69" t="s">
        <v>1751</v>
      </c>
      <c r="D69">
        <v>20528444</v>
      </c>
      <c r="E69" t="s">
        <v>1897</v>
      </c>
      <c r="F69" t="s">
        <v>1782</v>
      </c>
      <c r="G69" t="s">
        <v>3134</v>
      </c>
      <c r="H69" t="s">
        <v>1252</v>
      </c>
      <c r="I69" t="s">
        <v>3198</v>
      </c>
      <c r="J69" s="455">
        <v>46158</v>
      </c>
      <c r="K69" s="455">
        <v>46158</v>
      </c>
      <c r="U69" s="455">
        <v>46162</v>
      </c>
    </row>
    <row r="70" spans="1:21">
      <c r="A70" t="s">
        <v>1751</v>
      </c>
      <c r="B70" t="s">
        <v>3197</v>
      </c>
      <c r="C70" t="s">
        <v>1751</v>
      </c>
      <c r="D70">
        <v>20517122</v>
      </c>
      <c r="E70" t="s">
        <v>3133</v>
      </c>
      <c r="F70" t="s">
        <v>1242</v>
      </c>
      <c r="G70" t="s">
        <v>3141</v>
      </c>
      <c r="H70" t="s">
        <v>1252</v>
      </c>
      <c r="I70" t="s">
        <v>3198</v>
      </c>
      <c r="J70" s="455">
        <v>46147</v>
      </c>
      <c r="K70" s="455">
        <v>46153</v>
      </c>
      <c r="L70" s="455">
        <v>46156</v>
      </c>
      <c r="S70" s="455">
        <v>46157</v>
      </c>
      <c r="U70" s="455">
        <v>46162</v>
      </c>
    </row>
    <row r="71" spans="1:21">
      <c r="A71" t="s">
        <v>1751</v>
      </c>
      <c r="B71" t="s">
        <v>10395</v>
      </c>
      <c r="C71" t="s">
        <v>1751</v>
      </c>
      <c r="D71">
        <v>20525391</v>
      </c>
      <c r="E71" t="s">
        <v>3190</v>
      </c>
      <c r="F71" t="s">
        <v>1782</v>
      </c>
      <c r="G71" t="s">
        <v>3129</v>
      </c>
      <c r="H71" t="s">
        <v>3131</v>
      </c>
      <c r="I71" t="s">
        <v>1808</v>
      </c>
      <c r="J71" s="455">
        <v>46156</v>
      </c>
      <c r="R71" s="455">
        <v>46164</v>
      </c>
      <c r="U71" s="455">
        <v>46156</v>
      </c>
    </row>
    <row r="72" spans="1:21">
      <c r="A72" t="s">
        <v>1751</v>
      </c>
      <c r="B72" t="s">
        <v>10396</v>
      </c>
      <c r="C72" t="s">
        <v>1751</v>
      </c>
      <c r="D72">
        <v>20522923</v>
      </c>
      <c r="E72" t="s">
        <v>3128</v>
      </c>
      <c r="F72" t="s">
        <v>1242</v>
      </c>
      <c r="G72" t="s">
        <v>2009</v>
      </c>
      <c r="H72" t="s">
        <v>1940</v>
      </c>
      <c r="J72" s="455">
        <v>46154</v>
      </c>
      <c r="U72" s="455">
        <v>46172</v>
      </c>
    </row>
    <row r="73" spans="1:21">
      <c r="A73" t="s">
        <v>1751</v>
      </c>
      <c r="B73" t="s">
        <v>10397</v>
      </c>
      <c r="C73" t="s">
        <v>1751</v>
      </c>
      <c r="D73">
        <v>20521615</v>
      </c>
      <c r="E73" t="s">
        <v>3128</v>
      </c>
      <c r="F73" t="s">
        <v>1782</v>
      </c>
      <c r="G73" t="s">
        <v>3137</v>
      </c>
      <c r="H73" t="s">
        <v>1252</v>
      </c>
      <c r="J73" s="455">
        <v>46152</v>
      </c>
      <c r="U73" s="455">
        <v>46235</v>
      </c>
    </row>
    <row r="74" spans="1:21">
      <c r="A74" t="s">
        <v>1751</v>
      </c>
      <c r="B74" t="s">
        <v>3201</v>
      </c>
      <c r="C74" t="s">
        <v>1751</v>
      </c>
      <c r="D74">
        <v>20535511</v>
      </c>
      <c r="E74" t="s">
        <v>1897</v>
      </c>
      <c r="F74" t="s">
        <v>1241</v>
      </c>
      <c r="G74" t="s">
        <v>3134</v>
      </c>
      <c r="H74" t="s">
        <v>1247</v>
      </c>
      <c r="I74" t="s">
        <v>3202</v>
      </c>
      <c r="J74" s="455">
        <v>46168</v>
      </c>
      <c r="K74" s="455">
        <v>46168</v>
      </c>
      <c r="U74" s="455">
        <v>46168</v>
      </c>
    </row>
    <row r="75" spans="1:21">
      <c r="A75" t="s">
        <v>1751</v>
      </c>
      <c r="B75" t="s">
        <v>10398</v>
      </c>
      <c r="C75" t="s">
        <v>1751</v>
      </c>
      <c r="D75">
        <v>20514729</v>
      </c>
      <c r="E75" t="s">
        <v>3128</v>
      </c>
      <c r="F75" t="s">
        <v>1239</v>
      </c>
      <c r="G75" t="s">
        <v>3129</v>
      </c>
      <c r="H75" t="s">
        <v>1247</v>
      </c>
      <c r="J75" s="455">
        <v>46143</v>
      </c>
      <c r="U75" s="455">
        <v>46143</v>
      </c>
    </row>
    <row r="76" spans="1:21">
      <c r="A76" t="s">
        <v>1751</v>
      </c>
      <c r="B76" t="s">
        <v>10399</v>
      </c>
      <c r="C76" t="s">
        <v>1751</v>
      </c>
      <c r="D76">
        <v>20538318</v>
      </c>
      <c r="E76" t="s">
        <v>3128</v>
      </c>
      <c r="F76" t="s">
        <v>1782</v>
      </c>
      <c r="G76" t="s">
        <v>3141</v>
      </c>
      <c r="H76" t="s">
        <v>1252</v>
      </c>
      <c r="J76" s="455">
        <v>46170</v>
      </c>
      <c r="U76" s="455">
        <v>46295</v>
      </c>
    </row>
    <row r="77" spans="1:21">
      <c r="A77" t="s">
        <v>1751</v>
      </c>
      <c r="B77" t="s">
        <v>9101</v>
      </c>
      <c r="C77" t="s">
        <v>1751</v>
      </c>
      <c r="D77">
        <v>20515656</v>
      </c>
      <c r="E77" t="s">
        <v>3128</v>
      </c>
      <c r="F77" t="s">
        <v>1782</v>
      </c>
      <c r="G77" t="s">
        <v>3134</v>
      </c>
      <c r="H77" t="s">
        <v>1252</v>
      </c>
      <c r="J77" s="455">
        <v>46144</v>
      </c>
      <c r="U77" s="455">
        <v>9640</v>
      </c>
    </row>
    <row r="78" spans="1:21">
      <c r="A78" t="s">
        <v>1751</v>
      </c>
      <c r="B78" t="s">
        <v>10400</v>
      </c>
      <c r="C78" t="s">
        <v>1751</v>
      </c>
      <c r="D78">
        <v>20534024</v>
      </c>
      <c r="E78" t="s">
        <v>3128</v>
      </c>
      <c r="F78" t="s">
        <v>1782</v>
      </c>
      <c r="G78" t="s">
        <v>3134</v>
      </c>
      <c r="H78" t="s">
        <v>3165</v>
      </c>
      <c r="J78" s="455">
        <v>46165</v>
      </c>
      <c r="U78" s="455">
        <v>46170</v>
      </c>
    </row>
    <row r="79" spans="1:21">
      <c r="A79" t="s">
        <v>1751</v>
      </c>
      <c r="B79" t="s">
        <v>10401</v>
      </c>
      <c r="C79" t="s">
        <v>1751</v>
      </c>
      <c r="D79">
        <v>20535701</v>
      </c>
      <c r="E79" t="s">
        <v>3128</v>
      </c>
      <c r="F79" t="s">
        <v>1782</v>
      </c>
      <c r="G79" t="s">
        <v>3141</v>
      </c>
      <c r="H79" t="s">
        <v>1251</v>
      </c>
      <c r="J79" s="455">
        <v>46168</v>
      </c>
      <c r="U79" s="455">
        <v>46168</v>
      </c>
    </row>
    <row r="80" spans="1:21">
      <c r="A80" t="s">
        <v>1751</v>
      </c>
      <c r="B80" t="s">
        <v>10402</v>
      </c>
      <c r="C80" t="s">
        <v>1751</v>
      </c>
      <c r="D80">
        <v>20537714</v>
      </c>
      <c r="E80" t="s">
        <v>3128</v>
      </c>
      <c r="F80" t="s">
        <v>1241</v>
      </c>
      <c r="G80" t="s">
        <v>3134</v>
      </c>
      <c r="H80" t="s">
        <v>1252</v>
      </c>
      <c r="J80" s="455">
        <v>46170</v>
      </c>
      <c r="U80" s="455">
        <v>46230</v>
      </c>
    </row>
    <row r="81" spans="1:21">
      <c r="A81" t="s">
        <v>1751</v>
      </c>
      <c r="B81" t="s">
        <v>10403</v>
      </c>
      <c r="C81" t="s">
        <v>1751</v>
      </c>
      <c r="D81">
        <v>20532593</v>
      </c>
      <c r="E81" t="s">
        <v>3128</v>
      </c>
      <c r="F81" t="s">
        <v>1782</v>
      </c>
      <c r="G81" t="s">
        <v>3134</v>
      </c>
      <c r="H81" t="s">
        <v>3165</v>
      </c>
      <c r="J81" s="455">
        <v>46163</v>
      </c>
      <c r="U81" s="455">
        <v>46234</v>
      </c>
    </row>
    <row r="82" spans="1:21">
      <c r="A82" t="s">
        <v>1751</v>
      </c>
      <c r="B82" t="s">
        <v>10404</v>
      </c>
      <c r="C82" t="s">
        <v>1751</v>
      </c>
      <c r="D82">
        <v>20518126</v>
      </c>
      <c r="E82" t="s">
        <v>3190</v>
      </c>
      <c r="F82" t="s">
        <v>1782</v>
      </c>
      <c r="G82" t="s">
        <v>3137</v>
      </c>
      <c r="H82" t="s">
        <v>1252</v>
      </c>
      <c r="J82" s="455">
        <v>46148</v>
      </c>
      <c r="R82" s="455">
        <v>46164</v>
      </c>
      <c r="U82" s="455">
        <v>46149</v>
      </c>
    </row>
    <row r="83" spans="1:21">
      <c r="A83" t="s">
        <v>1751</v>
      </c>
      <c r="B83" t="s">
        <v>3209</v>
      </c>
      <c r="C83" t="s">
        <v>1751</v>
      </c>
      <c r="D83">
        <v>20532409</v>
      </c>
      <c r="E83" t="s">
        <v>1897</v>
      </c>
      <c r="F83" t="s">
        <v>1241</v>
      </c>
      <c r="G83" t="s">
        <v>3134</v>
      </c>
      <c r="H83" t="s">
        <v>1247</v>
      </c>
      <c r="J83" s="455">
        <v>46163</v>
      </c>
      <c r="K83" s="455">
        <v>46163</v>
      </c>
      <c r="U83" s="455">
        <v>46210</v>
      </c>
    </row>
    <row r="84" spans="1:21">
      <c r="A84" t="s">
        <v>1751</v>
      </c>
      <c r="B84" t="s">
        <v>3209</v>
      </c>
      <c r="C84" t="s">
        <v>1751</v>
      </c>
      <c r="D84">
        <v>20517956</v>
      </c>
      <c r="E84" t="s">
        <v>1897</v>
      </c>
      <c r="F84" t="s">
        <v>1912</v>
      </c>
      <c r="G84" t="s">
        <v>3134</v>
      </c>
      <c r="H84" t="s">
        <v>1247</v>
      </c>
      <c r="J84" s="455">
        <v>46147</v>
      </c>
      <c r="K84" s="455">
        <v>46147</v>
      </c>
      <c r="U84" s="455">
        <v>46147</v>
      </c>
    </row>
    <row r="85" spans="1:21">
      <c r="A85" t="s">
        <v>1751</v>
      </c>
      <c r="B85" t="s">
        <v>3210</v>
      </c>
      <c r="C85" t="s">
        <v>1751</v>
      </c>
      <c r="D85">
        <v>20538561</v>
      </c>
      <c r="E85" t="s">
        <v>3128</v>
      </c>
      <c r="F85" t="s">
        <v>1782</v>
      </c>
      <c r="G85" t="s">
        <v>3129</v>
      </c>
      <c r="H85" t="s">
        <v>3131</v>
      </c>
      <c r="J85" s="455">
        <v>46171</v>
      </c>
      <c r="U85" s="455">
        <v>46171</v>
      </c>
    </row>
    <row r="86" spans="1:21">
      <c r="A86" t="s">
        <v>1751</v>
      </c>
      <c r="B86" t="s">
        <v>10405</v>
      </c>
      <c r="C86" t="s">
        <v>1751</v>
      </c>
      <c r="D86">
        <v>20523092</v>
      </c>
      <c r="E86" t="s">
        <v>3190</v>
      </c>
      <c r="F86" t="s">
        <v>1242</v>
      </c>
      <c r="G86" t="s">
        <v>3143</v>
      </c>
      <c r="H86" t="s">
        <v>1248</v>
      </c>
      <c r="I86" t="s">
        <v>1952</v>
      </c>
      <c r="J86" s="455">
        <v>46154</v>
      </c>
      <c r="R86" s="455">
        <v>46164</v>
      </c>
      <c r="U86" s="455">
        <v>46213</v>
      </c>
    </row>
    <row r="87" spans="1:21">
      <c r="A87" t="s">
        <v>1751</v>
      </c>
      <c r="B87" t="s">
        <v>10406</v>
      </c>
      <c r="C87" t="s">
        <v>1751</v>
      </c>
      <c r="D87">
        <v>20517871</v>
      </c>
      <c r="E87" t="s">
        <v>3190</v>
      </c>
      <c r="F87" t="s">
        <v>1782</v>
      </c>
      <c r="G87" t="s">
        <v>3137</v>
      </c>
      <c r="H87" t="s">
        <v>1252</v>
      </c>
      <c r="J87" s="455">
        <v>46147</v>
      </c>
      <c r="R87" s="455">
        <v>46164</v>
      </c>
      <c r="U87" s="455">
        <v>46174</v>
      </c>
    </row>
    <row r="88" spans="1:21">
      <c r="A88" t="s">
        <v>1751</v>
      </c>
      <c r="B88" t="s">
        <v>3216</v>
      </c>
      <c r="C88" t="s">
        <v>1751</v>
      </c>
      <c r="D88">
        <v>20525365</v>
      </c>
      <c r="E88" t="s">
        <v>3190</v>
      </c>
      <c r="F88" t="s">
        <v>1782</v>
      </c>
      <c r="G88" t="s">
        <v>3129</v>
      </c>
      <c r="H88" t="s">
        <v>1252</v>
      </c>
      <c r="J88" s="455">
        <v>46156</v>
      </c>
      <c r="R88" s="455">
        <v>46164</v>
      </c>
      <c r="U88" s="455">
        <v>46156</v>
      </c>
    </row>
    <row r="89" spans="1:21">
      <c r="A89" t="s">
        <v>1751</v>
      </c>
      <c r="B89" t="s">
        <v>8682</v>
      </c>
      <c r="C89" t="s">
        <v>1751</v>
      </c>
      <c r="D89">
        <v>20517283</v>
      </c>
      <c r="E89" t="s">
        <v>3128</v>
      </c>
      <c r="F89" t="s">
        <v>1782</v>
      </c>
      <c r="G89" t="s">
        <v>3141</v>
      </c>
      <c r="H89" t="s">
        <v>1247</v>
      </c>
      <c r="J89" s="455">
        <v>46147</v>
      </c>
      <c r="U89" s="455">
        <v>46147</v>
      </c>
    </row>
    <row r="90" spans="1:21">
      <c r="A90" t="s">
        <v>1751</v>
      </c>
      <c r="B90" t="s">
        <v>10407</v>
      </c>
      <c r="C90" t="s">
        <v>1751</v>
      </c>
      <c r="D90">
        <v>20515940</v>
      </c>
      <c r="E90" t="s">
        <v>3128</v>
      </c>
      <c r="F90" t="s">
        <v>1241</v>
      </c>
      <c r="G90" t="s">
        <v>3134</v>
      </c>
      <c r="H90" t="s">
        <v>1252</v>
      </c>
      <c r="J90" s="455">
        <v>46145</v>
      </c>
      <c r="U90" s="455">
        <v>46242</v>
      </c>
    </row>
    <row r="91" spans="1:21">
      <c r="A91" t="s">
        <v>1751</v>
      </c>
      <c r="B91" t="s">
        <v>10408</v>
      </c>
      <c r="C91" t="s">
        <v>1751</v>
      </c>
      <c r="D91">
        <v>20531262</v>
      </c>
      <c r="E91" t="s">
        <v>3128</v>
      </c>
      <c r="F91" t="s">
        <v>1782</v>
      </c>
      <c r="G91" t="s">
        <v>3141</v>
      </c>
      <c r="H91" t="s">
        <v>1252</v>
      </c>
      <c r="J91" s="455">
        <v>46161</v>
      </c>
      <c r="U91" s="455">
        <v>46186</v>
      </c>
    </row>
    <row r="92" spans="1:21">
      <c r="A92" t="s">
        <v>1751</v>
      </c>
      <c r="B92" t="s">
        <v>10409</v>
      </c>
      <c r="C92" t="s">
        <v>1751</v>
      </c>
      <c r="D92">
        <v>20534402</v>
      </c>
      <c r="E92" t="s">
        <v>3128</v>
      </c>
      <c r="F92" t="s">
        <v>1782</v>
      </c>
      <c r="G92" t="s">
        <v>3134</v>
      </c>
      <c r="H92" t="s">
        <v>3165</v>
      </c>
      <c r="J92" s="455">
        <v>46165</v>
      </c>
      <c r="U92" s="455">
        <v>46318</v>
      </c>
    </row>
    <row r="93" spans="1:21">
      <c r="A93" t="s">
        <v>1751</v>
      </c>
      <c r="B93" t="s">
        <v>10410</v>
      </c>
      <c r="C93" t="s">
        <v>1751</v>
      </c>
      <c r="D93">
        <v>20523183</v>
      </c>
      <c r="E93" t="s">
        <v>3190</v>
      </c>
      <c r="F93" t="s">
        <v>1782</v>
      </c>
      <c r="G93" t="s">
        <v>3129</v>
      </c>
      <c r="H93" t="s">
        <v>1253</v>
      </c>
      <c r="J93" s="455">
        <v>46154</v>
      </c>
      <c r="R93" s="455">
        <v>46164</v>
      </c>
      <c r="U93" s="455">
        <v>46171</v>
      </c>
    </row>
    <row r="94" spans="1:21">
      <c r="A94" t="s">
        <v>1751</v>
      </c>
      <c r="B94" t="s">
        <v>10411</v>
      </c>
      <c r="C94" t="s">
        <v>1751</v>
      </c>
      <c r="D94">
        <v>20514736</v>
      </c>
      <c r="E94" t="s">
        <v>3128</v>
      </c>
      <c r="F94" t="s">
        <v>1782</v>
      </c>
      <c r="G94" t="s">
        <v>3137</v>
      </c>
      <c r="H94" t="s">
        <v>1247</v>
      </c>
      <c r="J94" s="455">
        <v>46143</v>
      </c>
      <c r="U94" s="455">
        <v>46143</v>
      </c>
    </row>
    <row r="95" spans="1:21">
      <c r="A95" t="s">
        <v>1751</v>
      </c>
      <c r="B95" t="s">
        <v>10412</v>
      </c>
      <c r="C95" t="s">
        <v>1751</v>
      </c>
      <c r="D95">
        <v>20522506</v>
      </c>
      <c r="E95" t="s">
        <v>3190</v>
      </c>
      <c r="F95" t="s">
        <v>1782</v>
      </c>
      <c r="G95" t="s">
        <v>3134</v>
      </c>
      <c r="H95" t="s">
        <v>3165</v>
      </c>
      <c r="J95" s="455">
        <v>46153</v>
      </c>
      <c r="R95" s="455">
        <v>46164</v>
      </c>
      <c r="U95" s="455">
        <v>46203</v>
      </c>
    </row>
    <row r="96" spans="1:21">
      <c r="A96" t="s">
        <v>1751</v>
      </c>
      <c r="B96" t="s">
        <v>10413</v>
      </c>
      <c r="C96" t="s">
        <v>1751</v>
      </c>
      <c r="D96">
        <v>20514794</v>
      </c>
      <c r="E96" t="s">
        <v>3128</v>
      </c>
      <c r="F96" t="s">
        <v>1782</v>
      </c>
      <c r="G96" t="s">
        <v>3141</v>
      </c>
      <c r="H96" t="s">
        <v>1252</v>
      </c>
      <c r="J96" s="455">
        <v>46143</v>
      </c>
      <c r="U96" s="455">
        <v>46174</v>
      </c>
    </row>
    <row r="97" spans="1:21">
      <c r="A97" t="s">
        <v>1751</v>
      </c>
      <c r="B97" t="s">
        <v>10414</v>
      </c>
      <c r="C97" t="s">
        <v>1751</v>
      </c>
      <c r="D97">
        <v>20521890</v>
      </c>
      <c r="E97" t="s">
        <v>3128</v>
      </c>
      <c r="F97" t="s">
        <v>1782</v>
      </c>
      <c r="G97" t="s">
        <v>3129</v>
      </c>
      <c r="H97" t="s">
        <v>1253</v>
      </c>
      <c r="J97" s="455">
        <v>46153</v>
      </c>
      <c r="U97" s="455">
        <v>46174</v>
      </c>
    </row>
    <row r="98" spans="1:21">
      <c r="A98" t="s">
        <v>1751</v>
      </c>
      <c r="B98" t="s">
        <v>3223</v>
      </c>
      <c r="C98" t="s">
        <v>1751</v>
      </c>
      <c r="D98">
        <v>20528771</v>
      </c>
      <c r="E98" t="s">
        <v>1907</v>
      </c>
      <c r="F98" t="s">
        <v>1782</v>
      </c>
      <c r="G98" t="s">
        <v>3134</v>
      </c>
      <c r="H98" t="s">
        <v>1247</v>
      </c>
      <c r="I98" t="s">
        <v>2543</v>
      </c>
      <c r="J98" s="455">
        <v>46159</v>
      </c>
      <c r="K98" s="455">
        <v>46159</v>
      </c>
      <c r="L98" s="455">
        <v>46170</v>
      </c>
      <c r="T98" s="455">
        <v>46172</v>
      </c>
      <c r="U98" s="455">
        <v>46183</v>
      </c>
    </row>
    <row r="99" spans="1:21">
      <c r="A99" t="s">
        <v>1751</v>
      </c>
      <c r="B99" t="s">
        <v>10415</v>
      </c>
      <c r="C99" t="s">
        <v>1751</v>
      </c>
      <c r="D99">
        <v>20528243</v>
      </c>
      <c r="E99" t="s">
        <v>3128</v>
      </c>
      <c r="F99" t="s">
        <v>1782</v>
      </c>
      <c r="G99" t="s">
        <v>3129</v>
      </c>
      <c r="H99" t="s">
        <v>3377</v>
      </c>
      <c r="J99" s="455">
        <v>46158</v>
      </c>
      <c r="U99" s="455">
        <v>46158</v>
      </c>
    </row>
    <row r="100" spans="1:21">
      <c r="A100" t="s">
        <v>1751</v>
      </c>
      <c r="B100" t="s">
        <v>10416</v>
      </c>
      <c r="C100" t="s">
        <v>1751</v>
      </c>
      <c r="D100">
        <v>20516728</v>
      </c>
      <c r="E100" t="s">
        <v>3128</v>
      </c>
      <c r="F100" t="s">
        <v>1239</v>
      </c>
      <c r="G100" t="s">
        <v>3143</v>
      </c>
      <c r="H100" t="s">
        <v>1252</v>
      </c>
      <c r="J100" s="455">
        <v>46146</v>
      </c>
      <c r="U100" s="455">
        <v>46146</v>
      </c>
    </row>
    <row r="101" spans="1:21">
      <c r="A101" t="s">
        <v>1751</v>
      </c>
      <c r="B101" t="s">
        <v>10417</v>
      </c>
      <c r="C101" t="s">
        <v>1751</v>
      </c>
      <c r="D101">
        <v>20534910</v>
      </c>
      <c r="E101" t="s">
        <v>3128</v>
      </c>
      <c r="F101" t="s">
        <v>1782</v>
      </c>
      <c r="G101" t="s">
        <v>3134</v>
      </c>
      <c r="H101" t="s">
        <v>1252</v>
      </c>
      <c r="J101" s="455">
        <v>46166</v>
      </c>
      <c r="U101" s="455">
        <v>46206</v>
      </c>
    </row>
    <row r="102" spans="1:21">
      <c r="A102" t="s">
        <v>1751</v>
      </c>
      <c r="B102" t="s">
        <v>3230</v>
      </c>
      <c r="C102" t="s">
        <v>1751</v>
      </c>
      <c r="D102">
        <v>20531217</v>
      </c>
      <c r="E102" t="s">
        <v>1897</v>
      </c>
      <c r="F102" t="s">
        <v>1241</v>
      </c>
      <c r="G102" t="s">
        <v>3134</v>
      </c>
      <c r="H102" t="s">
        <v>1247</v>
      </c>
      <c r="I102" t="s">
        <v>1903</v>
      </c>
      <c r="J102" s="455">
        <v>46161</v>
      </c>
      <c r="K102" s="455">
        <v>46161</v>
      </c>
      <c r="U102" s="455">
        <v>46161</v>
      </c>
    </row>
    <row r="103" spans="1:21">
      <c r="A103" t="s">
        <v>1751</v>
      </c>
      <c r="B103" t="s">
        <v>10418</v>
      </c>
      <c r="C103" t="s">
        <v>1751</v>
      </c>
      <c r="D103">
        <v>20538142</v>
      </c>
      <c r="E103" t="s">
        <v>3128</v>
      </c>
      <c r="F103" t="s">
        <v>1782</v>
      </c>
      <c r="G103" t="s">
        <v>3129</v>
      </c>
      <c r="H103" t="s">
        <v>3131</v>
      </c>
      <c r="J103" s="455">
        <v>46170</v>
      </c>
      <c r="U103" s="455">
        <v>46170</v>
      </c>
    </row>
    <row r="104" spans="1:21">
      <c r="A104" t="s">
        <v>1751</v>
      </c>
      <c r="B104" t="s">
        <v>3233</v>
      </c>
      <c r="C104" t="s">
        <v>1751</v>
      </c>
      <c r="D104">
        <v>20539106</v>
      </c>
      <c r="E104" t="s">
        <v>1897</v>
      </c>
      <c r="F104" t="s">
        <v>1241</v>
      </c>
      <c r="G104" t="s">
        <v>3134</v>
      </c>
      <c r="H104" t="s">
        <v>1251</v>
      </c>
      <c r="I104" t="s">
        <v>1921</v>
      </c>
      <c r="J104" s="455">
        <v>46171</v>
      </c>
      <c r="K104" s="455">
        <v>46171</v>
      </c>
      <c r="U104" s="455">
        <v>46171</v>
      </c>
    </row>
    <row r="105" spans="1:21">
      <c r="A105" t="s">
        <v>1751</v>
      </c>
      <c r="B105" t="s">
        <v>10419</v>
      </c>
      <c r="C105" t="s">
        <v>1751</v>
      </c>
      <c r="D105">
        <v>20516702</v>
      </c>
      <c r="E105" t="s">
        <v>3128</v>
      </c>
      <c r="F105" t="s">
        <v>1782</v>
      </c>
      <c r="G105" t="s">
        <v>3129</v>
      </c>
      <c r="H105" t="s">
        <v>1253</v>
      </c>
      <c r="J105" s="455">
        <v>46146</v>
      </c>
      <c r="U105" s="455">
        <v>46146</v>
      </c>
    </row>
    <row r="106" spans="1:21">
      <c r="A106" t="s">
        <v>1751</v>
      </c>
      <c r="B106" t="s">
        <v>3236</v>
      </c>
      <c r="C106" t="s">
        <v>1751</v>
      </c>
      <c r="D106">
        <v>20523240</v>
      </c>
      <c r="E106" t="s">
        <v>3190</v>
      </c>
      <c r="F106" t="s">
        <v>1242</v>
      </c>
      <c r="G106" t="s">
        <v>3143</v>
      </c>
      <c r="H106" t="s">
        <v>1248</v>
      </c>
      <c r="I106" t="s">
        <v>1952</v>
      </c>
      <c r="J106" s="455">
        <v>46154</v>
      </c>
      <c r="R106" s="455">
        <v>46164</v>
      </c>
      <c r="U106" s="455">
        <v>46249</v>
      </c>
    </row>
    <row r="107" spans="1:21">
      <c r="A107" t="s">
        <v>1751</v>
      </c>
      <c r="B107" t="s">
        <v>10420</v>
      </c>
      <c r="C107" t="s">
        <v>1751</v>
      </c>
      <c r="D107">
        <v>20520857</v>
      </c>
      <c r="E107" t="s">
        <v>3133</v>
      </c>
      <c r="F107" t="s">
        <v>1242</v>
      </c>
      <c r="G107" t="s">
        <v>3134</v>
      </c>
      <c r="H107" t="s">
        <v>1247</v>
      </c>
      <c r="I107" t="s">
        <v>1947</v>
      </c>
      <c r="J107" s="455">
        <v>46151</v>
      </c>
      <c r="K107" s="455">
        <v>46151</v>
      </c>
      <c r="L107" s="455">
        <v>46152</v>
      </c>
      <c r="R107" s="455">
        <v>46153</v>
      </c>
      <c r="U107" s="455">
        <v>46183</v>
      </c>
    </row>
    <row r="108" spans="1:21">
      <c r="A108" t="s">
        <v>1751</v>
      </c>
      <c r="B108" t="s">
        <v>10420</v>
      </c>
      <c r="C108" t="s">
        <v>1751</v>
      </c>
      <c r="D108">
        <v>20520836</v>
      </c>
      <c r="E108" t="s">
        <v>3190</v>
      </c>
      <c r="F108" t="s">
        <v>1782</v>
      </c>
      <c r="G108" t="s">
        <v>3141</v>
      </c>
      <c r="H108" t="s">
        <v>1252</v>
      </c>
      <c r="J108" s="455">
        <v>46151</v>
      </c>
      <c r="R108" s="455">
        <v>46164</v>
      </c>
      <c r="U108" s="455">
        <v>46185</v>
      </c>
    </row>
    <row r="109" spans="1:21">
      <c r="A109" t="s">
        <v>1751</v>
      </c>
      <c r="B109" t="s">
        <v>3237</v>
      </c>
      <c r="C109" t="s">
        <v>1751</v>
      </c>
      <c r="D109">
        <v>20529260</v>
      </c>
      <c r="E109" t="s">
        <v>1907</v>
      </c>
      <c r="F109" t="s">
        <v>1242</v>
      </c>
      <c r="G109" t="s">
        <v>3137</v>
      </c>
      <c r="H109" t="s">
        <v>1252</v>
      </c>
      <c r="I109" t="s">
        <v>1520</v>
      </c>
      <c r="J109" s="455">
        <v>46160</v>
      </c>
      <c r="K109" s="455">
        <v>46162</v>
      </c>
      <c r="L109" s="455">
        <v>46163</v>
      </c>
      <c r="U109" s="455">
        <v>46192</v>
      </c>
    </row>
    <row r="110" spans="1:21">
      <c r="A110" t="s">
        <v>1751</v>
      </c>
      <c r="B110" t="s">
        <v>10421</v>
      </c>
      <c r="C110" t="s">
        <v>1751</v>
      </c>
      <c r="D110">
        <v>20531679</v>
      </c>
      <c r="E110" t="s">
        <v>3128</v>
      </c>
      <c r="F110" t="s">
        <v>1782</v>
      </c>
      <c r="G110" t="s">
        <v>3141</v>
      </c>
      <c r="H110" t="s">
        <v>1252</v>
      </c>
      <c r="J110" s="455">
        <v>46162</v>
      </c>
      <c r="U110" s="455">
        <v>46174</v>
      </c>
    </row>
    <row r="111" spans="1:21">
      <c r="A111" t="s">
        <v>1751</v>
      </c>
      <c r="B111" t="s">
        <v>3239</v>
      </c>
      <c r="C111" t="s">
        <v>1751</v>
      </c>
      <c r="D111">
        <v>20448448</v>
      </c>
      <c r="E111" t="s">
        <v>1907</v>
      </c>
      <c r="F111" t="s">
        <v>1242</v>
      </c>
      <c r="G111" t="s">
        <v>3134</v>
      </c>
      <c r="H111" t="s">
        <v>1247</v>
      </c>
      <c r="I111" t="s">
        <v>2131</v>
      </c>
      <c r="J111" s="455">
        <v>46066</v>
      </c>
      <c r="K111" s="455">
        <v>46066</v>
      </c>
      <c r="L111" s="455">
        <v>46077</v>
      </c>
      <c r="M111" s="455">
        <v>46164</v>
      </c>
      <c r="N111" s="455">
        <v>46164</v>
      </c>
      <c r="O111" s="455">
        <v>46164</v>
      </c>
      <c r="P111" s="455">
        <v>46164</v>
      </c>
      <c r="Q111" s="455">
        <v>46164</v>
      </c>
      <c r="T111" s="455">
        <v>46160</v>
      </c>
      <c r="U111" s="455">
        <v>46172</v>
      </c>
    </row>
    <row r="112" spans="1:21">
      <c r="A112" t="s">
        <v>1751</v>
      </c>
      <c r="B112" t="s">
        <v>10422</v>
      </c>
      <c r="C112" t="s">
        <v>1751</v>
      </c>
      <c r="D112">
        <v>20523248</v>
      </c>
      <c r="E112" t="s">
        <v>3190</v>
      </c>
      <c r="F112" t="s">
        <v>1237</v>
      </c>
      <c r="G112" t="s">
        <v>3143</v>
      </c>
      <c r="H112" t="s">
        <v>1248</v>
      </c>
      <c r="J112" s="455">
        <v>46154</v>
      </c>
      <c r="R112" s="455">
        <v>46164</v>
      </c>
      <c r="U112" s="455">
        <v>46154</v>
      </c>
    </row>
    <row r="113" spans="1:21">
      <c r="A113" t="s">
        <v>1751</v>
      </c>
      <c r="B113" t="s">
        <v>10423</v>
      </c>
      <c r="C113" t="s">
        <v>1751</v>
      </c>
      <c r="D113">
        <v>20539524</v>
      </c>
      <c r="E113" t="s">
        <v>3128</v>
      </c>
      <c r="F113" t="s">
        <v>1241</v>
      </c>
      <c r="G113" t="s">
        <v>3129</v>
      </c>
      <c r="H113" t="s">
        <v>3131</v>
      </c>
      <c r="J113" s="455">
        <v>46172</v>
      </c>
      <c r="U113" s="455">
        <v>46202</v>
      </c>
    </row>
    <row r="114" spans="1:21">
      <c r="A114" t="s">
        <v>1751</v>
      </c>
      <c r="B114" t="s">
        <v>3246</v>
      </c>
      <c r="C114" t="s">
        <v>1751</v>
      </c>
      <c r="D114">
        <v>20539217</v>
      </c>
      <c r="E114" t="s">
        <v>1897</v>
      </c>
      <c r="F114" t="s">
        <v>1241</v>
      </c>
      <c r="G114" t="s">
        <v>3134</v>
      </c>
      <c r="H114" t="s">
        <v>1247</v>
      </c>
      <c r="J114" s="455">
        <v>46172</v>
      </c>
      <c r="K114" s="455">
        <v>46172</v>
      </c>
      <c r="U114" s="455">
        <v>46295</v>
      </c>
    </row>
    <row r="115" spans="1:21">
      <c r="A115" t="s">
        <v>1751</v>
      </c>
      <c r="B115" t="s">
        <v>10424</v>
      </c>
      <c r="C115" t="s">
        <v>1751</v>
      </c>
      <c r="D115">
        <v>20527130</v>
      </c>
      <c r="E115" t="s">
        <v>3190</v>
      </c>
      <c r="F115" t="s">
        <v>1782</v>
      </c>
      <c r="G115" t="s">
        <v>3137</v>
      </c>
      <c r="H115" t="s">
        <v>1252</v>
      </c>
      <c r="J115" s="455">
        <v>46157</v>
      </c>
      <c r="R115" s="455">
        <v>46164</v>
      </c>
      <c r="U115" s="455">
        <v>46172</v>
      </c>
    </row>
    <row r="116" spans="1:21">
      <c r="A116" t="s">
        <v>1751</v>
      </c>
      <c r="B116" t="s">
        <v>2144</v>
      </c>
      <c r="C116" t="s">
        <v>1751</v>
      </c>
      <c r="D116">
        <v>20532568</v>
      </c>
      <c r="E116" t="s">
        <v>3128</v>
      </c>
      <c r="F116" t="s">
        <v>1782</v>
      </c>
      <c r="G116" t="s">
        <v>3134</v>
      </c>
      <c r="H116" t="s">
        <v>1252</v>
      </c>
      <c r="J116" s="455">
        <v>46163</v>
      </c>
      <c r="U116" s="455">
        <v>46163</v>
      </c>
    </row>
    <row r="117" spans="1:21">
      <c r="A117" t="s">
        <v>1751</v>
      </c>
      <c r="B117" t="s">
        <v>10425</v>
      </c>
      <c r="C117" t="s">
        <v>1751</v>
      </c>
      <c r="D117">
        <v>20514704</v>
      </c>
      <c r="E117" t="s">
        <v>3128</v>
      </c>
      <c r="F117" t="s">
        <v>1782</v>
      </c>
      <c r="G117" t="s">
        <v>3141</v>
      </c>
      <c r="H117" t="s">
        <v>1252</v>
      </c>
      <c r="J117" s="455">
        <v>46143</v>
      </c>
      <c r="U117" s="455">
        <v>46204</v>
      </c>
    </row>
    <row r="118" spans="1:21">
      <c r="A118" t="s">
        <v>1751</v>
      </c>
      <c r="B118" t="s">
        <v>3248</v>
      </c>
      <c r="C118" t="s">
        <v>1751</v>
      </c>
      <c r="D118">
        <v>20512613</v>
      </c>
      <c r="E118" t="s">
        <v>3133</v>
      </c>
      <c r="F118" t="s">
        <v>1782</v>
      </c>
      <c r="G118" t="s">
        <v>3129</v>
      </c>
      <c r="H118" t="s">
        <v>1253</v>
      </c>
      <c r="J118" s="455">
        <v>46141</v>
      </c>
      <c r="K118" s="455">
        <v>46157</v>
      </c>
      <c r="R118" s="455">
        <v>46164</v>
      </c>
      <c r="U118" s="455">
        <v>46168</v>
      </c>
    </row>
    <row r="119" spans="1:21">
      <c r="A119" t="s">
        <v>1751</v>
      </c>
      <c r="B119" t="s">
        <v>3248</v>
      </c>
      <c r="C119" t="s">
        <v>1751</v>
      </c>
      <c r="D119">
        <v>20533880</v>
      </c>
      <c r="E119" t="s">
        <v>1897</v>
      </c>
      <c r="F119" t="s">
        <v>1241</v>
      </c>
      <c r="G119" t="s">
        <v>3134</v>
      </c>
      <c r="H119" t="s">
        <v>1247</v>
      </c>
      <c r="I119" t="s">
        <v>1808</v>
      </c>
      <c r="J119" s="455">
        <v>46164</v>
      </c>
      <c r="K119" s="455">
        <v>46164</v>
      </c>
      <c r="U119" s="455">
        <v>46183</v>
      </c>
    </row>
    <row r="120" spans="1:21">
      <c r="A120" t="s">
        <v>1751</v>
      </c>
      <c r="B120" t="s">
        <v>3248</v>
      </c>
      <c r="C120" t="s">
        <v>1751</v>
      </c>
      <c r="D120">
        <v>20516603</v>
      </c>
      <c r="E120" t="s">
        <v>3190</v>
      </c>
      <c r="F120" t="s">
        <v>1782</v>
      </c>
      <c r="G120" t="s">
        <v>3134</v>
      </c>
      <c r="H120" t="s">
        <v>1252</v>
      </c>
      <c r="J120" s="455">
        <v>46146</v>
      </c>
      <c r="R120" s="455">
        <v>46164</v>
      </c>
      <c r="U120" s="455">
        <v>46154</v>
      </c>
    </row>
    <row r="121" spans="1:21">
      <c r="A121" t="s">
        <v>1751</v>
      </c>
      <c r="B121" t="s">
        <v>9557</v>
      </c>
      <c r="C121" t="s">
        <v>1751</v>
      </c>
      <c r="D121">
        <v>20510228</v>
      </c>
      <c r="E121" t="s">
        <v>3190</v>
      </c>
      <c r="F121" t="s">
        <v>1241</v>
      </c>
      <c r="G121" t="s">
        <v>2009</v>
      </c>
      <c r="H121" t="s">
        <v>1252</v>
      </c>
      <c r="J121" s="455">
        <v>46138</v>
      </c>
      <c r="R121" s="455">
        <v>46164</v>
      </c>
      <c r="U121" s="455">
        <v>46143</v>
      </c>
    </row>
    <row r="122" spans="1:21">
      <c r="A122" t="s">
        <v>1751</v>
      </c>
      <c r="B122" t="s">
        <v>10426</v>
      </c>
      <c r="C122" t="s">
        <v>1751</v>
      </c>
      <c r="D122">
        <v>20519092</v>
      </c>
      <c r="E122" t="s">
        <v>3128</v>
      </c>
      <c r="F122" t="s">
        <v>1782</v>
      </c>
      <c r="G122" t="s">
        <v>3134</v>
      </c>
      <c r="H122" t="s">
        <v>1252</v>
      </c>
      <c r="J122" s="455">
        <v>46149</v>
      </c>
      <c r="U122" s="455">
        <v>46149</v>
      </c>
    </row>
    <row r="123" spans="1:21">
      <c r="A123" t="s">
        <v>1751</v>
      </c>
      <c r="B123" t="s">
        <v>3250</v>
      </c>
      <c r="C123" t="s">
        <v>1751</v>
      </c>
      <c r="D123">
        <v>20517159</v>
      </c>
      <c r="E123" t="s">
        <v>1897</v>
      </c>
      <c r="F123" t="s">
        <v>1912</v>
      </c>
      <c r="G123" t="s">
        <v>3134</v>
      </c>
      <c r="H123" t="s">
        <v>1247</v>
      </c>
      <c r="I123" t="s">
        <v>1532</v>
      </c>
      <c r="J123" s="455">
        <v>46147</v>
      </c>
      <c r="K123" s="455">
        <v>46147</v>
      </c>
      <c r="U123" s="455">
        <v>46147</v>
      </c>
    </row>
    <row r="124" spans="1:21">
      <c r="A124" t="s">
        <v>1751</v>
      </c>
      <c r="B124" t="s">
        <v>10427</v>
      </c>
      <c r="C124" t="s">
        <v>1751</v>
      </c>
      <c r="D124">
        <v>20520108</v>
      </c>
      <c r="E124" t="s">
        <v>3128</v>
      </c>
      <c r="F124" t="s">
        <v>1782</v>
      </c>
      <c r="G124" t="s">
        <v>3134</v>
      </c>
      <c r="H124" t="s">
        <v>1252</v>
      </c>
      <c r="J124" s="455">
        <v>46150</v>
      </c>
      <c r="U124" s="455">
        <v>46151</v>
      </c>
    </row>
    <row r="125" spans="1:21">
      <c r="A125" t="s">
        <v>1751</v>
      </c>
      <c r="B125" t="s">
        <v>10428</v>
      </c>
      <c r="C125" t="s">
        <v>1751</v>
      </c>
      <c r="D125">
        <v>20515548</v>
      </c>
      <c r="E125" t="s">
        <v>3128</v>
      </c>
      <c r="F125" t="s">
        <v>1782</v>
      </c>
      <c r="G125" t="s">
        <v>3141</v>
      </c>
      <c r="H125" t="s">
        <v>1252</v>
      </c>
      <c r="J125" s="455">
        <v>46144</v>
      </c>
      <c r="U125" s="455">
        <v>46160</v>
      </c>
    </row>
    <row r="126" spans="1:21">
      <c r="A126" t="s">
        <v>1751</v>
      </c>
      <c r="B126" t="s">
        <v>10429</v>
      </c>
      <c r="C126" t="s">
        <v>1751</v>
      </c>
      <c r="D126">
        <v>20523624</v>
      </c>
      <c r="E126" t="s">
        <v>3190</v>
      </c>
      <c r="F126" t="s">
        <v>1242</v>
      </c>
      <c r="G126" t="s">
        <v>2009</v>
      </c>
      <c r="H126" t="s">
        <v>1247</v>
      </c>
      <c r="I126" t="s">
        <v>1952</v>
      </c>
      <c r="J126" s="455">
        <v>46154</v>
      </c>
      <c r="R126" s="455">
        <v>46164</v>
      </c>
      <c r="U126" s="455">
        <v>46154</v>
      </c>
    </row>
    <row r="127" spans="1:21">
      <c r="A127" t="s">
        <v>1751</v>
      </c>
      <c r="B127" t="s">
        <v>3257</v>
      </c>
      <c r="C127" t="s">
        <v>1751</v>
      </c>
      <c r="D127">
        <v>20505736</v>
      </c>
      <c r="E127" t="s">
        <v>3133</v>
      </c>
      <c r="F127" t="s">
        <v>1242</v>
      </c>
      <c r="G127" t="s">
        <v>3129</v>
      </c>
      <c r="H127" t="s">
        <v>1252</v>
      </c>
      <c r="I127" t="s">
        <v>1952</v>
      </c>
      <c r="J127" s="455">
        <v>46134</v>
      </c>
      <c r="K127" s="455">
        <v>46134</v>
      </c>
      <c r="L127" s="455">
        <v>46141</v>
      </c>
      <c r="S127" s="455">
        <v>46148</v>
      </c>
      <c r="U127" s="455">
        <v>46146</v>
      </c>
    </row>
    <row r="128" spans="1:21">
      <c r="A128" t="s">
        <v>1751</v>
      </c>
      <c r="B128" t="s">
        <v>4354</v>
      </c>
      <c r="C128" t="s">
        <v>1751</v>
      </c>
      <c r="D128">
        <v>20538379</v>
      </c>
      <c r="E128" t="s">
        <v>3128</v>
      </c>
      <c r="F128" t="s">
        <v>1782</v>
      </c>
      <c r="G128" t="s">
        <v>3134</v>
      </c>
      <c r="H128" t="s">
        <v>1252</v>
      </c>
      <c r="J128" s="455">
        <v>46171</v>
      </c>
      <c r="U128" s="455">
        <v>46174</v>
      </c>
    </row>
    <row r="129" spans="1:21">
      <c r="A129" t="s">
        <v>1751</v>
      </c>
      <c r="B129" t="s">
        <v>10430</v>
      </c>
      <c r="C129" t="s">
        <v>1751</v>
      </c>
      <c r="D129">
        <v>20527903</v>
      </c>
      <c r="E129" t="s">
        <v>3190</v>
      </c>
      <c r="F129" t="s">
        <v>1782</v>
      </c>
      <c r="G129" t="s">
        <v>3141</v>
      </c>
      <c r="H129" t="s">
        <v>1247</v>
      </c>
      <c r="J129" s="455">
        <v>46157</v>
      </c>
      <c r="R129" s="455">
        <v>46164</v>
      </c>
      <c r="U129" s="455">
        <v>46157</v>
      </c>
    </row>
    <row r="130" spans="1:21">
      <c r="A130" t="s">
        <v>1751</v>
      </c>
      <c r="B130" t="s">
        <v>10431</v>
      </c>
      <c r="C130" t="s">
        <v>1751</v>
      </c>
      <c r="D130">
        <v>20529558</v>
      </c>
      <c r="E130" t="s">
        <v>3128</v>
      </c>
      <c r="F130" t="s">
        <v>1782</v>
      </c>
      <c r="G130" t="s">
        <v>3141</v>
      </c>
      <c r="H130" t="s">
        <v>1247</v>
      </c>
      <c r="J130" s="455">
        <v>46160</v>
      </c>
      <c r="U130" s="455">
        <v>46160</v>
      </c>
    </row>
    <row r="131" spans="1:21">
      <c r="A131" t="s">
        <v>1751</v>
      </c>
      <c r="B131" t="s">
        <v>10432</v>
      </c>
      <c r="C131" t="s">
        <v>1751</v>
      </c>
      <c r="D131">
        <v>20531785</v>
      </c>
      <c r="E131" t="s">
        <v>3128</v>
      </c>
      <c r="F131" t="s">
        <v>1782</v>
      </c>
      <c r="G131" t="s">
        <v>3134</v>
      </c>
      <c r="H131" t="s">
        <v>3165</v>
      </c>
      <c r="J131" s="455">
        <v>46162</v>
      </c>
      <c r="U131" s="455">
        <v>46163</v>
      </c>
    </row>
    <row r="132" spans="1:21">
      <c r="A132" t="s">
        <v>1751</v>
      </c>
      <c r="B132" t="s">
        <v>10433</v>
      </c>
      <c r="C132" t="s">
        <v>1751</v>
      </c>
      <c r="D132">
        <v>20516188</v>
      </c>
      <c r="E132" t="s">
        <v>3190</v>
      </c>
      <c r="F132" t="s">
        <v>1241</v>
      </c>
      <c r="G132" t="s">
        <v>3129</v>
      </c>
      <c r="H132" t="s">
        <v>1252</v>
      </c>
      <c r="J132" s="455">
        <v>46146</v>
      </c>
      <c r="R132" s="455">
        <v>46164</v>
      </c>
      <c r="U132" s="455">
        <v>46146</v>
      </c>
    </row>
    <row r="133" spans="1:21">
      <c r="A133" t="s">
        <v>1751</v>
      </c>
      <c r="B133" t="s">
        <v>10434</v>
      </c>
      <c r="C133" t="s">
        <v>1751</v>
      </c>
      <c r="D133">
        <v>20530191</v>
      </c>
      <c r="E133" t="s">
        <v>3190</v>
      </c>
      <c r="F133" t="s">
        <v>1782</v>
      </c>
      <c r="G133" t="s">
        <v>3129</v>
      </c>
      <c r="H133" t="s">
        <v>1253</v>
      </c>
      <c r="J133" s="455">
        <v>46161</v>
      </c>
      <c r="R133" s="455">
        <v>46164</v>
      </c>
      <c r="U133" s="455">
        <v>46161</v>
      </c>
    </row>
    <row r="134" spans="1:21">
      <c r="A134" t="s">
        <v>1751</v>
      </c>
      <c r="B134" t="s">
        <v>10435</v>
      </c>
      <c r="C134" t="s">
        <v>1751</v>
      </c>
      <c r="D134">
        <v>20528917</v>
      </c>
      <c r="E134" t="s">
        <v>3133</v>
      </c>
      <c r="F134" t="s">
        <v>1782</v>
      </c>
      <c r="G134" t="s">
        <v>3134</v>
      </c>
      <c r="H134" t="s">
        <v>1247</v>
      </c>
      <c r="J134" s="455">
        <v>46159</v>
      </c>
      <c r="K134" s="455">
        <v>46159</v>
      </c>
      <c r="R134" s="455">
        <v>46168</v>
      </c>
      <c r="U134" s="455">
        <v>46206</v>
      </c>
    </row>
    <row r="135" spans="1:21">
      <c r="A135" t="s">
        <v>1751</v>
      </c>
      <c r="B135" t="s">
        <v>10436</v>
      </c>
      <c r="C135" t="s">
        <v>1751</v>
      </c>
      <c r="D135">
        <v>20518066</v>
      </c>
      <c r="E135" t="s">
        <v>3190</v>
      </c>
      <c r="F135" t="s">
        <v>1241</v>
      </c>
      <c r="G135" t="s">
        <v>3137</v>
      </c>
      <c r="H135" t="s">
        <v>1247</v>
      </c>
      <c r="I135" t="s">
        <v>3179</v>
      </c>
      <c r="J135" s="455">
        <v>46148</v>
      </c>
      <c r="R135" s="455">
        <v>46164</v>
      </c>
      <c r="U135" s="455">
        <v>46148</v>
      </c>
    </row>
    <row r="136" spans="1:21">
      <c r="A136" t="s">
        <v>1751</v>
      </c>
      <c r="B136" t="s">
        <v>10437</v>
      </c>
      <c r="C136" t="s">
        <v>1751</v>
      </c>
      <c r="D136">
        <v>20536984</v>
      </c>
      <c r="E136" t="s">
        <v>3128</v>
      </c>
      <c r="F136" t="s">
        <v>1238</v>
      </c>
      <c r="G136" t="s">
        <v>3129</v>
      </c>
      <c r="H136" t="s">
        <v>1253</v>
      </c>
      <c r="I136" t="s">
        <v>2437</v>
      </c>
      <c r="J136" s="455">
        <v>46169</v>
      </c>
      <c r="U136" s="455">
        <v>46199</v>
      </c>
    </row>
    <row r="137" spans="1:21">
      <c r="A137" t="s">
        <v>1751</v>
      </c>
      <c r="B137" t="s">
        <v>2616</v>
      </c>
      <c r="C137" t="s">
        <v>1751</v>
      </c>
      <c r="D137">
        <v>20518764</v>
      </c>
      <c r="E137" t="s">
        <v>3142</v>
      </c>
      <c r="F137" t="s">
        <v>1239</v>
      </c>
      <c r="G137" t="s">
        <v>3134</v>
      </c>
      <c r="H137" t="s">
        <v>1247</v>
      </c>
      <c r="I137" t="s">
        <v>2615</v>
      </c>
      <c r="J137" s="455">
        <v>46148</v>
      </c>
      <c r="K137" s="455">
        <v>46148</v>
      </c>
      <c r="L137" s="455">
        <v>46150</v>
      </c>
      <c r="M137" s="455">
        <v>46157</v>
      </c>
      <c r="N137" s="455">
        <v>46157</v>
      </c>
      <c r="P137" s="455">
        <v>46157</v>
      </c>
      <c r="Q137" s="455">
        <v>46157</v>
      </c>
      <c r="U137" s="455">
        <v>46158</v>
      </c>
    </row>
    <row r="138" spans="1:21">
      <c r="A138" t="s">
        <v>1751</v>
      </c>
      <c r="B138" t="s">
        <v>10438</v>
      </c>
      <c r="C138" t="s">
        <v>1751</v>
      </c>
      <c r="D138">
        <v>20537953</v>
      </c>
      <c r="E138" t="s">
        <v>3128</v>
      </c>
      <c r="F138" t="s">
        <v>1782</v>
      </c>
      <c r="G138" t="s">
        <v>3141</v>
      </c>
      <c r="H138" t="s">
        <v>1247</v>
      </c>
      <c r="J138" s="455">
        <v>46170</v>
      </c>
      <c r="U138" s="455">
        <v>46170</v>
      </c>
    </row>
    <row r="139" spans="1:21">
      <c r="A139" t="s">
        <v>1751</v>
      </c>
      <c r="B139" t="s">
        <v>10439</v>
      </c>
      <c r="C139" t="s">
        <v>1751</v>
      </c>
      <c r="D139">
        <v>20532131</v>
      </c>
      <c r="E139" t="s">
        <v>3128</v>
      </c>
      <c r="F139" t="s">
        <v>1782</v>
      </c>
      <c r="G139" t="s">
        <v>3129</v>
      </c>
      <c r="H139" t="s">
        <v>3131</v>
      </c>
      <c r="J139" s="455">
        <v>46162</v>
      </c>
      <c r="U139" s="455">
        <v>46162</v>
      </c>
    </row>
    <row r="140" spans="1:21">
      <c r="A140" t="s">
        <v>1751</v>
      </c>
      <c r="B140" t="s">
        <v>3278</v>
      </c>
      <c r="C140" t="s">
        <v>1751</v>
      </c>
      <c r="D140">
        <v>20516415</v>
      </c>
      <c r="E140" t="s">
        <v>3128</v>
      </c>
      <c r="F140" t="s">
        <v>1239</v>
      </c>
      <c r="G140" t="s">
        <v>3129</v>
      </c>
      <c r="H140" t="s">
        <v>1252</v>
      </c>
      <c r="J140" s="455">
        <v>46146</v>
      </c>
      <c r="U140" s="455">
        <v>46146</v>
      </c>
    </row>
    <row r="141" spans="1:21">
      <c r="A141" t="s">
        <v>1751</v>
      </c>
      <c r="B141" t="s">
        <v>3278</v>
      </c>
      <c r="C141" t="s">
        <v>1751</v>
      </c>
      <c r="D141">
        <v>20528110</v>
      </c>
      <c r="E141" t="s">
        <v>1897</v>
      </c>
      <c r="F141" t="s">
        <v>1782</v>
      </c>
      <c r="G141" t="s">
        <v>3134</v>
      </c>
      <c r="H141" t="s">
        <v>1247</v>
      </c>
      <c r="J141" s="455">
        <v>46158</v>
      </c>
      <c r="K141" s="455">
        <v>46158</v>
      </c>
      <c r="U141" s="455">
        <v>46158</v>
      </c>
    </row>
    <row r="142" spans="1:21">
      <c r="A142" t="s">
        <v>1751</v>
      </c>
      <c r="B142" t="s">
        <v>10440</v>
      </c>
      <c r="C142" t="s">
        <v>1751</v>
      </c>
      <c r="D142">
        <v>20515884</v>
      </c>
      <c r="E142" t="s">
        <v>3190</v>
      </c>
      <c r="F142" t="s">
        <v>1782</v>
      </c>
      <c r="G142" t="s">
        <v>3129</v>
      </c>
      <c r="H142" t="s">
        <v>1252</v>
      </c>
      <c r="J142" s="455">
        <v>46145</v>
      </c>
      <c r="R142" s="455">
        <v>46164</v>
      </c>
      <c r="U142" s="455">
        <v>46199</v>
      </c>
    </row>
    <row r="143" spans="1:21">
      <c r="A143" t="s">
        <v>1751</v>
      </c>
      <c r="B143" t="s">
        <v>10441</v>
      </c>
      <c r="C143" t="s">
        <v>1751</v>
      </c>
      <c r="D143">
        <v>20537699</v>
      </c>
      <c r="E143" t="s">
        <v>3128</v>
      </c>
      <c r="F143" t="s">
        <v>1782</v>
      </c>
      <c r="G143" t="s">
        <v>3134</v>
      </c>
      <c r="H143" t="s">
        <v>1252</v>
      </c>
      <c r="J143" s="455">
        <v>46170</v>
      </c>
      <c r="U143" s="455">
        <v>46178</v>
      </c>
    </row>
    <row r="144" spans="1:21">
      <c r="A144" t="s">
        <v>1751</v>
      </c>
      <c r="B144" t="s">
        <v>10442</v>
      </c>
      <c r="C144" t="s">
        <v>1751</v>
      </c>
      <c r="D144">
        <v>20535465</v>
      </c>
      <c r="E144" t="s">
        <v>3128</v>
      </c>
      <c r="F144" t="s">
        <v>1782</v>
      </c>
      <c r="G144" t="s">
        <v>3137</v>
      </c>
      <c r="H144" t="s">
        <v>1252</v>
      </c>
      <c r="J144" s="455">
        <v>46167</v>
      </c>
      <c r="U144" s="455">
        <v>46227</v>
      </c>
    </row>
    <row r="145" spans="1:21">
      <c r="A145" t="s">
        <v>1751</v>
      </c>
      <c r="B145" t="s">
        <v>10443</v>
      </c>
      <c r="C145" t="s">
        <v>1751</v>
      </c>
      <c r="D145">
        <v>20515130</v>
      </c>
      <c r="E145" t="s">
        <v>3128</v>
      </c>
      <c r="F145" t="s">
        <v>1782</v>
      </c>
      <c r="G145" t="s">
        <v>3143</v>
      </c>
      <c r="H145" t="s">
        <v>1247</v>
      </c>
      <c r="I145" t="s">
        <v>1834</v>
      </c>
      <c r="J145" s="455">
        <v>46144</v>
      </c>
      <c r="U145" s="455">
        <v>46144</v>
      </c>
    </row>
    <row r="146" spans="1:21">
      <c r="A146" t="s">
        <v>1751</v>
      </c>
      <c r="B146" t="s">
        <v>3287</v>
      </c>
      <c r="C146" t="s">
        <v>1751</v>
      </c>
      <c r="D146">
        <v>20522475</v>
      </c>
      <c r="E146" t="s">
        <v>1897</v>
      </c>
      <c r="F146" t="s">
        <v>1241</v>
      </c>
      <c r="G146" t="s">
        <v>3134</v>
      </c>
      <c r="H146" t="s">
        <v>1247</v>
      </c>
      <c r="I146" t="s">
        <v>3288</v>
      </c>
      <c r="J146" s="455">
        <v>46153</v>
      </c>
      <c r="K146" s="455">
        <v>46153</v>
      </c>
      <c r="U146" s="455">
        <v>46178</v>
      </c>
    </row>
    <row r="147" spans="1:21">
      <c r="A147" t="s">
        <v>1751</v>
      </c>
      <c r="B147" t="s">
        <v>10444</v>
      </c>
      <c r="C147" t="s">
        <v>1751</v>
      </c>
      <c r="D147">
        <v>20537430</v>
      </c>
      <c r="E147" t="s">
        <v>3128</v>
      </c>
      <c r="F147" t="s">
        <v>1782</v>
      </c>
      <c r="G147" t="s">
        <v>3141</v>
      </c>
      <c r="H147" t="s">
        <v>1252</v>
      </c>
      <c r="J147" s="455">
        <v>46169</v>
      </c>
      <c r="U147" s="455">
        <v>46217</v>
      </c>
    </row>
    <row r="148" spans="1:21">
      <c r="A148" t="s">
        <v>1751</v>
      </c>
      <c r="B148" t="s">
        <v>4366</v>
      </c>
      <c r="C148" t="s">
        <v>1751</v>
      </c>
      <c r="D148">
        <v>20535978</v>
      </c>
      <c r="E148" t="s">
        <v>3128</v>
      </c>
      <c r="F148" t="s">
        <v>1782</v>
      </c>
      <c r="G148" t="s">
        <v>3134</v>
      </c>
      <c r="H148" t="s">
        <v>3165</v>
      </c>
      <c r="J148" s="455">
        <v>46168</v>
      </c>
      <c r="L148" s="455">
        <v>46211</v>
      </c>
      <c r="U148" s="455">
        <v>46169</v>
      </c>
    </row>
    <row r="149" spans="1:21">
      <c r="A149" t="s">
        <v>1751</v>
      </c>
      <c r="B149" t="s">
        <v>4369</v>
      </c>
      <c r="C149" t="s">
        <v>1751</v>
      </c>
      <c r="D149">
        <v>20534151</v>
      </c>
      <c r="E149" t="s">
        <v>3128</v>
      </c>
      <c r="F149" t="s">
        <v>1782</v>
      </c>
      <c r="G149" t="s">
        <v>3143</v>
      </c>
      <c r="H149" t="s">
        <v>1248</v>
      </c>
      <c r="I149" t="s">
        <v>3344</v>
      </c>
      <c r="J149" s="455">
        <v>46165</v>
      </c>
      <c r="U149" s="455">
        <v>46165</v>
      </c>
    </row>
    <row r="150" spans="1:21">
      <c r="A150" t="s">
        <v>1751</v>
      </c>
      <c r="B150" t="s">
        <v>10445</v>
      </c>
      <c r="C150" t="s">
        <v>1751</v>
      </c>
      <c r="D150">
        <v>20529861</v>
      </c>
      <c r="E150" t="s">
        <v>3128</v>
      </c>
      <c r="F150" t="s">
        <v>1782</v>
      </c>
      <c r="G150" t="s">
        <v>3137</v>
      </c>
      <c r="H150" t="s">
        <v>1252</v>
      </c>
      <c r="J150" s="455">
        <v>46160</v>
      </c>
      <c r="U150" s="455">
        <v>46171</v>
      </c>
    </row>
    <row r="151" spans="1:21">
      <c r="A151" t="s">
        <v>1751</v>
      </c>
      <c r="B151" t="s">
        <v>3294</v>
      </c>
      <c r="C151" t="s">
        <v>1751</v>
      </c>
      <c r="D151">
        <v>20522554</v>
      </c>
      <c r="E151" t="s">
        <v>1897</v>
      </c>
      <c r="F151" t="s">
        <v>1241</v>
      </c>
      <c r="G151" t="s">
        <v>3134</v>
      </c>
      <c r="H151" t="s">
        <v>1251</v>
      </c>
      <c r="J151" s="455">
        <v>46153</v>
      </c>
      <c r="K151" s="455">
        <v>46153</v>
      </c>
      <c r="U151" s="455">
        <v>46153</v>
      </c>
    </row>
    <row r="152" spans="1:21">
      <c r="A152" t="s">
        <v>1751</v>
      </c>
      <c r="B152" t="s">
        <v>10446</v>
      </c>
      <c r="C152" t="s">
        <v>1751</v>
      </c>
      <c r="D152">
        <v>20531211</v>
      </c>
      <c r="E152" t="s">
        <v>3128</v>
      </c>
      <c r="F152" t="s">
        <v>1782</v>
      </c>
      <c r="G152" t="s">
        <v>3134</v>
      </c>
      <c r="H152" t="s">
        <v>3165</v>
      </c>
      <c r="J152" s="455">
        <v>46161</v>
      </c>
      <c r="U152" s="455">
        <v>46171</v>
      </c>
    </row>
    <row r="153" spans="1:21">
      <c r="A153" t="s">
        <v>1751</v>
      </c>
      <c r="B153" t="s">
        <v>10447</v>
      </c>
      <c r="C153" t="s">
        <v>1751</v>
      </c>
      <c r="D153">
        <v>20525240</v>
      </c>
      <c r="E153" t="s">
        <v>3190</v>
      </c>
      <c r="F153" t="s">
        <v>1782</v>
      </c>
      <c r="G153" t="s">
        <v>3141</v>
      </c>
      <c r="H153" t="s">
        <v>1252</v>
      </c>
      <c r="J153" s="455">
        <v>46156</v>
      </c>
      <c r="R153" s="455">
        <v>46164</v>
      </c>
      <c r="U153" s="455">
        <v>46214</v>
      </c>
    </row>
    <row r="154" spans="1:21">
      <c r="A154" t="s">
        <v>1751</v>
      </c>
      <c r="B154" t="s">
        <v>10448</v>
      </c>
      <c r="C154" t="s">
        <v>1751</v>
      </c>
      <c r="D154">
        <v>20522295</v>
      </c>
      <c r="E154" t="s">
        <v>3128</v>
      </c>
      <c r="F154" t="s">
        <v>1782</v>
      </c>
      <c r="G154" t="s">
        <v>3134</v>
      </c>
      <c r="H154" t="s">
        <v>3165</v>
      </c>
      <c r="J154" s="455">
        <v>46153</v>
      </c>
      <c r="U154" s="455">
        <v>46173</v>
      </c>
    </row>
    <row r="155" spans="1:21">
      <c r="A155" t="s">
        <v>1751</v>
      </c>
      <c r="B155" t="s">
        <v>3301</v>
      </c>
      <c r="C155" t="s">
        <v>1751</v>
      </c>
      <c r="D155">
        <v>20536349</v>
      </c>
      <c r="E155" t="s">
        <v>1907</v>
      </c>
      <c r="F155" t="s">
        <v>1241</v>
      </c>
      <c r="G155" t="s">
        <v>3134</v>
      </c>
      <c r="H155" t="s">
        <v>1247</v>
      </c>
      <c r="I155" t="s">
        <v>1910</v>
      </c>
      <c r="J155" s="455">
        <v>46168</v>
      </c>
      <c r="K155" s="455">
        <v>46168</v>
      </c>
      <c r="L155" s="455">
        <v>46169</v>
      </c>
      <c r="U155" s="455">
        <v>46174</v>
      </c>
    </row>
    <row r="156" spans="1:21">
      <c r="A156" t="s">
        <v>1751</v>
      </c>
      <c r="B156" t="s">
        <v>3301</v>
      </c>
      <c r="C156" t="s">
        <v>1751</v>
      </c>
      <c r="D156">
        <v>20531505</v>
      </c>
      <c r="E156" t="s">
        <v>3128</v>
      </c>
      <c r="F156" t="s">
        <v>1237</v>
      </c>
      <c r="G156" t="s">
        <v>3141</v>
      </c>
      <c r="H156" t="s">
        <v>1249</v>
      </c>
      <c r="J156" s="455">
        <v>46162</v>
      </c>
      <c r="U156" s="455">
        <v>46174</v>
      </c>
    </row>
    <row r="157" spans="1:21">
      <c r="A157" t="s">
        <v>1751</v>
      </c>
      <c r="B157" t="s">
        <v>10449</v>
      </c>
      <c r="C157" t="s">
        <v>1751</v>
      </c>
      <c r="D157">
        <v>20519313</v>
      </c>
      <c r="E157" t="s">
        <v>3128</v>
      </c>
      <c r="F157" t="s">
        <v>1782</v>
      </c>
      <c r="G157" t="s">
        <v>3141</v>
      </c>
      <c r="H157" t="s">
        <v>1252</v>
      </c>
      <c r="J157" s="455">
        <v>46149</v>
      </c>
      <c r="U157" s="455">
        <v>46173</v>
      </c>
    </row>
    <row r="158" spans="1:21">
      <c r="A158" t="s">
        <v>1751</v>
      </c>
      <c r="B158" t="s">
        <v>8706</v>
      </c>
      <c r="C158" t="s">
        <v>1751</v>
      </c>
      <c r="D158">
        <v>20455908</v>
      </c>
      <c r="E158" t="s">
        <v>3133</v>
      </c>
      <c r="F158" t="s">
        <v>1241</v>
      </c>
      <c r="G158" t="s">
        <v>3134</v>
      </c>
      <c r="H158" t="s">
        <v>1249</v>
      </c>
      <c r="I158" t="s">
        <v>1541</v>
      </c>
      <c r="J158" s="455">
        <v>46076</v>
      </c>
      <c r="K158" s="455">
        <v>46076</v>
      </c>
      <c r="R158" s="455">
        <v>46146</v>
      </c>
      <c r="U158" s="455">
        <v>46113</v>
      </c>
    </row>
    <row r="159" spans="1:21">
      <c r="A159" t="s">
        <v>1751</v>
      </c>
      <c r="B159" t="s">
        <v>10450</v>
      </c>
      <c r="C159" t="s">
        <v>1751</v>
      </c>
      <c r="D159">
        <v>20518514</v>
      </c>
      <c r="E159" t="s">
        <v>3190</v>
      </c>
      <c r="F159" t="s">
        <v>1241</v>
      </c>
      <c r="G159" t="s">
        <v>3137</v>
      </c>
      <c r="H159" t="s">
        <v>1252</v>
      </c>
      <c r="J159" s="455">
        <v>46148</v>
      </c>
      <c r="R159" s="455">
        <v>46164</v>
      </c>
      <c r="U159" s="455">
        <v>46149</v>
      </c>
    </row>
    <row r="160" spans="1:21">
      <c r="A160" t="s">
        <v>1751</v>
      </c>
      <c r="B160" t="s">
        <v>2950</v>
      </c>
      <c r="C160" t="s">
        <v>1751</v>
      </c>
      <c r="D160">
        <v>20538873</v>
      </c>
      <c r="E160" t="s">
        <v>1897</v>
      </c>
      <c r="F160" t="s">
        <v>1237</v>
      </c>
      <c r="G160" t="s">
        <v>3143</v>
      </c>
      <c r="H160" t="s">
        <v>1249</v>
      </c>
      <c r="J160" s="455">
        <v>46171</v>
      </c>
      <c r="K160" s="455">
        <v>46173</v>
      </c>
      <c r="U160" s="455">
        <v>46228</v>
      </c>
    </row>
    <row r="161" spans="1:21">
      <c r="A161" t="s">
        <v>1751</v>
      </c>
      <c r="B161" t="s">
        <v>10451</v>
      </c>
      <c r="C161" t="s">
        <v>1751</v>
      </c>
      <c r="D161">
        <v>20535177</v>
      </c>
      <c r="E161" t="s">
        <v>3128</v>
      </c>
      <c r="F161" t="s">
        <v>1782</v>
      </c>
      <c r="G161" t="s">
        <v>3129</v>
      </c>
      <c r="H161" t="s">
        <v>1252</v>
      </c>
      <c r="J161" s="455">
        <v>46167</v>
      </c>
      <c r="U161" s="455">
        <v>46167</v>
      </c>
    </row>
    <row r="162" spans="1:21">
      <c r="A162" t="s">
        <v>1751</v>
      </c>
      <c r="B162" t="s">
        <v>10452</v>
      </c>
      <c r="C162" t="s">
        <v>1751</v>
      </c>
      <c r="D162">
        <v>20526388</v>
      </c>
      <c r="E162" t="s">
        <v>3128</v>
      </c>
      <c r="F162" t="s">
        <v>1782</v>
      </c>
      <c r="G162" t="s">
        <v>3141</v>
      </c>
      <c r="H162" t="s">
        <v>1247</v>
      </c>
      <c r="J162" s="455">
        <v>46156</v>
      </c>
      <c r="U162" s="455">
        <v>46181</v>
      </c>
    </row>
    <row r="163" spans="1:21">
      <c r="A163" t="s">
        <v>1751</v>
      </c>
      <c r="B163" t="s">
        <v>10453</v>
      </c>
      <c r="C163" t="s">
        <v>1751</v>
      </c>
      <c r="D163">
        <v>20537107</v>
      </c>
      <c r="E163" t="s">
        <v>3128</v>
      </c>
      <c r="F163" t="s">
        <v>1243</v>
      </c>
      <c r="G163" t="s">
        <v>3141</v>
      </c>
      <c r="H163" t="s">
        <v>1248</v>
      </c>
      <c r="J163" s="455">
        <v>46169</v>
      </c>
      <c r="U163" s="455">
        <v>46169</v>
      </c>
    </row>
    <row r="164" spans="1:21">
      <c r="A164" t="s">
        <v>1751</v>
      </c>
      <c r="B164" t="s">
        <v>10454</v>
      </c>
      <c r="C164" t="s">
        <v>1751</v>
      </c>
      <c r="D164">
        <v>20521116</v>
      </c>
      <c r="E164" t="s">
        <v>3128</v>
      </c>
      <c r="F164" t="s">
        <v>1782</v>
      </c>
      <c r="G164" t="s">
        <v>3141</v>
      </c>
      <c r="H164" t="s">
        <v>1252</v>
      </c>
      <c r="J164" s="455">
        <v>46151</v>
      </c>
      <c r="U164" s="455">
        <v>46204</v>
      </c>
    </row>
    <row r="165" spans="1:21">
      <c r="A165" t="s">
        <v>1751</v>
      </c>
      <c r="B165" t="s">
        <v>10455</v>
      </c>
      <c r="C165" t="s">
        <v>1751</v>
      </c>
      <c r="D165">
        <v>20524018</v>
      </c>
      <c r="E165" t="s">
        <v>3190</v>
      </c>
      <c r="F165" t="s">
        <v>1239</v>
      </c>
      <c r="G165" t="s">
        <v>3137</v>
      </c>
      <c r="H165" t="s">
        <v>1252</v>
      </c>
      <c r="I165" t="s">
        <v>3344</v>
      </c>
      <c r="J165" s="455">
        <v>46155</v>
      </c>
      <c r="R165" s="455">
        <v>46158</v>
      </c>
      <c r="U165" s="455">
        <v>46160</v>
      </c>
    </row>
    <row r="166" spans="1:21">
      <c r="A166" t="s">
        <v>1751</v>
      </c>
      <c r="B166" t="s">
        <v>3310</v>
      </c>
      <c r="C166" t="s">
        <v>1751</v>
      </c>
      <c r="D166">
        <v>20529503</v>
      </c>
      <c r="E166" t="s">
        <v>1907</v>
      </c>
      <c r="F166" t="s">
        <v>1239</v>
      </c>
      <c r="G166" t="s">
        <v>3129</v>
      </c>
      <c r="H166" t="s">
        <v>1252</v>
      </c>
      <c r="I166" t="s">
        <v>3202</v>
      </c>
      <c r="J166" s="455">
        <v>46160</v>
      </c>
      <c r="K166" s="455">
        <v>46170</v>
      </c>
      <c r="L166" s="455">
        <v>46171</v>
      </c>
      <c r="U166" s="455">
        <v>46178</v>
      </c>
    </row>
    <row r="167" spans="1:21">
      <c r="A167" t="s">
        <v>1751</v>
      </c>
      <c r="B167" t="s">
        <v>10456</v>
      </c>
      <c r="C167" t="s">
        <v>1751</v>
      </c>
      <c r="D167">
        <v>20535650</v>
      </c>
      <c r="E167" t="s">
        <v>3128</v>
      </c>
      <c r="F167" t="s">
        <v>1782</v>
      </c>
      <c r="G167" t="s">
        <v>3129</v>
      </c>
      <c r="H167" t="s">
        <v>1247</v>
      </c>
      <c r="I167" t="s">
        <v>1551</v>
      </c>
      <c r="J167" s="455">
        <v>46168</v>
      </c>
      <c r="U167" s="455">
        <v>46168</v>
      </c>
    </row>
    <row r="168" spans="1:21">
      <c r="A168" t="s">
        <v>1751</v>
      </c>
      <c r="B168" t="s">
        <v>10457</v>
      </c>
      <c r="C168" t="s">
        <v>1751</v>
      </c>
      <c r="D168">
        <v>20533946</v>
      </c>
      <c r="E168" t="s">
        <v>3128</v>
      </c>
      <c r="F168" t="s">
        <v>1782</v>
      </c>
      <c r="G168" t="s">
        <v>3134</v>
      </c>
      <c r="H168" t="s">
        <v>1252</v>
      </c>
      <c r="J168" s="455">
        <v>46164</v>
      </c>
      <c r="U168" s="455">
        <v>46174</v>
      </c>
    </row>
    <row r="169" spans="1:21">
      <c r="A169" t="s">
        <v>1751</v>
      </c>
      <c r="B169" t="s">
        <v>10458</v>
      </c>
      <c r="C169" t="s">
        <v>1751</v>
      </c>
      <c r="D169">
        <v>20519356</v>
      </c>
      <c r="E169" t="s">
        <v>3128</v>
      </c>
      <c r="F169" t="s">
        <v>1782</v>
      </c>
      <c r="G169" t="s">
        <v>3129</v>
      </c>
      <c r="H169" t="s">
        <v>3131</v>
      </c>
      <c r="J169" s="455">
        <v>46149</v>
      </c>
      <c r="U169" s="455">
        <v>46149</v>
      </c>
    </row>
    <row r="170" spans="1:21">
      <c r="A170" t="s">
        <v>1751</v>
      </c>
      <c r="B170" t="s">
        <v>10459</v>
      </c>
      <c r="C170" t="s">
        <v>1751</v>
      </c>
      <c r="D170">
        <v>20527108</v>
      </c>
      <c r="E170" t="s">
        <v>3128</v>
      </c>
      <c r="F170" t="s">
        <v>1782</v>
      </c>
      <c r="G170" t="s">
        <v>3141</v>
      </c>
      <c r="H170" t="s">
        <v>1252</v>
      </c>
      <c r="J170" s="455">
        <v>46157</v>
      </c>
      <c r="U170" s="455">
        <v>46233</v>
      </c>
    </row>
    <row r="171" spans="1:21">
      <c r="A171" t="s">
        <v>1751</v>
      </c>
      <c r="B171" t="s">
        <v>10460</v>
      </c>
      <c r="C171" t="s">
        <v>1751</v>
      </c>
      <c r="D171">
        <v>20519731</v>
      </c>
      <c r="E171" t="s">
        <v>3128</v>
      </c>
      <c r="F171" t="s">
        <v>1782</v>
      </c>
      <c r="G171" t="s">
        <v>3141</v>
      </c>
      <c r="H171" t="s">
        <v>1252</v>
      </c>
      <c r="J171" s="455">
        <v>46149</v>
      </c>
      <c r="U171" s="455">
        <v>46174</v>
      </c>
    </row>
    <row r="172" spans="1:21">
      <c r="A172" t="s">
        <v>1751</v>
      </c>
      <c r="B172" t="s">
        <v>10460</v>
      </c>
      <c r="C172" t="s">
        <v>1751</v>
      </c>
      <c r="D172">
        <v>20519732</v>
      </c>
      <c r="E172" t="s">
        <v>3128</v>
      </c>
      <c r="F172" t="s">
        <v>1782</v>
      </c>
      <c r="G172" t="s">
        <v>3134</v>
      </c>
      <c r="H172" t="s">
        <v>1252</v>
      </c>
      <c r="J172" s="455">
        <v>46149</v>
      </c>
      <c r="U172" s="455">
        <v>46174</v>
      </c>
    </row>
    <row r="173" spans="1:21">
      <c r="A173" t="s">
        <v>1751</v>
      </c>
      <c r="B173" t="s">
        <v>3316</v>
      </c>
      <c r="C173" t="s">
        <v>1751</v>
      </c>
      <c r="D173">
        <v>20537116</v>
      </c>
      <c r="E173" t="s">
        <v>1897</v>
      </c>
      <c r="F173" t="s">
        <v>1241</v>
      </c>
      <c r="G173" t="s">
        <v>3134</v>
      </c>
      <c r="H173" t="s">
        <v>1247</v>
      </c>
      <c r="J173" s="455">
        <v>46169</v>
      </c>
      <c r="K173" s="455">
        <v>46169</v>
      </c>
      <c r="U173" s="455">
        <v>46169</v>
      </c>
    </row>
    <row r="174" spans="1:21">
      <c r="A174" t="s">
        <v>1751</v>
      </c>
      <c r="B174" t="s">
        <v>3317</v>
      </c>
      <c r="C174" t="s">
        <v>1751</v>
      </c>
      <c r="D174">
        <v>20518809</v>
      </c>
      <c r="E174" t="s">
        <v>3190</v>
      </c>
      <c r="F174" t="s">
        <v>1782</v>
      </c>
      <c r="G174" t="s">
        <v>3134</v>
      </c>
      <c r="H174" t="s">
        <v>1252</v>
      </c>
      <c r="J174" s="455">
        <v>46148</v>
      </c>
      <c r="R174" s="455">
        <v>46164</v>
      </c>
      <c r="U174" s="455">
        <v>46155</v>
      </c>
    </row>
    <row r="175" spans="1:21">
      <c r="A175" t="s">
        <v>1751</v>
      </c>
      <c r="B175" t="s">
        <v>10461</v>
      </c>
      <c r="C175" t="s">
        <v>1751</v>
      </c>
      <c r="D175">
        <v>20529869</v>
      </c>
      <c r="E175" t="s">
        <v>3128</v>
      </c>
      <c r="F175" t="s">
        <v>1782</v>
      </c>
      <c r="G175" t="s">
        <v>3141</v>
      </c>
      <c r="H175" t="s">
        <v>1252</v>
      </c>
      <c r="J175" s="455">
        <v>46160</v>
      </c>
      <c r="U175" s="455">
        <v>46161</v>
      </c>
    </row>
    <row r="176" spans="1:21">
      <c r="A176" t="s">
        <v>1751</v>
      </c>
      <c r="B176" t="s">
        <v>3319</v>
      </c>
      <c r="C176" t="s">
        <v>1751</v>
      </c>
      <c r="D176">
        <v>20515905</v>
      </c>
      <c r="E176" t="s">
        <v>1897</v>
      </c>
      <c r="F176" t="s">
        <v>1912</v>
      </c>
      <c r="G176" t="s">
        <v>3134</v>
      </c>
      <c r="H176" t="s">
        <v>1247</v>
      </c>
      <c r="I176" t="s">
        <v>1808</v>
      </c>
      <c r="J176" s="455">
        <v>46145</v>
      </c>
      <c r="K176" s="455">
        <v>46145</v>
      </c>
      <c r="U176" s="455">
        <v>46146</v>
      </c>
    </row>
    <row r="177" spans="1:21">
      <c r="A177" t="s">
        <v>1751</v>
      </c>
      <c r="B177" t="s">
        <v>3319</v>
      </c>
      <c r="C177" t="s">
        <v>1751</v>
      </c>
      <c r="D177">
        <v>20515895</v>
      </c>
      <c r="E177" t="s">
        <v>3128</v>
      </c>
      <c r="F177" t="s">
        <v>1782</v>
      </c>
      <c r="G177" t="s">
        <v>3137</v>
      </c>
      <c r="H177" t="s">
        <v>1252</v>
      </c>
      <c r="J177" s="455">
        <v>46145</v>
      </c>
      <c r="U177" s="455">
        <v>46174</v>
      </c>
    </row>
    <row r="178" spans="1:21">
      <c r="A178" t="s">
        <v>1751</v>
      </c>
      <c r="B178" t="s">
        <v>10462</v>
      </c>
      <c r="C178" t="s">
        <v>1751</v>
      </c>
      <c r="D178">
        <v>20530134</v>
      </c>
      <c r="E178" t="s">
        <v>3190</v>
      </c>
      <c r="F178" t="s">
        <v>1238</v>
      </c>
      <c r="G178" t="s">
        <v>3137</v>
      </c>
      <c r="H178" t="s">
        <v>1252</v>
      </c>
      <c r="J178" s="455">
        <v>46161</v>
      </c>
      <c r="R178" s="455">
        <v>46164</v>
      </c>
      <c r="U178" s="455">
        <v>46185</v>
      </c>
    </row>
    <row r="179" spans="1:21">
      <c r="A179" t="s">
        <v>1751</v>
      </c>
      <c r="B179" t="s">
        <v>10463</v>
      </c>
      <c r="C179" t="s">
        <v>1751</v>
      </c>
      <c r="D179">
        <v>20532952</v>
      </c>
      <c r="E179" t="s">
        <v>3190</v>
      </c>
      <c r="F179" t="s">
        <v>1241</v>
      </c>
      <c r="G179" t="s">
        <v>2009</v>
      </c>
      <c r="H179" t="s">
        <v>1248</v>
      </c>
      <c r="J179" s="455">
        <v>46163</v>
      </c>
      <c r="R179" s="455">
        <v>46164</v>
      </c>
      <c r="U179" s="455">
        <v>46163</v>
      </c>
    </row>
    <row r="180" spans="1:21">
      <c r="A180" t="s">
        <v>1751</v>
      </c>
      <c r="B180" t="s">
        <v>4394</v>
      </c>
      <c r="C180" t="s">
        <v>1751</v>
      </c>
      <c r="D180">
        <v>20529690</v>
      </c>
      <c r="E180" t="s">
        <v>3128</v>
      </c>
      <c r="F180" t="s">
        <v>1242</v>
      </c>
      <c r="G180" t="s">
        <v>2009</v>
      </c>
      <c r="H180" t="s">
        <v>1251</v>
      </c>
      <c r="J180" s="455">
        <v>46160</v>
      </c>
      <c r="U180" s="455">
        <v>46179</v>
      </c>
    </row>
    <row r="181" spans="1:21">
      <c r="A181" t="s">
        <v>1751</v>
      </c>
      <c r="B181" t="s">
        <v>10464</v>
      </c>
      <c r="C181" t="s">
        <v>1751</v>
      </c>
      <c r="D181">
        <v>20517239</v>
      </c>
      <c r="E181" t="s">
        <v>3128</v>
      </c>
      <c r="F181" t="s">
        <v>1237</v>
      </c>
      <c r="G181" t="s">
        <v>3137</v>
      </c>
      <c r="H181" t="s">
        <v>1247</v>
      </c>
      <c r="I181" t="s">
        <v>6998</v>
      </c>
      <c r="J181" s="455">
        <v>46147</v>
      </c>
      <c r="U181" s="455">
        <v>46147</v>
      </c>
    </row>
    <row r="182" spans="1:21">
      <c r="A182" t="s">
        <v>1751</v>
      </c>
      <c r="B182" t="s">
        <v>10465</v>
      </c>
      <c r="C182" t="s">
        <v>1751</v>
      </c>
      <c r="D182">
        <v>20520868</v>
      </c>
      <c r="E182" t="s">
        <v>3133</v>
      </c>
      <c r="F182" t="s">
        <v>1782</v>
      </c>
      <c r="G182" t="s">
        <v>3134</v>
      </c>
      <c r="H182" t="s">
        <v>1247</v>
      </c>
      <c r="J182" s="455">
        <v>46151</v>
      </c>
      <c r="K182" s="455">
        <v>46151</v>
      </c>
      <c r="R182" s="455">
        <v>46164</v>
      </c>
      <c r="U182" s="455">
        <v>46151</v>
      </c>
    </row>
    <row r="183" spans="1:21">
      <c r="A183" t="s">
        <v>1751</v>
      </c>
      <c r="B183" t="s">
        <v>10465</v>
      </c>
      <c r="C183" t="s">
        <v>1751</v>
      </c>
      <c r="D183">
        <v>20520842</v>
      </c>
      <c r="E183" t="s">
        <v>3133</v>
      </c>
      <c r="F183" t="s">
        <v>1242</v>
      </c>
      <c r="G183" t="s">
        <v>3134</v>
      </c>
      <c r="H183" t="s">
        <v>1247</v>
      </c>
      <c r="I183" t="s">
        <v>1554</v>
      </c>
      <c r="J183" s="455">
        <v>46151</v>
      </c>
      <c r="K183" s="455">
        <v>46151</v>
      </c>
      <c r="L183" s="455">
        <v>46151</v>
      </c>
      <c r="R183" s="455">
        <v>46161</v>
      </c>
      <c r="U183" s="455">
        <v>46174</v>
      </c>
    </row>
    <row r="184" spans="1:21">
      <c r="A184" t="s">
        <v>1751</v>
      </c>
      <c r="B184" t="s">
        <v>10466</v>
      </c>
      <c r="C184" t="s">
        <v>1751</v>
      </c>
      <c r="D184">
        <v>20520862</v>
      </c>
      <c r="E184" t="s">
        <v>3128</v>
      </c>
      <c r="F184" t="s">
        <v>1782</v>
      </c>
      <c r="G184" t="s">
        <v>3129</v>
      </c>
      <c r="H184" t="s">
        <v>1253</v>
      </c>
      <c r="J184" s="455">
        <v>46151</v>
      </c>
      <c r="U184" s="455">
        <v>46151</v>
      </c>
    </row>
    <row r="185" spans="1:21">
      <c r="A185" t="s">
        <v>1751</v>
      </c>
      <c r="B185" t="s">
        <v>10467</v>
      </c>
      <c r="C185" t="s">
        <v>1751</v>
      </c>
      <c r="D185">
        <v>20522293</v>
      </c>
      <c r="E185" t="s">
        <v>3190</v>
      </c>
      <c r="F185" t="s">
        <v>1782</v>
      </c>
      <c r="G185" t="s">
        <v>3129</v>
      </c>
      <c r="H185" t="s">
        <v>3131</v>
      </c>
      <c r="J185" s="455">
        <v>46153</v>
      </c>
      <c r="R185" s="455">
        <v>46164</v>
      </c>
      <c r="U185" s="455">
        <v>46358</v>
      </c>
    </row>
    <row r="186" spans="1:21">
      <c r="A186" t="s">
        <v>1751</v>
      </c>
      <c r="B186" t="s">
        <v>10467</v>
      </c>
      <c r="C186" t="s">
        <v>1751</v>
      </c>
      <c r="D186">
        <v>20529938</v>
      </c>
      <c r="E186" t="s">
        <v>3128</v>
      </c>
      <c r="F186" t="s">
        <v>1782</v>
      </c>
      <c r="G186" t="s">
        <v>3134</v>
      </c>
      <c r="H186" t="s">
        <v>1252</v>
      </c>
      <c r="J186" s="455">
        <v>46160</v>
      </c>
      <c r="U186" s="455">
        <v>46358</v>
      </c>
    </row>
    <row r="187" spans="1:21">
      <c r="A187" t="s">
        <v>1751</v>
      </c>
      <c r="B187" t="s">
        <v>3323</v>
      </c>
      <c r="C187" t="s">
        <v>1751</v>
      </c>
      <c r="D187">
        <v>20516841</v>
      </c>
      <c r="E187" t="s">
        <v>3133</v>
      </c>
      <c r="F187" t="s">
        <v>1242</v>
      </c>
      <c r="G187" t="s">
        <v>3134</v>
      </c>
      <c r="H187" t="s">
        <v>1247</v>
      </c>
      <c r="I187" t="s">
        <v>3851</v>
      </c>
      <c r="J187" s="455">
        <v>46146</v>
      </c>
      <c r="K187" s="455">
        <v>46146</v>
      </c>
      <c r="L187" s="455">
        <v>46149</v>
      </c>
      <c r="S187" s="455">
        <v>46154</v>
      </c>
      <c r="U187" s="455">
        <v>46165</v>
      </c>
    </row>
    <row r="188" spans="1:21">
      <c r="A188" t="s">
        <v>1751</v>
      </c>
      <c r="B188" t="s">
        <v>3323</v>
      </c>
      <c r="C188" t="s">
        <v>1751</v>
      </c>
      <c r="D188">
        <v>20516434</v>
      </c>
      <c r="E188" t="s">
        <v>3128</v>
      </c>
      <c r="F188" t="s">
        <v>1782</v>
      </c>
      <c r="G188" t="s">
        <v>3129</v>
      </c>
      <c r="H188" t="s">
        <v>1253</v>
      </c>
      <c r="J188" s="455">
        <v>46146</v>
      </c>
      <c r="U188" s="455">
        <v>46146</v>
      </c>
    </row>
    <row r="189" spans="1:21">
      <c r="A189" t="s">
        <v>1751</v>
      </c>
      <c r="B189" t="s">
        <v>3323</v>
      </c>
      <c r="C189" t="s">
        <v>1751</v>
      </c>
      <c r="D189">
        <v>20523701</v>
      </c>
      <c r="E189" t="s">
        <v>1897</v>
      </c>
      <c r="F189" t="s">
        <v>1782</v>
      </c>
      <c r="G189" t="s">
        <v>3134</v>
      </c>
      <c r="H189" t="s">
        <v>1247</v>
      </c>
      <c r="J189" s="455">
        <v>46155</v>
      </c>
      <c r="K189" s="455">
        <v>46155</v>
      </c>
      <c r="U189" s="455">
        <v>46155</v>
      </c>
    </row>
    <row r="190" spans="1:21">
      <c r="A190" t="s">
        <v>1751</v>
      </c>
      <c r="B190" t="s">
        <v>10468</v>
      </c>
      <c r="C190" t="s">
        <v>1751</v>
      </c>
      <c r="D190">
        <v>20520869</v>
      </c>
      <c r="E190" t="s">
        <v>3128</v>
      </c>
      <c r="F190" t="s">
        <v>1242</v>
      </c>
      <c r="G190" t="s">
        <v>3141</v>
      </c>
      <c r="H190" t="s">
        <v>1248</v>
      </c>
      <c r="J190" s="455">
        <v>46151</v>
      </c>
      <c r="U190" s="455">
        <v>46165</v>
      </c>
    </row>
    <row r="191" spans="1:21">
      <c r="A191" t="s">
        <v>1751</v>
      </c>
      <c r="B191" t="s">
        <v>10469</v>
      </c>
      <c r="C191" t="s">
        <v>1751</v>
      </c>
      <c r="D191">
        <v>20528744</v>
      </c>
      <c r="E191" t="s">
        <v>3128</v>
      </c>
      <c r="F191" t="s">
        <v>1782</v>
      </c>
      <c r="G191" t="s">
        <v>3134</v>
      </c>
      <c r="H191" t="s">
        <v>1252</v>
      </c>
      <c r="J191" s="455">
        <v>46159</v>
      </c>
      <c r="U191" s="455">
        <v>46174</v>
      </c>
    </row>
    <row r="192" spans="1:21">
      <c r="A192" t="s">
        <v>1751</v>
      </c>
      <c r="B192" t="s">
        <v>10470</v>
      </c>
      <c r="C192" t="s">
        <v>1751</v>
      </c>
      <c r="D192">
        <v>20526121</v>
      </c>
      <c r="E192" t="s">
        <v>3190</v>
      </c>
      <c r="F192" t="s">
        <v>1782</v>
      </c>
      <c r="G192" t="s">
        <v>3129</v>
      </c>
      <c r="H192" t="s">
        <v>1252</v>
      </c>
      <c r="J192" s="455">
        <v>46156</v>
      </c>
      <c r="R192" s="455">
        <v>46164</v>
      </c>
      <c r="U192" s="455">
        <v>46156</v>
      </c>
    </row>
    <row r="193" spans="1:21">
      <c r="A193" t="s">
        <v>1751</v>
      </c>
      <c r="B193" t="s">
        <v>10471</v>
      </c>
      <c r="C193" t="s">
        <v>1751</v>
      </c>
      <c r="D193">
        <v>20517451</v>
      </c>
      <c r="E193" t="s">
        <v>3128</v>
      </c>
      <c r="F193" t="s">
        <v>1782</v>
      </c>
      <c r="G193" t="s">
        <v>3134</v>
      </c>
      <c r="H193" t="s">
        <v>1252</v>
      </c>
      <c r="J193" s="455">
        <v>46147</v>
      </c>
      <c r="U193" s="455">
        <v>46165</v>
      </c>
    </row>
    <row r="194" spans="1:21">
      <c r="A194" t="s">
        <v>1751</v>
      </c>
      <c r="B194" t="s">
        <v>10472</v>
      </c>
      <c r="C194" t="s">
        <v>1751</v>
      </c>
      <c r="D194">
        <v>20524697</v>
      </c>
      <c r="E194" t="s">
        <v>3190</v>
      </c>
      <c r="F194" t="s">
        <v>1242</v>
      </c>
      <c r="G194" t="s">
        <v>3143</v>
      </c>
      <c r="H194" t="s">
        <v>1252</v>
      </c>
      <c r="J194" s="455">
        <v>46155</v>
      </c>
      <c r="R194" s="455">
        <v>46164</v>
      </c>
      <c r="U194" s="455">
        <v>46200</v>
      </c>
    </row>
    <row r="195" spans="1:21">
      <c r="A195" t="s">
        <v>1751</v>
      </c>
      <c r="B195" t="s">
        <v>10473</v>
      </c>
      <c r="C195" t="s">
        <v>1751</v>
      </c>
      <c r="D195">
        <v>20523721</v>
      </c>
      <c r="E195" t="s">
        <v>3128</v>
      </c>
      <c r="F195" t="s">
        <v>1241</v>
      </c>
      <c r="G195" t="s">
        <v>3137</v>
      </c>
      <c r="H195" t="s">
        <v>1252</v>
      </c>
      <c r="J195" s="455">
        <v>46155</v>
      </c>
      <c r="U195" s="455">
        <v>46188</v>
      </c>
    </row>
    <row r="196" spans="1:21">
      <c r="A196" t="s">
        <v>1751</v>
      </c>
      <c r="B196" t="s">
        <v>10474</v>
      </c>
      <c r="C196" t="s">
        <v>1751</v>
      </c>
      <c r="D196">
        <v>20531394</v>
      </c>
      <c r="E196" t="s">
        <v>3128</v>
      </c>
      <c r="F196" t="s">
        <v>1782</v>
      </c>
      <c r="G196" t="s">
        <v>3134</v>
      </c>
      <c r="H196" t="s">
        <v>1252</v>
      </c>
      <c r="J196" s="455">
        <v>46162</v>
      </c>
      <c r="U196" s="455">
        <v>46353</v>
      </c>
    </row>
    <row r="197" spans="1:21">
      <c r="A197" t="s">
        <v>1751</v>
      </c>
      <c r="B197" t="s">
        <v>10475</v>
      </c>
      <c r="C197" t="s">
        <v>1751</v>
      </c>
      <c r="D197">
        <v>20520578</v>
      </c>
      <c r="E197" t="s">
        <v>3133</v>
      </c>
      <c r="F197" t="s">
        <v>1237</v>
      </c>
      <c r="G197" t="s">
        <v>3134</v>
      </c>
      <c r="H197" t="s">
        <v>1247</v>
      </c>
      <c r="I197" t="s">
        <v>1574</v>
      </c>
      <c r="J197" s="455">
        <v>46150</v>
      </c>
      <c r="K197" s="455">
        <v>46150</v>
      </c>
      <c r="L197" s="455">
        <v>46153</v>
      </c>
      <c r="R197" s="455">
        <v>46154</v>
      </c>
      <c r="U197" s="455">
        <v>46178</v>
      </c>
    </row>
    <row r="198" spans="1:21">
      <c r="A198" t="s">
        <v>1751</v>
      </c>
      <c r="B198" t="s">
        <v>10475</v>
      </c>
      <c r="C198" t="s">
        <v>1751</v>
      </c>
      <c r="D198">
        <v>20520591</v>
      </c>
      <c r="E198" t="s">
        <v>3133</v>
      </c>
      <c r="F198" t="s">
        <v>1912</v>
      </c>
      <c r="G198" t="s">
        <v>3134</v>
      </c>
      <c r="H198" t="s">
        <v>1247</v>
      </c>
      <c r="I198" t="s">
        <v>2482</v>
      </c>
      <c r="J198" s="455">
        <v>46150</v>
      </c>
      <c r="K198" s="455">
        <v>46150</v>
      </c>
      <c r="R198" s="455">
        <v>46153</v>
      </c>
      <c r="U198" s="455">
        <v>46185</v>
      </c>
    </row>
    <row r="199" spans="1:21">
      <c r="A199" t="s">
        <v>1751</v>
      </c>
      <c r="B199" t="s">
        <v>10475</v>
      </c>
      <c r="C199" t="s">
        <v>1751</v>
      </c>
      <c r="D199">
        <v>20519689</v>
      </c>
      <c r="E199" t="s">
        <v>3128</v>
      </c>
      <c r="F199" t="s">
        <v>1237</v>
      </c>
      <c r="G199" t="s">
        <v>3137</v>
      </c>
      <c r="H199" t="s">
        <v>1247</v>
      </c>
      <c r="I199" t="s">
        <v>6281</v>
      </c>
      <c r="J199" s="455">
        <v>46149</v>
      </c>
      <c r="U199" s="455">
        <v>46185</v>
      </c>
    </row>
    <row r="200" spans="1:21">
      <c r="A200" t="s">
        <v>1751</v>
      </c>
      <c r="B200" t="s">
        <v>10476</v>
      </c>
      <c r="C200" t="s">
        <v>1751</v>
      </c>
      <c r="D200">
        <v>20533982</v>
      </c>
      <c r="E200" t="s">
        <v>3128</v>
      </c>
      <c r="F200" t="s">
        <v>1782</v>
      </c>
      <c r="G200" t="s">
        <v>3141</v>
      </c>
      <c r="H200" t="s">
        <v>1247</v>
      </c>
      <c r="J200" s="455">
        <v>46164</v>
      </c>
      <c r="U200" s="455">
        <v>46164</v>
      </c>
    </row>
    <row r="201" spans="1:21">
      <c r="A201" t="s">
        <v>1751</v>
      </c>
      <c r="B201" t="s">
        <v>10477</v>
      </c>
      <c r="C201" t="s">
        <v>1751</v>
      </c>
      <c r="D201">
        <v>20539725</v>
      </c>
      <c r="E201" t="s">
        <v>3128</v>
      </c>
      <c r="F201" t="s">
        <v>1782</v>
      </c>
      <c r="G201" t="s">
        <v>3129</v>
      </c>
      <c r="H201" t="s">
        <v>1253</v>
      </c>
      <c r="J201" s="455">
        <v>46172</v>
      </c>
      <c r="U201" s="455">
        <v>46195</v>
      </c>
    </row>
    <row r="202" spans="1:21">
      <c r="A202" t="s">
        <v>1751</v>
      </c>
      <c r="B202" t="s">
        <v>3337</v>
      </c>
      <c r="C202" t="s">
        <v>1751</v>
      </c>
      <c r="D202">
        <v>20533103</v>
      </c>
      <c r="E202" t="s">
        <v>1897</v>
      </c>
      <c r="F202" t="s">
        <v>1241</v>
      </c>
      <c r="G202" t="s">
        <v>3134</v>
      </c>
      <c r="H202" t="s">
        <v>1247</v>
      </c>
      <c r="I202" t="s">
        <v>1554</v>
      </c>
      <c r="J202" s="455">
        <v>46163</v>
      </c>
      <c r="K202" s="455">
        <v>46163</v>
      </c>
      <c r="U202" s="455">
        <v>46163</v>
      </c>
    </row>
    <row r="203" spans="1:21">
      <c r="A203" t="s">
        <v>1751</v>
      </c>
      <c r="B203" t="s">
        <v>9610</v>
      </c>
      <c r="C203" t="s">
        <v>1751</v>
      </c>
      <c r="D203">
        <v>20510687</v>
      </c>
      <c r="E203" t="s">
        <v>3190</v>
      </c>
      <c r="F203" t="s">
        <v>1241</v>
      </c>
      <c r="G203" t="s">
        <v>3143</v>
      </c>
      <c r="H203" t="s">
        <v>1248</v>
      </c>
      <c r="I203" t="s">
        <v>1592</v>
      </c>
      <c r="J203" s="455">
        <v>46139</v>
      </c>
      <c r="R203" s="455">
        <v>46144</v>
      </c>
      <c r="U203" s="455">
        <v>46139</v>
      </c>
    </row>
    <row r="204" spans="1:21">
      <c r="A204" t="s">
        <v>1751</v>
      </c>
      <c r="B204" t="s">
        <v>10478</v>
      </c>
      <c r="C204" t="s">
        <v>1751</v>
      </c>
      <c r="D204">
        <v>20517467</v>
      </c>
      <c r="E204" t="s">
        <v>3133</v>
      </c>
      <c r="F204" t="s">
        <v>1239</v>
      </c>
      <c r="G204" t="s">
        <v>3134</v>
      </c>
      <c r="H204" t="s">
        <v>1247</v>
      </c>
      <c r="I204" t="s">
        <v>3877</v>
      </c>
      <c r="J204" s="455">
        <v>46147</v>
      </c>
      <c r="K204" s="455">
        <v>46147</v>
      </c>
      <c r="L204" s="455">
        <v>46149</v>
      </c>
      <c r="R204" s="455">
        <v>46169</v>
      </c>
      <c r="U204" s="455">
        <v>46171</v>
      </c>
    </row>
    <row r="205" spans="1:21">
      <c r="A205" t="s">
        <v>1751</v>
      </c>
      <c r="B205" t="s">
        <v>3348</v>
      </c>
      <c r="C205" t="s">
        <v>1751</v>
      </c>
      <c r="D205">
        <v>20534736</v>
      </c>
      <c r="E205" t="s">
        <v>1897</v>
      </c>
      <c r="F205" t="s">
        <v>1782</v>
      </c>
      <c r="G205" t="s">
        <v>3137</v>
      </c>
      <c r="H205" t="s">
        <v>1252</v>
      </c>
      <c r="J205" s="455">
        <v>46166</v>
      </c>
      <c r="K205" s="455">
        <v>46167</v>
      </c>
      <c r="U205" s="455">
        <v>46174</v>
      </c>
    </row>
    <row r="206" spans="1:21">
      <c r="A206" t="s">
        <v>1751</v>
      </c>
      <c r="B206" t="s">
        <v>10479</v>
      </c>
      <c r="C206" t="s">
        <v>1751</v>
      </c>
      <c r="D206">
        <v>20525531</v>
      </c>
      <c r="E206" t="s">
        <v>3190</v>
      </c>
      <c r="F206" t="s">
        <v>1782</v>
      </c>
      <c r="G206" t="s">
        <v>3137</v>
      </c>
      <c r="H206" t="s">
        <v>1251</v>
      </c>
      <c r="J206" s="455">
        <v>46156</v>
      </c>
      <c r="R206" s="455">
        <v>46164</v>
      </c>
      <c r="U206" s="455">
        <v>46156</v>
      </c>
    </row>
    <row r="207" spans="1:21">
      <c r="A207" t="s">
        <v>1751</v>
      </c>
      <c r="B207" t="s">
        <v>10480</v>
      </c>
      <c r="C207" t="s">
        <v>1751</v>
      </c>
      <c r="D207">
        <v>20529641</v>
      </c>
      <c r="E207" t="s">
        <v>3128</v>
      </c>
      <c r="F207" t="s">
        <v>1243</v>
      </c>
      <c r="G207" t="s">
        <v>2009</v>
      </c>
      <c r="H207" t="s">
        <v>1252</v>
      </c>
      <c r="I207" t="s">
        <v>3168</v>
      </c>
      <c r="J207" s="455">
        <v>46160</v>
      </c>
      <c r="U207" s="455">
        <v>46160</v>
      </c>
    </row>
    <row r="208" spans="1:21">
      <c r="A208" t="s">
        <v>1751</v>
      </c>
      <c r="B208" t="s">
        <v>10481</v>
      </c>
      <c r="C208" t="s">
        <v>1751</v>
      </c>
      <c r="D208">
        <v>20523421</v>
      </c>
      <c r="E208" t="s">
        <v>3128</v>
      </c>
      <c r="F208" t="s">
        <v>1782</v>
      </c>
      <c r="G208" t="s">
        <v>3137</v>
      </c>
      <c r="H208" t="s">
        <v>1252</v>
      </c>
      <c r="J208" s="455">
        <v>46154</v>
      </c>
      <c r="U208" s="455">
        <v>46229</v>
      </c>
    </row>
    <row r="209" spans="1:21">
      <c r="A209" t="s">
        <v>1751</v>
      </c>
      <c r="B209" t="s">
        <v>10482</v>
      </c>
      <c r="C209" t="s">
        <v>1751</v>
      </c>
      <c r="D209">
        <v>20525886</v>
      </c>
      <c r="E209" t="s">
        <v>3190</v>
      </c>
      <c r="F209" t="s">
        <v>1782</v>
      </c>
      <c r="G209" t="s">
        <v>3143</v>
      </c>
      <c r="H209" t="s">
        <v>1247</v>
      </c>
      <c r="J209" s="455">
        <v>46156</v>
      </c>
      <c r="R209" s="455">
        <v>46164</v>
      </c>
      <c r="U209" s="455">
        <v>46156</v>
      </c>
    </row>
    <row r="210" spans="1:21">
      <c r="A210" t="s">
        <v>1751</v>
      </c>
      <c r="B210" t="s">
        <v>10483</v>
      </c>
      <c r="C210" t="s">
        <v>1751</v>
      </c>
      <c r="D210">
        <v>20538459</v>
      </c>
      <c r="E210" t="s">
        <v>3128</v>
      </c>
      <c r="F210" t="s">
        <v>1242</v>
      </c>
      <c r="G210" t="s">
        <v>3129</v>
      </c>
      <c r="H210" t="s">
        <v>1252</v>
      </c>
      <c r="I210" t="s">
        <v>1917</v>
      </c>
      <c r="J210" s="455">
        <v>46171</v>
      </c>
      <c r="U210" s="455">
        <v>46234</v>
      </c>
    </row>
    <row r="211" spans="1:21">
      <c r="A211" t="s">
        <v>1751</v>
      </c>
      <c r="B211" t="s">
        <v>10484</v>
      </c>
      <c r="C211" t="s">
        <v>1751</v>
      </c>
      <c r="D211">
        <v>20525267</v>
      </c>
      <c r="E211" t="s">
        <v>3190</v>
      </c>
      <c r="F211" t="s">
        <v>1782</v>
      </c>
      <c r="G211" t="s">
        <v>3137</v>
      </c>
      <c r="H211" t="s">
        <v>1252</v>
      </c>
      <c r="J211" s="455">
        <v>46156</v>
      </c>
      <c r="R211" s="455">
        <v>46164</v>
      </c>
      <c r="U211" s="455">
        <v>46156</v>
      </c>
    </row>
    <row r="212" spans="1:21">
      <c r="A212" t="s">
        <v>1751</v>
      </c>
      <c r="B212" t="s">
        <v>10485</v>
      </c>
      <c r="C212" t="s">
        <v>1751</v>
      </c>
      <c r="D212">
        <v>20516644</v>
      </c>
      <c r="E212" t="s">
        <v>3128</v>
      </c>
      <c r="F212" t="s">
        <v>1782</v>
      </c>
      <c r="G212" t="s">
        <v>3141</v>
      </c>
      <c r="H212" t="s">
        <v>1252</v>
      </c>
      <c r="J212" s="455">
        <v>46146</v>
      </c>
      <c r="U212" s="455">
        <v>46220</v>
      </c>
    </row>
    <row r="213" spans="1:21">
      <c r="A213" t="s">
        <v>1751</v>
      </c>
      <c r="B213" t="s">
        <v>10486</v>
      </c>
      <c r="C213" t="s">
        <v>1751</v>
      </c>
      <c r="D213">
        <v>20522672</v>
      </c>
      <c r="E213" t="s">
        <v>3190</v>
      </c>
      <c r="F213" t="s">
        <v>1782</v>
      </c>
      <c r="G213" t="s">
        <v>3134</v>
      </c>
      <c r="H213" t="s">
        <v>3165</v>
      </c>
      <c r="J213" s="455">
        <v>46154</v>
      </c>
      <c r="R213" s="455">
        <v>46164</v>
      </c>
      <c r="U213" s="455">
        <v>46174</v>
      </c>
    </row>
    <row r="214" spans="1:21">
      <c r="A214" t="s">
        <v>1751</v>
      </c>
      <c r="B214" t="s">
        <v>10486</v>
      </c>
      <c r="C214" t="s">
        <v>1751</v>
      </c>
      <c r="D214">
        <v>20539422</v>
      </c>
      <c r="E214" t="s">
        <v>3128</v>
      </c>
      <c r="F214" t="s">
        <v>1912</v>
      </c>
      <c r="G214" t="s">
        <v>3134</v>
      </c>
      <c r="H214" t="s">
        <v>3165</v>
      </c>
      <c r="J214" s="455">
        <v>46172</v>
      </c>
      <c r="U214" s="455">
        <v>46235</v>
      </c>
    </row>
    <row r="215" spans="1:21">
      <c r="A215" t="s">
        <v>1751</v>
      </c>
      <c r="B215" t="s">
        <v>10487</v>
      </c>
      <c r="C215" t="s">
        <v>1751</v>
      </c>
      <c r="D215">
        <v>20520476</v>
      </c>
      <c r="E215" t="s">
        <v>3128</v>
      </c>
      <c r="F215" t="s">
        <v>1782</v>
      </c>
      <c r="G215" t="s">
        <v>3134</v>
      </c>
      <c r="H215" t="s">
        <v>1252</v>
      </c>
      <c r="J215" s="455">
        <v>46150</v>
      </c>
      <c r="U215" s="455">
        <v>46174</v>
      </c>
    </row>
    <row r="216" spans="1:21">
      <c r="A216" t="s">
        <v>1751</v>
      </c>
      <c r="B216" t="s">
        <v>3356</v>
      </c>
      <c r="C216" t="s">
        <v>1751</v>
      </c>
      <c r="D216">
        <v>20515717</v>
      </c>
      <c r="E216" t="s">
        <v>1897</v>
      </c>
      <c r="F216" t="s">
        <v>1242</v>
      </c>
      <c r="G216" t="s">
        <v>3134</v>
      </c>
      <c r="H216" t="s">
        <v>1247</v>
      </c>
      <c r="I216" t="s">
        <v>2531</v>
      </c>
      <c r="J216" s="455">
        <v>46145</v>
      </c>
      <c r="K216" s="455">
        <v>46145</v>
      </c>
      <c r="U216" s="455">
        <v>46202</v>
      </c>
    </row>
    <row r="217" spans="1:21">
      <c r="A217" t="s">
        <v>1751</v>
      </c>
      <c r="B217" t="s">
        <v>10488</v>
      </c>
      <c r="C217" t="s">
        <v>1751</v>
      </c>
      <c r="D217">
        <v>20528531</v>
      </c>
      <c r="E217" t="s">
        <v>3128</v>
      </c>
      <c r="F217" t="s">
        <v>1782</v>
      </c>
      <c r="G217" t="s">
        <v>3134</v>
      </c>
      <c r="H217" t="s">
        <v>1252</v>
      </c>
      <c r="J217" s="455">
        <v>46158</v>
      </c>
      <c r="U217" s="455">
        <v>46199</v>
      </c>
    </row>
    <row r="218" spans="1:21">
      <c r="A218" t="s">
        <v>1751</v>
      </c>
      <c r="B218" t="s">
        <v>10489</v>
      </c>
      <c r="C218" t="s">
        <v>1751</v>
      </c>
      <c r="D218">
        <v>20539249</v>
      </c>
      <c r="E218" t="s">
        <v>3128</v>
      </c>
      <c r="F218" t="s">
        <v>1782</v>
      </c>
      <c r="G218" t="s">
        <v>3134</v>
      </c>
      <c r="H218" t="s">
        <v>3165</v>
      </c>
      <c r="J218" s="455">
        <v>46172</v>
      </c>
      <c r="U218" s="455">
        <v>46173</v>
      </c>
    </row>
    <row r="219" spans="1:21">
      <c r="A219" t="s">
        <v>1751</v>
      </c>
      <c r="B219" t="s">
        <v>9157</v>
      </c>
      <c r="C219" t="s">
        <v>1751</v>
      </c>
      <c r="D219">
        <v>20534808</v>
      </c>
      <c r="E219" t="s">
        <v>3128</v>
      </c>
      <c r="F219" t="s">
        <v>1241</v>
      </c>
      <c r="G219" t="s">
        <v>3134</v>
      </c>
      <c r="H219" t="s">
        <v>1252</v>
      </c>
      <c r="J219" s="455">
        <v>46166</v>
      </c>
      <c r="U219" s="455">
        <v>46171</v>
      </c>
    </row>
    <row r="220" spans="1:21">
      <c r="A220" t="s">
        <v>1751</v>
      </c>
      <c r="B220" t="s">
        <v>3362</v>
      </c>
      <c r="C220" t="s">
        <v>1751</v>
      </c>
      <c r="D220">
        <v>20537435</v>
      </c>
      <c r="E220" t="s">
        <v>1897</v>
      </c>
      <c r="F220" t="s">
        <v>1241</v>
      </c>
      <c r="G220" t="s">
        <v>3134</v>
      </c>
      <c r="H220" t="s">
        <v>1247</v>
      </c>
      <c r="I220" t="s">
        <v>3363</v>
      </c>
      <c r="J220" s="455">
        <v>46169</v>
      </c>
      <c r="K220" s="455">
        <v>46169</v>
      </c>
      <c r="U220" s="455">
        <v>46169</v>
      </c>
    </row>
    <row r="221" spans="1:21">
      <c r="A221" t="s">
        <v>1751</v>
      </c>
      <c r="B221" t="s">
        <v>3364</v>
      </c>
      <c r="C221" t="s">
        <v>1751</v>
      </c>
      <c r="D221">
        <v>20539344</v>
      </c>
      <c r="E221" t="s">
        <v>1897</v>
      </c>
      <c r="F221" t="s">
        <v>1241</v>
      </c>
      <c r="G221" t="s">
        <v>3134</v>
      </c>
      <c r="H221" t="s">
        <v>1247</v>
      </c>
      <c r="I221" t="s">
        <v>1921</v>
      </c>
      <c r="J221" s="455">
        <v>46172</v>
      </c>
      <c r="K221" s="455">
        <v>46172</v>
      </c>
      <c r="U221" s="455">
        <v>46181</v>
      </c>
    </row>
    <row r="222" spans="1:21">
      <c r="A222" t="s">
        <v>1751</v>
      </c>
      <c r="B222" t="s">
        <v>3367</v>
      </c>
      <c r="C222" t="s">
        <v>1751</v>
      </c>
      <c r="D222">
        <v>20517464</v>
      </c>
      <c r="E222" t="s">
        <v>3142</v>
      </c>
      <c r="F222" t="s">
        <v>1242</v>
      </c>
      <c r="G222" t="s">
        <v>3137</v>
      </c>
      <c r="H222" t="s">
        <v>1252</v>
      </c>
      <c r="I222" t="s">
        <v>1538</v>
      </c>
      <c r="J222" s="455">
        <v>46147</v>
      </c>
      <c r="K222" s="455">
        <v>46148</v>
      </c>
      <c r="L222" s="455">
        <v>46150</v>
      </c>
      <c r="M222" s="455">
        <v>46168</v>
      </c>
      <c r="N222" s="455">
        <v>46168</v>
      </c>
      <c r="P222" s="455">
        <v>46168</v>
      </c>
      <c r="Q222" s="455">
        <v>46169</v>
      </c>
      <c r="T222" s="455">
        <v>46162</v>
      </c>
      <c r="U222" s="455">
        <v>46172</v>
      </c>
    </row>
    <row r="223" spans="1:21">
      <c r="A223" t="s">
        <v>1751</v>
      </c>
      <c r="B223" t="s">
        <v>3367</v>
      </c>
      <c r="C223" t="s">
        <v>1751</v>
      </c>
      <c r="D223">
        <v>20518129</v>
      </c>
      <c r="E223" t="s">
        <v>1897</v>
      </c>
      <c r="F223" t="s">
        <v>1912</v>
      </c>
      <c r="G223" t="s">
        <v>3134</v>
      </c>
      <c r="H223" t="s">
        <v>1252</v>
      </c>
      <c r="I223" t="s">
        <v>1917</v>
      </c>
      <c r="J223" s="455">
        <v>46148</v>
      </c>
      <c r="K223" s="455">
        <v>46148</v>
      </c>
      <c r="U223" s="455">
        <v>46158</v>
      </c>
    </row>
    <row r="224" spans="1:21">
      <c r="A224" t="s">
        <v>1751</v>
      </c>
      <c r="B224" t="s">
        <v>4415</v>
      </c>
      <c r="C224" t="s">
        <v>1751</v>
      </c>
      <c r="D224">
        <v>20538806</v>
      </c>
      <c r="E224" t="s">
        <v>3128</v>
      </c>
      <c r="F224" t="s">
        <v>1782</v>
      </c>
      <c r="G224" t="s">
        <v>3129</v>
      </c>
      <c r="H224" t="s">
        <v>1252</v>
      </c>
      <c r="I224" t="s">
        <v>2531</v>
      </c>
      <c r="J224" s="455">
        <v>46171</v>
      </c>
      <c r="U224" s="455">
        <v>46202</v>
      </c>
    </row>
    <row r="225" spans="1:21">
      <c r="A225" t="s">
        <v>1751</v>
      </c>
      <c r="B225" t="s">
        <v>10490</v>
      </c>
      <c r="C225" t="s">
        <v>1751</v>
      </c>
      <c r="D225">
        <v>20515759</v>
      </c>
      <c r="E225" t="s">
        <v>3128</v>
      </c>
      <c r="F225" t="s">
        <v>1782</v>
      </c>
      <c r="G225" t="s">
        <v>3141</v>
      </c>
      <c r="H225" t="s">
        <v>1252</v>
      </c>
      <c r="J225" s="455">
        <v>46145</v>
      </c>
      <c r="U225" s="455">
        <v>46254</v>
      </c>
    </row>
    <row r="226" spans="1:21">
      <c r="A226" t="s">
        <v>1751</v>
      </c>
      <c r="B226" t="s">
        <v>10491</v>
      </c>
      <c r="C226" t="s">
        <v>1751</v>
      </c>
      <c r="D226">
        <v>20531552</v>
      </c>
      <c r="E226" t="s">
        <v>3128</v>
      </c>
      <c r="F226" t="s">
        <v>1243</v>
      </c>
      <c r="G226" t="s">
        <v>3141</v>
      </c>
      <c r="H226" t="s">
        <v>1248</v>
      </c>
      <c r="J226" s="455">
        <v>46162</v>
      </c>
      <c r="U226" s="455">
        <v>46162</v>
      </c>
    </row>
    <row r="227" spans="1:21">
      <c r="A227" t="s">
        <v>1751</v>
      </c>
      <c r="B227" t="s">
        <v>10492</v>
      </c>
      <c r="C227" t="s">
        <v>1751</v>
      </c>
      <c r="D227">
        <v>20521337</v>
      </c>
      <c r="E227" t="s">
        <v>3128</v>
      </c>
      <c r="F227" t="s">
        <v>1241</v>
      </c>
      <c r="G227" t="s">
        <v>2009</v>
      </c>
      <c r="H227" t="s">
        <v>1247</v>
      </c>
      <c r="J227" s="455">
        <v>46151</v>
      </c>
      <c r="U227" s="455">
        <v>46151</v>
      </c>
    </row>
    <row r="228" spans="1:21">
      <c r="A228" t="s">
        <v>1751</v>
      </c>
      <c r="B228" t="s">
        <v>9623</v>
      </c>
      <c r="C228" t="s">
        <v>1751</v>
      </c>
      <c r="D228">
        <v>20527822</v>
      </c>
      <c r="E228" t="s">
        <v>3128</v>
      </c>
      <c r="F228" t="s">
        <v>1782</v>
      </c>
      <c r="G228" t="s">
        <v>3141</v>
      </c>
      <c r="H228" t="s">
        <v>1247</v>
      </c>
      <c r="J228" s="455">
        <v>46157</v>
      </c>
      <c r="U228" s="455">
        <v>46172</v>
      </c>
    </row>
    <row r="229" spans="1:21">
      <c r="A229" t="s">
        <v>1751</v>
      </c>
      <c r="B229" t="s">
        <v>10493</v>
      </c>
      <c r="C229" t="s">
        <v>1751</v>
      </c>
      <c r="D229">
        <v>20517602</v>
      </c>
      <c r="E229" t="s">
        <v>3128</v>
      </c>
      <c r="F229" t="s">
        <v>1782</v>
      </c>
      <c r="G229" t="s">
        <v>3129</v>
      </c>
      <c r="H229" t="s">
        <v>3131</v>
      </c>
      <c r="I229" t="s">
        <v>3288</v>
      </c>
      <c r="J229" s="455">
        <v>46147</v>
      </c>
      <c r="U229" s="455">
        <v>46148</v>
      </c>
    </row>
    <row r="230" spans="1:21">
      <c r="A230" t="s">
        <v>1751</v>
      </c>
      <c r="B230" t="s">
        <v>2697</v>
      </c>
      <c r="C230" t="s">
        <v>1751</v>
      </c>
      <c r="D230">
        <v>20512652</v>
      </c>
      <c r="E230" t="s">
        <v>3142</v>
      </c>
      <c r="F230" t="s">
        <v>1243</v>
      </c>
      <c r="G230" t="s">
        <v>3134</v>
      </c>
      <c r="H230" t="s">
        <v>1247</v>
      </c>
      <c r="I230" t="s">
        <v>2696</v>
      </c>
      <c r="J230" s="455">
        <v>46141</v>
      </c>
      <c r="K230" s="455">
        <v>46141</v>
      </c>
      <c r="L230" s="455">
        <v>46149</v>
      </c>
      <c r="M230" s="455">
        <v>46160</v>
      </c>
      <c r="N230" s="455">
        <v>46160</v>
      </c>
      <c r="P230" s="455">
        <v>46160</v>
      </c>
      <c r="Q230" s="455">
        <v>46160</v>
      </c>
      <c r="T230" s="455">
        <v>46156</v>
      </c>
      <c r="U230" s="455">
        <v>46161</v>
      </c>
    </row>
    <row r="231" spans="1:21">
      <c r="A231" t="s">
        <v>1751</v>
      </c>
      <c r="B231" t="s">
        <v>3375</v>
      </c>
      <c r="C231" t="s">
        <v>1751</v>
      </c>
      <c r="D231">
        <v>20534177</v>
      </c>
      <c r="E231" t="s">
        <v>1897</v>
      </c>
      <c r="F231" t="s">
        <v>1241</v>
      </c>
      <c r="G231" t="s">
        <v>3134</v>
      </c>
      <c r="H231" t="s">
        <v>3165</v>
      </c>
      <c r="J231" s="455">
        <v>46165</v>
      </c>
      <c r="K231" s="455">
        <v>46165</v>
      </c>
      <c r="U231" s="455">
        <v>46235</v>
      </c>
    </row>
    <row r="232" spans="1:21">
      <c r="A232" t="s">
        <v>1751</v>
      </c>
      <c r="B232" t="s">
        <v>3378</v>
      </c>
      <c r="C232" t="s">
        <v>1751</v>
      </c>
      <c r="D232">
        <v>20533181</v>
      </c>
      <c r="E232" t="s">
        <v>1907</v>
      </c>
      <c r="F232" t="s">
        <v>1782</v>
      </c>
      <c r="G232" t="s">
        <v>3141</v>
      </c>
      <c r="H232" t="s">
        <v>1252</v>
      </c>
      <c r="I232" t="s">
        <v>1230</v>
      </c>
      <c r="J232" s="455">
        <v>46163</v>
      </c>
      <c r="K232" s="455">
        <v>46165</v>
      </c>
      <c r="L232" s="455">
        <v>46169</v>
      </c>
      <c r="T232" s="455">
        <v>46165</v>
      </c>
      <c r="U232" s="455">
        <v>46189</v>
      </c>
    </row>
    <row r="233" spans="1:21">
      <c r="A233" t="s">
        <v>1751</v>
      </c>
      <c r="B233" t="s">
        <v>10494</v>
      </c>
      <c r="C233" t="s">
        <v>1751</v>
      </c>
      <c r="D233">
        <v>20517424</v>
      </c>
      <c r="E233" t="s">
        <v>3128</v>
      </c>
      <c r="F233" t="s">
        <v>1237</v>
      </c>
      <c r="G233" t="s">
        <v>3143</v>
      </c>
      <c r="H233" t="s">
        <v>1251</v>
      </c>
      <c r="J233" s="455">
        <v>46147</v>
      </c>
      <c r="U233" s="455">
        <v>46179</v>
      </c>
    </row>
    <row r="234" spans="1:21">
      <c r="A234" t="s">
        <v>1751</v>
      </c>
      <c r="B234" t="s">
        <v>10495</v>
      </c>
      <c r="C234" t="s">
        <v>1751</v>
      </c>
      <c r="D234">
        <v>20514284</v>
      </c>
      <c r="E234" t="s">
        <v>3128</v>
      </c>
      <c r="F234" t="s">
        <v>1241</v>
      </c>
      <c r="G234" t="s">
        <v>3141</v>
      </c>
      <c r="H234" t="s">
        <v>1252</v>
      </c>
      <c r="J234" s="455">
        <v>46143</v>
      </c>
      <c r="U234" s="455">
        <v>46150</v>
      </c>
    </row>
    <row r="235" spans="1:21">
      <c r="A235" t="s">
        <v>1751</v>
      </c>
      <c r="B235" t="s">
        <v>3379</v>
      </c>
      <c r="C235" t="s">
        <v>1751</v>
      </c>
      <c r="D235">
        <v>20533503</v>
      </c>
      <c r="E235" t="s">
        <v>1907</v>
      </c>
      <c r="F235" t="s">
        <v>1242</v>
      </c>
      <c r="G235" t="s">
        <v>3137</v>
      </c>
      <c r="H235" t="s">
        <v>1252</v>
      </c>
      <c r="I235" t="s">
        <v>3307</v>
      </c>
      <c r="J235" s="455">
        <v>46164</v>
      </c>
      <c r="K235" s="455">
        <v>46167</v>
      </c>
      <c r="L235" s="455">
        <v>46167</v>
      </c>
      <c r="U235" s="455">
        <v>46179</v>
      </c>
    </row>
    <row r="236" spans="1:21">
      <c r="A236" t="s">
        <v>1751</v>
      </c>
      <c r="B236" t="s">
        <v>10496</v>
      </c>
      <c r="C236" t="s">
        <v>1751</v>
      </c>
      <c r="D236">
        <v>20519965</v>
      </c>
      <c r="E236" t="s">
        <v>3128</v>
      </c>
      <c r="F236" t="s">
        <v>1782</v>
      </c>
      <c r="G236" t="s">
        <v>3137</v>
      </c>
      <c r="H236" t="s">
        <v>1252</v>
      </c>
      <c r="J236" s="455">
        <v>46150</v>
      </c>
      <c r="U236" s="455">
        <v>46151</v>
      </c>
    </row>
    <row r="237" spans="1:21">
      <c r="A237" t="s">
        <v>1751</v>
      </c>
      <c r="B237" t="s">
        <v>10497</v>
      </c>
      <c r="C237" t="s">
        <v>1751</v>
      </c>
      <c r="D237">
        <v>20522097</v>
      </c>
      <c r="E237" t="s">
        <v>3128</v>
      </c>
      <c r="F237" t="s">
        <v>1242</v>
      </c>
      <c r="G237" t="s">
        <v>2009</v>
      </c>
      <c r="H237" t="s">
        <v>1248</v>
      </c>
      <c r="J237" s="455">
        <v>46153</v>
      </c>
      <c r="U237" s="455">
        <v>46200</v>
      </c>
    </row>
    <row r="238" spans="1:21">
      <c r="A238" t="s">
        <v>1751</v>
      </c>
      <c r="B238" t="s">
        <v>10498</v>
      </c>
      <c r="C238" t="s">
        <v>1751</v>
      </c>
      <c r="D238">
        <v>20539069</v>
      </c>
      <c r="E238" t="s">
        <v>3128</v>
      </c>
      <c r="F238" t="s">
        <v>1782</v>
      </c>
      <c r="G238" t="s">
        <v>3134</v>
      </c>
      <c r="H238" t="s">
        <v>1252</v>
      </c>
      <c r="J238" s="455">
        <v>46171</v>
      </c>
      <c r="U238" s="455">
        <v>46173</v>
      </c>
    </row>
    <row r="239" spans="1:21">
      <c r="A239" t="s">
        <v>1751</v>
      </c>
      <c r="B239" t="s">
        <v>10498</v>
      </c>
      <c r="C239" t="s">
        <v>1751</v>
      </c>
      <c r="D239">
        <v>20526251</v>
      </c>
      <c r="E239" t="s">
        <v>3190</v>
      </c>
      <c r="F239" t="s">
        <v>1782</v>
      </c>
      <c r="G239" t="s">
        <v>3134</v>
      </c>
      <c r="H239" t="s">
        <v>1252</v>
      </c>
      <c r="J239" s="455">
        <v>46156</v>
      </c>
      <c r="R239" s="455">
        <v>46164</v>
      </c>
      <c r="U239" s="455">
        <v>46173</v>
      </c>
    </row>
    <row r="240" spans="1:21">
      <c r="A240" t="s">
        <v>1751</v>
      </c>
      <c r="B240" t="s">
        <v>10499</v>
      </c>
      <c r="C240" t="s">
        <v>1751</v>
      </c>
      <c r="D240">
        <v>20514863</v>
      </c>
      <c r="E240" t="s">
        <v>3128</v>
      </c>
      <c r="F240" t="s">
        <v>1782</v>
      </c>
      <c r="G240" t="s">
        <v>3141</v>
      </c>
      <c r="H240" t="s">
        <v>1252</v>
      </c>
      <c r="J240" s="455">
        <v>46143</v>
      </c>
      <c r="U240" s="455">
        <v>46174</v>
      </c>
    </row>
    <row r="241" spans="1:21">
      <c r="A241" t="s">
        <v>1751</v>
      </c>
      <c r="B241" t="s">
        <v>10500</v>
      </c>
      <c r="C241" t="s">
        <v>1751</v>
      </c>
      <c r="D241">
        <v>20519272</v>
      </c>
      <c r="E241" t="s">
        <v>3128</v>
      </c>
      <c r="F241" t="s">
        <v>1782</v>
      </c>
      <c r="G241" t="s">
        <v>3141</v>
      </c>
      <c r="H241" t="s">
        <v>1248</v>
      </c>
      <c r="J241" s="455">
        <v>46149</v>
      </c>
      <c r="U241" s="455">
        <v>46149</v>
      </c>
    </row>
    <row r="242" spans="1:21">
      <c r="A242" t="s">
        <v>1751</v>
      </c>
      <c r="B242" t="s">
        <v>3388</v>
      </c>
      <c r="C242" t="s">
        <v>1751</v>
      </c>
      <c r="D242">
        <v>20535500</v>
      </c>
      <c r="E242" t="s">
        <v>1897</v>
      </c>
      <c r="F242" t="s">
        <v>1241</v>
      </c>
      <c r="G242" t="s">
        <v>3134</v>
      </c>
      <c r="H242" t="s">
        <v>1247</v>
      </c>
      <c r="I242" t="s">
        <v>3389</v>
      </c>
      <c r="J242" s="455">
        <v>46167</v>
      </c>
      <c r="K242" s="455">
        <v>46167</v>
      </c>
      <c r="U242" s="455">
        <v>46185</v>
      </c>
    </row>
    <row r="243" spans="1:21">
      <c r="A243" t="s">
        <v>1751</v>
      </c>
      <c r="B243" t="s">
        <v>10501</v>
      </c>
      <c r="C243" t="s">
        <v>1751</v>
      </c>
      <c r="D243">
        <v>20535365</v>
      </c>
      <c r="E243" t="s">
        <v>3128</v>
      </c>
      <c r="F243" t="s">
        <v>1782</v>
      </c>
      <c r="G243" t="s">
        <v>3134</v>
      </c>
      <c r="H243" t="s">
        <v>3165</v>
      </c>
      <c r="J243" s="455">
        <v>46167</v>
      </c>
      <c r="U243" s="455">
        <v>46174</v>
      </c>
    </row>
    <row r="244" spans="1:21">
      <c r="A244" t="s">
        <v>1751</v>
      </c>
      <c r="B244" t="s">
        <v>3390</v>
      </c>
      <c r="C244" t="s">
        <v>1751</v>
      </c>
      <c r="D244">
        <v>20538434</v>
      </c>
      <c r="E244" t="s">
        <v>1897</v>
      </c>
      <c r="F244" t="s">
        <v>1782</v>
      </c>
      <c r="G244" t="s">
        <v>3134</v>
      </c>
      <c r="H244" t="s">
        <v>1248</v>
      </c>
      <c r="I244" t="s">
        <v>3391</v>
      </c>
      <c r="J244" s="455">
        <v>46171</v>
      </c>
      <c r="K244" s="455">
        <v>46171</v>
      </c>
      <c r="U244" s="455">
        <v>46174</v>
      </c>
    </row>
    <row r="245" spans="1:21">
      <c r="A245" t="s">
        <v>1751</v>
      </c>
      <c r="B245" t="s">
        <v>10502</v>
      </c>
      <c r="C245" t="s">
        <v>1751</v>
      </c>
      <c r="D245">
        <v>20524143</v>
      </c>
      <c r="E245" t="s">
        <v>3128</v>
      </c>
      <c r="F245" t="s">
        <v>1242</v>
      </c>
      <c r="G245" t="s">
        <v>3143</v>
      </c>
      <c r="H245" t="s">
        <v>1247</v>
      </c>
      <c r="I245" t="s">
        <v>1952</v>
      </c>
      <c r="J245" s="455">
        <v>46155</v>
      </c>
      <c r="U245" s="455">
        <v>46155</v>
      </c>
    </row>
    <row r="246" spans="1:21">
      <c r="A246" t="s">
        <v>1751</v>
      </c>
      <c r="B246" t="s">
        <v>10503</v>
      </c>
      <c r="C246" t="s">
        <v>1751</v>
      </c>
      <c r="D246">
        <v>20529545</v>
      </c>
      <c r="E246" t="s">
        <v>3128</v>
      </c>
      <c r="F246" t="s">
        <v>1782</v>
      </c>
      <c r="G246" t="s">
        <v>3129</v>
      </c>
      <c r="H246" t="s">
        <v>3377</v>
      </c>
      <c r="J246" s="455">
        <v>46160</v>
      </c>
      <c r="U246" s="455">
        <v>46160</v>
      </c>
    </row>
    <row r="247" spans="1:21">
      <c r="A247" t="s">
        <v>1751</v>
      </c>
      <c r="B247" t="s">
        <v>10504</v>
      </c>
      <c r="C247" t="s">
        <v>1751</v>
      </c>
      <c r="D247">
        <v>20532559</v>
      </c>
      <c r="E247" t="s">
        <v>3128</v>
      </c>
      <c r="F247" t="s">
        <v>1782</v>
      </c>
      <c r="G247" t="s">
        <v>3134</v>
      </c>
      <c r="H247" t="s">
        <v>1252</v>
      </c>
      <c r="J247" s="455">
        <v>46163</v>
      </c>
      <c r="U247" s="455">
        <v>46199</v>
      </c>
    </row>
    <row r="248" spans="1:21">
      <c r="A248" t="s">
        <v>1751</v>
      </c>
      <c r="B248" t="s">
        <v>10505</v>
      </c>
      <c r="C248" t="s">
        <v>1751</v>
      </c>
      <c r="D248">
        <v>20518180</v>
      </c>
      <c r="E248" t="s">
        <v>3128</v>
      </c>
      <c r="F248" t="s">
        <v>1782</v>
      </c>
      <c r="G248" t="s">
        <v>3134</v>
      </c>
      <c r="H248" t="s">
        <v>3165</v>
      </c>
      <c r="J248" s="455">
        <v>46148</v>
      </c>
      <c r="U248" s="455">
        <v>46249</v>
      </c>
    </row>
    <row r="249" spans="1:21">
      <c r="A249" t="s">
        <v>1751</v>
      </c>
      <c r="B249" t="s">
        <v>10506</v>
      </c>
      <c r="C249" t="s">
        <v>1751</v>
      </c>
      <c r="D249">
        <v>20529429</v>
      </c>
      <c r="E249" t="s">
        <v>3190</v>
      </c>
      <c r="F249" t="s">
        <v>1241</v>
      </c>
      <c r="G249" t="s">
        <v>2009</v>
      </c>
      <c r="H249" t="s">
        <v>1247</v>
      </c>
      <c r="J249" s="455">
        <v>46160</v>
      </c>
      <c r="R249" s="455">
        <v>46160</v>
      </c>
      <c r="U249" s="455">
        <v>46164</v>
      </c>
    </row>
    <row r="250" spans="1:21">
      <c r="A250" t="s">
        <v>1751</v>
      </c>
      <c r="B250" t="s">
        <v>3395</v>
      </c>
      <c r="C250" t="s">
        <v>1751</v>
      </c>
      <c r="D250">
        <v>20522544</v>
      </c>
      <c r="E250" t="s">
        <v>3133</v>
      </c>
      <c r="F250" t="s">
        <v>1242</v>
      </c>
      <c r="G250" t="s">
        <v>3141</v>
      </c>
      <c r="H250" t="s">
        <v>1252</v>
      </c>
      <c r="J250" s="455">
        <v>46153</v>
      </c>
      <c r="K250" s="455">
        <v>46155</v>
      </c>
      <c r="R250" s="455">
        <v>46164</v>
      </c>
      <c r="U250" s="455">
        <v>46169</v>
      </c>
    </row>
    <row r="251" spans="1:21">
      <c r="A251" t="s">
        <v>1751</v>
      </c>
      <c r="B251" t="s">
        <v>3395</v>
      </c>
      <c r="C251" t="s">
        <v>1751</v>
      </c>
      <c r="D251">
        <v>20523650</v>
      </c>
      <c r="E251" t="s">
        <v>1907</v>
      </c>
      <c r="F251" t="s">
        <v>1243</v>
      </c>
      <c r="G251" t="s">
        <v>3134</v>
      </c>
      <c r="H251" t="s">
        <v>1247</v>
      </c>
      <c r="I251" t="s">
        <v>1895</v>
      </c>
      <c r="J251" s="455">
        <v>46154</v>
      </c>
      <c r="K251" s="455">
        <v>46154</v>
      </c>
      <c r="L251" s="455">
        <v>46171</v>
      </c>
      <c r="U251" s="455">
        <v>46183</v>
      </c>
    </row>
    <row r="252" spans="1:21">
      <c r="A252" t="s">
        <v>1751</v>
      </c>
      <c r="B252" t="s">
        <v>10507</v>
      </c>
      <c r="C252" t="s">
        <v>1751</v>
      </c>
      <c r="D252">
        <v>20529228</v>
      </c>
      <c r="E252" t="s">
        <v>3190</v>
      </c>
      <c r="F252" t="s">
        <v>1782</v>
      </c>
      <c r="G252" t="s">
        <v>3129</v>
      </c>
      <c r="H252" t="s">
        <v>1252</v>
      </c>
      <c r="J252" s="455">
        <v>46160</v>
      </c>
      <c r="R252" s="455">
        <v>46164</v>
      </c>
      <c r="U252" s="455">
        <v>46173</v>
      </c>
    </row>
    <row r="253" spans="1:21">
      <c r="A253" t="s">
        <v>1751</v>
      </c>
      <c r="B253" t="s">
        <v>9639</v>
      </c>
      <c r="C253" t="s">
        <v>1751</v>
      </c>
      <c r="D253">
        <v>20513434</v>
      </c>
      <c r="E253" t="s">
        <v>3190</v>
      </c>
      <c r="F253" t="s">
        <v>1241</v>
      </c>
      <c r="G253" t="s">
        <v>3141</v>
      </c>
      <c r="H253" t="s">
        <v>1247</v>
      </c>
      <c r="I253" t="s">
        <v>1834</v>
      </c>
      <c r="J253" s="455">
        <v>46142</v>
      </c>
      <c r="R253" s="455">
        <v>46158</v>
      </c>
      <c r="U253" s="455">
        <v>46142</v>
      </c>
    </row>
    <row r="254" spans="1:21">
      <c r="A254" t="s">
        <v>1751</v>
      </c>
      <c r="B254" t="s">
        <v>10508</v>
      </c>
      <c r="C254" t="s">
        <v>1751</v>
      </c>
      <c r="D254">
        <v>20524082</v>
      </c>
      <c r="E254" t="s">
        <v>3190</v>
      </c>
      <c r="F254" t="s">
        <v>1782</v>
      </c>
      <c r="G254" t="s">
        <v>3129</v>
      </c>
      <c r="H254" t="s">
        <v>1252</v>
      </c>
      <c r="J254" s="455">
        <v>46155</v>
      </c>
      <c r="R254" s="455">
        <v>46164</v>
      </c>
      <c r="U254" s="455">
        <v>46155</v>
      </c>
    </row>
    <row r="255" spans="1:21">
      <c r="A255" t="s">
        <v>1751</v>
      </c>
      <c r="B255" t="s">
        <v>3406</v>
      </c>
      <c r="C255" t="s">
        <v>1751</v>
      </c>
      <c r="D255">
        <v>20518447</v>
      </c>
      <c r="E255" t="s">
        <v>1897</v>
      </c>
      <c r="F255" t="s">
        <v>1241</v>
      </c>
      <c r="G255" t="s">
        <v>3134</v>
      </c>
      <c r="H255" t="s">
        <v>1252</v>
      </c>
      <c r="J255" s="455">
        <v>46148</v>
      </c>
      <c r="K255" s="455">
        <v>46148</v>
      </c>
      <c r="U255" s="455">
        <v>46204</v>
      </c>
    </row>
    <row r="256" spans="1:21">
      <c r="A256" t="s">
        <v>1751</v>
      </c>
      <c r="B256" t="s">
        <v>3406</v>
      </c>
      <c r="C256" t="s">
        <v>1751</v>
      </c>
      <c r="D256">
        <v>20518472</v>
      </c>
      <c r="E256" t="s">
        <v>1897</v>
      </c>
      <c r="F256" t="s">
        <v>1912</v>
      </c>
      <c r="G256" t="s">
        <v>3134</v>
      </c>
      <c r="H256" t="s">
        <v>1247</v>
      </c>
      <c r="I256" t="s">
        <v>1808</v>
      </c>
      <c r="J256" s="455">
        <v>46148</v>
      </c>
      <c r="K256" s="455">
        <v>46148</v>
      </c>
      <c r="U256" s="455">
        <v>46148</v>
      </c>
    </row>
    <row r="257" spans="1:21">
      <c r="A257" t="s">
        <v>1751</v>
      </c>
      <c r="B257" t="s">
        <v>10509</v>
      </c>
      <c r="C257" t="s">
        <v>1751</v>
      </c>
      <c r="D257">
        <v>20526646</v>
      </c>
      <c r="E257" t="s">
        <v>3128</v>
      </c>
      <c r="F257" t="s">
        <v>1782</v>
      </c>
      <c r="G257" t="s">
        <v>3134</v>
      </c>
      <c r="H257" t="s">
        <v>1252</v>
      </c>
      <c r="J257" s="455">
        <v>46157</v>
      </c>
      <c r="U257" s="455">
        <v>46209</v>
      </c>
    </row>
    <row r="258" spans="1:21">
      <c r="A258" t="s">
        <v>1751</v>
      </c>
      <c r="B258" t="s">
        <v>10510</v>
      </c>
      <c r="C258" t="s">
        <v>1751</v>
      </c>
      <c r="D258">
        <v>20539548</v>
      </c>
      <c r="E258" t="s">
        <v>3128</v>
      </c>
      <c r="F258" t="s">
        <v>1782</v>
      </c>
      <c r="G258" t="s">
        <v>3141</v>
      </c>
      <c r="H258" t="s">
        <v>1252</v>
      </c>
      <c r="J258" s="455">
        <v>46172</v>
      </c>
      <c r="U258" s="455">
        <v>46230</v>
      </c>
    </row>
    <row r="259" spans="1:21">
      <c r="A259" t="s">
        <v>1751</v>
      </c>
      <c r="B259" t="s">
        <v>3410</v>
      </c>
      <c r="C259" t="s">
        <v>1751</v>
      </c>
      <c r="D259">
        <v>20529554</v>
      </c>
      <c r="E259" t="s">
        <v>1897</v>
      </c>
      <c r="F259" t="s">
        <v>1241</v>
      </c>
      <c r="G259" t="s">
        <v>3134</v>
      </c>
      <c r="H259" t="s">
        <v>1247</v>
      </c>
      <c r="J259" s="455">
        <v>46160</v>
      </c>
      <c r="K259" s="455">
        <v>46160</v>
      </c>
      <c r="U259" s="455">
        <v>46213</v>
      </c>
    </row>
    <row r="260" spans="1:21">
      <c r="A260" t="s">
        <v>1751</v>
      </c>
      <c r="B260" t="s">
        <v>9652</v>
      </c>
      <c r="C260" t="s">
        <v>1751</v>
      </c>
      <c r="D260">
        <v>20506321</v>
      </c>
      <c r="E260" t="s">
        <v>3133</v>
      </c>
      <c r="F260" t="s">
        <v>1238</v>
      </c>
      <c r="G260" t="s">
        <v>3134</v>
      </c>
      <c r="H260" t="s">
        <v>1247</v>
      </c>
      <c r="I260" t="s">
        <v>2696</v>
      </c>
      <c r="J260" s="455">
        <v>46134</v>
      </c>
      <c r="K260" s="455">
        <v>46134</v>
      </c>
      <c r="L260" s="455">
        <v>46134</v>
      </c>
      <c r="M260" s="455">
        <v>46141</v>
      </c>
      <c r="N260" s="455">
        <v>46141</v>
      </c>
      <c r="P260" s="455">
        <v>46142</v>
      </c>
      <c r="Q260" s="455">
        <v>46142</v>
      </c>
      <c r="R260" s="455">
        <v>46146</v>
      </c>
      <c r="U260" s="455">
        <v>46142</v>
      </c>
    </row>
    <row r="261" spans="1:21">
      <c r="A261" t="s">
        <v>1751</v>
      </c>
      <c r="B261" t="s">
        <v>3412</v>
      </c>
      <c r="C261" t="s">
        <v>1751</v>
      </c>
      <c r="D261">
        <v>20533703</v>
      </c>
      <c r="E261" t="s">
        <v>1907</v>
      </c>
      <c r="F261" t="s">
        <v>1782</v>
      </c>
      <c r="G261" t="s">
        <v>3137</v>
      </c>
      <c r="H261" t="s">
        <v>1252</v>
      </c>
      <c r="I261" t="s">
        <v>1565</v>
      </c>
      <c r="J261" s="455">
        <v>46164</v>
      </c>
      <c r="K261" s="455">
        <v>46165</v>
      </c>
      <c r="L261" s="455">
        <v>46165</v>
      </c>
      <c r="U261" s="455">
        <v>46183</v>
      </c>
    </row>
    <row r="262" spans="1:21">
      <c r="A262" t="s">
        <v>1751</v>
      </c>
      <c r="B262" t="s">
        <v>10511</v>
      </c>
      <c r="C262" t="s">
        <v>1751</v>
      </c>
      <c r="D262">
        <v>20514374</v>
      </c>
      <c r="E262" t="s">
        <v>3190</v>
      </c>
      <c r="F262" t="s">
        <v>1242</v>
      </c>
      <c r="G262" t="s">
        <v>3134</v>
      </c>
      <c r="H262" t="s">
        <v>1247</v>
      </c>
      <c r="I262" t="s">
        <v>2395</v>
      </c>
      <c r="J262" s="455">
        <v>46143</v>
      </c>
      <c r="K262" s="455">
        <v>46143</v>
      </c>
      <c r="R262" s="455">
        <v>46158</v>
      </c>
      <c r="U262" s="455">
        <v>46217</v>
      </c>
    </row>
    <row r="263" spans="1:21">
      <c r="A263" t="s">
        <v>1751</v>
      </c>
      <c r="B263" t="s">
        <v>3416</v>
      </c>
      <c r="C263" t="s">
        <v>1751</v>
      </c>
      <c r="D263">
        <v>20534296</v>
      </c>
      <c r="E263" t="s">
        <v>1897</v>
      </c>
      <c r="F263" t="s">
        <v>1241</v>
      </c>
      <c r="G263" t="s">
        <v>3134</v>
      </c>
      <c r="H263" t="s">
        <v>1247</v>
      </c>
      <c r="I263" t="s">
        <v>1913</v>
      </c>
      <c r="J263" s="455">
        <v>46165</v>
      </c>
      <c r="K263" s="455">
        <v>46165</v>
      </c>
      <c r="U263" s="455">
        <v>46165</v>
      </c>
    </row>
    <row r="264" spans="1:21">
      <c r="A264" t="s">
        <v>1751</v>
      </c>
      <c r="B264" t="s">
        <v>3416</v>
      </c>
      <c r="C264" t="s">
        <v>1751</v>
      </c>
      <c r="D264">
        <v>20534171</v>
      </c>
      <c r="E264" t="s">
        <v>1897</v>
      </c>
      <c r="F264" t="s">
        <v>1241</v>
      </c>
      <c r="G264" t="s">
        <v>3134</v>
      </c>
      <c r="H264" t="s">
        <v>1247</v>
      </c>
      <c r="I264" t="s">
        <v>1913</v>
      </c>
      <c r="J264" s="455">
        <v>46165</v>
      </c>
      <c r="K264" s="455">
        <v>46165</v>
      </c>
      <c r="U264" s="455">
        <v>46165</v>
      </c>
    </row>
    <row r="265" spans="1:21">
      <c r="A265" t="s">
        <v>1751</v>
      </c>
      <c r="B265" t="s">
        <v>10512</v>
      </c>
      <c r="C265" t="s">
        <v>1751</v>
      </c>
      <c r="D265">
        <v>20528775</v>
      </c>
      <c r="E265" t="s">
        <v>3190</v>
      </c>
      <c r="F265" t="s">
        <v>1782</v>
      </c>
      <c r="G265" t="s">
        <v>3141</v>
      </c>
      <c r="H265" t="s">
        <v>1247</v>
      </c>
      <c r="J265" s="455">
        <v>46159</v>
      </c>
      <c r="R265" s="455">
        <v>46164</v>
      </c>
      <c r="U265" s="455">
        <v>46159</v>
      </c>
    </row>
    <row r="266" spans="1:21">
      <c r="A266" t="s">
        <v>1751</v>
      </c>
      <c r="B266" t="s">
        <v>3419</v>
      </c>
      <c r="C266" t="s">
        <v>1751</v>
      </c>
      <c r="D266">
        <v>20537677</v>
      </c>
      <c r="E266" t="s">
        <v>1897</v>
      </c>
      <c r="F266" t="s">
        <v>1782</v>
      </c>
      <c r="G266" t="s">
        <v>3134</v>
      </c>
      <c r="H266" t="s">
        <v>1247</v>
      </c>
      <c r="J266" s="455">
        <v>46170</v>
      </c>
      <c r="K266" s="455">
        <v>46170</v>
      </c>
      <c r="U266" s="455">
        <v>46220</v>
      </c>
    </row>
    <row r="267" spans="1:21">
      <c r="A267" t="s">
        <v>1751</v>
      </c>
      <c r="B267" t="s">
        <v>3419</v>
      </c>
      <c r="C267" t="s">
        <v>1751</v>
      </c>
      <c r="D267">
        <v>20537698</v>
      </c>
      <c r="E267" t="s">
        <v>1897</v>
      </c>
      <c r="F267" t="s">
        <v>1241</v>
      </c>
      <c r="G267" t="s">
        <v>3129</v>
      </c>
      <c r="H267" t="s">
        <v>3131</v>
      </c>
      <c r="J267" s="455">
        <v>46170</v>
      </c>
      <c r="K267" s="455">
        <v>46170</v>
      </c>
      <c r="U267" s="455">
        <v>46170</v>
      </c>
    </row>
    <row r="268" spans="1:21">
      <c r="A268" t="s">
        <v>1751</v>
      </c>
      <c r="B268" t="s">
        <v>10513</v>
      </c>
      <c r="C268" t="s">
        <v>1751</v>
      </c>
      <c r="D268">
        <v>20532971</v>
      </c>
      <c r="E268" t="s">
        <v>3128</v>
      </c>
      <c r="F268" t="s">
        <v>1241</v>
      </c>
      <c r="G268" t="s">
        <v>2009</v>
      </c>
      <c r="H268" t="s">
        <v>1252</v>
      </c>
      <c r="J268" s="455">
        <v>46163</v>
      </c>
      <c r="U268" s="455">
        <v>46172</v>
      </c>
    </row>
    <row r="269" spans="1:21">
      <c r="A269" t="s">
        <v>1751</v>
      </c>
      <c r="B269" t="s">
        <v>10514</v>
      </c>
      <c r="C269" t="s">
        <v>1751</v>
      </c>
      <c r="D269">
        <v>20536181</v>
      </c>
      <c r="E269" t="s">
        <v>3128</v>
      </c>
      <c r="F269" t="s">
        <v>1782</v>
      </c>
      <c r="G269" t="s">
        <v>3141</v>
      </c>
      <c r="H269" t="s">
        <v>1252</v>
      </c>
      <c r="J269" s="455">
        <v>46168</v>
      </c>
      <c r="U269" s="455">
        <v>46168</v>
      </c>
    </row>
    <row r="270" spans="1:21">
      <c r="A270" t="s">
        <v>1751</v>
      </c>
      <c r="B270" t="s">
        <v>10515</v>
      </c>
      <c r="C270" t="s">
        <v>1751</v>
      </c>
      <c r="D270">
        <v>20517492</v>
      </c>
      <c r="E270" t="s">
        <v>3190</v>
      </c>
      <c r="F270" t="s">
        <v>1241</v>
      </c>
      <c r="G270" t="s">
        <v>3134</v>
      </c>
      <c r="H270" t="s">
        <v>1252</v>
      </c>
      <c r="J270" s="455">
        <v>46147</v>
      </c>
      <c r="R270" s="455">
        <v>46164</v>
      </c>
      <c r="U270" s="455">
        <v>46153</v>
      </c>
    </row>
    <row r="271" spans="1:21">
      <c r="A271" t="s">
        <v>1751</v>
      </c>
      <c r="B271" t="s">
        <v>10516</v>
      </c>
      <c r="C271" t="s">
        <v>1751</v>
      </c>
      <c r="D271">
        <v>20516032</v>
      </c>
      <c r="E271" t="s">
        <v>3128</v>
      </c>
      <c r="F271" t="s">
        <v>1782</v>
      </c>
      <c r="G271" t="s">
        <v>3134</v>
      </c>
      <c r="H271" t="s">
        <v>1252</v>
      </c>
      <c r="J271" s="455">
        <v>46145</v>
      </c>
      <c r="U271" s="455">
        <v>46158</v>
      </c>
    </row>
    <row r="272" spans="1:21">
      <c r="A272" t="s">
        <v>1751</v>
      </c>
      <c r="B272" t="s">
        <v>10517</v>
      </c>
      <c r="C272" t="s">
        <v>1751</v>
      </c>
      <c r="D272">
        <v>20522355</v>
      </c>
      <c r="E272" t="s">
        <v>3190</v>
      </c>
      <c r="F272" t="s">
        <v>1782</v>
      </c>
      <c r="G272" t="s">
        <v>3129</v>
      </c>
      <c r="H272" t="s">
        <v>3377</v>
      </c>
      <c r="J272" s="455">
        <v>46153</v>
      </c>
      <c r="R272" s="455">
        <v>46164</v>
      </c>
      <c r="U272" s="455">
        <v>46153</v>
      </c>
    </row>
    <row r="273" spans="1:21">
      <c r="A273" t="s">
        <v>1751</v>
      </c>
      <c r="B273" t="s">
        <v>2673</v>
      </c>
      <c r="C273" t="s">
        <v>1751</v>
      </c>
      <c r="D273">
        <v>20496388</v>
      </c>
      <c r="E273" t="s">
        <v>3133</v>
      </c>
      <c r="F273" t="s">
        <v>3158</v>
      </c>
      <c r="G273" t="s">
        <v>3134</v>
      </c>
      <c r="H273" t="s">
        <v>1247</v>
      </c>
      <c r="I273" t="s">
        <v>1556</v>
      </c>
      <c r="J273" s="455">
        <v>46127</v>
      </c>
      <c r="K273" s="455">
        <v>46127</v>
      </c>
      <c r="R273" s="455">
        <v>46158</v>
      </c>
      <c r="U273" s="455">
        <v>46127</v>
      </c>
    </row>
    <row r="274" spans="1:21">
      <c r="A274" t="s">
        <v>1751</v>
      </c>
      <c r="B274" t="s">
        <v>10518</v>
      </c>
      <c r="C274" t="s">
        <v>1751</v>
      </c>
      <c r="D274">
        <v>20527880</v>
      </c>
      <c r="E274" t="s">
        <v>3133</v>
      </c>
      <c r="F274" t="s">
        <v>1241</v>
      </c>
      <c r="G274" t="s">
        <v>3134</v>
      </c>
      <c r="H274" t="s">
        <v>1247</v>
      </c>
      <c r="J274" s="455">
        <v>46157</v>
      </c>
      <c r="K274" s="455">
        <v>46157</v>
      </c>
      <c r="R274" s="455">
        <v>46164</v>
      </c>
      <c r="U274" s="455">
        <v>46157</v>
      </c>
    </row>
    <row r="275" spans="1:21">
      <c r="A275" t="s">
        <v>1751</v>
      </c>
      <c r="B275" t="s">
        <v>10518</v>
      </c>
      <c r="C275" t="s">
        <v>1751</v>
      </c>
      <c r="D275">
        <v>20527943</v>
      </c>
      <c r="E275" t="s">
        <v>3128</v>
      </c>
      <c r="F275" t="s">
        <v>1782</v>
      </c>
      <c r="G275" t="s">
        <v>2009</v>
      </c>
      <c r="H275" t="s">
        <v>1247</v>
      </c>
      <c r="J275" s="455">
        <v>46158</v>
      </c>
      <c r="U275" s="455">
        <v>46158</v>
      </c>
    </row>
    <row r="276" spans="1:21">
      <c r="A276" t="s">
        <v>1751</v>
      </c>
      <c r="B276" t="s">
        <v>10519</v>
      </c>
      <c r="C276" t="s">
        <v>1751</v>
      </c>
      <c r="D276">
        <v>20532885</v>
      </c>
      <c r="E276" t="s">
        <v>3128</v>
      </c>
      <c r="F276" t="s">
        <v>1782</v>
      </c>
      <c r="G276" t="s">
        <v>3134</v>
      </c>
      <c r="H276" t="s">
        <v>1252</v>
      </c>
      <c r="J276" s="455">
        <v>46163</v>
      </c>
      <c r="U276" s="455">
        <v>46164</v>
      </c>
    </row>
    <row r="277" spans="1:21">
      <c r="A277" t="s">
        <v>1751</v>
      </c>
      <c r="B277" t="s">
        <v>10520</v>
      </c>
      <c r="C277" t="s">
        <v>1751</v>
      </c>
      <c r="D277">
        <v>20531294</v>
      </c>
      <c r="E277" t="s">
        <v>3128</v>
      </c>
      <c r="F277" t="s">
        <v>1782</v>
      </c>
      <c r="G277" t="s">
        <v>3134</v>
      </c>
      <c r="H277" t="s">
        <v>1252</v>
      </c>
      <c r="J277" s="455">
        <v>46161</v>
      </c>
      <c r="U277" s="455">
        <v>46204</v>
      </c>
    </row>
    <row r="278" spans="1:21">
      <c r="A278" t="s">
        <v>1751</v>
      </c>
      <c r="B278" t="s">
        <v>9659</v>
      </c>
      <c r="C278" t="s">
        <v>1751</v>
      </c>
      <c r="D278">
        <v>20506295</v>
      </c>
      <c r="E278" t="s">
        <v>3133</v>
      </c>
      <c r="F278" t="s">
        <v>1799</v>
      </c>
      <c r="G278" t="s">
        <v>3129</v>
      </c>
      <c r="H278" t="s">
        <v>3377</v>
      </c>
      <c r="I278" t="s">
        <v>3265</v>
      </c>
      <c r="J278" s="455">
        <v>46134</v>
      </c>
      <c r="K278" s="455">
        <v>46136</v>
      </c>
      <c r="L278" s="455">
        <v>46136</v>
      </c>
      <c r="S278" s="455">
        <v>46148</v>
      </c>
      <c r="U278" s="455">
        <v>46150</v>
      </c>
    </row>
    <row r="279" spans="1:21">
      <c r="A279" t="s">
        <v>1751</v>
      </c>
      <c r="B279" t="s">
        <v>10521</v>
      </c>
      <c r="C279" t="s">
        <v>1751</v>
      </c>
      <c r="D279">
        <v>20533188</v>
      </c>
      <c r="E279" t="s">
        <v>3128</v>
      </c>
      <c r="F279" t="s">
        <v>1782</v>
      </c>
      <c r="G279" t="s">
        <v>3141</v>
      </c>
      <c r="H279" t="s">
        <v>1252</v>
      </c>
      <c r="J279" s="455">
        <v>46163</v>
      </c>
      <c r="U279" s="455">
        <v>46174</v>
      </c>
    </row>
    <row r="280" spans="1:21">
      <c r="A280" t="s">
        <v>1751</v>
      </c>
      <c r="B280" t="s">
        <v>10522</v>
      </c>
      <c r="C280" t="s">
        <v>1751</v>
      </c>
      <c r="D280">
        <v>20533907</v>
      </c>
      <c r="E280" t="s">
        <v>3128</v>
      </c>
      <c r="F280" t="s">
        <v>1782</v>
      </c>
      <c r="G280" t="s">
        <v>3134</v>
      </c>
      <c r="H280" t="s">
        <v>1252</v>
      </c>
      <c r="J280" s="455">
        <v>46164</v>
      </c>
      <c r="U280" s="455">
        <v>46169</v>
      </c>
    </row>
    <row r="281" spans="1:21">
      <c r="A281" t="s">
        <v>1751</v>
      </c>
      <c r="B281" t="s">
        <v>10523</v>
      </c>
      <c r="C281" t="s">
        <v>1751</v>
      </c>
      <c r="D281">
        <v>20535107</v>
      </c>
      <c r="E281" t="s">
        <v>3128</v>
      </c>
      <c r="F281" t="s">
        <v>1782</v>
      </c>
      <c r="G281" t="s">
        <v>3141</v>
      </c>
      <c r="H281" t="s">
        <v>1252</v>
      </c>
      <c r="J281" s="455">
        <v>46167</v>
      </c>
      <c r="U281" s="455">
        <v>46179</v>
      </c>
    </row>
    <row r="282" spans="1:21">
      <c r="A282" t="s">
        <v>1751</v>
      </c>
      <c r="B282" t="s">
        <v>3425</v>
      </c>
      <c r="C282" t="s">
        <v>1751</v>
      </c>
      <c r="D282">
        <v>20529055</v>
      </c>
      <c r="E282" t="s">
        <v>1901</v>
      </c>
      <c r="F282" t="s">
        <v>1238</v>
      </c>
      <c r="G282" t="s">
        <v>3134</v>
      </c>
      <c r="H282" t="s">
        <v>1247</v>
      </c>
      <c r="I282" t="s">
        <v>3426</v>
      </c>
      <c r="J282" s="455">
        <v>46160</v>
      </c>
      <c r="K282" s="455">
        <v>46160</v>
      </c>
      <c r="L282" s="455">
        <v>46160</v>
      </c>
      <c r="U282" s="455">
        <v>46178</v>
      </c>
    </row>
    <row r="283" spans="1:21">
      <c r="A283" t="s">
        <v>1751</v>
      </c>
      <c r="B283" t="s">
        <v>10524</v>
      </c>
      <c r="C283" t="s">
        <v>1751</v>
      </c>
      <c r="D283">
        <v>20531372</v>
      </c>
      <c r="E283" t="s">
        <v>3133</v>
      </c>
      <c r="F283" t="s">
        <v>1237</v>
      </c>
      <c r="G283" t="s">
        <v>3134</v>
      </c>
      <c r="H283" t="s">
        <v>1247</v>
      </c>
      <c r="I283" t="s">
        <v>2127</v>
      </c>
      <c r="J283" s="455">
        <v>46162</v>
      </c>
      <c r="K283" s="455">
        <v>46162</v>
      </c>
      <c r="L283" s="455">
        <v>46162</v>
      </c>
      <c r="S283" s="455">
        <v>46164</v>
      </c>
      <c r="U283" s="455">
        <v>46168</v>
      </c>
    </row>
    <row r="284" spans="1:21">
      <c r="A284" t="s">
        <v>1751</v>
      </c>
      <c r="B284" t="s">
        <v>10525</v>
      </c>
      <c r="C284" t="s">
        <v>1751</v>
      </c>
      <c r="D284">
        <v>20529321</v>
      </c>
      <c r="E284" t="s">
        <v>3133</v>
      </c>
      <c r="F284" t="s">
        <v>1237</v>
      </c>
      <c r="G284" t="s">
        <v>3134</v>
      </c>
      <c r="H284" t="s">
        <v>1247</v>
      </c>
      <c r="I284" t="s">
        <v>1808</v>
      </c>
      <c r="J284" s="455">
        <v>46160</v>
      </c>
      <c r="K284" s="455">
        <v>46160</v>
      </c>
      <c r="L284" s="455">
        <v>46160</v>
      </c>
      <c r="S284" s="455">
        <v>46162</v>
      </c>
      <c r="U284" s="455">
        <v>46178</v>
      </c>
    </row>
    <row r="285" spans="1:21">
      <c r="A285" t="s">
        <v>1751</v>
      </c>
      <c r="B285" t="s">
        <v>3432</v>
      </c>
      <c r="C285" t="s">
        <v>1751</v>
      </c>
      <c r="D285">
        <v>20524029</v>
      </c>
      <c r="E285" t="s">
        <v>1897</v>
      </c>
      <c r="F285" t="s">
        <v>1782</v>
      </c>
      <c r="G285" t="s">
        <v>3134</v>
      </c>
      <c r="H285" t="s">
        <v>1247</v>
      </c>
      <c r="J285" s="455">
        <v>46155</v>
      </c>
      <c r="K285" s="455">
        <v>46155</v>
      </c>
      <c r="U285" s="455">
        <v>46157</v>
      </c>
    </row>
    <row r="286" spans="1:21">
      <c r="A286" t="s">
        <v>1751</v>
      </c>
      <c r="B286" t="s">
        <v>3432</v>
      </c>
      <c r="C286" t="s">
        <v>1751</v>
      </c>
      <c r="D286">
        <v>20524075</v>
      </c>
      <c r="E286" t="s">
        <v>3133</v>
      </c>
      <c r="F286" t="s">
        <v>1782</v>
      </c>
      <c r="G286" t="s">
        <v>3134</v>
      </c>
      <c r="H286" t="s">
        <v>1247</v>
      </c>
      <c r="I286" t="s">
        <v>2131</v>
      </c>
      <c r="J286" s="455">
        <v>46155</v>
      </c>
      <c r="K286" s="455">
        <v>46155</v>
      </c>
      <c r="R286" s="455">
        <v>46164</v>
      </c>
      <c r="U286" s="455">
        <v>46157</v>
      </c>
    </row>
    <row r="287" spans="1:21">
      <c r="A287" t="s">
        <v>1751</v>
      </c>
      <c r="B287" t="s">
        <v>9669</v>
      </c>
      <c r="C287" t="s">
        <v>1751</v>
      </c>
      <c r="D287">
        <v>20516879</v>
      </c>
      <c r="E287" t="s">
        <v>3190</v>
      </c>
      <c r="F287" t="s">
        <v>1237</v>
      </c>
      <c r="G287" t="s">
        <v>3134</v>
      </c>
      <c r="H287" t="s">
        <v>1252</v>
      </c>
      <c r="J287" s="455">
        <v>46146</v>
      </c>
      <c r="R287" s="455">
        <v>46164</v>
      </c>
      <c r="U287" s="455">
        <v>46164</v>
      </c>
    </row>
    <row r="288" spans="1:21">
      <c r="A288" t="s">
        <v>1751</v>
      </c>
      <c r="B288" t="s">
        <v>10526</v>
      </c>
      <c r="C288" t="s">
        <v>1751</v>
      </c>
      <c r="D288">
        <v>20536085</v>
      </c>
      <c r="E288" t="s">
        <v>3128</v>
      </c>
      <c r="F288" t="s">
        <v>1241</v>
      </c>
      <c r="G288" t="s">
        <v>2009</v>
      </c>
      <c r="H288" t="s">
        <v>1248</v>
      </c>
      <c r="J288" s="455">
        <v>46168</v>
      </c>
      <c r="U288" s="455">
        <v>46168</v>
      </c>
    </row>
    <row r="289" spans="1:21">
      <c r="A289" t="s">
        <v>1751</v>
      </c>
      <c r="B289" t="s">
        <v>10527</v>
      </c>
      <c r="C289" t="s">
        <v>1751</v>
      </c>
      <c r="D289">
        <v>20528087</v>
      </c>
      <c r="E289" t="s">
        <v>3128</v>
      </c>
      <c r="F289" t="s">
        <v>1782</v>
      </c>
      <c r="G289" t="s">
        <v>3143</v>
      </c>
      <c r="H289" t="s">
        <v>3515</v>
      </c>
      <c r="I289" t="s">
        <v>3385</v>
      </c>
      <c r="J289" s="455">
        <v>46158</v>
      </c>
      <c r="U289" s="455">
        <v>46158</v>
      </c>
    </row>
    <row r="290" spans="1:21">
      <c r="A290" t="s">
        <v>1751</v>
      </c>
      <c r="B290" t="s">
        <v>10528</v>
      </c>
      <c r="C290" t="s">
        <v>1751</v>
      </c>
      <c r="D290">
        <v>20537750</v>
      </c>
      <c r="E290" t="s">
        <v>3128</v>
      </c>
      <c r="F290" t="s">
        <v>1782</v>
      </c>
      <c r="G290" t="s">
        <v>3141</v>
      </c>
      <c r="H290" t="s">
        <v>1252</v>
      </c>
      <c r="J290" s="455">
        <v>46170</v>
      </c>
      <c r="U290" s="455">
        <v>46186</v>
      </c>
    </row>
    <row r="291" spans="1:21">
      <c r="A291" t="s">
        <v>1751</v>
      </c>
      <c r="B291" t="s">
        <v>10529</v>
      </c>
      <c r="C291" t="s">
        <v>1751</v>
      </c>
      <c r="D291">
        <v>20528705</v>
      </c>
      <c r="E291" t="s">
        <v>3128</v>
      </c>
      <c r="F291" t="s">
        <v>1782</v>
      </c>
      <c r="G291" t="s">
        <v>3141</v>
      </c>
      <c r="H291" t="s">
        <v>1252</v>
      </c>
      <c r="J291" s="455">
        <v>46159</v>
      </c>
      <c r="U291" s="455">
        <v>46254</v>
      </c>
    </row>
    <row r="292" spans="1:21">
      <c r="A292" t="s">
        <v>1751</v>
      </c>
      <c r="B292" t="s">
        <v>3437</v>
      </c>
      <c r="C292" t="s">
        <v>1751</v>
      </c>
      <c r="D292">
        <v>20538729</v>
      </c>
      <c r="E292" t="s">
        <v>1897</v>
      </c>
      <c r="F292" t="s">
        <v>1241</v>
      </c>
      <c r="G292" t="s">
        <v>3134</v>
      </c>
      <c r="H292" t="s">
        <v>1247</v>
      </c>
      <c r="I292" t="s">
        <v>2413</v>
      </c>
      <c r="J292" s="455">
        <v>46171</v>
      </c>
      <c r="K292" s="455">
        <v>46171</v>
      </c>
      <c r="U292" s="455">
        <v>46210</v>
      </c>
    </row>
    <row r="293" spans="1:21">
      <c r="A293" t="s">
        <v>1751</v>
      </c>
      <c r="B293" t="s">
        <v>10530</v>
      </c>
      <c r="C293" t="s">
        <v>1751</v>
      </c>
      <c r="D293">
        <v>20535071</v>
      </c>
      <c r="E293" t="s">
        <v>3128</v>
      </c>
      <c r="F293" t="s">
        <v>1782</v>
      </c>
      <c r="G293" t="s">
        <v>3141</v>
      </c>
      <c r="H293" t="s">
        <v>1252</v>
      </c>
      <c r="J293" s="455">
        <v>46167</v>
      </c>
      <c r="U293" s="455">
        <v>46234</v>
      </c>
    </row>
    <row r="294" spans="1:21">
      <c r="A294" t="s">
        <v>1751</v>
      </c>
      <c r="B294" t="s">
        <v>10531</v>
      </c>
      <c r="C294" t="s">
        <v>1751</v>
      </c>
      <c r="D294">
        <v>20529259</v>
      </c>
      <c r="E294" t="s">
        <v>3128</v>
      </c>
      <c r="F294" t="s">
        <v>1782</v>
      </c>
      <c r="G294" t="s">
        <v>3141</v>
      </c>
      <c r="H294" t="s">
        <v>1252</v>
      </c>
      <c r="J294" s="455">
        <v>46160</v>
      </c>
      <c r="U294" s="455">
        <v>46220</v>
      </c>
    </row>
    <row r="295" spans="1:21">
      <c r="A295" t="s">
        <v>1751</v>
      </c>
      <c r="B295" t="s">
        <v>10531</v>
      </c>
      <c r="C295" t="s">
        <v>1751</v>
      </c>
      <c r="D295">
        <v>20529258</v>
      </c>
      <c r="E295" t="s">
        <v>3128</v>
      </c>
      <c r="F295" t="s">
        <v>1782</v>
      </c>
      <c r="G295" t="s">
        <v>3134</v>
      </c>
      <c r="H295" t="s">
        <v>1252</v>
      </c>
      <c r="J295" s="455">
        <v>46160</v>
      </c>
      <c r="U295" s="455">
        <v>46220</v>
      </c>
    </row>
    <row r="296" spans="1:21">
      <c r="A296" t="s">
        <v>1751</v>
      </c>
      <c r="B296" t="s">
        <v>10532</v>
      </c>
      <c r="C296" t="s">
        <v>1751</v>
      </c>
      <c r="D296">
        <v>20528736</v>
      </c>
      <c r="E296" t="s">
        <v>3128</v>
      </c>
      <c r="F296" t="s">
        <v>1782</v>
      </c>
      <c r="G296" t="s">
        <v>3129</v>
      </c>
      <c r="H296" t="s">
        <v>1252</v>
      </c>
      <c r="J296" s="455">
        <v>46159</v>
      </c>
      <c r="U296" s="455">
        <v>46159</v>
      </c>
    </row>
    <row r="297" spans="1:21">
      <c r="A297" t="s">
        <v>1751</v>
      </c>
      <c r="B297" t="s">
        <v>9685</v>
      </c>
      <c r="C297" t="s">
        <v>1751</v>
      </c>
      <c r="D297">
        <v>20503653</v>
      </c>
      <c r="E297" t="s">
        <v>3133</v>
      </c>
      <c r="F297" t="s">
        <v>1241</v>
      </c>
      <c r="G297" t="s">
        <v>3134</v>
      </c>
      <c r="H297" t="s">
        <v>1247</v>
      </c>
      <c r="I297" t="s">
        <v>6998</v>
      </c>
      <c r="J297" s="455">
        <v>46132</v>
      </c>
      <c r="K297" s="455">
        <v>46132</v>
      </c>
      <c r="R297" s="455">
        <v>46151</v>
      </c>
      <c r="U297" s="455">
        <v>46136</v>
      </c>
    </row>
    <row r="298" spans="1:21">
      <c r="A298" t="s">
        <v>1751</v>
      </c>
      <c r="B298" t="s">
        <v>9685</v>
      </c>
      <c r="C298" t="s">
        <v>1751</v>
      </c>
      <c r="D298">
        <v>20502993</v>
      </c>
      <c r="E298" t="s">
        <v>3133</v>
      </c>
      <c r="F298" t="s">
        <v>1237</v>
      </c>
      <c r="G298" t="s">
        <v>3143</v>
      </c>
      <c r="H298" t="s">
        <v>1252</v>
      </c>
      <c r="I298" t="s">
        <v>2134</v>
      </c>
      <c r="J298" s="455">
        <v>46132</v>
      </c>
      <c r="K298" s="455">
        <v>46132</v>
      </c>
      <c r="L298" s="455">
        <v>46132</v>
      </c>
      <c r="R298" s="455">
        <v>46143</v>
      </c>
      <c r="U298" s="455">
        <v>46141</v>
      </c>
    </row>
    <row r="299" spans="1:21">
      <c r="A299" t="s">
        <v>1751</v>
      </c>
      <c r="B299" t="s">
        <v>3450</v>
      </c>
      <c r="C299" t="s">
        <v>1751</v>
      </c>
      <c r="D299">
        <v>20521087</v>
      </c>
      <c r="E299" t="s">
        <v>1897</v>
      </c>
      <c r="F299" t="s">
        <v>1241</v>
      </c>
      <c r="G299" t="s">
        <v>3134</v>
      </c>
      <c r="H299" t="s">
        <v>1248</v>
      </c>
      <c r="I299" t="s">
        <v>3264</v>
      </c>
      <c r="J299" s="455">
        <v>46151</v>
      </c>
      <c r="K299" s="455">
        <v>46151</v>
      </c>
      <c r="U299" s="455">
        <v>46179</v>
      </c>
    </row>
    <row r="300" spans="1:21">
      <c r="A300" t="s">
        <v>1751</v>
      </c>
      <c r="B300" t="s">
        <v>10533</v>
      </c>
      <c r="C300" t="s">
        <v>1751</v>
      </c>
      <c r="D300">
        <v>20529266</v>
      </c>
      <c r="E300" t="s">
        <v>3128</v>
      </c>
      <c r="F300" t="s">
        <v>1782</v>
      </c>
      <c r="G300" t="s">
        <v>3134</v>
      </c>
      <c r="H300" t="s">
        <v>3165</v>
      </c>
      <c r="J300" s="455">
        <v>46160</v>
      </c>
      <c r="U300" s="455">
        <v>46161</v>
      </c>
    </row>
    <row r="301" spans="1:21">
      <c r="A301" t="s">
        <v>1751</v>
      </c>
      <c r="B301" t="s">
        <v>10534</v>
      </c>
      <c r="C301" t="s">
        <v>1751</v>
      </c>
      <c r="D301">
        <v>20521062</v>
      </c>
      <c r="E301" t="s">
        <v>3128</v>
      </c>
      <c r="F301" t="s">
        <v>1782</v>
      </c>
      <c r="G301" t="s">
        <v>3129</v>
      </c>
      <c r="H301" t="s">
        <v>1253</v>
      </c>
      <c r="J301" s="455">
        <v>46151</v>
      </c>
      <c r="U301" s="455">
        <v>46151</v>
      </c>
    </row>
    <row r="302" spans="1:21">
      <c r="A302" t="s">
        <v>1751</v>
      </c>
      <c r="B302" t="s">
        <v>10535</v>
      </c>
      <c r="C302" t="s">
        <v>1751</v>
      </c>
      <c r="D302">
        <v>20537746</v>
      </c>
      <c r="E302" t="s">
        <v>3128</v>
      </c>
      <c r="F302" t="s">
        <v>1782</v>
      </c>
      <c r="G302" t="s">
        <v>3137</v>
      </c>
      <c r="H302" t="s">
        <v>1252</v>
      </c>
      <c r="J302" s="455">
        <v>46170</v>
      </c>
      <c r="U302" s="455">
        <v>46186</v>
      </c>
    </row>
    <row r="303" spans="1:21">
      <c r="A303" t="s">
        <v>1751</v>
      </c>
      <c r="B303" t="s">
        <v>10536</v>
      </c>
      <c r="C303" t="s">
        <v>1751</v>
      </c>
      <c r="D303">
        <v>20531627</v>
      </c>
      <c r="E303" t="s">
        <v>3128</v>
      </c>
      <c r="F303" t="s">
        <v>1782</v>
      </c>
      <c r="G303" t="s">
        <v>3141</v>
      </c>
      <c r="H303" t="s">
        <v>1252</v>
      </c>
      <c r="J303" s="455">
        <v>46162</v>
      </c>
      <c r="U303" s="455">
        <v>46163</v>
      </c>
    </row>
    <row r="304" spans="1:21">
      <c r="A304" t="s">
        <v>1751</v>
      </c>
      <c r="B304" t="s">
        <v>10537</v>
      </c>
      <c r="C304" t="s">
        <v>1751</v>
      </c>
      <c r="D304">
        <v>20517089</v>
      </c>
      <c r="E304" t="s">
        <v>3190</v>
      </c>
      <c r="F304" t="s">
        <v>1782</v>
      </c>
      <c r="G304" t="s">
        <v>3141</v>
      </c>
      <c r="H304" t="s">
        <v>1252</v>
      </c>
      <c r="J304" s="455">
        <v>46146</v>
      </c>
      <c r="R304" s="455">
        <v>46164</v>
      </c>
      <c r="U304" s="455">
        <v>46173</v>
      </c>
    </row>
    <row r="305" spans="1:21">
      <c r="A305" t="s">
        <v>1751</v>
      </c>
      <c r="B305" t="s">
        <v>10538</v>
      </c>
      <c r="C305" t="s">
        <v>1751</v>
      </c>
      <c r="D305">
        <v>20520775</v>
      </c>
      <c r="E305" t="s">
        <v>3128</v>
      </c>
      <c r="F305" t="s">
        <v>1238</v>
      </c>
      <c r="G305" t="s">
        <v>2009</v>
      </c>
      <c r="H305" t="s">
        <v>1247</v>
      </c>
      <c r="J305" s="455">
        <v>46151</v>
      </c>
      <c r="U305" s="455">
        <v>46151</v>
      </c>
    </row>
    <row r="306" spans="1:21">
      <c r="A306" t="s">
        <v>1751</v>
      </c>
      <c r="B306" t="s">
        <v>4468</v>
      </c>
      <c r="C306" t="s">
        <v>1751</v>
      </c>
      <c r="D306">
        <v>20507865</v>
      </c>
      <c r="E306" t="s">
        <v>3142</v>
      </c>
      <c r="F306" t="s">
        <v>1799</v>
      </c>
      <c r="G306" t="s">
        <v>3129</v>
      </c>
      <c r="H306" t="s">
        <v>3515</v>
      </c>
      <c r="I306" t="s">
        <v>1551</v>
      </c>
      <c r="J306" s="455">
        <v>46135</v>
      </c>
      <c r="K306" s="455">
        <v>46135</v>
      </c>
      <c r="L306" s="455">
        <v>46135</v>
      </c>
      <c r="M306" s="455">
        <v>46169</v>
      </c>
      <c r="N306" s="455">
        <v>46169</v>
      </c>
      <c r="O306" s="455">
        <v>46170</v>
      </c>
      <c r="P306" s="455">
        <v>46170</v>
      </c>
      <c r="Q306" s="455">
        <v>46170</v>
      </c>
      <c r="T306" s="455">
        <v>46168</v>
      </c>
      <c r="U306" s="455">
        <v>46200</v>
      </c>
    </row>
    <row r="307" spans="1:21">
      <c r="A307" t="s">
        <v>1751</v>
      </c>
      <c r="B307" t="s">
        <v>10539</v>
      </c>
      <c r="C307" t="s">
        <v>1751</v>
      </c>
      <c r="D307">
        <v>20516444</v>
      </c>
      <c r="E307" t="s">
        <v>3128</v>
      </c>
      <c r="F307" t="s">
        <v>1782</v>
      </c>
      <c r="G307" t="s">
        <v>3134</v>
      </c>
      <c r="H307" t="s">
        <v>1252</v>
      </c>
      <c r="J307" s="455">
        <v>46146</v>
      </c>
      <c r="U307" s="455">
        <v>46147</v>
      </c>
    </row>
    <row r="308" spans="1:21">
      <c r="A308" t="s">
        <v>1751</v>
      </c>
      <c r="B308" t="s">
        <v>10540</v>
      </c>
      <c r="C308" t="s">
        <v>1751</v>
      </c>
      <c r="D308">
        <v>20524946</v>
      </c>
      <c r="E308" t="s">
        <v>3190</v>
      </c>
      <c r="F308" t="s">
        <v>1782</v>
      </c>
      <c r="G308" t="s">
        <v>3137</v>
      </c>
      <c r="H308" t="s">
        <v>1252</v>
      </c>
      <c r="J308" s="455">
        <v>46155</v>
      </c>
      <c r="R308" s="455">
        <v>46164</v>
      </c>
      <c r="U308" s="455">
        <v>46169</v>
      </c>
    </row>
    <row r="309" spans="1:21">
      <c r="A309" t="s">
        <v>1751</v>
      </c>
      <c r="B309" t="s">
        <v>10541</v>
      </c>
      <c r="C309" t="s">
        <v>1751</v>
      </c>
      <c r="D309">
        <v>20533016</v>
      </c>
      <c r="E309" t="s">
        <v>3190</v>
      </c>
      <c r="F309" t="s">
        <v>1239</v>
      </c>
      <c r="G309" t="s">
        <v>3143</v>
      </c>
      <c r="H309" t="s">
        <v>1251</v>
      </c>
      <c r="I309" t="s">
        <v>1952</v>
      </c>
      <c r="J309" s="455">
        <v>46163</v>
      </c>
      <c r="R309" s="455">
        <v>46164</v>
      </c>
      <c r="U309" s="455">
        <v>46163</v>
      </c>
    </row>
    <row r="310" spans="1:21">
      <c r="A310" t="s">
        <v>1751</v>
      </c>
      <c r="B310" t="s">
        <v>10542</v>
      </c>
      <c r="C310" t="s">
        <v>1751</v>
      </c>
      <c r="D310">
        <v>20540280</v>
      </c>
      <c r="E310" t="s">
        <v>3128</v>
      </c>
      <c r="F310" t="s">
        <v>1241</v>
      </c>
      <c r="G310" t="s">
        <v>2009</v>
      </c>
      <c r="H310" t="s">
        <v>1252</v>
      </c>
      <c r="J310" s="455">
        <v>46173</v>
      </c>
      <c r="U310" s="455">
        <v>46204</v>
      </c>
    </row>
    <row r="311" spans="1:21">
      <c r="A311" t="s">
        <v>1751</v>
      </c>
      <c r="B311" t="s">
        <v>10543</v>
      </c>
      <c r="C311" t="s">
        <v>1751</v>
      </c>
      <c r="D311">
        <v>20535620</v>
      </c>
      <c r="E311" t="s">
        <v>3128</v>
      </c>
      <c r="F311" t="s">
        <v>1241</v>
      </c>
      <c r="G311" t="s">
        <v>2009</v>
      </c>
      <c r="H311" t="s">
        <v>1248</v>
      </c>
      <c r="J311" s="455">
        <v>46168</v>
      </c>
      <c r="U311" s="455">
        <v>46168</v>
      </c>
    </row>
    <row r="312" spans="1:21">
      <c r="A312" t="s">
        <v>1751</v>
      </c>
      <c r="B312" t="s">
        <v>10544</v>
      </c>
      <c r="C312" t="s">
        <v>1751</v>
      </c>
      <c r="D312">
        <v>20536921</v>
      </c>
      <c r="E312" t="s">
        <v>3128</v>
      </c>
      <c r="F312" t="s">
        <v>1782</v>
      </c>
      <c r="G312" t="s">
        <v>3134</v>
      </c>
      <c r="H312" t="s">
        <v>1252</v>
      </c>
      <c r="J312" s="455">
        <v>46169</v>
      </c>
      <c r="U312" s="455">
        <v>46170</v>
      </c>
    </row>
    <row r="313" spans="1:21">
      <c r="A313" t="s">
        <v>1751</v>
      </c>
      <c r="B313" t="s">
        <v>10545</v>
      </c>
      <c r="C313" t="s">
        <v>1751</v>
      </c>
      <c r="D313">
        <v>20535888</v>
      </c>
      <c r="E313" t="s">
        <v>3128</v>
      </c>
      <c r="F313" t="s">
        <v>9896</v>
      </c>
      <c r="G313" t="s">
        <v>3143</v>
      </c>
      <c r="H313" t="s">
        <v>1252</v>
      </c>
      <c r="J313" s="455">
        <v>46168</v>
      </c>
      <c r="U313" s="455">
        <v>46168</v>
      </c>
    </row>
    <row r="314" spans="1:21">
      <c r="A314" t="s">
        <v>1751</v>
      </c>
      <c r="B314" t="s">
        <v>10546</v>
      </c>
      <c r="C314" t="s">
        <v>1751</v>
      </c>
      <c r="D314">
        <v>20528476</v>
      </c>
      <c r="E314" t="s">
        <v>3128</v>
      </c>
      <c r="F314" t="s">
        <v>1782</v>
      </c>
      <c r="G314" t="s">
        <v>3141</v>
      </c>
      <c r="H314" t="s">
        <v>1252</v>
      </c>
      <c r="J314" s="455">
        <v>46158</v>
      </c>
      <c r="U314" s="455">
        <v>46219</v>
      </c>
    </row>
    <row r="315" spans="1:21">
      <c r="A315" t="s">
        <v>1751</v>
      </c>
      <c r="B315" t="s">
        <v>1959</v>
      </c>
      <c r="C315" t="s">
        <v>1751</v>
      </c>
      <c r="D315">
        <v>20475518</v>
      </c>
      <c r="E315" t="s">
        <v>3133</v>
      </c>
      <c r="F315" t="s">
        <v>1241</v>
      </c>
      <c r="G315" t="s">
        <v>3134</v>
      </c>
      <c r="H315" t="s">
        <v>1247</v>
      </c>
      <c r="I315" t="s">
        <v>1958</v>
      </c>
      <c r="J315" s="455">
        <v>46099</v>
      </c>
      <c r="K315" s="455">
        <v>46099</v>
      </c>
      <c r="R315" s="455">
        <v>46146</v>
      </c>
      <c r="U315" s="455">
        <v>46157</v>
      </c>
    </row>
    <row r="316" spans="1:21">
      <c r="A316" t="s">
        <v>1751</v>
      </c>
      <c r="B316" t="s">
        <v>10547</v>
      </c>
      <c r="C316" t="s">
        <v>1751</v>
      </c>
      <c r="D316">
        <v>20539068</v>
      </c>
      <c r="E316" t="s">
        <v>3128</v>
      </c>
      <c r="F316" t="s">
        <v>1782</v>
      </c>
      <c r="G316" t="s">
        <v>3141</v>
      </c>
      <c r="H316" t="s">
        <v>1247</v>
      </c>
      <c r="J316" s="455">
        <v>46171</v>
      </c>
      <c r="U316" s="455">
        <v>46171</v>
      </c>
    </row>
    <row r="317" spans="1:21">
      <c r="A317" t="s">
        <v>1751</v>
      </c>
      <c r="B317" t="s">
        <v>3473</v>
      </c>
      <c r="C317" t="s">
        <v>1751</v>
      </c>
      <c r="D317">
        <v>20513499</v>
      </c>
      <c r="E317" t="s">
        <v>1897</v>
      </c>
      <c r="F317" t="s">
        <v>1237</v>
      </c>
      <c r="G317" t="s">
        <v>3143</v>
      </c>
      <c r="H317" t="s">
        <v>1249</v>
      </c>
      <c r="J317" s="455">
        <v>46142</v>
      </c>
      <c r="K317" s="455">
        <v>46160</v>
      </c>
      <c r="U317" s="455">
        <v>46223</v>
      </c>
    </row>
    <row r="318" spans="1:21">
      <c r="A318" t="s">
        <v>1751</v>
      </c>
      <c r="B318" t="s">
        <v>10548</v>
      </c>
      <c r="C318" t="s">
        <v>1751</v>
      </c>
      <c r="D318">
        <v>20534950</v>
      </c>
      <c r="E318" t="s">
        <v>3128</v>
      </c>
      <c r="F318" t="s">
        <v>1782</v>
      </c>
      <c r="G318" t="s">
        <v>3134</v>
      </c>
      <c r="H318" t="s">
        <v>1252</v>
      </c>
      <c r="J318" s="455">
        <v>46166</v>
      </c>
      <c r="U318" s="455">
        <v>46218</v>
      </c>
    </row>
    <row r="319" spans="1:21">
      <c r="A319" t="s">
        <v>1751</v>
      </c>
      <c r="B319" t="s">
        <v>10549</v>
      </c>
      <c r="C319" t="s">
        <v>1751</v>
      </c>
      <c r="D319">
        <v>20516977</v>
      </c>
      <c r="E319" t="s">
        <v>3128</v>
      </c>
      <c r="F319" t="s">
        <v>1782</v>
      </c>
      <c r="G319" t="s">
        <v>3137</v>
      </c>
      <c r="H319" t="s">
        <v>1252</v>
      </c>
      <c r="J319" s="455">
        <v>46146</v>
      </c>
      <c r="U319" s="455">
        <v>46344</v>
      </c>
    </row>
    <row r="320" spans="1:21">
      <c r="A320" t="s">
        <v>1751</v>
      </c>
      <c r="B320" t="s">
        <v>3475</v>
      </c>
      <c r="C320" t="s">
        <v>1751</v>
      </c>
      <c r="D320">
        <v>20528975</v>
      </c>
      <c r="E320" t="s">
        <v>1897</v>
      </c>
      <c r="F320" t="s">
        <v>1782</v>
      </c>
      <c r="G320" t="s">
        <v>3134</v>
      </c>
      <c r="H320" t="s">
        <v>1247</v>
      </c>
      <c r="I320" t="s">
        <v>3202</v>
      </c>
      <c r="J320" s="455">
        <v>46159</v>
      </c>
      <c r="K320" s="455">
        <v>46159</v>
      </c>
      <c r="U320" s="455">
        <v>46160</v>
      </c>
    </row>
    <row r="321" spans="1:21">
      <c r="A321" t="s">
        <v>1751</v>
      </c>
      <c r="B321" t="s">
        <v>3476</v>
      </c>
      <c r="C321" t="s">
        <v>1751</v>
      </c>
      <c r="D321">
        <v>20528978</v>
      </c>
      <c r="E321" t="s">
        <v>1897</v>
      </c>
      <c r="F321" t="s">
        <v>1782</v>
      </c>
      <c r="G321" t="s">
        <v>3134</v>
      </c>
      <c r="H321" t="s">
        <v>1247</v>
      </c>
      <c r="I321" t="s">
        <v>3200</v>
      </c>
      <c r="J321" s="455">
        <v>46159</v>
      </c>
      <c r="K321" s="455">
        <v>46159</v>
      </c>
      <c r="U321" s="455">
        <v>46160</v>
      </c>
    </row>
    <row r="322" spans="1:21">
      <c r="A322" t="s">
        <v>1751</v>
      </c>
      <c r="B322" t="s">
        <v>6895</v>
      </c>
      <c r="C322" t="s">
        <v>1751</v>
      </c>
      <c r="D322">
        <v>20519497</v>
      </c>
      <c r="E322" t="s">
        <v>3142</v>
      </c>
      <c r="F322" t="s">
        <v>1239</v>
      </c>
      <c r="G322" t="s">
        <v>3141</v>
      </c>
      <c r="H322" t="s">
        <v>1249</v>
      </c>
      <c r="I322" t="s">
        <v>6894</v>
      </c>
      <c r="J322" s="455">
        <v>46149</v>
      </c>
      <c r="K322" s="455">
        <v>46150</v>
      </c>
      <c r="L322" s="455">
        <v>46150</v>
      </c>
      <c r="M322" s="455">
        <v>46154</v>
      </c>
      <c r="N322" s="455">
        <v>46154</v>
      </c>
      <c r="P322" s="455">
        <v>46156</v>
      </c>
      <c r="Q322" s="455">
        <v>46156</v>
      </c>
      <c r="U322" s="455">
        <v>46171</v>
      </c>
    </row>
    <row r="323" spans="1:21">
      <c r="A323" t="s">
        <v>1751</v>
      </c>
      <c r="B323" t="s">
        <v>10550</v>
      </c>
      <c r="C323" t="s">
        <v>1751</v>
      </c>
      <c r="D323">
        <v>20524323</v>
      </c>
      <c r="E323" t="s">
        <v>3190</v>
      </c>
      <c r="F323" t="s">
        <v>1782</v>
      </c>
      <c r="G323" t="s">
        <v>3141</v>
      </c>
      <c r="H323" t="s">
        <v>1252</v>
      </c>
      <c r="J323" s="455">
        <v>46155</v>
      </c>
      <c r="R323" s="455">
        <v>46164</v>
      </c>
      <c r="U323" s="455">
        <v>46156</v>
      </c>
    </row>
    <row r="324" spans="1:21">
      <c r="A324" t="s">
        <v>1751</v>
      </c>
      <c r="B324" t="s">
        <v>10551</v>
      </c>
      <c r="C324" t="s">
        <v>1751</v>
      </c>
      <c r="D324">
        <v>20534781</v>
      </c>
      <c r="E324" t="s">
        <v>3128</v>
      </c>
      <c r="F324" t="s">
        <v>1782</v>
      </c>
      <c r="G324" t="s">
        <v>3129</v>
      </c>
      <c r="H324" t="s">
        <v>3131</v>
      </c>
      <c r="J324" s="455">
        <v>46166</v>
      </c>
      <c r="U324" s="455">
        <v>46166</v>
      </c>
    </row>
    <row r="325" spans="1:21">
      <c r="A325" t="s">
        <v>1751</v>
      </c>
      <c r="B325" t="s">
        <v>10552</v>
      </c>
      <c r="C325" t="s">
        <v>1751</v>
      </c>
      <c r="D325">
        <v>20535823</v>
      </c>
      <c r="E325" t="s">
        <v>3128</v>
      </c>
      <c r="F325" t="s">
        <v>1237</v>
      </c>
      <c r="G325" t="s">
        <v>2009</v>
      </c>
      <c r="H325" t="s">
        <v>1249</v>
      </c>
      <c r="J325" s="455">
        <v>46168</v>
      </c>
      <c r="U325" s="455">
        <v>46168</v>
      </c>
    </row>
    <row r="326" spans="1:21">
      <c r="A326" t="s">
        <v>1751</v>
      </c>
      <c r="B326" t="s">
        <v>10552</v>
      </c>
      <c r="C326" t="s">
        <v>1751</v>
      </c>
      <c r="D326">
        <v>20532687</v>
      </c>
      <c r="E326" t="s">
        <v>3190</v>
      </c>
      <c r="F326" t="s">
        <v>1237</v>
      </c>
      <c r="G326" t="s">
        <v>3143</v>
      </c>
      <c r="H326" t="s">
        <v>1249</v>
      </c>
      <c r="J326" s="455">
        <v>46163</v>
      </c>
      <c r="R326" s="455">
        <v>46164</v>
      </c>
      <c r="U326" s="455">
        <v>46163</v>
      </c>
    </row>
    <row r="327" spans="1:21">
      <c r="A327" t="s">
        <v>1751</v>
      </c>
      <c r="B327" t="s">
        <v>10553</v>
      </c>
      <c r="C327" t="s">
        <v>1751</v>
      </c>
      <c r="D327">
        <v>20532146</v>
      </c>
      <c r="E327" t="s">
        <v>3128</v>
      </c>
      <c r="F327" t="s">
        <v>1238</v>
      </c>
      <c r="G327" t="s">
        <v>3143</v>
      </c>
      <c r="H327" t="s">
        <v>1249</v>
      </c>
      <c r="J327" s="455">
        <v>46162</v>
      </c>
      <c r="U327" s="455">
        <v>46195</v>
      </c>
    </row>
    <row r="328" spans="1:21">
      <c r="A328" t="s">
        <v>1751</v>
      </c>
      <c r="B328" t="s">
        <v>10554</v>
      </c>
      <c r="C328" t="s">
        <v>1751</v>
      </c>
      <c r="D328">
        <v>20526324</v>
      </c>
      <c r="E328" t="s">
        <v>3190</v>
      </c>
      <c r="F328" t="s">
        <v>1241</v>
      </c>
      <c r="G328" t="s">
        <v>3141</v>
      </c>
      <c r="H328" t="s">
        <v>1252</v>
      </c>
      <c r="J328" s="455">
        <v>46156</v>
      </c>
      <c r="R328" s="455">
        <v>46164</v>
      </c>
      <c r="U328" s="455">
        <v>46203</v>
      </c>
    </row>
    <row r="329" spans="1:21">
      <c r="A329" t="s">
        <v>1751</v>
      </c>
      <c r="B329" t="s">
        <v>9715</v>
      </c>
      <c r="C329" t="s">
        <v>1751</v>
      </c>
      <c r="D329">
        <v>20511883</v>
      </c>
      <c r="E329" t="s">
        <v>3190</v>
      </c>
      <c r="F329" t="s">
        <v>1242</v>
      </c>
      <c r="G329" t="s">
        <v>3137</v>
      </c>
      <c r="H329" t="s">
        <v>3165</v>
      </c>
      <c r="J329" s="455">
        <v>46140</v>
      </c>
      <c r="R329" s="455">
        <v>46164</v>
      </c>
      <c r="U329" s="455">
        <v>46174</v>
      </c>
    </row>
    <row r="330" spans="1:21">
      <c r="A330" t="s">
        <v>1751</v>
      </c>
      <c r="B330" t="s">
        <v>10555</v>
      </c>
      <c r="C330" t="s">
        <v>1751</v>
      </c>
      <c r="D330">
        <v>20523279</v>
      </c>
      <c r="E330" t="s">
        <v>3128</v>
      </c>
      <c r="F330" t="s">
        <v>1242</v>
      </c>
      <c r="G330" t="s">
        <v>3143</v>
      </c>
      <c r="H330" t="s">
        <v>1248</v>
      </c>
      <c r="I330" t="s">
        <v>1952</v>
      </c>
      <c r="J330" s="455">
        <v>46154</v>
      </c>
      <c r="U330" s="455">
        <v>46169</v>
      </c>
    </row>
    <row r="331" spans="1:21">
      <c r="A331" t="s">
        <v>1751</v>
      </c>
      <c r="B331" t="s">
        <v>10556</v>
      </c>
      <c r="C331" t="s">
        <v>1751</v>
      </c>
      <c r="D331">
        <v>20526466</v>
      </c>
      <c r="E331" t="s">
        <v>3128</v>
      </c>
      <c r="F331" t="s">
        <v>1242</v>
      </c>
      <c r="G331" t="s">
        <v>3134</v>
      </c>
      <c r="H331" t="s">
        <v>3165</v>
      </c>
      <c r="J331" s="455">
        <v>46156</v>
      </c>
      <c r="U331" s="455">
        <v>46203</v>
      </c>
    </row>
    <row r="332" spans="1:21">
      <c r="A332" t="s">
        <v>1751</v>
      </c>
      <c r="B332" t="s">
        <v>10557</v>
      </c>
      <c r="C332" t="s">
        <v>1751</v>
      </c>
      <c r="D332">
        <v>20521639</v>
      </c>
      <c r="E332" t="s">
        <v>3190</v>
      </c>
      <c r="F332" t="s">
        <v>1782</v>
      </c>
      <c r="G332" t="s">
        <v>3141</v>
      </c>
      <c r="H332" t="s">
        <v>1252</v>
      </c>
      <c r="J332" s="455">
        <v>46152</v>
      </c>
      <c r="R332" s="455">
        <v>46164</v>
      </c>
      <c r="U332" s="455">
        <v>46213</v>
      </c>
    </row>
    <row r="333" spans="1:21">
      <c r="A333" t="s">
        <v>1751</v>
      </c>
      <c r="B333" t="s">
        <v>10558</v>
      </c>
      <c r="C333" t="s">
        <v>1751</v>
      </c>
      <c r="D333">
        <v>20520564</v>
      </c>
      <c r="E333" t="s">
        <v>3128</v>
      </c>
      <c r="F333" t="s">
        <v>1241</v>
      </c>
      <c r="G333" t="s">
        <v>3137</v>
      </c>
      <c r="H333" t="s">
        <v>1252</v>
      </c>
      <c r="J333" s="455">
        <v>46150</v>
      </c>
      <c r="U333" s="455">
        <v>46210</v>
      </c>
    </row>
    <row r="334" spans="1:21">
      <c r="A334" t="s">
        <v>1751</v>
      </c>
      <c r="B334" t="s">
        <v>3492</v>
      </c>
      <c r="C334" t="s">
        <v>1751</v>
      </c>
      <c r="D334">
        <v>20533918</v>
      </c>
      <c r="E334" t="s">
        <v>1897</v>
      </c>
      <c r="F334" t="s">
        <v>1782</v>
      </c>
      <c r="G334" t="s">
        <v>3134</v>
      </c>
      <c r="H334" t="s">
        <v>1247</v>
      </c>
      <c r="I334" t="s">
        <v>1532</v>
      </c>
      <c r="J334" s="455">
        <v>46164</v>
      </c>
      <c r="K334" s="455">
        <v>46164</v>
      </c>
      <c r="U334" s="455">
        <v>46171</v>
      </c>
    </row>
    <row r="335" spans="1:21">
      <c r="A335" t="s">
        <v>1751</v>
      </c>
      <c r="B335" t="s">
        <v>10559</v>
      </c>
      <c r="C335" t="s">
        <v>1751</v>
      </c>
      <c r="D335">
        <v>20534078</v>
      </c>
      <c r="E335" t="s">
        <v>3128</v>
      </c>
      <c r="F335" t="s">
        <v>1782</v>
      </c>
      <c r="G335" t="s">
        <v>3129</v>
      </c>
      <c r="H335" t="s">
        <v>3131</v>
      </c>
      <c r="I335" t="s">
        <v>1808</v>
      </c>
      <c r="J335" s="455">
        <v>46165</v>
      </c>
      <c r="U335" s="455">
        <v>46165</v>
      </c>
    </row>
    <row r="336" spans="1:21">
      <c r="A336" t="s">
        <v>1751</v>
      </c>
      <c r="B336" t="s">
        <v>10560</v>
      </c>
      <c r="C336" t="s">
        <v>1751</v>
      </c>
      <c r="D336">
        <v>20519976</v>
      </c>
      <c r="E336" t="s">
        <v>3128</v>
      </c>
      <c r="F336" t="s">
        <v>1782</v>
      </c>
      <c r="G336" t="s">
        <v>3137</v>
      </c>
      <c r="H336" t="s">
        <v>1247</v>
      </c>
      <c r="I336" t="s">
        <v>3344</v>
      </c>
      <c r="J336" s="455">
        <v>46150</v>
      </c>
      <c r="U336" s="455">
        <v>46150</v>
      </c>
    </row>
    <row r="337" spans="1:21">
      <c r="A337" t="s">
        <v>1751</v>
      </c>
      <c r="B337" t="s">
        <v>4506</v>
      </c>
      <c r="C337" t="s">
        <v>1751</v>
      </c>
      <c r="D337">
        <v>20534734</v>
      </c>
      <c r="E337" t="s">
        <v>3128</v>
      </c>
      <c r="F337" t="s">
        <v>1242</v>
      </c>
      <c r="G337" t="s">
        <v>2009</v>
      </c>
      <c r="H337" t="s">
        <v>1251</v>
      </c>
      <c r="I337" t="s">
        <v>1917</v>
      </c>
      <c r="J337" s="455">
        <v>46166</v>
      </c>
      <c r="U337" s="455">
        <v>46166</v>
      </c>
    </row>
    <row r="338" spans="1:21">
      <c r="A338" t="s">
        <v>1751</v>
      </c>
      <c r="B338" t="s">
        <v>3494</v>
      </c>
      <c r="C338" t="s">
        <v>1751</v>
      </c>
      <c r="D338">
        <v>20534912</v>
      </c>
      <c r="E338" t="s">
        <v>1897</v>
      </c>
      <c r="F338" t="s">
        <v>1241</v>
      </c>
      <c r="G338" t="s">
        <v>3134</v>
      </c>
      <c r="H338" t="s">
        <v>1247</v>
      </c>
      <c r="I338" t="s">
        <v>3258</v>
      </c>
      <c r="J338" s="455">
        <v>46166</v>
      </c>
      <c r="K338" s="455">
        <v>46166</v>
      </c>
      <c r="U338" s="455">
        <v>46167</v>
      </c>
    </row>
    <row r="339" spans="1:21">
      <c r="A339" t="s">
        <v>1751</v>
      </c>
      <c r="B339" t="s">
        <v>3496</v>
      </c>
      <c r="C339" t="s">
        <v>1751</v>
      </c>
      <c r="D339">
        <v>20510770</v>
      </c>
      <c r="E339" t="s">
        <v>1901</v>
      </c>
      <c r="F339" t="s">
        <v>1237</v>
      </c>
      <c r="G339" t="s">
        <v>3143</v>
      </c>
      <c r="H339" t="s">
        <v>1252</v>
      </c>
      <c r="I339" t="s">
        <v>3497</v>
      </c>
      <c r="J339" s="455">
        <v>46139</v>
      </c>
      <c r="K339" s="455">
        <v>46164</v>
      </c>
      <c r="L339" s="455">
        <v>46173</v>
      </c>
      <c r="O339" s="455">
        <v>46186</v>
      </c>
      <c r="U339" s="455">
        <v>46174</v>
      </c>
    </row>
    <row r="340" spans="1:21">
      <c r="A340" t="s">
        <v>1751</v>
      </c>
      <c r="B340" t="s">
        <v>10561</v>
      </c>
      <c r="C340" t="s">
        <v>1751</v>
      </c>
      <c r="D340">
        <v>20517549</v>
      </c>
      <c r="E340" t="s">
        <v>3128</v>
      </c>
      <c r="F340" t="s">
        <v>1782</v>
      </c>
      <c r="G340" t="s">
        <v>3141</v>
      </c>
      <c r="H340" t="s">
        <v>1249</v>
      </c>
      <c r="J340" s="455">
        <v>46147</v>
      </c>
      <c r="U340" s="455">
        <v>46211</v>
      </c>
    </row>
    <row r="341" spans="1:21">
      <c r="A341" t="s">
        <v>1751</v>
      </c>
      <c r="B341" t="s">
        <v>10562</v>
      </c>
      <c r="C341" t="s">
        <v>1751</v>
      </c>
      <c r="D341">
        <v>20522623</v>
      </c>
      <c r="E341" t="s">
        <v>3190</v>
      </c>
      <c r="F341" t="s">
        <v>1782</v>
      </c>
      <c r="G341" t="s">
        <v>3137</v>
      </c>
      <c r="H341" t="s">
        <v>1252</v>
      </c>
      <c r="J341" s="455">
        <v>46153</v>
      </c>
      <c r="R341" s="455">
        <v>46164</v>
      </c>
      <c r="U341" s="455">
        <v>46174</v>
      </c>
    </row>
    <row r="342" spans="1:21">
      <c r="A342" t="s">
        <v>1751</v>
      </c>
      <c r="B342" t="s">
        <v>10563</v>
      </c>
      <c r="C342" t="s">
        <v>1751</v>
      </c>
      <c r="D342">
        <v>20526094</v>
      </c>
      <c r="E342" t="s">
        <v>3190</v>
      </c>
      <c r="F342" t="s">
        <v>1782</v>
      </c>
      <c r="G342" t="s">
        <v>3129</v>
      </c>
      <c r="H342" t="s">
        <v>3131</v>
      </c>
      <c r="J342" s="455">
        <v>46156</v>
      </c>
      <c r="R342" s="455">
        <v>46164</v>
      </c>
      <c r="U342" s="455">
        <v>46156</v>
      </c>
    </row>
    <row r="343" spans="1:21">
      <c r="A343" t="s">
        <v>1751</v>
      </c>
      <c r="B343" t="s">
        <v>10564</v>
      </c>
      <c r="C343" t="s">
        <v>1751</v>
      </c>
      <c r="D343">
        <v>20514201</v>
      </c>
      <c r="E343" t="s">
        <v>3128</v>
      </c>
      <c r="F343" t="s">
        <v>1241</v>
      </c>
      <c r="G343" t="s">
        <v>2009</v>
      </c>
      <c r="H343" t="s">
        <v>1252</v>
      </c>
      <c r="J343" s="455">
        <v>46143</v>
      </c>
      <c r="U343" s="455">
        <v>46203</v>
      </c>
    </row>
    <row r="344" spans="1:21">
      <c r="A344" t="s">
        <v>1751</v>
      </c>
      <c r="B344" t="s">
        <v>10565</v>
      </c>
      <c r="C344" t="s">
        <v>1751</v>
      </c>
      <c r="D344">
        <v>20538342</v>
      </c>
      <c r="E344" t="s">
        <v>3128</v>
      </c>
      <c r="F344" t="s">
        <v>1243</v>
      </c>
      <c r="G344" t="s">
        <v>3137</v>
      </c>
      <c r="H344" t="s">
        <v>1247</v>
      </c>
      <c r="J344" s="455">
        <v>46170</v>
      </c>
      <c r="U344" s="455">
        <v>46231</v>
      </c>
    </row>
    <row r="345" spans="1:21">
      <c r="A345" t="s">
        <v>1751</v>
      </c>
      <c r="B345" t="s">
        <v>10566</v>
      </c>
      <c r="C345" t="s">
        <v>1751</v>
      </c>
      <c r="D345">
        <v>20530649</v>
      </c>
      <c r="E345" t="s">
        <v>3190</v>
      </c>
      <c r="F345" t="s">
        <v>1782</v>
      </c>
      <c r="G345" t="s">
        <v>3129</v>
      </c>
      <c r="H345" t="s">
        <v>1252</v>
      </c>
      <c r="J345" s="455">
        <v>46161</v>
      </c>
      <c r="R345" s="455">
        <v>46164</v>
      </c>
      <c r="U345" s="455">
        <v>46161</v>
      </c>
    </row>
    <row r="346" spans="1:21">
      <c r="A346" t="s">
        <v>1751</v>
      </c>
      <c r="B346" t="s">
        <v>10567</v>
      </c>
      <c r="C346" t="s">
        <v>1751</v>
      </c>
      <c r="D346">
        <v>20534167</v>
      </c>
      <c r="E346" t="s">
        <v>3128</v>
      </c>
      <c r="F346" t="s">
        <v>1782</v>
      </c>
      <c r="G346" t="s">
        <v>3134</v>
      </c>
      <c r="H346" t="s">
        <v>3165</v>
      </c>
      <c r="J346" s="455">
        <v>46165</v>
      </c>
      <c r="U346" s="455">
        <v>46174</v>
      </c>
    </row>
    <row r="347" spans="1:21">
      <c r="A347" t="s">
        <v>1751</v>
      </c>
      <c r="B347" t="s">
        <v>10568</v>
      </c>
      <c r="C347" t="s">
        <v>1751</v>
      </c>
      <c r="D347">
        <v>20522739</v>
      </c>
      <c r="E347" t="s">
        <v>3128</v>
      </c>
      <c r="F347" t="s">
        <v>1242</v>
      </c>
      <c r="G347" t="s">
        <v>2009</v>
      </c>
      <c r="H347" t="s">
        <v>1247</v>
      </c>
      <c r="I347" t="s">
        <v>1952</v>
      </c>
      <c r="J347" s="455">
        <v>46154</v>
      </c>
      <c r="U347" s="455">
        <v>46154</v>
      </c>
    </row>
    <row r="348" spans="1:21">
      <c r="A348" t="s">
        <v>1751</v>
      </c>
      <c r="B348" t="s">
        <v>9207</v>
      </c>
      <c r="C348" t="s">
        <v>1751</v>
      </c>
      <c r="D348">
        <v>20520413</v>
      </c>
      <c r="E348" t="s">
        <v>3128</v>
      </c>
      <c r="F348" t="s">
        <v>1782</v>
      </c>
      <c r="G348" t="s">
        <v>3134</v>
      </c>
      <c r="H348" t="s">
        <v>1252</v>
      </c>
      <c r="J348" s="455">
        <v>46150</v>
      </c>
      <c r="U348" s="455">
        <v>46193</v>
      </c>
    </row>
    <row r="349" spans="1:21">
      <c r="A349" t="s">
        <v>1751</v>
      </c>
      <c r="B349" t="s">
        <v>3511</v>
      </c>
      <c r="C349" t="s">
        <v>1751</v>
      </c>
      <c r="D349">
        <v>20517502</v>
      </c>
      <c r="E349" t="s">
        <v>1907</v>
      </c>
      <c r="F349" t="s">
        <v>1242</v>
      </c>
      <c r="G349" t="s">
        <v>3134</v>
      </c>
      <c r="H349" t="s">
        <v>1247</v>
      </c>
      <c r="J349" s="455">
        <v>46147</v>
      </c>
      <c r="K349" s="455">
        <v>46147</v>
      </c>
      <c r="L349" s="455">
        <v>46147</v>
      </c>
      <c r="U349" s="455">
        <v>46147</v>
      </c>
    </row>
    <row r="350" spans="1:21">
      <c r="A350" t="s">
        <v>1751</v>
      </c>
      <c r="B350" t="s">
        <v>3511</v>
      </c>
      <c r="C350" t="s">
        <v>1751</v>
      </c>
      <c r="D350">
        <v>20517317</v>
      </c>
      <c r="E350" t="s">
        <v>3128</v>
      </c>
      <c r="F350" t="s">
        <v>1242</v>
      </c>
      <c r="G350" t="s">
        <v>3143</v>
      </c>
      <c r="H350" t="s">
        <v>1248</v>
      </c>
      <c r="I350" t="s">
        <v>1834</v>
      </c>
      <c r="J350" s="455">
        <v>46147</v>
      </c>
      <c r="U350" s="455">
        <v>46157</v>
      </c>
    </row>
    <row r="351" spans="1:21">
      <c r="A351" t="s">
        <v>1751</v>
      </c>
      <c r="B351" t="s">
        <v>10569</v>
      </c>
      <c r="C351" t="s">
        <v>1751</v>
      </c>
      <c r="D351">
        <v>20530093</v>
      </c>
      <c r="E351" t="s">
        <v>3128</v>
      </c>
      <c r="F351" t="s">
        <v>1782</v>
      </c>
      <c r="G351" t="s">
        <v>3141</v>
      </c>
      <c r="H351" t="s">
        <v>1252</v>
      </c>
      <c r="J351" s="455">
        <v>46161</v>
      </c>
      <c r="U351" s="455">
        <v>46202</v>
      </c>
    </row>
    <row r="352" spans="1:21">
      <c r="A352" t="s">
        <v>1751</v>
      </c>
      <c r="B352" t="s">
        <v>10570</v>
      </c>
      <c r="C352" t="s">
        <v>1751</v>
      </c>
      <c r="D352">
        <v>20519382</v>
      </c>
      <c r="E352" t="s">
        <v>3128</v>
      </c>
      <c r="F352" t="s">
        <v>1782</v>
      </c>
      <c r="G352" t="s">
        <v>3141</v>
      </c>
      <c r="H352" t="s">
        <v>1247</v>
      </c>
      <c r="J352" s="455">
        <v>46149</v>
      </c>
      <c r="U352" s="455">
        <v>46149</v>
      </c>
    </row>
    <row r="353" spans="1:21">
      <c r="A353" t="s">
        <v>1751</v>
      </c>
      <c r="B353" t="s">
        <v>10571</v>
      </c>
      <c r="C353" t="s">
        <v>1751</v>
      </c>
      <c r="D353">
        <v>20529183</v>
      </c>
      <c r="E353" t="s">
        <v>3128</v>
      </c>
      <c r="F353" t="s">
        <v>1782</v>
      </c>
      <c r="G353" t="s">
        <v>3134</v>
      </c>
      <c r="H353" t="s">
        <v>1252</v>
      </c>
      <c r="J353" s="455">
        <v>46160</v>
      </c>
      <c r="U353" s="455">
        <v>46308</v>
      </c>
    </row>
    <row r="354" spans="1:21">
      <c r="A354" t="s">
        <v>1751</v>
      </c>
      <c r="B354" t="s">
        <v>3514</v>
      </c>
      <c r="C354" t="s">
        <v>1751</v>
      </c>
      <c r="D354">
        <v>20534997</v>
      </c>
      <c r="E354" t="s">
        <v>1897</v>
      </c>
      <c r="F354" t="s">
        <v>1241</v>
      </c>
      <c r="G354" t="s">
        <v>3134</v>
      </c>
      <c r="H354" t="s">
        <v>3515</v>
      </c>
      <c r="J354" s="455">
        <v>46166</v>
      </c>
      <c r="K354" s="455">
        <v>46166</v>
      </c>
      <c r="U354" s="455">
        <v>46167</v>
      </c>
    </row>
    <row r="355" spans="1:21">
      <c r="A355" t="s">
        <v>1751</v>
      </c>
      <c r="B355" t="s">
        <v>3519</v>
      </c>
      <c r="C355" t="s">
        <v>1751</v>
      </c>
      <c r="D355">
        <v>20528573</v>
      </c>
      <c r="E355" t="s">
        <v>1897</v>
      </c>
      <c r="F355" t="s">
        <v>1241</v>
      </c>
      <c r="G355" t="s">
        <v>3134</v>
      </c>
      <c r="H355" t="s">
        <v>1247</v>
      </c>
      <c r="I355" t="s">
        <v>1917</v>
      </c>
      <c r="J355" s="455">
        <v>46158</v>
      </c>
      <c r="K355" s="455">
        <v>46158</v>
      </c>
      <c r="U355" s="455">
        <v>46172</v>
      </c>
    </row>
    <row r="356" spans="1:21">
      <c r="A356" t="s">
        <v>1751</v>
      </c>
      <c r="B356" t="s">
        <v>10572</v>
      </c>
      <c r="C356" t="s">
        <v>1751</v>
      </c>
      <c r="D356">
        <v>20532553</v>
      </c>
      <c r="E356" t="s">
        <v>3190</v>
      </c>
      <c r="F356" t="s">
        <v>1241</v>
      </c>
      <c r="G356" t="s">
        <v>3143</v>
      </c>
      <c r="H356" t="s">
        <v>1251</v>
      </c>
      <c r="I356" t="s">
        <v>1952</v>
      </c>
      <c r="J356" s="455">
        <v>46163</v>
      </c>
      <c r="R356" s="455">
        <v>46164</v>
      </c>
      <c r="U356" s="455">
        <v>46163</v>
      </c>
    </row>
    <row r="357" spans="1:21">
      <c r="A357" t="s">
        <v>1751</v>
      </c>
      <c r="B357" t="s">
        <v>10573</v>
      </c>
      <c r="C357" t="s">
        <v>1751</v>
      </c>
      <c r="D357">
        <v>20517792</v>
      </c>
      <c r="E357" t="s">
        <v>3128</v>
      </c>
      <c r="F357" t="s">
        <v>1241</v>
      </c>
      <c r="G357" t="s">
        <v>3137</v>
      </c>
      <c r="H357" t="s">
        <v>1252</v>
      </c>
      <c r="J357" s="455">
        <v>46147</v>
      </c>
      <c r="U357" s="455">
        <v>46174</v>
      </c>
    </row>
    <row r="358" spans="1:21">
      <c r="A358" t="s">
        <v>1751</v>
      </c>
      <c r="B358" t="s">
        <v>3525</v>
      </c>
      <c r="C358" t="s">
        <v>1751</v>
      </c>
      <c r="D358">
        <v>20530840</v>
      </c>
      <c r="E358" t="s">
        <v>1897</v>
      </c>
      <c r="F358" t="s">
        <v>1241</v>
      </c>
      <c r="G358" t="s">
        <v>3134</v>
      </c>
      <c r="H358" t="s">
        <v>1247</v>
      </c>
      <c r="I358" t="s">
        <v>1554</v>
      </c>
      <c r="J358" s="455">
        <v>46161</v>
      </c>
      <c r="K358" s="455">
        <v>46161</v>
      </c>
      <c r="U358" s="455">
        <v>46170</v>
      </c>
    </row>
    <row r="359" spans="1:21">
      <c r="A359" t="s">
        <v>1751</v>
      </c>
      <c r="B359" t="s">
        <v>10574</v>
      </c>
      <c r="C359" t="s">
        <v>1751</v>
      </c>
      <c r="D359">
        <v>20532874</v>
      </c>
      <c r="E359" t="s">
        <v>3128</v>
      </c>
      <c r="F359" t="s">
        <v>1782</v>
      </c>
      <c r="G359" t="s">
        <v>3134</v>
      </c>
      <c r="H359" t="s">
        <v>3165</v>
      </c>
      <c r="J359" s="455">
        <v>46163</v>
      </c>
      <c r="U359" s="455">
        <v>46164</v>
      </c>
    </row>
    <row r="360" spans="1:21">
      <c r="A360" t="s">
        <v>1751</v>
      </c>
      <c r="B360" t="s">
        <v>10575</v>
      </c>
      <c r="C360" t="s">
        <v>1751</v>
      </c>
      <c r="D360">
        <v>20521374</v>
      </c>
      <c r="E360" t="s">
        <v>3128</v>
      </c>
      <c r="F360" t="s">
        <v>1782</v>
      </c>
      <c r="G360" t="s">
        <v>3134</v>
      </c>
      <c r="H360" t="s">
        <v>1252</v>
      </c>
      <c r="J360" s="455">
        <v>46151</v>
      </c>
      <c r="U360" s="455">
        <v>46204</v>
      </c>
    </row>
    <row r="361" spans="1:21">
      <c r="A361" t="s">
        <v>1751</v>
      </c>
      <c r="B361" t="s">
        <v>10576</v>
      </c>
      <c r="C361" t="s">
        <v>1751</v>
      </c>
      <c r="D361">
        <v>20533479</v>
      </c>
      <c r="E361" t="s">
        <v>3128</v>
      </c>
      <c r="F361" t="s">
        <v>1782</v>
      </c>
      <c r="G361" t="s">
        <v>3134</v>
      </c>
      <c r="H361" t="s">
        <v>3165</v>
      </c>
      <c r="J361" s="455">
        <v>46164</v>
      </c>
      <c r="U361" s="455">
        <v>46165</v>
      </c>
    </row>
    <row r="362" spans="1:21">
      <c r="A362" t="s">
        <v>1751</v>
      </c>
      <c r="B362" t="s">
        <v>3528</v>
      </c>
      <c r="C362" t="s">
        <v>1751</v>
      </c>
      <c r="D362">
        <v>20535932</v>
      </c>
      <c r="E362" t="s">
        <v>3190</v>
      </c>
      <c r="F362" t="s">
        <v>1242</v>
      </c>
      <c r="G362" t="s">
        <v>3143</v>
      </c>
      <c r="H362" t="s">
        <v>1251</v>
      </c>
      <c r="I362" t="s">
        <v>1917</v>
      </c>
      <c r="J362" s="455">
        <v>46168</v>
      </c>
      <c r="R362" s="455">
        <v>46168</v>
      </c>
      <c r="U362" s="455">
        <v>46213</v>
      </c>
    </row>
    <row r="363" spans="1:21">
      <c r="A363" t="s">
        <v>1751</v>
      </c>
      <c r="B363" t="s">
        <v>10577</v>
      </c>
      <c r="C363" t="s">
        <v>1751</v>
      </c>
      <c r="D363">
        <v>20525618</v>
      </c>
      <c r="E363" t="s">
        <v>3128</v>
      </c>
      <c r="F363" t="s">
        <v>1237</v>
      </c>
      <c r="G363" t="s">
        <v>3137</v>
      </c>
      <c r="H363" t="s">
        <v>1247</v>
      </c>
      <c r="J363" s="455">
        <v>46156</v>
      </c>
      <c r="U363" s="455">
        <v>46156</v>
      </c>
    </row>
    <row r="364" spans="1:21">
      <c r="A364" t="s">
        <v>1751</v>
      </c>
      <c r="B364" t="s">
        <v>10578</v>
      </c>
      <c r="C364" t="s">
        <v>1751</v>
      </c>
      <c r="D364">
        <v>20532175</v>
      </c>
      <c r="E364" t="s">
        <v>3128</v>
      </c>
      <c r="F364" t="s">
        <v>1237</v>
      </c>
      <c r="G364" t="s">
        <v>3141</v>
      </c>
      <c r="H364" t="s">
        <v>3358</v>
      </c>
      <c r="J364" s="455">
        <v>46162</v>
      </c>
      <c r="U364" s="455">
        <v>46195</v>
      </c>
    </row>
    <row r="365" spans="1:21">
      <c r="A365" t="s">
        <v>1751</v>
      </c>
      <c r="B365" t="s">
        <v>3532</v>
      </c>
      <c r="C365" t="s">
        <v>1751</v>
      </c>
      <c r="D365">
        <v>20520220</v>
      </c>
      <c r="E365" t="s">
        <v>1897</v>
      </c>
      <c r="F365" t="s">
        <v>1238</v>
      </c>
      <c r="G365" t="s">
        <v>3134</v>
      </c>
      <c r="H365" t="s">
        <v>1247</v>
      </c>
      <c r="I365" t="s">
        <v>3533</v>
      </c>
      <c r="J365" s="455">
        <v>46150</v>
      </c>
      <c r="K365" s="455">
        <v>46150</v>
      </c>
      <c r="U365" s="455">
        <v>46150</v>
      </c>
    </row>
    <row r="366" spans="1:21">
      <c r="A366" t="s">
        <v>1751</v>
      </c>
      <c r="B366" t="s">
        <v>10579</v>
      </c>
      <c r="C366" t="s">
        <v>1751</v>
      </c>
      <c r="D366">
        <v>20520653</v>
      </c>
      <c r="E366" t="s">
        <v>3128</v>
      </c>
      <c r="F366" t="s">
        <v>1782</v>
      </c>
      <c r="G366" t="s">
        <v>3134</v>
      </c>
      <c r="H366" t="s">
        <v>3165</v>
      </c>
      <c r="J366" s="455">
        <v>46150</v>
      </c>
      <c r="U366" s="455">
        <v>46213</v>
      </c>
    </row>
    <row r="367" spans="1:21">
      <c r="A367" t="s">
        <v>1751</v>
      </c>
      <c r="B367" t="s">
        <v>3534</v>
      </c>
      <c r="C367" t="s">
        <v>1751</v>
      </c>
      <c r="D367">
        <v>20522228</v>
      </c>
      <c r="E367" t="s">
        <v>1897</v>
      </c>
      <c r="F367" t="s">
        <v>1912</v>
      </c>
      <c r="G367" t="s">
        <v>3134</v>
      </c>
      <c r="H367" t="s">
        <v>1247</v>
      </c>
      <c r="J367" s="455">
        <v>46153</v>
      </c>
      <c r="K367" s="455">
        <v>46153</v>
      </c>
      <c r="U367" s="455">
        <v>46153</v>
      </c>
    </row>
    <row r="368" spans="1:21">
      <c r="A368" t="s">
        <v>1751</v>
      </c>
      <c r="B368" t="s">
        <v>3534</v>
      </c>
      <c r="C368" t="s">
        <v>1751</v>
      </c>
      <c r="D368">
        <v>20514603</v>
      </c>
      <c r="E368" t="s">
        <v>1897</v>
      </c>
      <c r="F368" t="s">
        <v>1782</v>
      </c>
      <c r="G368" t="s">
        <v>3134</v>
      </c>
      <c r="H368" t="s">
        <v>3165</v>
      </c>
      <c r="J368" s="455">
        <v>46143</v>
      </c>
      <c r="K368" s="455">
        <v>46153</v>
      </c>
      <c r="U368" s="455">
        <v>46154</v>
      </c>
    </row>
    <row r="369" spans="1:21">
      <c r="A369" t="s">
        <v>1751</v>
      </c>
      <c r="B369" t="s">
        <v>3537</v>
      </c>
      <c r="C369" t="s">
        <v>1751</v>
      </c>
      <c r="D369">
        <v>20535080</v>
      </c>
      <c r="E369" t="s">
        <v>3128</v>
      </c>
      <c r="F369" t="s">
        <v>1782</v>
      </c>
      <c r="G369" t="s">
        <v>3134</v>
      </c>
      <c r="H369" t="s">
        <v>3165</v>
      </c>
      <c r="J369" s="455">
        <v>46167</v>
      </c>
      <c r="U369" s="455">
        <v>46173</v>
      </c>
    </row>
    <row r="370" spans="1:21">
      <c r="A370" t="s">
        <v>1751</v>
      </c>
      <c r="B370" t="s">
        <v>10580</v>
      </c>
      <c r="C370" t="s">
        <v>1751</v>
      </c>
      <c r="D370">
        <v>20528167</v>
      </c>
      <c r="E370" t="s">
        <v>3128</v>
      </c>
      <c r="F370" t="s">
        <v>1782</v>
      </c>
      <c r="G370" t="s">
        <v>3137</v>
      </c>
      <c r="H370" t="s">
        <v>1252</v>
      </c>
      <c r="J370" s="455">
        <v>46158</v>
      </c>
      <c r="U370" s="455">
        <v>46217</v>
      </c>
    </row>
    <row r="371" spans="1:21">
      <c r="A371" t="s">
        <v>1751</v>
      </c>
      <c r="B371" t="s">
        <v>10581</v>
      </c>
      <c r="C371" t="s">
        <v>1751</v>
      </c>
      <c r="D371">
        <v>20536703</v>
      </c>
      <c r="E371" t="s">
        <v>3128</v>
      </c>
      <c r="F371" t="s">
        <v>1782</v>
      </c>
      <c r="G371" t="s">
        <v>3129</v>
      </c>
      <c r="H371" t="s">
        <v>3131</v>
      </c>
      <c r="J371" s="455">
        <v>46169</v>
      </c>
      <c r="U371" s="455">
        <v>46169</v>
      </c>
    </row>
    <row r="372" spans="1:21">
      <c r="A372" t="s">
        <v>1751</v>
      </c>
      <c r="B372" t="s">
        <v>3026</v>
      </c>
      <c r="C372" t="s">
        <v>1751</v>
      </c>
      <c r="D372">
        <v>20536467</v>
      </c>
      <c r="E372" t="s">
        <v>3128</v>
      </c>
      <c r="F372" t="s">
        <v>1241</v>
      </c>
      <c r="G372" t="s">
        <v>3137</v>
      </c>
      <c r="H372" t="s">
        <v>1247</v>
      </c>
      <c r="J372" s="455">
        <v>46168</v>
      </c>
      <c r="U372" s="455">
        <v>46168</v>
      </c>
    </row>
    <row r="373" spans="1:21">
      <c r="A373" t="s">
        <v>1751</v>
      </c>
      <c r="B373" t="s">
        <v>10582</v>
      </c>
      <c r="C373" t="s">
        <v>1751</v>
      </c>
      <c r="D373">
        <v>20529808</v>
      </c>
      <c r="E373" t="s">
        <v>3128</v>
      </c>
      <c r="F373" t="s">
        <v>1782</v>
      </c>
      <c r="G373" t="s">
        <v>3141</v>
      </c>
      <c r="H373" t="s">
        <v>1248</v>
      </c>
      <c r="J373" s="455">
        <v>46160</v>
      </c>
      <c r="U373" s="455">
        <v>46160</v>
      </c>
    </row>
    <row r="374" spans="1:21">
      <c r="A374" t="s">
        <v>1751</v>
      </c>
      <c r="B374" t="s">
        <v>10583</v>
      </c>
      <c r="C374" t="s">
        <v>1751</v>
      </c>
      <c r="D374">
        <v>20519246</v>
      </c>
      <c r="E374" t="s">
        <v>3128</v>
      </c>
      <c r="F374" t="s">
        <v>1782</v>
      </c>
      <c r="G374" t="s">
        <v>3134</v>
      </c>
      <c r="H374" t="s">
        <v>3165</v>
      </c>
      <c r="J374" s="455">
        <v>46149</v>
      </c>
      <c r="U374" s="455">
        <v>46168</v>
      </c>
    </row>
    <row r="375" spans="1:21">
      <c r="A375" t="s">
        <v>1751</v>
      </c>
      <c r="B375" t="s">
        <v>8782</v>
      </c>
      <c r="C375" t="s">
        <v>1751</v>
      </c>
      <c r="D375">
        <v>20444029</v>
      </c>
      <c r="E375" t="s">
        <v>3133</v>
      </c>
      <c r="F375" t="s">
        <v>1239</v>
      </c>
      <c r="G375" t="s">
        <v>3141</v>
      </c>
      <c r="H375" t="s">
        <v>1247</v>
      </c>
      <c r="I375" t="s">
        <v>3288</v>
      </c>
      <c r="J375" s="455">
        <v>46062</v>
      </c>
      <c r="K375" s="455">
        <v>46064</v>
      </c>
      <c r="L375" s="455">
        <v>46065</v>
      </c>
      <c r="M375" s="455">
        <v>46098</v>
      </c>
      <c r="N375" s="455">
        <v>46098</v>
      </c>
      <c r="O375" s="455">
        <v>46098</v>
      </c>
      <c r="P375" s="455">
        <v>46098</v>
      </c>
      <c r="Q375" s="455">
        <v>46098</v>
      </c>
      <c r="R375" s="455">
        <v>46146</v>
      </c>
      <c r="U375" s="455">
        <v>46142</v>
      </c>
    </row>
    <row r="376" spans="1:21">
      <c r="A376" t="s">
        <v>1751</v>
      </c>
      <c r="B376" t="s">
        <v>3550</v>
      </c>
      <c r="C376" t="s">
        <v>1751</v>
      </c>
      <c r="D376">
        <v>20539084</v>
      </c>
      <c r="E376" t="s">
        <v>1897</v>
      </c>
      <c r="F376" t="s">
        <v>1241</v>
      </c>
      <c r="G376" t="s">
        <v>3134</v>
      </c>
      <c r="H376" t="s">
        <v>1247</v>
      </c>
      <c r="I376" t="s">
        <v>2171</v>
      </c>
      <c r="J376" s="455">
        <v>46171</v>
      </c>
      <c r="K376" s="455">
        <v>46171</v>
      </c>
      <c r="U376" s="455">
        <v>46171</v>
      </c>
    </row>
    <row r="377" spans="1:21">
      <c r="A377" t="s">
        <v>1751</v>
      </c>
      <c r="B377" t="s">
        <v>10584</v>
      </c>
      <c r="C377" t="s">
        <v>1751</v>
      </c>
      <c r="D377">
        <v>20539914</v>
      </c>
      <c r="E377" t="s">
        <v>3128</v>
      </c>
      <c r="F377" t="s">
        <v>1782</v>
      </c>
      <c r="G377" t="s">
        <v>3137</v>
      </c>
      <c r="H377" t="s">
        <v>1252</v>
      </c>
      <c r="J377" s="455">
        <v>46173</v>
      </c>
      <c r="U377" s="455">
        <v>46300</v>
      </c>
    </row>
    <row r="378" spans="1:21">
      <c r="A378" t="s">
        <v>1751</v>
      </c>
      <c r="B378" t="s">
        <v>10585</v>
      </c>
      <c r="C378" t="s">
        <v>1751</v>
      </c>
      <c r="D378">
        <v>20521415</v>
      </c>
      <c r="E378" t="s">
        <v>3128</v>
      </c>
      <c r="F378" t="s">
        <v>1782</v>
      </c>
      <c r="G378" t="s">
        <v>3129</v>
      </c>
      <c r="H378" t="s">
        <v>1252</v>
      </c>
      <c r="J378" s="455">
        <v>46152</v>
      </c>
      <c r="U378" s="455">
        <v>46153</v>
      </c>
    </row>
    <row r="379" spans="1:21">
      <c r="A379" t="s">
        <v>1751</v>
      </c>
      <c r="B379" t="s">
        <v>9766</v>
      </c>
      <c r="C379" t="s">
        <v>1751</v>
      </c>
      <c r="D379">
        <v>20512173</v>
      </c>
      <c r="E379" t="s">
        <v>3190</v>
      </c>
      <c r="F379" t="s">
        <v>1782</v>
      </c>
      <c r="G379" t="s">
        <v>3134</v>
      </c>
      <c r="H379" t="s">
        <v>3165</v>
      </c>
      <c r="J379" s="455">
        <v>46140</v>
      </c>
      <c r="R379" s="455">
        <v>46149</v>
      </c>
      <c r="U379" s="455">
        <v>46141</v>
      </c>
    </row>
    <row r="380" spans="1:21">
      <c r="A380" t="s">
        <v>1751</v>
      </c>
      <c r="B380" t="s">
        <v>10586</v>
      </c>
      <c r="C380" t="s">
        <v>1751</v>
      </c>
      <c r="D380">
        <v>20531528</v>
      </c>
      <c r="E380" t="s">
        <v>3128</v>
      </c>
      <c r="F380" t="s">
        <v>1782</v>
      </c>
      <c r="G380" t="s">
        <v>3134</v>
      </c>
      <c r="H380" t="s">
        <v>3165</v>
      </c>
      <c r="J380" s="455">
        <v>46162</v>
      </c>
      <c r="U380" s="455">
        <v>46187</v>
      </c>
    </row>
    <row r="381" spans="1:21">
      <c r="A381" t="s">
        <v>1751</v>
      </c>
      <c r="B381" t="s">
        <v>10587</v>
      </c>
      <c r="C381" t="s">
        <v>1751</v>
      </c>
      <c r="D381">
        <v>20538667</v>
      </c>
      <c r="E381" t="s">
        <v>3128</v>
      </c>
      <c r="F381" t="s">
        <v>1782</v>
      </c>
      <c r="G381" t="s">
        <v>3129</v>
      </c>
      <c r="H381" t="s">
        <v>3131</v>
      </c>
      <c r="J381" s="455">
        <v>46171</v>
      </c>
      <c r="U381" s="455">
        <v>46171</v>
      </c>
    </row>
    <row r="382" spans="1:21">
      <c r="A382" t="s">
        <v>1751</v>
      </c>
      <c r="B382" t="s">
        <v>10588</v>
      </c>
      <c r="C382" t="s">
        <v>1751</v>
      </c>
      <c r="D382">
        <v>20539307</v>
      </c>
      <c r="E382" t="s">
        <v>3128</v>
      </c>
      <c r="F382" t="s">
        <v>1242</v>
      </c>
      <c r="G382" t="s">
        <v>3129</v>
      </c>
      <c r="H382" t="s">
        <v>1253</v>
      </c>
      <c r="J382" s="455">
        <v>46172</v>
      </c>
      <c r="U382" s="455">
        <v>46172</v>
      </c>
    </row>
    <row r="383" spans="1:21">
      <c r="A383" t="s">
        <v>1751</v>
      </c>
      <c r="B383" t="s">
        <v>10589</v>
      </c>
      <c r="C383" t="s">
        <v>1751</v>
      </c>
      <c r="D383">
        <v>20522719</v>
      </c>
      <c r="E383" t="s">
        <v>3190</v>
      </c>
      <c r="F383" t="s">
        <v>1782</v>
      </c>
      <c r="G383" t="s">
        <v>3129</v>
      </c>
      <c r="H383" t="s">
        <v>1252</v>
      </c>
      <c r="J383" s="455">
        <v>46154</v>
      </c>
      <c r="R383" s="455">
        <v>46164</v>
      </c>
      <c r="U383" s="455">
        <v>46154</v>
      </c>
    </row>
    <row r="384" spans="1:21">
      <c r="A384" t="s">
        <v>1751</v>
      </c>
      <c r="B384" t="s">
        <v>10590</v>
      </c>
      <c r="C384" t="s">
        <v>1751</v>
      </c>
      <c r="D384">
        <v>20535881</v>
      </c>
      <c r="E384" t="s">
        <v>3128</v>
      </c>
      <c r="F384" t="s">
        <v>1782</v>
      </c>
      <c r="G384" t="s">
        <v>3134</v>
      </c>
      <c r="H384" t="s">
        <v>1252</v>
      </c>
      <c r="J384" s="455">
        <v>46168</v>
      </c>
      <c r="U384" s="455">
        <v>46372</v>
      </c>
    </row>
    <row r="385" spans="1:21">
      <c r="A385" t="s">
        <v>1751</v>
      </c>
      <c r="B385" t="s">
        <v>10591</v>
      </c>
      <c r="C385" t="s">
        <v>1751</v>
      </c>
      <c r="D385">
        <v>20515982</v>
      </c>
      <c r="E385" t="s">
        <v>3128</v>
      </c>
      <c r="F385" t="s">
        <v>1782</v>
      </c>
      <c r="G385" t="s">
        <v>3137</v>
      </c>
      <c r="H385" t="s">
        <v>1252</v>
      </c>
      <c r="J385" s="455">
        <v>46145</v>
      </c>
      <c r="U385" s="455">
        <v>46171</v>
      </c>
    </row>
    <row r="386" spans="1:21">
      <c r="A386" t="s">
        <v>1751</v>
      </c>
      <c r="B386" t="s">
        <v>10592</v>
      </c>
      <c r="C386" t="s">
        <v>1751</v>
      </c>
      <c r="D386">
        <v>20531121</v>
      </c>
      <c r="E386" t="s">
        <v>3128</v>
      </c>
      <c r="F386" t="s">
        <v>1782</v>
      </c>
      <c r="G386" t="s">
        <v>3134</v>
      </c>
      <c r="H386" t="s">
        <v>3165</v>
      </c>
      <c r="J386" s="455">
        <v>46161</v>
      </c>
      <c r="U386" s="455">
        <v>46235</v>
      </c>
    </row>
    <row r="387" spans="1:21">
      <c r="A387" t="s">
        <v>1751</v>
      </c>
      <c r="B387" t="s">
        <v>10593</v>
      </c>
      <c r="C387" t="s">
        <v>1751</v>
      </c>
      <c r="D387">
        <v>20515511</v>
      </c>
      <c r="E387" t="s">
        <v>3128</v>
      </c>
      <c r="F387" t="s">
        <v>1782</v>
      </c>
      <c r="G387" t="s">
        <v>3134</v>
      </c>
      <c r="H387" t="s">
        <v>1252</v>
      </c>
      <c r="J387" s="455">
        <v>46144</v>
      </c>
      <c r="U387" s="455">
        <v>46174</v>
      </c>
    </row>
    <row r="388" spans="1:21">
      <c r="A388" t="s">
        <v>1751</v>
      </c>
      <c r="B388" t="s">
        <v>1150</v>
      </c>
      <c r="C388" t="s">
        <v>1751</v>
      </c>
      <c r="D388">
        <v>20532459</v>
      </c>
      <c r="E388" t="s">
        <v>3190</v>
      </c>
      <c r="F388" t="s">
        <v>1782</v>
      </c>
      <c r="G388" t="s">
        <v>3129</v>
      </c>
      <c r="H388" t="s">
        <v>3377</v>
      </c>
      <c r="J388" s="455">
        <v>46163</v>
      </c>
      <c r="R388" s="455">
        <v>46164</v>
      </c>
      <c r="U388" s="455">
        <v>46163</v>
      </c>
    </row>
    <row r="389" spans="1:21">
      <c r="A389" t="s">
        <v>1751</v>
      </c>
      <c r="B389" t="s">
        <v>10594</v>
      </c>
      <c r="C389" t="s">
        <v>1751</v>
      </c>
      <c r="D389">
        <v>20526620</v>
      </c>
      <c r="E389" t="s">
        <v>3128</v>
      </c>
      <c r="F389" t="s">
        <v>1237</v>
      </c>
      <c r="G389" t="s">
        <v>3129</v>
      </c>
      <c r="H389" t="s">
        <v>3131</v>
      </c>
      <c r="J389" s="455">
        <v>46157</v>
      </c>
      <c r="U389" s="455">
        <v>46183</v>
      </c>
    </row>
    <row r="390" spans="1:21">
      <c r="A390" t="s">
        <v>1751</v>
      </c>
      <c r="B390" t="s">
        <v>10595</v>
      </c>
      <c r="C390" t="s">
        <v>1751</v>
      </c>
      <c r="D390">
        <v>20536751</v>
      </c>
      <c r="E390" t="s">
        <v>3128</v>
      </c>
      <c r="F390" t="s">
        <v>1782</v>
      </c>
      <c r="G390" t="s">
        <v>3129</v>
      </c>
      <c r="H390" t="s">
        <v>1253</v>
      </c>
      <c r="J390" s="455">
        <v>46169</v>
      </c>
      <c r="U390" s="455">
        <v>46169</v>
      </c>
    </row>
    <row r="391" spans="1:21">
      <c r="A391" t="s">
        <v>1751</v>
      </c>
      <c r="B391" t="s">
        <v>10596</v>
      </c>
      <c r="C391" t="s">
        <v>1751</v>
      </c>
      <c r="D391">
        <v>20536949</v>
      </c>
      <c r="E391" t="s">
        <v>3128</v>
      </c>
      <c r="F391" t="s">
        <v>1782</v>
      </c>
      <c r="G391" t="s">
        <v>3129</v>
      </c>
      <c r="H391" t="s">
        <v>1252</v>
      </c>
      <c r="J391" s="455">
        <v>46169</v>
      </c>
      <c r="U391" s="455">
        <v>46173</v>
      </c>
    </row>
    <row r="392" spans="1:21">
      <c r="A392" t="s">
        <v>1751</v>
      </c>
      <c r="B392" t="s">
        <v>10597</v>
      </c>
      <c r="C392" t="s">
        <v>1751</v>
      </c>
      <c r="D392">
        <v>20515484</v>
      </c>
      <c r="E392" t="s">
        <v>3133</v>
      </c>
      <c r="F392" t="s">
        <v>1912</v>
      </c>
      <c r="G392" t="s">
        <v>3134</v>
      </c>
      <c r="H392" t="s">
        <v>1247</v>
      </c>
      <c r="J392" s="455">
        <v>46144</v>
      </c>
      <c r="K392" s="455">
        <v>46144</v>
      </c>
      <c r="R392" s="455">
        <v>46151</v>
      </c>
      <c r="U392" s="455">
        <v>46144</v>
      </c>
    </row>
    <row r="393" spans="1:21">
      <c r="A393" t="s">
        <v>1751</v>
      </c>
      <c r="B393" t="s">
        <v>10597</v>
      </c>
      <c r="C393" t="s">
        <v>1751</v>
      </c>
      <c r="D393">
        <v>20514770</v>
      </c>
      <c r="E393" t="s">
        <v>3133</v>
      </c>
      <c r="F393" t="s">
        <v>1238</v>
      </c>
      <c r="G393" t="s">
        <v>3129</v>
      </c>
      <c r="H393" t="s">
        <v>3377</v>
      </c>
      <c r="J393" s="455">
        <v>46143</v>
      </c>
      <c r="K393" s="455">
        <v>46144</v>
      </c>
      <c r="R393" s="455">
        <v>46151</v>
      </c>
      <c r="U393" s="455">
        <v>46144</v>
      </c>
    </row>
    <row r="394" spans="1:21">
      <c r="A394" t="s">
        <v>1751</v>
      </c>
      <c r="B394" t="s">
        <v>3075</v>
      </c>
      <c r="C394" t="s">
        <v>1751</v>
      </c>
      <c r="D394">
        <v>20528357</v>
      </c>
      <c r="E394" t="s">
        <v>3133</v>
      </c>
      <c r="F394" t="s">
        <v>1782</v>
      </c>
      <c r="G394" t="s">
        <v>3134</v>
      </c>
      <c r="H394" t="s">
        <v>1247</v>
      </c>
      <c r="I394" t="s">
        <v>3426</v>
      </c>
      <c r="J394" s="455">
        <v>46158</v>
      </c>
      <c r="K394" s="455">
        <v>46158</v>
      </c>
      <c r="R394" s="455">
        <v>46160</v>
      </c>
      <c r="U394" s="455">
        <v>46186</v>
      </c>
    </row>
    <row r="395" spans="1:21">
      <c r="A395" t="s">
        <v>1751</v>
      </c>
      <c r="B395" t="s">
        <v>3075</v>
      </c>
      <c r="C395" t="s">
        <v>1751</v>
      </c>
      <c r="D395">
        <v>20527508</v>
      </c>
      <c r="E395" t="s">
        <v>3133</v>
      </c>
      <c r="F395" t="s">
        <v>1237</v>
      </c>
      <c r="G395" t="s">
        <v>3143</v>
      </c>
      <c r="H395" t="s">
        <v>3358</v>
      </c>
      <c r="I395" t="s">
        <v>1551</v>
      </c>
      <c r="J395" s="455">
        <v>46157</v>
      </c>
      <c r="K395" s="455">
        <v>46158</v>
      </c>
      <c r="L395" s="455">
        <v>46158</v>
      </c>
      <c r="R395" s="455">
        <v>46164</v>
      </c>
      <c r="U395" s="455">
        <v>46186</v>
      </c>
    </row>
    <row r="396" spans="1:21">
      <c r="A396" t="s">
        <v>1751</v>
      </c>
      <c r="B396" t="s">
        <v>7048</v>
      </c>
      <c r="C396" t="s">
        <v>1751</v>
      </c>
      <c r="D396">
        <v>20519346</v>
      </c>
      <c r="E396" t="s">
        <v>3142</v>
      </c>
      <c r="F396" t="s">
        <v>1239</v>
      </c>
      <c r="G396" t="s">
        <v>3129</v>
      </c>
      <c r="H396" t="s">
        <v>1253</v>
      </c>
      <c r="I396" t="s">
        <v>1784</v>
      </c>
      <c r="J396" s="455">
        <v>46149</v>
      </c>
      <c r="K396" s="455">
        <v>46150</v>
      </c>
      <c r="L396" s="455">
        <v>46150</v>
      </c>
      <c r="M396" s="455">
        <v>46161</v>
      </c>
      <c r="N396" s="455">
        <v>46161</v>
      </c>
      <c r="O396" s="455">
        <v>46161</v>
      </c>
      <c r="P396" s="455">
        <v>46161</v>
      </c>
      <c r="Q396" s="455">
        <v>46162</v>
      </c>
      <c r="U396" s="455">
        <v>46163</v>
      </c>
    </row>
    <row r="397" spans="1:21">
      <c r="A397" t="s">
        <v>1751</v>
      </c>
      <c r="B397" t="s">
        <v>10598</v>
      </c>
      <c r="C397" t="s">
        <v>1751</v>
      </c>
      <c r="D397">
        <v>20536526</v>
      </c>
      <c r="E397" t="s">
        <v>3128</v>
      </c>
      <c r="F397" t="s">
        <v>1782</v>
      </c>
      <c r="G397" t="s">
        <v>3134</v>
      </c>
      <c r="H397" t="s">
        <v>3165</v>
      </c>
      <c r="J397" s="455">
        <v>46169</v>
      </c>
      <c r="U397" s="455">
        <v>46170</v>
      </c>
    </row>
    <row r="398" spans="1:21">
      <c r="A398" t="s">
        <v>1751</v>
      </c>
      <c r="B398" t="s">
        <v>10599</v>
      </c>
      <c r="C398" t="s">
        <v>1751</v>
      </c>
      <c r="D398">
        <v>20514272</v>
      </c>
      <c r="E398" t="s">
        <v>3128</v>
      </c>
      <c r="F398" t="s">
        <v>1782</v>
      </c>
      <c r="G398" t="s">
        <v>3129</v>
      </c>
      <c r="H398" t="s">
        <v>1253</v>
      </c>
      <c r="I398" t="s">
        <v>6998</v>
      </c>
      <c r="J398" s="455">
        <v>46143</v>
      </c>
      <c r="U398" s="455">
        <v>46143</v>
      </c>
    </row>
    <row r="399" spans="1:21">
      <c r="A399" t="s">
        <v>1751</v>
      </c>
      <c r="B399" t="s">
        <v>3573</v>
      </c>
      <c r="C399" t="s">
        <v>1751</v>
      </c>
      <c r="D399">
        <v>20461497</v>
      </c>
      <c r="E399" t="s">
        <v>3128</v>
      </c>
      <c r="F399" t="s">
        <v>1782</v>
      </c>
      <c r="G399" t="s">
        <v>3141</v>
      </c>
      <c r="H399" t="s">
        <v>1248</v>
      </c>
      <c r="J399" s="455">
        <v>46084</v>
      </c>
      <c r="T399" s="455">
        <v>46170</v>
      </c>
      <c r="U399" s="455">
        <v>46115</v>
      </c>
    </row>
    <row r="400" spans="1:21">
      <c r="A400" t="s">
        <v>1751</v>
      </c>
      <c r="B400" t="s">
        <v>3573</v>
      </c>
      <c r="C400" t="s">
        <v>1751</v>
      </c>
      <c r="D400">
        <v>20537553</v>
      </c>
      <c r="E400" t="s">
        <v>1897</v>
      </c>
      <c r="F400" t="s">
        <v>1241</v>
      </c>
      <c r="G400" t="s">
        <v>3134</v>
      </c>
      <c r="H400" t="s">
        <v>1247</v>
      </c>
      <c r="I400" t="s">
        <v>2556</v>
      </c>
      <c r="J400" s="455">
        <v>46170</v>
      </c>
      <c r="K400" s="455">
        <v>46170</v>
      </c>
      <c r="U400" s="455">
        <v>46177</v>
      </c>
    </row>
    <row r="401" spans="1:21">
      <c r="A401" t="s">
        <v>1751</v>
      </c>
      <c r="B401" t="s">
        <v>6552</v>
      </c>
      <c r="C401" t="s">
        <v>1751</v>
      </c>
      <c r="D401">
        <v>20530566</v>
      </c>
      <c r="E401" t="s">
        <v>3142</v>
      </c>
      <c r="F401" t="s">
        <v>1242</v>
      </c>
      <c r="G401" t="s">
        <v>3143</v>
      </c>
      <c r="H401" t="s">
        <v>1249</v>
      </c>
      <c r="I401" t="s">
        <v>6551</v>
      </c>
      <c r="J401" s="455">
        <v>46161</v>
      </c>
      <c r="K401" s="455">
        <v>46162</v>
      </c>
      <c r="L401" s="455">
        <v>46162</v>
      </c>
      <c r="M401" s="455">
        <v>46162</v>
      </c>
      <c r="N401" s="455">
        <v>46162</v>
      </c>
      <c r="P401" s="455">
        <v>46162</v>
      </c>
      <c r="Q401" s="455">
        <v>46162</v>
      </c>
      <c r="U401" s="455">
        <v>46179</v>
      </c>
    </row>
    <row r="402" spans="1:21">
      <c r="A402" t="s">
        <v>1751</v>
      </c>
      <c r="B402" t="s">
        <v>3577</v>
      </c>
      <c r="C402" t="s">
        <v>1751</v>
      </c>
      <c r="D402">
        <v>20498331</v>
      </c>
      <c r="E402" t="s">
        <v>1901</v>
      </c>
      <c r="F402" t="s">
        <v>3158</v>
      </c>
      <c r="G402" t="s">
        <v>3134</v>
      </c>
      <c r="H402" t="s">
        <v>1247</v>
      </c>
      <c r="I402" t="s">
        <v>2405</v>
      </c>
      <c r="J402" s="455">
        <v>46128</v>
      </c>
      <c r="K402" s="455">
        <v>46128</v>
      </c>
      <c r="L402" s="455">
        <v>46128</v>
      </c>
      <c r="T402" s="455">
        <v>46156</v>
      </c>
      <c r="U402" s="455">
        <v>46165</v>
      </c>
    </row>
    <row r="403" spans="1:21">
      <c r="A403" t="s">
        <v>1751</v>
      </c>
      <c r="B403" t="s">
        <v>10600</v>
      </c>
      <c r="C403" t="s">
        <v>1751</v>
      </c>
      <c r="D403">
        <v>20538130</v>
      </c>
      <c r="E403" t="s">
        <v>3128</v>
      </c>
      <c r="F403" t="s">
        <v>1782</v>
      </c>
      <c r="G403" t="s">
        <v>3129</v>
      </c>
      <c r="H403" t="s">
        <v>1253</v>
      </c>
      <c r="J403" s="455">
        <v>46170</v>
      </c>
      <c r="U403" s="455">
        <v>46170</v>
      </c>
    </row>
    <row r="404" spans="1:21">
      <c r="A404" t="s">
        <v>1751</v>
      </c>
      <c r="B404" t="s">
        <v>3579</v>
      </c>
      <c r="C404" t="s">
        <v>1751</v>
      </c>
      <c r="D404">
        <v>20523426</v>
      </c>
      <c r="E404" t="s">
        <v>1897</v>
      </c>
      <c r="F404" t="s">
        <v>1241</v>
      </c>
      <c r="G404" t="s">
        <v>3134</v>
      </c>
      <c r="H404" t="s">
        <v>1247</v>
      </c>
      <c r="I404" t="s">
        <v>1952</v>
      </c>
      <c r="J404" s="455">
        <v>46154</v>
      </c>
      <c r="K404" s="455">
        <v>46154</v>
      </c>
      <c r="U404" s="455">
        <v>46165</v>
      </c>
    </row>
    <row r="405" spans="1:21">
      <c r="A405" t="s">
        <v>1751</v>
      </c>
      <c r="B405" t="s">
        <v>10601</v>
      </c>
      <c r="C405" t="s">
        <v>1751</v>
      </c>
      <c r="D405">
        <v>20520574</v>
      </c>
      <c r="E405" t="s">
        <v>3128</v>
      </c>
      <c r="F405" t="s">
        <v>1782</v>
      </c>
      <c r="G405" t="s">
        <v>3141</v>
      </c>
      <c r="H405" t="s">
        <v>1252</v>
      </c>
      <c r="J405" s="455">
        <v>46150</v>
      </c>
      <c r="U405" s="455">
        <v>46175</v>
      </c>
    </row>
    <row r="406" spans="1:21">
      <c r="A406" t="s">
        <v>1751</v>
      </c>
      <c r="B406" t="s">
        <v>10602</v>
      </c>
      <c r="C406" t="s">
        <v>1751</v>
      </c>
      <c r="D406">
        <v>20537186</v>
      </c>
      <c r="E406" t="s">
        <v>3128</v>
      </c>
      <c r="F406" t="s">
        <v>1243</v>
      </c>
      <c r="G406" t="s">
        <v>3141</v>
      </c>
      <c r="H406" t="s">
        <v>1252</v>
      </c>
      <c r="J406" s="455">
        <v>46169</v>
      </c>
      <c r="U406" s="455">
        <v>46169</v>
      </c>
    </row>
    <row r="407" spans="1:21">
      <c r="A407" t="s">
        <v>1751</v>
      </c>
      <c r="B407" t="s">
        <v>10603</v>
      </c>
      <c r="C407" t="s">
        <v>1751</v>
      </c>
      <c r="D407">
        <v>20523099</v>
      </c>
      <c r="E407" t="s">
        <v>3190</v>
      </c>
      <c r="F407" t="s">
        <v>1242</v>
      </c>
      <c r="G407" t="s">
        <v>3143</v>
      </c>
      <c r="H407" t="s">
        <v>1248</v>
      </c>
      <c r="I407" t="s">
        <v>1952</v>
      </c>
      <c r="J407" s="455">
        <v>46154</v>
      </c>
      <c r="R407" s="455">
        <v>46164</v>
      </c>
      <c r="U407" s="455">
        <v>46213</v>
      </c>
    </row>
    <row r="408" spans="1:21">
      <c r="A408" t="s">
        <v>1751</v>
      </c>
      <c r="B408" t="s">
        <v>10604</v>
      </c>
      <c r="C408" t="s">
        <v>1751</v>
      </c>
      <c r="D408">
        <v>20516117</v>
      </c>
      <c r="E408" t="s">
        <v>3128</v>
      </c>
      <c r="F408" t="s">
        <v>1782</v>
      </c>
      <c r="G408" t="s">
        <v>3129</v>
      </c>
      <c r="H408" t="s">
        <v>1252</v>
      </c>
      <c r="J408" s="455">
        <v>46146</v>
      </c>
      <c r="U408" s="455">
        <v>46146</v>
      </c>
    </row>
    <row r="409" spans="1:21">
      <c r="A409" t="s">
        <v>1751</v>
      </c>
      <c r="B409" t="s">
        <v>10605</v>
      </c>
      <c r="C409" t="s">
        <v>1751</v>
      </c>
      <c r="D409">
        <v>20529026</v>
      </c>
      <c r="E409" t="s">
        <v>3128</v>
      </c>
      <c r="F409" t="s">
        <v>1782</v>
      </c>
      <c r="G409" t="s">
        <v>3141</v>
      </c>
      <c r="H409" t="s">
        <v>1252</v>
      </c>
      <c r="J409" s="455">
        <v>46160</v>
      </c>
      <c r="U409" s="455">
        <v>46181</v>
      </c>
    </row>
    <row r="410" spans="1:21">
      <c r="A410" t="s">
        <v>1751</v>
      </c>
      <c r="B410" t="s">
        <v>10606</v>
      </c>
      <c r="C410" t="s">
        <v>1751</v>
      </c>
      <c r="D410">
        <v>20540262</v>
      </c>
      <c r="E410" t="s">
        <v>3128</v>
      </c>
      <c r="F410" t="s">
        <v>1241</v>
      </c>
      <c r="G410" t="s">
        <v>3137</v>
      </c>
      <c r="H410" t="s">
        <v>1252</v>
      </c>
      <c r="J410" s="455">
        <v>46173</v>
      </c>
      <c r="U410" s="455">
        <v>46173</v>
      </c>
    </row>
    <row r="411" spans="1:21">
      <c r="A411" t="s">
        <v>1751</v>
      </c>
      <c r="B411" t="s">
        <v>10607</v>
      </c>
      <c r="C411" t="s">
        <v>1751</v>
      </c>
      <c r="D411">
        <v>20519847</v>
      </c>
      <c r="E411" t="s">
        <v>3128</v>
      </c>
      <c r="F411" t="s">
        <v>1782</v>
      </c>
      <c r="G411" t="s">
        <v>3141</v>
      </c>
      <c r="H411" t="s">
        <v>1252</v>
      </c>
      <c r="J411" s="455">
        <v>46149</v>
      </c>
      <c r="U411" s="455">
        <v>46171</v>
      </c>
    </row>
    <row r="412" spans="1:21">
      <c r="A412" t="s">
        <v>1751</v>
      </c>
      <c r="B412" t="s">
        <v>3596</v>
      </c>
      <c r="C412" t="s">
        <v>1751</v>
      </c>
      <c r="D412">
        <v>20519178</v>
      </c>
      <c r="E412" t="s">
        <v>1897</v>
      </c>
      <c r="F412" t="s">
        <v>1912</v>
      </c>
      <c r="G412" t="s">
        <v>3134</v>
      </c>
      <c r="H412" t="s">
        <v>1247</v>
      </c>
      <c r="I412" t="s">
        <v>1917</v>
      </c>
      <c r="J412" s="455">
        <v>46149</v>
      </c>
      <c r="K412" s="455">
        <v>46149</v>
      </c>
      <c r="U412" s="455">
        <v>46174</v>
      </c>
    </row>
    <row r="413" spans="1:21">
      <c r="A413" t="s">
        <v>1751</v>
      </c>
      <c r="B413" t="s">
        <v>10608</v>
      </c>
      <c r="C413" t="s">
        <v>1751</v>
      </c>
      <c r="D413">
        <v>20538820</v>
      </c>
      <c r="E413" t="s">
        <v>3128</v>
      </c>
      <c r="F413" t="s">
        <v>1782</v>
      </c>
      <c r="G413" t="s">
        <v>3129</v>
      </c>
      <c r="H413" t="s">
        <v>1252</v>
      </c>
      <c r="J413" s="455">
        <v>46171</v>
      </c>
      <c r="U413" s="455">
        <v>46171</v>
      </c>
    </row>
    <row r="414" spans="1:21">
      <c r="A414" t="s">
        <v>1751</v>
      </c>
      <c r="B414" t="s">
        <v>3599</v>
      </c>
      <c r="C414" t="s">
        <v>1751</v>
      </c>
      <c r="D414">
        <v>20530368</v>
      </c>
      <c r="E414" t="s">
        <v>3190</v>
      </c>
      <c r="F414" t="s">
        <v>1782</v>
      </c>
      <c r="G414" t="s">
        <v>3129</v>
      </c>
      <c r="H414" t="s">
        <v>3131</v>
      </c>
      <c r="J414" s="455">
        <v>46161</v>
      </c>
      <c r="R414" s="455">
        <v>46164</v>
      </c>
      <c r="U414" s="455">
        <v>46161</v>
      </c>
    </row>
    <row r="415" spans="1:21">
      <c r="A415" t="s">
        <v>1751</v>
      </c>
      <c r="B415" t="s">
        <v>10609</v>
      </c>
      <c r="C415" t="s">
        <v>1751</v>
      </c>
      <c r="D415">
        <v>20539894</v>
      </c>
      <c r="E415" t="s">
        <v>3128</v>
      </c>
      <c r="F415" t="s">
        <v>1241</v>
      </c>
      <c r="G415" t="s">
        <v>3134</v>
      </c>
      <c r="H415" t="s">
        <v>1252</v>
      </c>
      <c r="J415" s="455">
        <v>46173</v>
      </c>
      <c r="U415" s="455">
        <v>46183</v>
      </c>
    </row>
    <row r="416" spans="1:21">
      <c r="A416" t="s">
        <v>1751</v>
      </c>
      <c r="B416" t="s">
        <v>10610</v>
      </c>
      <c r="C416" t="s">
        <v>1751</v>
      </c>
      <c r="D416">
        <v>20539267</v>
      </c>
      <c r="E416" t="s">
        <v>3128</v>
      </c>
      <c r="F416" t="s">
        <v>1782</v>
      </c>
      <c r="G416" t="s">
        <v>3141</v>
      </c>
      <c r="H416" t="s">
        <v>1252</v>
      </c>
      <c r="J416" s="455">
        <v>46172</v>
      </c>
      <c r="U416" s="455">
        <v>46181</v>
      </c>
    </row>
    <row r="417" spans="1:21">
      <c r="A417" t="s">
        <v>1751</v>
      </c>
      <c r="B417" t="s">
        <v>10611</v>
      </c>
      <c r="C417" t="s">
        <v>1751</v>
      </c>
      <c r="D417">
        <v>20516380</v>
      </c>
      <c r="E417" t="s">
        <v>3128</v>
      </c>
      <c r="F417" t="s">
        <v>1782</v>
      </c>
      <c r="G417" t="s">
        <v>3129</v>
      </c>
      <c r="H417" t="s">
        <v>1252</v>
      </c>
      <c r="J417" s="455">
        <v>46146</v>
      </c>
      <c r="U417" s="455">
        <v>46146</v>
      </c>
    </row>
    <row r="418" spans="1:21">
      <c r="A418" t="s">
        <v>1751</v>
      </c>
      <c r="B418" t="s">
        <v>10612</v>
      </c>
      <c r="C418" t="s">
        <v>1751</v>
      </c>
      <c r="D418">
        <v>20533027</v>
      </c>
      <c r="E418" t="s">
        <v>3128</v>
      </c>
      <c r="F418" t="s">
        <v>1782</v>
      </c>
      <c r="G418" t="s">
        <v>3137</v>
      </c>
      <c r="H418" t="s">
        <v>1247</v>
      </c>
      <c r="J418" s="455">
        <v>46163</v>
      </c>
      <c r="U418" s="455">
        <v>46163</v>
      </c>
    </row>
    <row r="419" spans="1:21">
      <c r="A419" t="s">
        <v>1751</v>
      </c>
      <c r="B419" t="s">
        <v>10613</v>
      </c>
      <c r="C419" t="s">
        <v>1751</v>
      </c>
      <c r="D419">
        <v>20520051</v>
      </c>
      <c r="E419" t="s">
        <v>3190</v>
      </c>
      <c r="F419" t="s">
        <v>1241</v>
      </c>
      <c r="G419" t="s">
        <v>3134</v>
      </c>
      <c r="H419" t="s">
        <v>1252</v>
      </c>
      <c r="J419" s="455">
        <v>46150</v>
      </c>
      <c r="R419" s="455">
        <v>46164</v>
      </c>
      <c r="U419" s="455">
        <v>46174</v>
      </c>
    </row>
    <row r="420" spans="1:21">
      <c r="A420" t="s">
        <v>1751</v>
      </c>
      <c r="B420" t="s">
        <v>9799</v>
      </c>
      <c r="C420" t="s">
        <v>1751</v>
      </c>
      <c r="D420">
        <v>20505152</v>
      </c>
      <c r="E420" t="s">
        <v>3190</v>
      </c>
      <c r="F420" t="s">
        <v>1242</v>
      </c>
      <c r="G420" t="s">
        <v>2009</v>
      </c>
      <c r="H420" t="s">
        <v>1247</v>
      </c>
      <c r="I420" t="s">
        <v>1952</v>
      </c>
      <c r="J420" s="455">
        <v>46133</v>
      </c>
      <c r="R420" s="455">
        <v>46164</v>
      </c>
      <c r="U420" s="455">
        <v>46133</v>
      </c>
    </row>
    <row r="421" spans="1:21">
      <c r="A421" t="s">
        <v>1751</v>
      </c>
      <c r="B421" t="s">
        <v>10614</v>
      </c>
      <c r="C421" t="s">
        <v>1751</v>
      </c>
      <c r="D421">
        <v>20533199</v>
      </c>
      <c r="E421" t="s">
        <v>3190</v>
      </c>
      <c r="F421" t="s">
        <v>1782</v>
      </c>
      <c r="G421" t="s">
        <v>3134</v>
      </c>
      <c r="H421" t="s">
        <v>3165</v>
      </c>
      <c r="J421" s="455">
        <v>46163</v>
      </c>
      <c r="R421" s="455">
        <v>46164</v>
      </c>
      <c r="U421" s="455">
        <v>46199</v>
      </c>
    </row>
    <row r="422" spans="1:21">
      <c r="A422" t="s">
        <v>1751</v>
      </c>
      <c r="B422" t="s">
        <v>10615</v>
      </c>
      <c r="C422" t="s">
        <v>1751</v>
      </c>
      <c r="D422">
        <v>20527243</v>
      </c>
      <c r="E422" t="s">
        <v>3128</v>
      </c>
      <c r="F422" t="s">
        <v>1782</v>
      </c>
      <c r="G422" t="s">
        <v>3141</v>
      </c>
      <c r="H422" t="s">
        <v>1252</v>
      </c>
      <c r="J422" s="455">
        <v>46157</v>
      </c>
      <c r="U422" s="455">
        <v>46163</v>
      </c>
    </row>
    <row r="423" spans="1:21">
      <c r="A423" t="s">
        <v>1751</v>
      </c>
      <c r="B423" t="s">
        <v>3604</v>
      </c>
      <c r="C423" t="s">
        <v>1751</v>
      </c>
      <c r="D423">
        <v>20531585</v>
      </c>
      <c r="E423" t="s">
        <v>3128</v>
      </c>
      <c r="F423" t="s">
        <v>1782</v>
      </c>
      <c r="G423" t="s">
        <v>3134</v>
      </c>
      <c r="H423" t="s">
        <v>3165</v>
      </c>
      <c r="J423" s="455">
        <v>46162</v>
      </c>
      <c r="U423" s="455">
        <v>46185</v>
      </c>
    </row>
    <row r="424" spans="1:21">
      <c r="A424" t="s">
        <v>1751</v>
      </c>
      <c r="B424" t="s">
        <v>3605</v>
      </c>
      <c r="C424" t="s">
        <v>1751</v>
      </c>
      <c r="D424">
        <v>20534821</v>
      </c>
      <c r="E424" t="s">
        <v>1897</v>
      </c>
      <c r="F424" t="s">
        <v>1243</v>
      </c>
      <c r="G424" t="s">
        <v>3134</v>
      </c>
      <c r="H424" t="s">
        <v>1247</v>
      </c>
      <c r="I424" t="s">
        <v>2531</v>
      </c>
      <c r="J424" s="455">
        <v>46166</v>
      </c>
      <c r="K424" s="455">
        <v>46166</v>
      </c>
      <c r="U424" s="455">
        <v>46188</v>
      </c>
    </row>
    <row r="425" spans="1:21">
      <c r="A425" t="s">
        <v>1751</v>
      </c>
      <c r="B425" t="s">
        <v>7178</v>
      </c>
      <c r="C425" t="s">
        <v>1751</v>
      </c>
      <c r="D425">
        <v>20508390</v>
      </c>
      <c r="E425" t="s">
        <v>3142</v>
      </c>
      <c r="F425" t="s">
        <v>1243</v>
      </c>
      <c r="G425" t="s">
        <v>2009</v>
      </c>
      <c r="H425" t="s">
        <v>1247</v>
      </c>
      <c r="I425" t="s">
        <v>1570</v>
      </c>
      <c r="J425" s="455">
        <v>46135</v>
      </c>
      <c r="K425" s="455">
        <v>46137</v>
      </c>
      <c r="L425" s="455">
        <v>46137</v>
      </c>
      <c r="M425" s="455">
        <v>46141</v>
      </c>
      <c r="N425" s="455">
        <v>46141</v>
      </c>
      <c r="O425" s="455">
        <v>46143</v>
      </c>
      <c r="P425" s="455">
        <v>46143</v>
      </c>
      <c r="Q425" s="455">
        <v>46143</v>
      </c>
      <c r="U425" s="455">
        <v>46143</v>
      </c>
    </row>
    <row r="426" spans="1:21">
      <c r="A426" t="s">
        <v>1751</v>
      </c>
      <c r="B426" t="s">
        <v>10616</v>
      </c>
      <c r="C426" t="s">
        <v>1751</v>
      </c>
      <c r="D426">
        <v>20517580</v>
      </c>
      <c r="E426" t="s">
        <v>3128</v>
      </c>
      <c r="F426" t="s">
        <v>1241</v>
      </c>
      <c r="G426" t="s">
        <v>3129</v>
      </c>
      <c r="H426" t="s">
        <v>1252</v>
      </c>
      <c r="J426" s="455">
        <v>46147</v>
      </c>
      <c r="U426" s="455">
        <v>46147</v>
      </c>
    </row>
    <row r="427" spans="1:21">
      <c r="A427" t="s">
        <v>1751</v>
      </c>
      <c r="B427" t="s">
        <v>10617</v>
      </c>
      <c r="C427" t="s">
        <v>1751</v>
      </c>
      <c r="D427">
        <v>20534197</v>
      </c>
      <c r="E427" t="s">
        <v>3128</v>
      </c>
      <c r="F427" t="s">
        <v>1782</v>
      </c>
      <c r="G427" t="s">
        <v>3129</v>
      </c>
      <c r="H427" t="s">
        <v>1253</v>
      </c>
      <c r="J427" s="455">
        <v>46165</v>
      </c>
      <c r="U427" s="455">
        <v>46165</v>
      </c>
    </row>
    <row r="428" spans="1:21">
      <c r="A428" t="s">
        <v>1751</v>
      </c>
      <c r="B428" t="s">
        <v>10618</v>
      </c>
      <c r="C428" t="s">
        <v>1751</v>
      </c>
      <c r="D428">
        <v>20533008</v>
      </c>
      <c r="E428" t="s">
        <v>3190</v>
      </c>
      <c r="F428" t="s">
        <v>1782</v>
      </c>
      <c r="G428" t="s">
        <v>3129</v>
      </c>
      <c r="H428" t="s">
        <v>1253</v>
      </c>
      <c r="J428" s="455">
        <v>46163</v>
      </c>
      <c r="R428" s="455">
        <v>46164</v>
      </c>
      <c r="U428" s="455">
        <v>46163</v>
      </c>
    </row>
    <row r="429" spans="1:21">
      <c r="A429" t="s">
        <v>1751</v>
      </c>
      <c r="B429" t="s">
        <v>10618</v>
      </c>
      <c r="C429" t="s">
        <v>1751</v>
      </c>
      <c r="D429">
        <v>20533034</v>
      </c>
      <c r="E429" t="s">
        <v>3190</v>
      </c>
      <c r="F429" t="s">
        <v>1782</v>
      </c>
      <c r="G429" t="s">
        <v>3141</v>
      </c>
      <c r="H429" t="s">
        <v>1247</v>
      </c>
      <c r="J429" s="455">
        <v>46163</v>
      </c>
      <c r="R429" s="455">
        <v>46164</v>
      </c>
      <c r="U429" s="455">
        <v>46163</v>
      </c>
    </row>
    <row r="430" spans="1:21">
      <c r="A430" t="s">
        <v>1751</v>
      </c>
      <c r="B430" t="s">
        <v>4589</v>
      </c>
      <c r="C430" t="s">
        <v>1751</v>
      </c>
      <c r="D430">
        <v>20524518</v>
      </c>
      <c r="E430" t="s">
        <v>3142</v>
      </c>
      <c r="F430" t="s">
        <v>1242</v>
      </c>
      <c r="G430" t="s">
        <v>3129</v>
      </c>
      <c r="H430" t="s">
        <v>1253</v>
      </c>
      <c r="I430" t="s">
        <v>2698</v>
      </c>
      <c r="J430" s="455">
        <v>46155</v>
      </c>
      <c r="K430" s="455">
        <v>46162</v>
      </c>
      <c r="L430" s="455">
        <v>46162</v>
      </c>
      <c r="M430" s="455">
        <v>46165</v>
      </c>
      <c r="N430" s="455">
        <v>46165</v>
      </c>
      <c r="P430" s="455">
        <v>46165</v>
      </c>
      <c r="Q430" s="455">
        <v>46165</v>
      </c>
      <c r="U430" s="455">
        <v>46204</v>
      </c>
    </row>
    <row r="431" spans="1:21">
      <c r="A431" t="s">
        <v>1751</v>
      </c>
      <c r="B431" t="s">
        <v>10619</v>
      </c>
      <c r="C431" t="s">
        <v>1751</v>
      </c>
      <c r="D431">
        <v>20515138</v>
      </c>
      <c r="E431" t="s">
        <v>3128</v>
      </c>
      <c r="F431" t="s">
        <v>1782</v>
      </c>
      <c r="G431" t="s">
        <v>3129</v>
      </c>
      <c r="H431" t="s">
        <v>3131</v>
      </c>
      <c r="J431" s="455">
        <v>46144</v>
      </c>
      <c r="U431" s="455">
        <v>46144</v>
      </c>
    </row>
    <row r="432" spans="1:21">
      <c r="A432" t="s">
        <v>1751</v>
      </c>
      <c r="B432" t="s">
        <v>10620</v>
      </c>
      <c r="C432" t="s">
        <v>1751</v>
      </c>
      <c r="D432">
        <v>20518541</v>
      </c>
      <c r="E432" t="s">
        <v>3128</v>
      </c>
      <c r="F432" t="s">
        <v>1782</v>
      </c>
      <c r="G432" t="s">
        <v>3129</v>
      </c>
      <c r="H432" t="s">
        <v>1252</v>
      </c>
      <c r="J432" s="455">
        <v>46148</v>
      </c>
      <c r="U432" s="455">
        <v>46149</v>
      </c>
    </row>
    <row r="433" spans="1:21">
      <c r="A433" t="s">
        <v>1751</v>
      </c>
      <c r="B433" t="s">
        <v>3615</v>
      </c>
      <c r="C433" t="s">
        <v>1751</v>
      </c>
      <c r="D433">
        <v>20533581</v>
      </c>
      <c r="E433" t="s">
        <v>1897</v>
      </c>
      <c r="F433" t="s">
        <v>1239</v>
      </c>
      <c r="G433" t="s">
        <v>3143</v>
      </c>
      <c r="H433" t="s">
        <v>1252</v>
      </c>
      <c r="I433" t="s">
        <v>3105</v>
      </c>
      <c r="J433" s="455">
        <v>46164</v>
      </c>
      <c r="K433" s="455">
        <v>46168</v>
      </c>
      <c r="U433" s="455">
        <v>46176</v>
      </c>
    </row>
    <row r="434" spans="1:21">
      <c r="A434" t="s">
        <v>1751</v>
      </c>
      <c r="B434" t="s">
        <v>10621</v>
      </c>
      <c r="C434" t="s">
        <v>1751</v>
      </c>
      <c r="D434">
        <v>20518015</v>
      </c>
      <c r="E434" t="s">
        <v>3128</v>
      </c>
      <c r="F434" t="s">
        <v>1782</v>
      </c>
      <c r="G434" t="s">
        <v>3141</v>
      </c>
      <c r="H434" t="s">
        <v>1252</v>
      </c>
      <c r="J434" s="455">
        <v>46147</v>
      </c>
      <c r="U434" s="455">
        <v>46175</v>
      </c>
    </row>
    <row r="435" spans="1:21">
      <c r="A435" t="s">
        <v>1751</v>
      </c>
      <c r="B435" t="s">
        <v>1107</v>
      </c>
      <c r="C435" t="s">
        <v>1751</v>
      </c>
      <c r="D435">
        <v>20525239</v>
      </c>
      <c r="E435" t="s">
        <v>3190</v>
      </c>
      <c r="F435" t="s">
        <v>1782</v>
      </c>
      <c r="G435" t="s">
        <v>3137</v>
      </c>
      <c r="H435" t="s">
        <v>1251</v>
      </c>
      <c r="J435" s="455">
        <v>46156</v>
      </c>
      <c r="R435" s="455">
        <v>46164</v>
      </c>
      <c r="U435" s="455">
        <v>46156</v>
      </c>
    </row>
    <row r="436" spans="1:21">
      <c r="A436" t="s">
        <v>1751</v>
      </c>
      <c r="B436" t="s">
        <v>1107</v>
      </c>
      <c r="C436" t="s">
        <v>1751</v>
      </c>
      <c r="D436">
        <v>20538044</v>
      </c>
      <c r="E436" t="s">
        <v>3128</v>
      </c>
      <c r="F436" t="s">
        <v>1237</v>
      </c>
      <c r="G436" t="s">
        <v>3143</v>
      </c>
      <c r="H436" t="s">
        <v>1251</v>
      </c>
      <c r="I436" t="s">
        <v>3170</v>
      </c>
      <c r="J436" s="455">
        <v>46170</v>
      </c>
      <c r="U436" s="455">
        <v>46170</v>
      </c>
    </row>
    <row r="437" spans="1:21">
      <c r="A437" t="s">
        <v>1751</v>
      </c>
      <c r="B437" t="s">
        <v>1107</v>
      </c>
      <c r="C437" t="s">
        <v>1751</v>
      </c>
      <c r="D437">
        <v>20467150</v>
      </c>
      <c r="E437" t="s">
        <v>3142</v>
      </c>
      <c r="F437" t="s">
        <v>1243</v>
      </c>
      <c r="G437" t="s">
        <v>3134</v>
      </c>
      <c r="H437" t="s">
        <v>1248</v>
      </c>
      <c r="I437" t="s">
        <v>1573</v>
      </c>
      <c r="J437" s="455">
        <v>46092</v>
      </c>
      <c r="K437" s="455">
        <v>46092</v>
      </c>
      <c r="L437" s="455">
        <v>46097</v>
      </c>
      <c r="M437" s="455">
        <v>46106</v>
      </c>
      <c r="N437" s="455">
        <v>46106</v>
      </c>
      <c r="O437" s="455">
        <v>46111</v>
      </c>
      <c r="P437" s="455">
        <v>46113</v>
      </c>
      <c r="Q437" s="455">
        <v>46113</v>
      </c>
      <c r="U437" s="455">
        <v>46144</v>
      </c>
    </row>
    <row r="438" spans="1:21">
      <c r="A438" t="s">
        <v>1751</v>
      </c>
      <c r="B438" t="s">
        <v>3619</v>
      </c>
      <c r="C438" t="s">
        <v>1751</v>
      </c>
      <c r="D438">
        <v>20537222</v>
      </c>
      <c r="E438" t="s">
        <v>1907</v>
      </c>
      <c r="F438" t="s">
        <v>1242</v>
      </c>
      <c r="G438" t="s">
        <v>3129</v>
      </c>
      <c r="H438" t="s">
        <v>1253</v>
      </c>
      <c r="I438" t="s">
        <v>1808</v>
      </c>
      <c r="J438" s="455">
        <v>46169</v>
      </c>
      <c r="K438" s="455">
        <v>46170</v>
      </c>
      <c r="L438" s="455">
        <v>46170</v>
      </c>
      <c r="U438" s="455">
        <v>46202</v>
      </c>
    </row>
    <row r="439" spans="1:21">
      <c r="A439" t="s">
        <v>1751</v>
      </c>
      <c r="B439" t="s">
        <v>9810</v>
      </c>
      <c r="C439" t="s">
        <v>1751</v>
      </c>
      <c r="D439">
        <v>20502896</v>
      </c>
      <c r="E439" t="s">
        <v>3133</v>
      </c>
      <c r="F439" t="s">
        <v>1241</v>
      </c>
      <c r="G439" t="s">
        <v>3129</v>
      </c>
      <c r="H439" t="s">
        <v>1253</v>
      </c>
      <c r="I439" t="s">
        <v>1524</v>
      </c>
      <c r="J439" s="455">
        <v>46132</v>
      </c>
      <c r="K439" s="455">
        <v>46132</v>
      </c>
      <c r="L439" s="455">
        <v>46135</v>
      </c>
      <c r="R439" s="455">
        <v>46146</v>
      </c>
      <c r="U439" s="455">
        <v>46148</v>
      </c>
    </row>
    <row r="440" spans="1:21">
      <c r="A440" t="s">
        <v>1751</v>
      </c>
      <c r="B440" t="s">
        <v>10622</v>
      </c>
      <c r="C440" t="s">
        <v>1751</v>
      </c>
      <c r="D440">
        <v>20532165</v>
      </c>
      <c r="E440" t="s">
        <v>3128</v>
      </c>
      <c r="F440" t="s">
        <v>1242</v>
      </c>
      <c r="G440" t="s">
        <v>3143</v>
      </c>
      <c r="H440" t="s">
        <v>1248</v>
      </c>
      <c r="I440" t="s">
        <v>1952</v>
      </c>
      <c r="J440" s="455">
        <v>46162</v>
      </c>
      <c r="U440" s="455">
        <v>46172</v>
      </c>
    </row>
    <row r="441" spans="1:21">
      <c r="A441" t="s">
        <v>1751</v>
      </c>
      <c r="B441" t="s">
        <v>10623</v>
      </c>
      <c r="C441" t="s">
        <v>1751</v>
      </c>
      <c r="D441">
        <v>20528355</v>
      </c>
      <c r="E441" t="s">
        <v>3128</v>
      </c>
      <c r="F441" t="s">
        <v>1782</v>
      </c>
      <c r="G441" t="s">
        <v>3134</v>
      </c>
      <c r="H441" t="s">
        <v>1252</v>
      </c>
      <c r="J441" s="455">
        <v>46158</v>
      </c>
      <c r="U441" s="455">
        <v>46204</v>
      </c>
    </row>
    <row r="442" spans="1:21">
      <c r="A442" t="s">
        <v>1751</v>
      </c>
      <c r="B442" t="s">
        <v>10623</v>
      </c>
      <c r="C442" t="s">
        <v>1751</v>
      </c>
      <c r="D442">
        <v>20528356</v>
      </c>
      <c r="E442" t="s">
        <v>3128</v>
      </c>
      <c r="F442" t="s">
        <v>1782</v>
      </c>
      <c r="G442" t="s">
        <v>3141</v>
      </c>
      <c r="H442" t="s">
        <v>1252</v>
      </c>
      <c r="J442" s="455">
        <v>46158</v>
      </c>
      <c r="U442" s="455">
        <v>46204</v>
      </c>
    </row>
    <row r="443" spans="1:21">
      <c r="A443" t="s">
        <v>1751</v>
      </c>
      <c r="B443" t="s">
        <v>7025</v>
      </c>
      <c r="C443" t="s">
        <v>1751</v>
      </c>
      <c r="D443">
        <v>20482148</v>
      </c>
      <c r="E443" t="s">
        <v>3133</v>
      </c>
      <c r="F443" t="s">
        <v>1237</v>
      </c>
      <c r="G443" t="s">
        <v>3134</v>
      </c>
      <c r="H443" t="s">
        <v>1250</v>
      </c>
      <c r="I443" t="s">
        <v>7024</v>
      </c>
      <c r="J443" s="455">
        <v>46109</v>
      </c>
      <c r="K443" s="455">
        <v>46109</v>
      </c>
      <c r="R443" s="455">
        <v>46146</v>
      </c>
      <c r="U443" s="455">
        <v>46143</v>
      </c>
    </row>
    <row r="444" spans="1:21">
      <c r="A444" t="s">
        <v>1751</v>
      </c>
      <c r="B444" t="s">
        <v>3088</v>
      </c>
      <c r="C444" t="s">
        <v>1751</v>
      </c>
      <c r="D444">
        <v>20528287</v>
      </c>
      <c r="E444" t="s">
        <v>3142</v>
      </c>
      <c r="F444" t="s">
        <v>1782</v>
      </c>
      <c r="G444" t="s">
        <v>3137</v>
      </c>
      <c r="H444" t="s">
        <v>1252</v>
      </c>
      <c r="I444" t="s">
        <v>2484</v>
      </c>
      <c r="J444" s="455">
        <v>46158</v>
      </c>
      <c r="K444" s="455">
        <v>46169</v>
      </c>
      <c r="L444" s="455">
        <v>46170</v>
      </c>
      <c r="M444" s="455">
        <v>46171</v>
      </c>
      <c r="N444" s="455">
        <v>46171</v>
      </c>
      <c r="P444" s="455">
        <v>46171</v>
      </c>
      <c r="Q444" s="455">
        <v>46171</v>
      </c>
      <c r="U444" s="455">
        <v>46248</v>
      </c>
    </row>
    <row r="445" spans="1:21">
      <c r="A445" t="s">
        <v>1751</v>
      </c>
      <c r="B445" t="s">
        <v>10624</v>
      </c>
      <c r="C445" t="s">
        <v>1751</v>
      </c>
      <c r="D445">
        <v>20521297</v>
      </c>
      <c r="E445" t="s">
        <v>3128</v>
      </c>
      <c r="F445" t="s">
        <v>1782</v>
      </c>
      <c r="G445" t="s">
        <v>3137</v>
      </c>
      <c r="H445" t="s">
        <v>1252</v>
      </c>
      <c r="J445" s="455">
        <v>46151</v>
      </c>
      <c r="U445" s="455">
        <v>46212</v>
      </c>
    </row>
    <row r="446" spans="1:21">
      <c r="A446" t="s">
        <v>1751</v>
      </c>
      <c r="B446" t="s">
        <v>3632</v>
      </c>
      <c r="C446" t="s">
        <v>1751</v>
      </c>
      <c r="D446">
        <v>20514695</v>
      </c>
      <c r="E446" t="s">
        <v>1897</v>
      </c>
      <c r="F446" t="s">
        <v>1241</v>
      </c>
      <c r="G446" t="s">
        <v>3134</v>
      </c>
      <c r="H446" t="s">
        <v>1247</v>
      </c>
      <c r="I446" t="s">
        <v>1933</v>
      </c>
      <c r="J446" s="455">
        <v>46143</v>
      </c>
      <c r="K446" s="455">
        <v>46143</v>
      </c>
      <c r="U446" s="455">
        <v>46143</v>
      </c>
    </row>
    <row r="447" spans="1:21">
      <c r="A447" t="s">
        <v>1751</v>
      </c>
      <c r="B447" t="s">
        <v>10625</v>
      </c>
      <c r="C447" t="s">
        <v>1751</v>
      </c>
      <c r="D447">
        <v>20527028</v>
      </c>
      <c r="E447" t="s">
        <v>3128</v>
      </c>
      <c r="F447" t="s">
        <v>1782</v>
      </c>
      <c r="G447" t="s">
        <v>3141</v>
      </c>
      <c r="H447" t="s">
        <v>1252</v>
      </c>
      <c r="J447" s="455">
        <v>46157</v>
      </c>
      <c r="U447" s="455">
        <v>46192</v>
      </c>
    </row>
    <row r="448" spans="1:21">
      <c r="A448" t="s">
        <v>1751</v>
      </c>
      <c r="B448" t="s">
        <v>10626</v>
      </c>
      <c r="C448" t="s">
        <v>1751</v>
      </c>
      <c r="D448">
        <v>20529281</v>
      </c>
      <c r="E448" t="s">
        <v>3128</v>
      </c>
      <c r="F448" t="s">
        <v>1782</v>
      </c>
      <c r="G448" t="s">
        <v>3141</v>
      </c>
      <c r="H448" t="s">
        <v>1252</v>
      </c>
      <c r="J448" s="455">
        <v>46160</v>
      </c>
      <c r="U448" s="455">
        <v>46266</v>
      </c>
    </row>
    <row r="449" spans="1:21">
      <c r="A449" t="s">
        <v>1751</v>
      </c>
      <c r="B449" t="s">
        <v>3637</v>
      </c>
      <c r="C449" t="s">
        <v>1751</v>
      </c>
      <c r="D449">
        <v>20540160</v>
      </c>
      <c r="E449" t="s">
        <v>1897</v>
      </c>
      <c r="F449" t="s">
        <v>1241</v>
      </c>
      <c r="G449" t="s">
        <v>3134</v>
      </c>
      <c r="H449" t="s">
        <v>1247</v>
      </c>
      <c r="J449" s="455">
        <v>46173</v>
      </c>
      <c r="K449" s="455">
        <v>46173</v>
      </c>
      <c r="U449" s="455">
        <v>46173</v>
      </c>
    </row>
    <row r="450" spans="1:21">
      <c r="A450" t="s">
        <v>1751</v>
      </c>
      <c r="B450" t="s">
        <v>10627</v>
      </c>
      <c r="C450" t="s">
        <v>1751</v>
      </c>
      <c r="D450">
        <v>20533959</v>
      </c>
      <c r="E450" t="s">
        <v>3128</v>
      </c>
      <c r="F450" t="s">
        <v>1782</v>
      </c>
      <c r="G450" t="s">
        <v>3134</v>
      </c>
      <c r="H450" t="s">
        <v>3165</v>
      </c>
      <c r="J450" s="455">
        <v>46164</v>
      </c>
      <c r="U450" s="455">
        <v>46203</v>
      </c>
    </row>
    <row r="451" spans="1:21">
      <c r="A451" t="s">
        <v>1751</v>
      </c>
      <c r="B451" t="s">
        <v>3641</v>
      </c>
      <c r="C451" t="s">
        <v>1751</v>
      </c>
      <c r="D451">
        <v>20530865</v>
      </c>
      <c r="E451" t="s">
        <v>3142</v>
      </c>
      <c r="F451" t="s">
        <v>1238</v>
      </c>
      <c r="G451" t="s">
        <v>3134</v>
      </c>
      <c r="H451" t="s">
        <v>1247</v>
      </c>
      <c r="I451" t="s">
        <v>1541</v>
      </c>
      <c r="J451" s="455">
        <v>46161</v>
      </c>
      <c r="K451" s="455">
        <v>46161</v>
      </c>
      <c r="L451" s="455">
        <v>46161</v>
      </c>
      <c r="M451" s="455">
        <v>46171</v>
      </c>
      <c r="N451" s="455">
        <v>46171</v>
      </c>
      <c r="O451" s="455">
        <v>46171</v>
      </c>
      <c r="P451" s="455">
        <v>46171</v>
      </c>
      <c r="Q451" s="455">
        <v>46171</v>
      </c>
      <c r="U451" s="455">
        <v>46178</v>
      </c>
    </row>
    <row r="452" spans="1:21">
      <c r="A452" t="s">
        <v>1751</v>
      </c>
      <c r="B452" t="s">
        <v>10628</v>
      </c>
      <c r="C452" t="s">
        <v>1751</v>
      </c>
      <c r="D452">
        <v>20533388</v>
      </c>
      <c r="E452" t="s">
        <v>3128</v>
      </c>
      <c r="F452" t="s">
        <v>1239</v>
      </c>
      <c r="G452" t="s">
        <v>3143</v>
      </c>
      <c r="H452" t="s">
        <v>1249</v>
      </c>
      <c r="I452" t="s">
        <v>3303</v>
      </c>
      <c r="J452" s="455">
        <v>46164</v>
      </c>
      <c r="U452" s="455">
        <v>46164</v>
      </c>
    </row>
    <row r="453" spans="1:21">
      <c r="A453" t="s">
        <v>1751</v>
      </c>
      <c r="B453" t="s">
        <v>9824</v>
      </c>
      <c r="C453" t="s">
        <v>1751</v>
      </c>
      <c r="D453">
        <v>20507655</v>
      </c>
      <c r="E453" t="s">
        <v>3190</v>
      </c>
      <c r="F453" t="s">
        <v>1782</v>
      </c>
      <c r="G453" t="s">
        <v>3129</v>
      </c>
      <c r="H453" t="s">
        <v>1253</v>
      </c>
      <c r="J453" s="455">
        <v>46135</v>
      </c>
      <c r="R453" s="455">
        <v>46164</v>
      </c>
      <c r="U453" s="455">
        <v>46121</v>
      </c>
    </row>
    <row r="454" spans="1:21">
      <c r="A454" t="s">
        <v>1751</v>
      </c>
      <c r="B454" t="s">
        <v>10629</v>
      </c>
      <c r="C454" t="s">
        <v>1751</v>
      </c>
      <c r="D454">
        <v>20521492</v>
      </c>
      <c r="E454" t="s">
        <v>3128</v>
      </c>
      <c r="F454" t="s">
        <v>1782</v>
      </c>
      <c r="G454" t="s">
        <v>3137</v>
      </c>
      <c r="H454" t="s">
        <v>1252</v>
      </c>
      <c r="J454" s="455">
        <v>46152</v>
      </c>
      <c r="U454" s="455">
        <v>46176</v>
      </c>
    </row>
    <row r="455" spans="1:21">
      <c r="A455" t="s">
        <v>1751</v>
      </c>
      <c r="B455" t="s">
        <v>3644</v>
      </c>
      <c r="C455" t="s">
        <v>1751</v>
      </c>
      <c r="D455">
        <v>20533079</v>
      </c>
      <c r="E455" t="s">
        <v>1897</v>
      </c>
      <c r="F455" t="s">
        <v>1241</v>
      </c>
      <c r="G455" t="s">
        <v>3134</v>
      </c>
      <c r="H455" t="s">
        <v>1247</v>
      </c>
      <c r="I455" t="s">
        <v>3019</v>
      </c>
      <c r="J455" s="455">
        <v>46163</v>
      </c>
      <c r="K455" s="455">
        <v>46163</v>
      </c>
      <c r="U455" s="455">
        <v>46164</v>
      </c>
    </row>
    <row r="456" spans="1:21">
      <c r="A456" t="s">
        <v>1751</v>
      </c>
      <c r="B456" t="s">
        <v>9827</v>
      </c>
      <c r="C456" t="s">
        <v>1751</v>
      </c>
      <c r="D456">
        <v>20509511</v>
      </c>
      <c r="E456" t="s">
        <v>3133</v>
      </c>
      <c r="F456" t="s">
        <v>1243</v>
      </c>
      <c r="G456" t="s">
        <v>3134</v>
      </c>
      <c r="H456" t="s">
        <v>1247</v>
      </c>
      <c r="I456" t="s">
        <v>1784</v>
      </c>
      <c r="J456" s="455">
        <v>46137</v>
      </c>
      <c r="K456" s="455">
        <v>46137</v>
      </c>
      <c r="L456" s="455">
        <v>46137</v>
      </c>
      <c r="R456" s="455">
        <v>46147</v>
      </c>
      <c r="U456" s="455">
        <v>46149</v>
      </c>
    </row>
    <row r="457" spans="1:21">
      <c r="A457" t="s">
        <v>1751</v>
      </c>
      <c r="B457" t="s">
        <v>3087</v>
      </c>
      <c r="C457" t="s">
        <v>1751</v>
      </c>
      <c r="D457">
        <v>20537267</v>
      </c>
      <c r="E457" t="s">
        <v>1907</v>
      </c>
      <c r="F457" t="s">
        <v>1243</v>
      </c>
      <c r="G457" t="s">
        <v>3129</v>
      </c>
      <c r="H457" t="s">
        <v>1248</v>
      </c>
      <c r="I457" t="s">
        <v>2482</v>
      </c>
      <c r="J457" s="455">
        <v>46169</v>
      </c>
      <c r="K457" s="455">
        <v>46169</v>
      </c>
      <c r="L457" s="455">
        <v>46169</v>
      </c>
      <c r="O457" s="455">
        <v>46175</v>
      </c>
      <c r="U457" s="455">
        <v>46248</v>
      </c>
    </row>
    <row r="458" spans="1:21">
      <c r="A458" t="s">
        <v>1751</v>
      </c>
      <c r="B458" t="s">
        <v>3648</v>
      </c>
      <c r="C458" t="s">
        <v>1751</v>
      </c>
      <c r="D458">
        <v>20532359</v>
      </c>
      <c r="E458" t="s">
        <v>1897</v>
      </c>
      <c r="F458" t="s">
        <v>1241</v>
      </c>
      <c r="G458" t="s">
        <v>3134</v>
      </c>
      <c r="H458" t="s">
        <v>1247</v>
      </c>
      <c r="I458" t="s">
        <v>2173</v>
      </c>
      <c r="J458" s="455">
        <v>46162</v>
      </c>
      <c r="K458" s="455">
        <v>46162</v>
      </c>
      <c r="U458" s="455">
        <v>46162</v>
      </c>
    </row>
    <row r="459" spans="1:21">
      <c r="A459" t="s">
        <v>1751</v>
      </c>
      <c r="B459" t="s">
        <v>3650</v>
      </c>
      <c r="C459" t="s">
        <v>1751</v>
      </c>
      <c r="D459">
        <v>20524979</v>
      </c>
      <c r="E459" t="s">
        <v>1897</v>
      </c>
      <c r="F459" t="s">
        <v>1782</v>
      </c>
      <c r="G459" t="s">
        <v>3134</v>
      </c>
      <c r="H459" t="s">
        <v>1247</v>
      </c>
      <c r="J459" s="455">
        <v>46155</v>
      </c>
      <c r="K459" s="455">
        <v>46155</v>
      </c>
      <c r="U459" s="455">
        <v>46155</v>
      </c>
    </row>
    <row r="460" spans="1:21">
      <c r="A460" t="s">
        <v>1751</v>
      </c>
      <c r="B460" t="s">
        <v>10630</v>
      </c>
      <c r="C460" t="s">
        <v>1751</v>
      </c>
      <c r="D460">
        <v>20523147</v>
      </c>
      <c r="E460" t="s">
        <v>3190</v>
      </c>
      <c r="F460" t="s">
        <v>1782</v>
      </c>
      <c r="G460" t="s">
        <v>3137</v>
      </c>
      <c r="H460" t="s">
        <v>1252</v>
      </c>
      <c r="J460" s="455">
        <v>46154</v>
      </c>
      <c r="R460" s="455">
        <v>46164</v>
      </c>
      <c r="U460" s="455">
        <v>46178</v>
      </c>
    </row>
    <row r="461" spans="1:21">
      <c r="A461" t="s">
        <v>1751</v>
      </c>
      <c r="B461" t="s">
        <v>3654</v>
      </c>
      <c r="C461" t="s">
        <v>1751</v>
      </c>
      <c r="D461">
        <v>20538562</v>
      </c>
      <c r="E461" t="s">
        <v>1897</v>
      </c>
      <c r="F461" t="s">
        <v>1241</v>
      </c>
      <c r="G461" t="s">
        <v>3134</v>
      </c>
      <c r="H461" t="s">
        <v>1247</v>
      </c>
      <c r="J461" s="455">
        <v>46171</v>
      </c>
      <c r="K461" s="455">
        <v>46171</v>
      </c>
      <c r="U461" s="455">
        <v>46171</v>
      </c>
    </row>
    <row r="462" spans="1:21">
      <c r="A462" t="s">
        <v>1751</v>
      </c>
      <c r="B462" t="s">
        <v>3654</v>
      </c>
      <c r="C462" t="s">
        <v>1751</v>
      </c>
      <c r="D462">
        <v>20528340</v>
      </c>
      <c r="E462" t="s">
        <v>1897</v>
      </c>
      <c r="F462" t="s">
        <v>1237</v>
      </c>
      <c r="G462" t="s">
        <v>3134</v>
      </c>
      <c r="H462" t="s">
        <v>1247</v>
      </c>
      <c r="I462" t="s">
        <v>3391</v>
      </c>
      <c r="J462" s="455">
        <v>46158</v>
      </c>
      <c r="K462" s="455">
        <v>46158</v>
      </c>
      <c r="U462" s="455">
        <v>46185</v>
      </c>
    </row>
    <row r="463" spans="1:21">
      <c r="A463" t="s">
        <v>1751</v>
      </c>
      <c r="B463" t="s">
        <v>10631</v>
      </c>
      <c r="C463" t="s">
        <v>1751</v>
      </c>
      <c r="D463">
        <v>20516747</v>
      </c>
      <c r="E463" t="s">
        <v>3128</v>
      </c>
      <c r="F463" t="s">
        <v>1241</v>
      </c>
      <c r="G463" t="s">
        <v>3137</v>
      </c>
      <c r="H463" t="s">
        <v>1252</v>
      </c>
      <c r="J463" s="455">
        <v>46146</v>
      </c>
      <c r="U463" s="455">
        <v>46174</v>
      </c>
    </row>
    <row r="464" spans="1:21">
      <c r="A464" t="s">
        <v>1751</v>
      </c>
      <c r="B464" t="s">
        <v>10632</v>
      </c>
      <c r="C464" t="s">
        <v>1751</v>
      </c>
      <c r="D464">
        <v>20531659</v>
      </c>
      <c r="E464" t="s">
        <v>3128</v>
      </c>
      <c r="F464" t="s">
        <v>1782</v>
      </c>
      <c r="G464" t="s">
        <v>3141</v>
      </c>
      <c r="H464" t="s">
        <v>1252</v>
      </c>
      <c r="J464" s="455">
        <v>46162</v>
      </c>
      <c r="U464" s="455">
        <v>46222</v>
      </c>
    </row>
    <row r="465" spans="1:21">
      <c r="A465" t="s">
        <v>1751</v>
      </c>
      <c r="B465" t="s">
        <v>10633</v>
      </c>
      <c r="C465" t="s">
        <v>1751</v>
      </c>
      <c r="D465">
        <v>20527813</v>
      </c>
      <c r="E465" t="s">
        <v>3128</v>
      </c>
      <c r="F465" t="s">
        <v>1782</v>
      </c>
      <c r="G465" t="s">
        <v>3141</v>
      </c>
      <c r="H465" t="s">
        <v>1252</v>
      </c>
      <c r="J465" s="455">
        <v>46157</v>
      </c>
      <c r="U465" s="455">
        <v>46228</v>
      </c>
    </row>
    <row r="466" spans="1:21">
      <c r="A466" t="s">
        <v>1751</v>
      </c>
      <c r="B466" t="s">
        <v>10634</v>
      </c>
      <c r="C466" t="s">
        <v>1751</v>
      </c>
      <c r="D466">
        <v>20536877</v>
      </c>
      <c r="E466" t="s">
        <v>3128</v>
      </c>
      <c r="F466" t="s">
        <v>1782</v>
      </c>
      <c r="G466" t="s">
        <v>3137</v>
      </c>
      <c r="H466" t="s">
        <v>1247</v>
      </c>
      <c r="J466" s="455">
        <v>46169</v>
      </c>
      <c r="U466" s="455">
        <v>46169</v>
      </c>
    </row>
    <row r="467" spans="1:21">
      <c r="A467" t="s">
        <v>1751</v>
      </c>
      <c r="B467" t="s">
        <v>10635</v>
      </c>
      <c r="C467" t="s">
        <v>1751</v>
      </c>
      <c r="D467">
        <v>20521243</v>
      </c>
      <c r="E467" t="s">
        <v>3190</v>
      </c>
      <c r="F467" t="s">
        <v>1241</v>
      </c>
      <c r="G467" t="s">
        <v>3137</v>
      </c>
      <c r="H467" t="s">
        <v>1252</v>
      </c>
      <c r="I467" t="s">
        <v>1952</v>
      </c>
      <c r="J467" s="455">
        <v>46151</v>
      </c>
      <c r="R467" s="455">
        <v>46160</v>
      </c>
      <c r="U467" s="455">
        <v>46173</v>
      </c>
    </row>
    <row r="468" spans="1:21">
      <c r="A468" t="s">
        <v>1751</v>
      </c>
      <c r="B468" t="s">
        <v>10636</v>
      </c>
      <c r="C468" t="s">
        <v>1751</v>
      </c>
      <c r="D468">
        <v>20536266</v>
      </c>
      <c r="E468" t="s">
        <v>3128</v>
      </c>
      <c r="F468" t="s">
        <v>1782</v>
      </c>
      <c r="G468" t="s">
        <v>3129</v>
      </c>
      <c r="H468" t="s">
        <v>3131</v>
      </c>
      <c r="J468" s="455">
        <v>46168</v>
      </c>
      <c r="U468" s="455">
        <v>46168</v>
      </c>
    </row>
    <row r="469" spans="1:21">
      <c r="A469" t="s">
        <v>1751</v>
      </c>
      <c r="B469" t="s">
        <v>4619</v>
      </c>
      <c r="C469" t="s">
        <v>1751</v>
      </c>
      <c r="D469">
        <v>20504934</v>
      </c>
      <c r="E469" t="s">
        <v>3190</v>
      </c>
      <c r="F469" t="s">
        <v>1782</v>
      </c>
      <c r="G469" t="s">
        <v>3129</v>
      </c>
      <c r="H469" t="s">
        <v>3131</v>
      </c>
      <c r="J469" s="455">
        <v>46133</v>
      </c>
      <c r="R469" s="455">
        <v>46164</v>
      </c>
      <c r="U469" s="455">
        <v>46155</v>
      </c>
    </row>
    <row r="470" spans="1:21">
      <c r="A470" t="s">
        <v>1751</v>
      </c>
      <c r="B470" t="s">
        <v>10637</v>
      </c>
      <c r="C470" t="s">
        <v>1751</v>
      </c>
      <c r="D470">
        <v>20515900</v>
      </c>
      <c r="E470" t="s">
        <v>3128</v>
      </c>
      <c r="F470" t="s">
        <v>1782</v>
      </c>
      <c r="G470" t="s">
        <v>3141</v>
      </c>
      <c r="H470" t="s">
        <v>1252</v>
      </c>
      <c r="J470" s="455">
        <v>46145</v>
      </c>
      <c r="U470" s="455">
        <v>46147</v>
      </c>
    </row>
    <row r="471" spans="1:21">
      <c r="A471" t="s">
        <v>1751</v>
      </c>
      <c r="B471" t="s">
        <v>10638</v>
      </c>
      <c r="C471" t="s">
        <v>1751</v>
      </c>
      <c r="D471">
        <v>20514961</v>
      </c>
      <c r="E471" t="s">
        <v>3128</v>
      </c>
      <c r="F471" t="s">
        <v>1782</v>
      </c>
      <c r="G471" t="s">
        <v>3137</v>
      </c>
      <c r="H471" t="s">
        <v>1252</v>
      </c>
      <c r="J471" s="455">
        <v>46143</v>
      </c>
      <c r="U471" s="455">
        <v>46164</v>
      </c>
    </row>
    <row r="472" spans="1:21">
      <c r="A472" t="s">
        <v>1751</v>
      </c>
      <c r="B472" t="s">
        <v>3663</v>
      </c>
      <c r="C472" t="s">
        <v>1751</v>
      </c>
      <c r="D472">
        <v>20534124</v>
      </c>
      <c r="E472" t="s">
        <v>1897</v>
      </c>
      <c r="F472" t="s">
        <v>1241</v>
      </c>
      <c r="G472" t="s">
        <v>3134</v>
      </c>
      <c r="H472" t="s">
        <v>1247</v>
      </c>
      <c r="I472" t="s">
        <v>2173</v>
      </c>
      <c r="J472" s="455">
        <v>46165</v>
      </c>
      <c r="K472" s="455">
        <v>46165</v>
      </c>
      <c r="U472" s="455">
        <v>46174</v>
      </c>
    </row>
    <row r="473" spans="1:21">
      <c r="A473" t="s">
        <v>1751</v>
      </c>
      <c r="B473" t="s">
        <v>3663</v>
      </c>
      <c r="C473" t="s">
        <v>1751</v>
      </c>
      <c r="D473">
        <v>20539256</v>
      </c>
      <c r="E473" t="s">
        <v>1897</v>
      </c>
      <c r="F473" t="s">
        <v>1241</v>
      </c>
      <c r="G473" t="s">
        <v>3134</v>
      </c>
      <c r="H473" t="s">
        <v>1247</v>
      </c>
      <c r="I473" t="s">
        <v>3529</v>
      </c>
      <c r="J473" s="455">
        <v>46172</v>
      </c>
      <c r="K473" s="455">
        <v>46172</v>
      </c>
      <c r="U473" s="455">
        <v>46172</v>
      </c>
    </row>
    <row r="474" spans="1:21">
      <c r="A474" t="s">
        <v>1751</v>
      </c>
      <c r="B474" t="s">
        <v>7077</v>
      </c>
      <c r="C474" t="s">
        <v>1751</v>
      </c>
      <c r="D474">
        <v>20523963</v>
      </c>
      <c r="E474" t="s">
        <v>3133</v>
      </c>
      <c r="F474" t="s">
        <v>1782</v>
      </c>
      <c r="G474" t="s">
        <v>3141</v>
      </c>
      <c r="H474" t="s">
        <v>3487</v>
      </c>
      <c r="J474" s="455">
        <v>46155</v>
      </c>
      <c r="K474" s="455">
        <v>46157</v>
      </c>
      <c r="R474" s="455">
        <v>46164</v>
      </c>
      <c r="U474" s="455">
        <v>46155</v>
      </c>
    </row>
    <row r="475" spans="1:21">
      <c r="A475" t="s">
        <v>1751</v>
      </c>
      <c r="B475" t="s">
        <v>7077</v>
      </c>
      <c r="C475" t="s">
        <v>1751</v>
      </c>
      <c r="D475">
        <v>20520783</v>
      </c>
      <c r="E475" t="s">
        <v>3133</v>
      </c>
      <c r="F475" t="s">
        <v>1241</v>
      </c>
      <c r="G475" t="s">
        <v>3134</v>
      </c>
      <c r="H475" t="s">
        <v>1247</v>
      </c>
      <c r="I475" t="s">
        <v>2543</v>
      </c>
      <c r="J475" s="455">
        <v>46151</v>
      </c>
      <c r="K475" s="455">
        <v>46151</v>
      </c>
      <c r="R475" s="455">
        <v>46153</v>
      </c>
      <c r="U475" s="455">
        <v>46151</v>
      </c>
    </row>
    <row r="476" spans="1:21">
      <c r="A476" t="s">
        <v>1751</v>
      </c>
      <c r="B476" t="s">
        <v>7077</v>
      </c>
      <c r="C476" t="s">
        <v>1751</v>
      </c>
      <c r="D476">
        <v>20520494</v>
      </c>
      <c r="E476" t="s">
        <v>3142</v>
      </c>
      <c r="F476" t="s">
        <v>1242</v>
      </c>
      <c r="G476" t="s">
        <v>3134</v>
      </c>
      <c r="H476" t="s">
        <v>1247</v>
      </c>
      <c r="I476" t="s">
        <v>3288</v>
      </c>
      <c r="J476" s="455">
        <v>46150</v>
      </c>
      <c r="K476" s="455">
        <v>46150</v>
      </c>
      <c r="L476" s="455">
        <v>46150</v>
      </c>
      <c r="M476" s="455">
        <v>46157</v>
      </c>
      <c r="N476" s="455">
        <v>46157</v>
      </c>
      <c r="O476" s="455">
        <v>46157</v>
      </c>
      <c r="P476" s="455">
        <v>46157</v>
      </c>
      <c r="Q476" s="455">
        <v>46157</v>
      </c>
      <c r="U476" s="455">
        <v>46165</v>
      </c>
    </row>
    <row r="477" spans="1:21">
      <c r="A477" t="s">
        <v>1751</v>
      </c>
      <c r="B477" t="s">
        <v>3665</v>
      </c>
      <c r="C477" t="s">
        <v>1751</v>
      </c>
      <c r="D477">
        <v>20529371</v>
      </c>
      <c r="E477" t="s">
        <v>3128</v>
      </c>
      <c r="F477" t="s">
        <v>1242</v>
      </c>
      <c r="G477" t="s">
        <v>3141</v>
      </c>
      <c r="H477" t="s">
        <v>1252</v>
      </c>
      <c r="I477" t="s">
        <v>1952</v>
      </c>
      <c r="J477" s="455">
        <v>46160</v>
      </c>
      <c r="U477" s="455">
        <v>46185</v>
      </c>
    </row>
    <row r="478" spans="1:21">
      <c r="A478" t="s">
        <v>1751</v>
      </c>
      <c r="B478" t="s">
        <v>3665</v>
      </c>
      <c r="C478" t="s">
        <v>1751</v>
      </c>
      <c r="D478">
        <v>20535188</v>
      </c>
      <c r="E478" t="s">
        <v>1897</v>
      </c>
      <c r="F478" t="s">
        <v>1782</v>
      </c>
      <c r="G478" t="s">
        <v>3134</v>
      </c>
      <c r="H478" t="s">
        <v>1247</v>
      </c>
      <c r="I478" t="s">
        <v>1572</v>
      </c>
      <c r="J478" s="455">
        <v>46167</v>
      </c>
      <c r="K478" s="455">
        <v>46167</v>
      </c>
      <c r="U478" s="455">
        <v>46183</v>
      </c>
    </row>
    <row r="479" spans="1:21">
      <c r="A479" t="s">
        <v>1751</v>
      </c>
      <c r="B479" t="s">
        <v>3665</v>
      </c>
      <c r="C479" t="s">
        <v>1751</v>
      </c>
      <c r="D479">
        <v>20533060</v>
      </c>
      <c r="E479" t="s">
        <v>1907</v>
      </c>
      <c r="F479" t="s">
        <v>1242</v>
      </c>
      <c r="G479" t="s">
        <v>3134</v>
      </c>
      <c r="H479" t="s">
        <v>1247</v>
      </c>
      <c r="I479" t="s">
        <v>1529</v>
      </c>
      <c r="J479" s="455">
        <v>46163</v>
      </c>
      <c r="K479" s="455">
        <v>46163</v>
      </c>
      <c r="L479" s="455">
        <v>46164</v>
      </c>
      <c r="U479" s="455">
        <v>46183</v>
      </c>
    </row>
    <row r="480" spans="1:21">
      <c r="A480" t="s">
        <v>1751</v>
      </c>
      <c r="B480" t="s">
        <v>10639</v>
      </c>
      <c r="C480" t="s">
        <v>1751</v>
      </c>
      <c r="D480">
        <v>20522907</v>
      </c>
      <c r="E480" t="s">
        <v>3190</v>
      </c>
      <c r="F480" t="s">
        <v>1242</v>
      </c>
      <c r="G480" t="s">
        <v>3143</v>
      </c>
      <c r="H480" t="s">
        <v>1248</v>
      </c>
      <c r="I480" t="s">
        <v>1952</v>
      </c>
      <c r="J480" s="455">
        <v>46154</v>
      </c>
      <c r="R480" s="455">
        <v>46164</v>
      </c>
      <c r="U480" s="455">
        <v>46162</v>
      </c>
    </row>
    <row r="481" spans="1:21">
      <c r="A481" t="s">
        <v>1751</v>
      </c>
      <c r="B481" t="s">
        <v>3109</v>
      </c>
      <c r="C481" t="s">
        <v>1751</v>
      </c>
      <c r="D481">
        <v>20531015</v>
      </c>
      <c r="E481" t="s">
        <v>1897</v>
      </c>
      <c r="F481" t="s">
        <v>1782</v>
      </c>
      <c r="G481" t="s">
        <v>3134</v>
      </c>
      <c r="H481" t="s">
        <v>1247</v>
      </c>
      <c r="J481" s="455">
        <v>46161</v>
      </c>
      <c r="K481" s="455">
        <v>46161</v>
      </c>
      <c r="U481" s="455">
        <v>46161</v>
      </c>
    </row>
    <row r="482" spans="1:21">
      <c r="A482" t="s">
        <v>1751</v>
      </c>
      <c r="B482" t="s">
        <v>3672</v>
      </c>
      <c r="C482" t="s">
        <v>1751</v>
      </c>
      <c r="D482">
        <v>20517972</v>
      </c>
      <c r="E482" t="s">
        <v>3128</v>
      </c>
      <c r="F482" t="s">
        <v>1782</v>
      </c>
      <c r="G482" t="s">
        <v>3134</v>
      </c>
      <c r="H482" t="s">
        <v>1252</v>
      </c>
      <c r="J482" s="455">
        <v>46147</v>
      </c>
      <c r="U482" s="455">
        <v>46179</v>
      </c>
    </row>
    <row r="483" spans="1:21">
      <c r="A483" t="s">
        <v>1751</v>
      </c>
      <c r="B483" t="s">
        <v>3672</v>
      </c>
      <c r="C483" t="s">
        <v>1751</v>
      </c>
      <c r="D483">
        <v>20517971</v>
      </c>
      <c r="E483" t="s">
        <v>3128</v>
      </c>
      <c r="F483" t="s">
        <v>1782</v>
      </c>
      <c r="G483" t="s">
        <v>3141</v>
      </c>
      <c r="H483" t="s">
        <v>1252</v>
      </c>
      <c r="J483" s="455">
        <v>46147</v>
      </c>
      <c r="U483" s="455">
        <v>46179</v>
      </c>
    </row>
    <row r="484" spans="1:21">
      <c r="A484" t="s">
        <v>1751</v>
      </c>
      <c r="B484" t="s">
        <v>3672</v>
      </c>
      <c r="C484" t="s">
        <v>1751</v>
      </c>
      <c r="D484">
        <v>20528610</v>
      </c>
      <c r="E484" t="s">
        <v>3128</v>
      </c>
      <c r="F484" t="s">
        <v>1782</v>
      </c>
      <c r="G484" t="s">
        <v>3134</v>
      </c>
      <c r="H484" t="s">
        <v>1252</v>
      </c>
      <c r="J484" s="455">
        <v>46159</v>
      </c>
      <c r="U484" s="455">
        <v>46190</v>
      </c>
    </row>
    <row r="485" spans="1:21">
      <c r="A485" t="s">
        <v>1751</v>
      </c>
      <c r="B485" t="s">
        <v>2557</v>
      </c>
      <c r="C485" t="s">
        <v>1751</v>
      </c>
      <c r="D485">
        <v>20537577</v>
      </c>
      <c r="E485" t="s">
        <v>1907</v>
      </c>
      <c r="F485" t="s">
        <v>1242</v>
      </c>
      <c r="G485" t="s">
        <v>3137</v>
      </c>
      <c r="H485" t="s">
        <v>1252</v>
      </c>
      <c r="I485" t="s">
        <v>2556</v>
      </c>
      <c r="J485" s="455">
        <v>46170</v>
      </c>
      <c r="K485" s="455">
        <v>46170</v>
      </c>
      <c r="L485" s="455">
        <v>46171</v>
      </c>
      <c r="U485" s="455">
        <v>46178</v>
      </c>
    </row>
    <row r="486" spans="1:21">
      <c r="A486" t="s">
        <v>1751</v>
      </c>
      <c r="B486" t="s">
        <v>10640</v>
      </c>
      <c r="C486" t="s">
        <v>1751</v>
      </c>
      <c r="D486">
        <v>20520253</v>
      </c>
      <c r="E486" t="s">
        <v>3128</v>
      </c>
      <c r="F486" t="s">
        <v>1782</v>
      </c>
      <c r="G486" t="s">
        <v>3129</v>
      </c>
      <c r="H486" t="s">
        <v>3131</v>
      </c>
      <c r="J486" s="455">
        <v>46150</v>
      </c>
      <c r="U486" s="455">
        <v>46150</v>
      </c>
    </row>
    <row r="487" spans="1:21">
      <c r="A487" t="s">
        <v>1751</v>
      </c>
      <c r="B487" t="s">
        <v>10641</v>
      </c>
      <c r="C487" t="s">
        <v>1751</v>
      </c>
      <c r="D487">
        <v>20528829</v>
      </c>
      <c r="E487" t="s">
        <v>3128</v>
      </c>
      <c r="F487" t="s">
        <v>1782</v>
      </c>
      <c r="G487" t="s">
        <v>3134</v>
      </c>
      <c r="H487" t="s">
        <v>1252</v>
      </c>
      <c r="J487" s="455">
        <v>46159</v>
      </c>
      <c r="U487" s="455">
        <v>46174</v>
      </c>
    </row>
    <row r="488" spans="1:21">
      <c r="A488" t="s">
        <v>1751</v>
      </c>
      <c r="B488" t="s">
        <v>3676</v>
      </c>
      <c r="C488" t="s">
        <v>1751</v>
      </c>
      <c r="D488">
        <v>20535910</v>
      </c>
      <c r="E488" t="s">
        <v>1897</v>
      </c>
      <c r="F488" t="s">
        <v>1241</v>
      </c>
      <c r="G488" t="s">
        <v>3134</v>
      </c>
      <c r="H488" t="s">
        <v>1247</v>
      </c>
      <c r="I488" t="s">
        <v>3258</v>
      </c>
      <c r="J488" s="455">
        <v>46168</v>
      </c>
      <c r="K488" s="455">
        <v>46168</v>
      </c>
      <c r="U488" s="455">
        <v>46168</v>
      </c>
    </row>
    <row r="489" spans="1:21">
      <c r="A489" t="s">
        <v>1751</v>
      </c>
      <c r="B489" t="s">
        <v>10642</v>
      </c>
      <c r="C489" t="s">
        <v>1751</v>
      </c>
      <c r="D489">
        <v>20525557</v>
      </c>
      <c r="E489" t="s">
        <v>3128</v>
      </c>
      <c r="F489" t="s">
        <v>1238</v>
      </c>
      <c r="G489" t="s">
        <v>3137</v>
      </c>
      <c r="H489" t="s">
        <v>1252</v>
      </c>
      <c r="I489" t="s">
        <v>3170</v>
      </c>
      <c r="J489" s="455">
        <v>46156</v>
      </c>
      <c r="U489" s="455">
        <v>46157</v>
      </c>
    </row>
    <row r="490" spans="1:21">
      <c r="A490" t="s">
        <v>1751</v>
      </c>
      <c r="B490" t="s">
        <v>10643</v>
      </c>
      <c r="C490" t="s">
        <v>1751</v>
      </c>
      <c r="D490">
        <v>20516156</v>
      </c>
      <c r="E490" t="s">
        <v>3128</v>
      </c>
      <c r="F490" t="s">
        <v>1782</v>
      </c>
      <c r="G490" t="s">
        <v>3129</v>
      </c>
      <c r="H490" t="s">
        <v>3131</v>
      </c>
      <c r="J490" s="455">
        <v>46146</v>
      </c>
      <c r="U490" s="455">
        <v>46146</v>
      </c>
    </row>
    <row r="491" spans="1:21">
      <c r="A491" t="s">
        <v>1751</v>
      </c>
      <c r="B491" t="s">
        <v>10644</v>
      </c>
      <c r="C491" t="s">
        <v>1751</v>
      </c>
      <c r="D491">
        <v>20532418</v>
      </c>
      <c r="E491" t="s">
        <v>3128</v>
      </c>
      <c r="F491" t="s">
        <v>1782</v>
      </c>
      <c r="G491" t="s">
        <v>2009</v>
      </c>
      <c r="H491" t="s">
        <v>1247</v>
      </c>
      <c r="J491" s="455">
        <v>46163</v>
      </c>
      <c r="U491" s="455">
        <v>46163</v>
      </c>
    </row>
    <row r="492" spans="1:21">
      <c r="A492" t="s">
        <v>1751</v>
      </c>
      <c r="B492" t="s">
        <v>10645</v>
      </c>
      <c r="C492" t="s">
        <v>1751</v>
      </c>
      <c r="D492">
        <v>20528150</v>
      </c>
      <c r="E492" t="s">
        <v>3133</v>
      </c>
      <c r="F492" t="s">
        <v>1237</v>
      </c>
      <c r="G492" t="s">
        <v>3134</v>
      </c>
      <c r="H492" t="s">
        <v>1247</v>
      </c>
      <c r="I492" t="s">
        <v>1559</v>
      </c>
      <c r="J492" s="455">
        <v>46158</v>
      </c>
      <c r="K492" s="455">
        <v>46158</v>
      </c>
      <c r="L492" s="455">
        <v>46159</v>
      </c>
      <c r="R492" s="455">
        <v>46163</v>
      </c>
      <c r="U492" s="455">
        <v>46168</v>
      </c>
    </row>
    <row r="493" spans="1:21">
      <c r="A493" t="s">
        <v>1751</v>
      </c>
      <c r="B493" t="s">
        <v>3682</v>
      </c>
      <c r="C493" t="s">
        <v>1751</v>
      </c>
      <c r="D493">
        <v>20540157</v>
      </c>
      <c r="E493" t="s">
        <v>3128</v>
      </c>
      <c r="F493" t="s">
        <v>1241</v>
      </c>
      <c r="G493" t="s">
        <v>2009</v>
      </c>
      <c r="H493" t="s">
        <v>1252</v>
      </c>
      <c r="J493" s="455">
        <v>46173</v>
      </c>
      <c r="U493" s="455">
        <v>46176</v>
      </c>
    </row>
    <row r="494" spans="1:21">
      <c r="A494" t="s">
        <v>1751</v>
      </c>
      <c r="B494" t="s">
        <v>10646</v>
      </c>
      <c r="C494" t="s">
        <v>1751</v>
      </c>
      <c r="D494">
        <v>20523547</v>
      </c>
      <c r="E494" t="s">
        <v>3133</v>
      </c>
      <c r="F494" t="s">
        <v>1782</v>
      </c>
      <c r="G494" t="s">
        <v>3134</v>
      </c>
      <c r="H494" t="s">
        <v>1252</v>
      </c>
      <c r="J494" s="455">
        <v>46154</v>
      </c>
      <c r="K494" s="455">
        <v>46154</v>
      </c>
      <c r="R494" s="455">
        <v>46160</v>
      </c>
      <c r="U494" s="455">
        <v>46156</v>
      </c>
    </row>
    <row r="495" spans="1:21">
      <c r="A495" t="s">
        <v>1751</v>
      </c>
      <c r="B495" t="s">
        <v>10646</v>
      </c>
      <c r="C495" t="s">
        <v>1751</v>
      </c>
      <c r="D495">
        <v>20522263</v>
      </c>
      <c r="E495" t="s">
        <v>3133</v>
      </c>
      <c r="F495" t="s">
        <v>1237</v>
      </c>
      <c r="G495" t="s">
        <v>3134</v>
      </c>
      <c r="H495" t="s">
        <v>1252</v>
      </c>
      <c r="I495" t="s">
        <v>1541</v>
      </c>
      <c r="J495" s="455">
        <v>46153</v>
      </c>
      <c r="K495" s="455">
        <v>46155</v>
      </c>
      <c r="L495" s="455">
        <v>46155</v>
      </c>
      <c r="M495" s="455">
        <v>46157</v>
      </c>
      <c r="R495" s="455">
        <v>46164</v>
      </c>
      <c r="U495" s="455">
        <v>46163</v>
      </c>
    </row>
    <row r="496" spans="1:21">
      <c r="A496" t="s">
        <v>1751</v>
      </c>
      <c r="B496" t="s">
        <v>10646</v>
      </c>
      <c r="C496" t="s">
        <v>1751</v>
      </c>
      <c r="D496">
        <v>20522250</v>
      </c>
      <c r="E496" t="s">
        <v>3190</v>
      </c>
      <c r="F496" t="s">
        <v>1237</v>
      </c>
      <c r="G496" t="s">
        <v>3129</v>
      </c>
      <c r="H496" t="s">
        <v>1252</v>
      </c>
      <c r="J496" s="455">
        <v>46153</v>
      </c>
      <c r="R496" s="455">
        <v>46158</v>
      </c>
      <c r="U496" s="455">
        <v>46153</v>
      </c>
    </row>
    <row r="497" spans="1:21">
      <c r="A497" t="s">
        <v>1751</v>
      </c>
      <c r="B497" t="s">
        <v>9854</v>
      </c>
      <c r="C497" t="s">
        <v>1751</v>
      </c>
      <c r="D497">
        <v>20528239</v>
      </c>
      <c r="E497" t="s">
        <v>3128</v>
      </c>
      <c r="F497" t="s">
        <v>1782</v>
      </c>
      <c r="G497" t="s">
        <v>3129</v>
      </c>
      <c r="H497" t="s">
        <v>1252</v>
      </c>
      <c r="I497" t="s">
        <v>3851</v>
      </c>
      <c r="J497" s="455">
        <v>46158</v>
      </c>
      <c r="U497" s="455">
        <v>46158</v>
      </c>
    </row>
    <row r="498" spans="1:21">
      <c r="A498" t="s">
        <v>1751</v>
      </c>
      <c r="B498" t="s">
        <v>10647</v>
      </c>
      <c r="C498" t="s">
        <v>1751</v>
      </c>
      <c r="D498">
        <v>20532209</v>
      </c>
      <c r="E498" t="s">
        <v>3128</v>
      </c>
      <c r="F498" t="s">
        <v>1241</v>
      </c>
      <c r="G498" t="s">
        <v>3129</v>
      </c>
      <c r="H498" t="s">
        <v>3377</v>
      </c>
      <c r="I498" t="s">
        <v>1565</v>
      </c>
      <c r="J498" s="455">
        <v>46162</v>
      </c>
      <c r="U498" s="455">
        <v>46170</v>
      </c>
    </row>
    <row r="499" spans="1:21">
      <c r="A499" t="s">
        <v>1751</v>
      </c>
      <c r="B499" t="s">
        <v>10648</v>
      </c>
      <c r="C499" t="s">
        <v>1751</v>
      </c>
      <c r="D499">
        <v>20518594</v>
      </c>
      <c r="E499" t="s">
        <v>3128</v>
      </c>
      <c r="F499" t="s">
        <v>1782</v>
      </c>
      <c r="G499" t="s">
        <v>3134</v>
      </c>
      <c r="H499" t="s">
        <v>1252</v>
      </c>
      <c r="J499" s="455">
        <v>46148</v>
      </c>
      <c r="U499" s="455">
        <v>46218</v>
      </c>
    </row>
    <row r="500" spans="1:21">
      <c r="A500" t="s">
        <v>1751</v>
      </c>
      <c r="B500" t="s">
        <v>10649</v>
      </c>
      <c r="C500" t="s">
        <v>1751</v>
      </c>
      <c r="D500">
        <v>20533995</v>
      </c>
      <c r="E500" t="s">
        <v>3128</v>
      </c>
      <c r="F500" t="s">
        <v>1782</v>
      </c>
      <c r="G500" t="s">
        <v>3134</v>
      </c>
      <c r="H500" t="s">
        <v>3165</v>
      </c>
      <c r="J500" s="455">
        <v>46164</v>
      </c>
      <c r="U500" s="455">
        <v>46166</v>
      </c>
    </row>
    <row r="501" spans="1:21">
      <c r="A501" t="s">
        <v>1751</v>
      </c>
      <c r="B501" t="s">
        <v>10650</v>
      </c>
      <c r="C501" t="s">
        <v>1751</v>
      </c>
      <c r="D501">
        <v>20516779</v>
      </c>
      <c r="E501" t="s">
        <v>3128</v>
      </c>
      <c r="F501" t="s">
        <v>1782</v>
      </c>
      <c r="G501" t="s">
        <v>3141</v>
      </c>
      <c r="H501" t="s">
        <v>1252</v>
      </c>
      <c r="J501" s="455">
        <v>46146</v>
      </c>
      <c r="U501" s="455">
        <v>46174</v>
      </c>
    </row>
    <row r="502" spans="1:21">
      <c r="A502" t="s">
        <v>1751</v>
      </c>
      <c r="B502" t="s">
        <v>10651</v>
      </c>
      <c r="C502" t="s">
        <v>1751</v>
      </c>
      <c r="D502">
        <v>20529420</v>
      </c>
      <c r="E502" t="s">
        <v>3190</v>
      </c>
      <c r="F502" t="s">
        <v>1241</v>
      </c>
      <c r="G502" t="s">
        <v>2009</v>
      </c>
      <c r="H502" t="s">
        <v>3487</v>
      </c>
      <c r="J502" s="455">
        <v>46160</v>
      </c>
      <c r="R502" s="455">
        <v>46160</v>
      </c>
      <c r="U502" s="455">
        <v>46160</v>
      </c>
    </row>
    <row r="503" spans="1:21">
      <c r="A503" t="s">
        <v>1751</v>
      </c>
      <c r="B503" t="s">
        <v>3689</v>
      </c>
      <c r="C503" t="s">
        <v>1751</v>
      </c>
      <c r="D503">
        <v>20521157</v>
      </c>
      <c r="E503" t="s">
        <v>3133</v>
      </c>
      <c r="F503" t="s">
        <v>1782</v>
      </c>
      <c r="G503" t="s">
        <v>3134</v>
      </c>
      <c r="H503" t="s">
        <v>1252</v>
      </c>
      <c r="I503" t="s">
        <v>2171</v>
      </c>
      <c r="J503" s="455">
        <v>46151</v>
      </c>
      <c r="K503" s="455">
        <v>46155</v>
      </c>
      <c r="R503" s="455">
        <v>46164</v>
      </c>
      <c r="U503" s="455">
        <v>46158</v>
      </c>
    </row>
    <row r="504" spans="1:21">
      <c r="A504" t="s">
        <v>1751</v>
      </c>
      <c r="B504" t="s">
        <v>3689</v>
      </c>
      <c r="C504" t="s">
        <v>1751</v>
      </c>
      <c r="D504">
        <v>20524934</v>
      </c>
      <c r="E504" t="s">
        <v>1897</v>
      </c>
      <c r="F504" t="s">
        <v>1241</v>
      </c>
      <c r="G504" t="s">
        <v>3134</v>
      </c>
      <c r="H504" t="s">
        <v>1247</v>
      </c>
      <c r="I504" t="s">
        <v>2405</v>
      </c>
      <c r="J504" s="455">
        <v>46155</v>
      </c>
      <c r="K504" s="455">
        <v>46155</v>
      </c>
      <c r="U504" s="455">
        <v>46155</v>
      </c>
    </row>
    <row r="505" spans="1:21">
      <c r="A505" t="s">
        <v>1751</v>
      </c>
      <c r="B505" t="s">
        <v>10652</v>
      </c>
      <c r="C505" t="s">
        <v>1751</v>
      </c>
      <c r="D505">
        <v>20530721</v>
      </c>
      <c r="E505" t="s">
        <v>3128</v>
      </c>
      <c r="F505" t="s">
        <v>1782</v>
      </c>
      <c r="G505" t="s">
        <v>3134</v>
      </c>
      <c r="H505" t="s">
        <v>1252</v>
      </c>
      <c r="J505" s="455">
        <v>46161</v>
      </c>
      <c r="U505" s="455">
        <v>46162</v>
      </c>
    </row>
    <row r="506" spans="1:21">
      <c r="A506" t="s">
        <v>1751</v>
      </c>
      <c r="B506" t="s">
        <v>10653</v>
      </c>
      <c r="C506" t="s">
        <v>1751</v>
      </c>
      <c r="D506">
        <v>20523614</v>
      </c>
      <c r="E506" t="s">
        <v>3190</v>
      </c>
      <c r="F506" t="s">
        <v>1782</v>
      </c>
      <c r="G506" t="s">
        <v>3141</v>
      </c>
      <c r="H506" t="s">
        <v>1252</v>
      </c>
      <c r="J506" s="455">
        <v>46154</v>
      </c>
      <c r="R506" s="455">
        <v>46164</v>
      </c>
      <c r="U506" s="455">
        <v>46176</v>
      </c>
    </row>
    <row r="507" spans="1:21">
      <c r="A507" t="s">
        <v>1751</v>
      </c>
      <c r="B507" t="s">
        <v>3698</v>
      </c>
      <c r="C507" t="s">
        <v>1751</v>
      </c>
      <c r="D507">
        <v>20510828</v>
      </c>
      <c r="E507" t="s">
        <v>3133</v>
      </c>
      <c r="F507" t="s">
        <v>1782</v>
      </c>
      <c r="G507" t="s">
        <v>3134</v>
      </c>
      <c r="H507" t="s">
        <v>1247</v>
      </c>
      <c r="I507" t="s">
        <v>4273</v>
      </c>
      <c r="J507" s="455">
        <v>46139</v>
      </c>
      <c r="K507" s="455">
        <v>46139</v>
      </c>
      <c r="R507" s="455">
        <v>46144</v>
      </c>
      <c r="U507" s="455">
        <v>46139</v>
      </c>
    </row>
    <row r="508" spans="1:21">
      <c r="A508" t="s">
        <v>1751</v>
      </c>
      <c r="B508" t="s">
        <v>10654</v>
      </c>
      <c r="C508" t="s">
        <v>1751</v>
      </c>
      <c r="D508">
        <v>20520738</v>
      </c>
      <c r="E508" t="s">
        <v>3128</v>
      </c>
      <c r="F508" t="s">
        <v>1238</v>
      </c>
      <c r="G508" t="s">
        <v>3134</v>
      </c>
      <c r="H508" t="s">
        <v>1252</v>
      </c>
      <c r="I508" t="s">
        <v>3265</v>
      </c>
      <c r="J508" s="455">
        <v>46151</v>
      </c>
      <c r="U508" s="455">
        <v>46235</v>
      </c>
    </row>
    <row r="509" spans="1:21">
      <c r="A509" t="s">
        <v>1751</v>
      </c>
      <c r="B509" t="s">
        <v>9870</v>
      </c>
      <c r="C509" t="s">
        <v>1751</v>
      </c>
      <c r="D509">
        <v>20503595</v>
      </c>
      <c r="E509" t="s">
        <v>3133</v>
      </c>
      <c r="F509" t="s">
        <v>1241</v>
      </c>
      <c r="G509" t="s">
        <v>3134</v>
      </c>
      <c r="H509" t="s">
        <v>1247</v>
      </c>
      <c r="I509" t="s">
        <v>7008</v>
      </c>
      <c r="J509" s="455">
        <v>46132</v>
      </c>
      <c r="K509" s="455">
        <v>46132</v>
      </c>
      <c r="R509" s="455">
        <v>46151</v>
      </c>
      <c r="U509" s="455">
        <v>46132</v>
      </c>
    </row>
    <row r="510" spans="1:21">
      <c r="A510" t="s">
        <v>1751</v>
      </c>
      <c r="B510" t="s">
        <v>3707</v>
      </c>
      <c r="C510" t="s">
        <v>1751</v>
      </c>
      <c r="D510">
        <v>20517140</v>
      </c>
      <c r="E510" t="s">
        <v>3128</v>
      </c>
      <c r="F510" t="s">
        <v>1782</v>
      </c>
      <c r="G510" t="s">
        <v>3137</v>
      </c>
      <c r="H510" t="s">
        <v>1247</v>
      </c>
      <c r="J510" s="455">
        <v>46147</v>
      </c>
      <c r="U510" s="455">
        <v>46147</v>
      </c>
    </row>
    <row r="511" spans="1:21">
      <c r="A511" t="s">
        <v>1751</v>
      </c>
      <c r="B511" t="s">
        <v>10655</v>
      </c>
      <c r="C511" t="s">
        <v>1751</v>
      </c>
      <c r="D511">
        <v>20534133</v>
      </c>
      <c r="E511" t="s">
        <v>3128</v>
      </c>
      <c r="F511" t="s">
        <v>1782</v>
      </c>
      <c r="G511" t="s">
        <v>3141</v>
      </c>
      <c r="H511" t="s">
        <v>1252</v>
      </c>
      <c r="J511" s="455">
        <v>46165</v>
      </c>
      <c r="U511" s="455">
        <v>46187</v>
      </c>
    </row>
    <row r="512" spans="1:21">
      <c r="A512" t="s">
        <v>1751</v>
      </c>
      <c r="B512" t="s">
        <v>3710</v>
      </c>
      <c r="C512" t="s">
        <v>1751</v>
      </c>
      <c r="D512">
        <v>20526922</v>
      </c>
      <c r="E512" t="s">
        <v>1897</v>
      </c>
      <c r="F512" t="s">
        <v>1241</v>
      </c>
      <c r="G512" t="s">
        <v>3134</v>
      </c>
      <c r="H512" t="s">
        <v>1247</v>
      </c>
      <c r="I512" t="s">
        <v>1913</v>
      </c>
      <c r="J512" s="455">
        <v>46157</v>
      </c>
      <c r="K512" s="455">
        <v>46157</v>
      </c>
      <c r="U512" s="455">
        <v>46157</v>
      </c>
    </row>
    <row r="513" spans="1:21">
      <c r="A513" t="s">
        <v>1751</v>
      </c>
      <c r="B513" t="s">
        <v>10656</v>
      </c>
      <c r="C513" t="s">
        <v>1751</v>
      </c>
      <c r="D513">
        <v>20524906</v>
      </c>
      <c r="E513" t="s">
        <v>3190</v>
      </c>
      <c r="F513" t="s">
        <v>1782</v>
      </c>
      <c r="G513" t="s">
        <v>3134</v>
      </c>
      <c r="H513" t="s">
        <v>3165</v>
      </c>
      <c r="J513" s="455">
        <v>46155</v>
      </c>
      <c r="R513" s="455">
        <v>46164</v>
      </c>
      <c r="U513" s="455">
        <v>46173</v>
      </c>
    </row>
    <row r="514" spans="1:21">
      <c r="A514" t="s">
        <v>1751</v>
      </c>
      <c r="B514" t="s">
        <v>10657</v>
      </c>
      <c r="C514" t="s">
        <v>1751</v>
      </c>
      <c r="D514">
        <v>20534287</v>
      </c>
      <c r="E514" t="s">
        <v>3128</v>
      </c>
      <c r="F514" t="s">
        <v>1239</v>
      </c>
      <c r="G514" t="s">
        <v>3129</v>
      </c>
      <c r="H514" t="s">
        <v>3131</v>
      </c>
      <c r="J514" s="455">
        <v>46165</v>
      </c>
      <c r="U514" s="455">
        <v>46165</v>
      </c>
    </row>
    <row r="515" spans="1:21">
      <c r="A515" t="s">
        <v>1751</v>
      </c>
      <c r="B515" t="s">
        <v>9873</v>
      </c>
      <c r="C515" t="s">
        <v>1751</v>
      </c>
      <c r="D515">
        <v>20515669</v>
      </c>
      <c r="E515" t="s">
        <v>3133</v>
      </c>
      <c r="F515" t="s">
        <v>1912</v>
      </c>
      <c r="G515" t="s">
        <v>3134</v>
      </c>
      <c r="H515" t="s">
        <v>1247</v>
      </c>
      <c r="I515" t="s">
        <v>1559</v>
      </c>
      <c r="J515" s="455">
        <v>46145</v>
      </c>
      <c r="K515" s="455">
        <v>46145</v>
      </c>
      <c r="R515" s="455">
        <v>46151</v>
      </c>
      <c r="U515" s="455">
        <v>46157</v>
      </c>
    </row>
    <row r="516" spans="1:21">
      <c r="A516" t="s">
        <v>1751</v>
      </c>
      <c r="B516" t="s">
        <v>9873</v>
      </c>
      <c r="C516" t="s">
        <v>1751</v>
      </c>
      <c r="D516">
        <v>20487827</v>
      </c>
      <c r="E516" t="s">
        <v>3133</v>
      </c>
      <c r="F516" t="s">
        <v>1242</v>
      </c>
      <c r="G516" t="s">
        <v>3141</v>
      </c>
      <c r="H516" t="s">
        <v>1247</v>
      </c>
      <c r="I516" t="s">
        <v>2543</v>
      </c>
      <c r="J516" s="455">
        <v>46118</v>
      </c>
      <c r="K516" s="455">
        <v>46118</v>
      </c>
      <c r="L516" s="455">
        <v>46147</v>
      </c>
      <c r="R516" s="455">
        <v>46164</v>
      </c>
      <c r="U516" s="455">
        <v>46157</v>
      </c>
    </row>
    <row r="517" spans="1:21">
      <c r="A517" t="s">
        <v>1751</v>
      </c>
      <c r="B517" t="s">
        <v>10658</v>
      </c>
      <c r="C517" t="s">
        <v>1751</v>
      </c>
      <c r="D517">
        <v>20540321</v>
      </c>
      <c r="E517" t="s">
        <v>3128</v>
      </c>
      <c r="F517" t="s">
        <v>1241</v>
      </c>
      <c r="G517" t="s">
        <v>3134</v>
      </c>
      <c r="H517" t="s">
        <v>3165</v>
      </c>
      <c r="J517" s="455">
        <v>46173</v>
      </c>
      <c r="U517" s="455">
        <v>46175</v>
      </c>
    </row>
    <row r="518" spans="1:21">
      <c r="A518" t="s">
        <v>1751</v>
      </c>
      <c r="B518" t="s">
        <v>6770</v>
      </c>
      <c r="C518" t="s">
        <v>1751</v>
      </c>
      <c r="D518">
        <v>20523585</v>
      </c>
      <c r="E518" t="s">
        <v>3142</v>
      </c>
      <c r="F518" t="s">
        <v>1237</v>
      </c>
      <c r="G518" t="s">
        <v>3134</v>
      </c>
      <c r="H518" t="s">
        <v>1247</v>
      </c>
      <c r="I518" t="s">
        <v>2139</v>
      </c>
      <c r="J518" s="455">
        <v>46154</v>
      </c>
      <c r="K518" s="455">
        <v>46154</v>
      </c>
      <c r="L518" s="455">
        <v>46157</v>
      </c>
      <c r="M518" s="455">
        <v>46160</v>
      </c>
      <c r="N518" s="455">
        <v>46160</v>
      </c>
      <c r="P518" s="455">
        <v>46161</v>
      </c>
      <c r="Q518" s="455">
        <v>46161</v>
      </c>
      <c r="U518" s="455">
        <v>46171</v>
      </c>
    </row>
    <row r="519" spans="1:21">
      <c r="A519" t="s">
        <v>1751</v>
      </c>
      <c r="B519" t="s">
        <v>10659</v>
      </c>
      <c r="C519" t="s">
        <v>1751</v>
      </c>
      <c r="D519">
        <v>20521597</v>
      </c>
      <c r="E519" t="s">
        <v>3190</v>
      </c>
      <c r="F519" t="s">
        <v>1782</v>
      </c>
      <c r="G519" t="s">
        <v>3134</v>
      </c>
      <c r="H519" t="s">
        <v>3165</v>
      </c>
      <c r="J519" s="455">
        <v>46152</v>
      </c>
      <c r="R519" s="455">
        <v>46164</v>
      </c>
      <c r="U519" s="455">
        <v>46174</v>
      </c>
    </row>
    <row r="520" spans="1:21">
      <c r="A520" t="s">
        <v>1751</v>
      </c>
      <c r="B520" t="s">
        <v>10660</v>
      </c>
      <c r="C520" t="s">
        <v>1751</v>
      </c>
      <c r="D520">
        <v>20530429</v>
      </c>
      <c r="E520" t="s">
        <v>3128</v>
      </c>
      <c r="F520" t="s">
        <v>1782</v>
      </c>
      <c r="G520" t="s">
        <v>3141</v>
      </c>
      <c r="H520" t="s">
        <v>1252</v>
      </c>
      <c r="J520" s="455">
        <v>46161</v>
      </c>
      <c r="U520" s="455">
        <v>46221</v>
      </c>
    </row>
    <row r="521" spans="1:21">
      <c r="A521" t="s">
        <v>1751</v>
      </c>
      <c r="B521" t="s">
        <v>3716</v>
      </c>
      <c r="C521" t="s">
        <v>1751</v>
      </c>
      <c r="D521">
        <v>20516379</v>
      </c>
      <c r="E521" t="s">
        <v>1897</v>
      </c>
      <c r="F521" t="s">
        <v>1912</v>
      </c>
      <c r="G521" t="s">
        <v>3134</v>
      </c>
      <c r="H521" t="s">
        <v>1247</v>
      </c>
      <c r="J521" s="455">
        <v>46146</v>
      </c>
      <c r="K521" s="455">
        <v>46146</v>
      </c>
      <c r="U521" s="455">
        <v>46146</v>
      </c>
    </row>
    <row r="522" spans="1:21">
      <c r="A522" t="s">
        <v>1751</v>
      </c>
      <c r="B522" t="s">
        <v>3716</v>
      </c>
      <c r="C522" t="s">
        <v>1751</v>
      </c>
      <c r="D522">
        <v>20515293</v>
      </c>
      <c r="E522" t="s">
        <v>3128</v>
      </c>
      <c r="F522" t="s">
        <v>1782</v>
      </c>
      <c r="G522" t="s">
        <v>3129</v>
      </c>
      <c r="H522" t="s">
        <v>3377</v>
      </c>
      <c r="J522" s="455">
        <v>46144</v>
      </c>
      <c r="U522" s="455">
        <v>46144</v>
      </c>
    </row>
    <row r="523" spans="1:21">
      <c r="A523" t="s">
        <v>1751</v>
      </c>
      <c r="B523" t="s">
        <v>10661</v>
      </c>
      <c r="C523" t="s">
        <v>1751</v>
      </c>
      <c r="D523">
        <v>20520206</v>
      </c>
      <c r="E523" t="s">
        <v>3190</v>
      </c>
      <c r="F523" t="s">
        <v>1782</v>
      </c>
      <c r="G523" t="s">
        <v>3134</v>
      </c>
      <c r="H523" t="s">
        <v>1252</v>
      </c>
      <c r="J523" s="455">
        <v>46150</v>
      </c>
      <c r="R523" s="455">
        <v>46164</v>
      </c>
      <c r="U523" s="455">
        <v>46164</v>
      </c>
    </row>
    <row r="524" spans="1:21">
      <c r="A524" t="s">
        <v>1751</v>
      </c>
      <c r="B524" t="s">
        <v>10662</v>
      </c>
      <c r="C524" t="s">
        <v>1751</v>
      </c>
      <c r="D524">
        <v>20533159</v>
      </c>
      <c r="E524" t="s">
        <v>3190</v>
      </c>
      <c r="F524" t="s">
        <v>1782</v>
      </c>
      <c r="G524" t="s">
        <v>3141</v>
      </c>
      <c r="H524" t="s">
        <v>1252</v>
      </c>
      <c r="J524" s="455">
        <v>46163</v>
      </c>
      <c r="R524" s="455">
        <v>46164</v>
      </c>
      <c r="U524" s="455">
        <v>46204</v>
      </c>
    </row>
    <row r="525" spans="1:21">
      <c r="A525" t="s">
        <v>1751</v>
      </c>
      <c r="B525" t="s">
        <v>10663</v>
      </c>
      <c r="C525" t="s">
        <v>1751</v>
      </c>
      <c r="D525">
        <v>20514233</v>
      </c>
      <c r="E525" t="s">
        <v>3128</v>
      </c>
      <c r="F525" t="s">
        <v>1782</v>
      </c>
      <c r="G525" t="s">
        <v>3134</v>
      </c>
      <c r="H525" t="s">
        <v>1252</v>
      </c>
      <c r="J525" s="455">
        <v>46143</v>
      </c>
      <c r="U525" s="455">
        <v>46144</v>
      </c>
    </row>
    <row r="526" spans="1:21">
      <c r="A526" t="s">
        <v>1751</v>
      </c>
      <c r="B526" t="s">
        <v>10664</v>
      </c>
      <c r="C526" t="s">
        <v>1751</v>
      </c>
      <c r="D526">
        <v>20516544</v>
      </c>
      <c r="E526" t="s">
        <v>3128</v>
      </c>
      <c r="F526" t="s">
        <v>1782</v>
      </c>
      <c r="G526" t="s">
        <v>3134</v>
      </c>
      <c r="H526" t="s">
        <v>1252</v>
      </c>
      <c r="J526" s="455">
        <v>46146</v>
      </c>
      <c r="U526" s="455">
        <v>46199</v>
      </c>
    </row>
    <row r="527" spans="1:21">
      <c r="A527" t="s">
        <v>1751</v>
      </c>
      <c r="B527" t="s">
        <v>10665</v>
      </c>
      <c r="C527" t="s">
        <v>1751</v>
      </c>
      <c r="D527">
        <v>20516824</v>
      </c>
      <c r="E527" t="s">
        <v>3128</v>
      </c>
      <c r="F527" t="s">
        <v>1782</v>
      </c>
      <c r="G527" t="s">
        <v>3129</v>
      </c>
      <c r="H527" t="s">
        <v>1252</v>
      </c>
      <c r="J527" s="455">
        <v>46146</v>
      </c>
      <c r="U527" s="455">
        <v>46146</v>
      </c>
    </row>
    <row r="528" spans="1:21">
      <c r="A528" t="s">
        <v>1751</v>
      </c>
      <c r="B528" t="s">
        <v>3722</v>
      </c>
      <c r="C528" t="s">
        <v>1751</v>
      </c>
      <c r="D528">
        <v>20536317</v>
      </c>
      <c r="E528" t="s">
        <v>3128</v>
      </c>
      <c r="F528" t="s">
        <v>1243</v>
      </c>
      <c r="G528" t="s">
        <v>2009</v>
      </c>
      <c r="H528" t="s">
        <v>1252</v>
      </c>
      <c r="J528" s="455">
        <v>46168</v>
      </c>
      <c r="U528" s="455">
        <v>46175</v>
      </c>
    </row>
    <row r="529" spans="1:21">
      <c r="A529" t="s">
        <v>1751</v>
      </c>
      <c r="B529" t="s">
        <v>10666</v>
      </c>
      <c r="C529" t="s">
        <v>1751</v>
      </c>
      <c r="D529">
        <v>20522668</v>
      </c>
      <c r="E529" t="s">
        <v>3190</v>
      </c>
      <c r="F529" t="s">
        <v>1782</v>
      </c>
      <c r="G529" t="s">
        <v>3141</v>
      </c>
      <c r="H529" t="s">
        <v>1252</v>
      </c>
      <c r="J529" s="455">
        <v>46154</v>
      </c>
      <c r="R529" s="455">
        <v>46164</v>
      </c>
      <c r="U529" s="455">
        <v>46154</v>
      </c>
    </row>
    <row r="530" spans="1:21">
      <c r="A530" t="s">
        <v>1751</v>
      </c>
      <c r="B530" t="s">
        <v>10667</v>
      </c>
      <c r="C530" t="s">
        <v>1751</v>
      </c>
      <c r="D530">
        <v>20519784</v>
      </c>
      <c r="E530" t="s">
        <v>3128</v>
      </c>
      <c r="F530" t="s">
        <v>1782</v>
      </c>
      <c r="G530" t="s">
        <v>3137</v>
      </c>
      <c r="H530" t="s">
        <v>1252</v>
      </c>
      <c r="J530" s="455">
        <v>46149</v>
      </c>
      <c r="U530" s="455">
        <v>46249</v>
      </c>
    </row>
    <row r="531" spans="1:21">
      <c r="A531" t="s">
        <v>1751</v>
      </c>
      <c r="B531" t="s">
        <v>10668</v>
      </c>
      <c r="C531" t="s">
        <v>1751</v>
      </c>
      <c r="D531">
        <v>20528657</v>
      </c>
      <c r="E531" t="s">
        <v>3128</v>
      </c>
      <c r="F531" t="s">
        <v>1782</v>
      </c>
      <c r="G531" t="s">
        <v>3141</v>
      </c>
      <c r="H531" t="s">
        <v>1252</v>
      </c>
      <c r="J531" s="455">
        <v>46159</v>
      </c>
      <c r="U531" s="455">
        <v>46167</v>
      </c>
    </row>
    <row r="532" spans="1:21">
      <c r="A532" t="s">
        <v>1751</v>
      </c>
      <c r="B532" t="s">
        <v>10669</v>
      </c>
      <c r="C532" t="s">
        <v>1751</v>
      </c>
      <c r="D532">
        <v>20533815</v>
      </c>
      <c r="E532" t="s">
        <v>3128</v>
      </c>
      <c r="F532" t="s">
        <v>1782</v>
      </c>
      <c r="G532" t="s">
        <v>3137</v>
      </c>
      <c r="H532" t="s">
        <v>1252</v>
      </c>
      <c r="J532" s="455">
        <v>46164</v>
      </c>
      <c r="U532" s="455">
        <v>46205</v>
      </c>
    </row>
    <row r="533" spans="1:21">
      <c r="A533" t="s">
        <v>1751</v>
      </c>
      <c r="B533" t="s">
        <v>10670</v>
      </c>
      <c r="C533" t="s">
        <v>1751</v>
      </c>
      <c r="D533">
        <v>20520120</v>
      </c>
      <c r="E533" t="s">
        <v>3128</v>
      </c>
      <c r="F533" t="s">
        <v>1241</v>
      </c>
      <c r="G533" t="s">
        <v>3134</v>
      </c>
      <c r="H533" t="s">
        <v>3165</v>
      </c>
      <c r="J533" s="455">
        <v>46150</v>
      </c>
      <c r="U533" s="455">
        <v>46174</v>
      </c>
    </row>
    <row r="534" spans="1:21">
      <c r="A534" t="s">
        <v>1751</v>
      </c>
      <c r="B534" t="s">
        <v>7221</v>
      </c>
      <c r="C534" t="s">
        <v>1751</v>
      </c>
      <c r="D534">
        <v>20513925</v>
      </c>
      <c r="E534" t="s">
        <v>3133</v>
      </c>
      <c r="F534" t="s">
        <v>9896</v>
      </c>
      <c r="G534" t="s">
        <v>3143</v>
      </c>
      <c r="H534" t="s">
        <v>1247</v>
      </c>
      <c r="I534" t="s">
        <v>2543</v>
      </c>
      <c r="J534" s="455">
        <v>46142</v>
      </c>
      <c r="K534" s="455">
        <v>46142</v>
      </c>
      <c r="L534" s="455">
        <v>46143</v>
      </c>
      <c r="S534" s="455">
        <v>46148</v>
      </c>
      <c r="U534" s="455">
        <v>46149</v>
      </c>
    </row>
    <row r="535" spans="1:21">
      <c r="A535" t="s">
        <v>1751</v>
      </c>
      <c r="B535" t="s">
        <v>10671</v>
      </c>
      <c r="C535" t="s">
        <v>1751</v>
      </c>
      <c r="D535">
        <v>20528180</v>
      </c>
      <c r="E535" t="s">
        <v>3128</v>
      </c>
      <c r="F535" t="s">
        <v>1239</v>
      </c>
      <c r="G535" t="s">
        <v>3143</v>
      </c>
      <c r="H535" t="s">
        <v>1248</v>
      </c>
      <c r="I535" t="s">
        <v>3265</v>
      </c>
      <c r="J535" s="455">
        <v>46158</v>
      </c>
      <c r="U535" s="455">
        <v>46158</v>
      </c>
    </row>
    <row r="536" spans="1:21">
      <c r="A536" t="s">
        <v>1751</v>
      </c>
      <c r="B536" t="s">
        <v>10672</v>
      </c>
      <c r="C536" t="s">
        <v>1751</v>
      </c>
      <c r="D536">
        <v>20540251</v>
      </c>
      <c r="E536" t="s">
        <v>3128</v>
      </c>
      <c r="F536" t="s">
        <v>1241</v>
      </c>
      <c r="G536" t="s">
        <v>3137</v>
      </c>
      <c r="H536" t="s">
        <v>1252</v>
      </c>
      <c r="J536" s="455">
        <v>46173</v>
      </c>
      <c r="U536" s="455">
        <v>46216</v>
      </c>
    </row>
    <row r="537" spans="1:21">
      <c r="A537" t="s">
        <v>1751</v>
      </c>
      <c r="B537" t="s">
        <v>10673</v>
      </c>
      <c r="C537" t="s">
        <v>1751</v>
      </c>
      <c r="D537">
        <v>20523566</v>
      </c>
      <c r="E537" t="s">
        <v>3190</v>
      </c>
      <c r="F537" t="s">
        <v>1782</v>
      </c>
      <c r="G537" t="s">
        <v>3141</v>
      </c>
      <c r="H537" t="s">
        <v>1252</v>
      </c>
      <c r="J537" s="455">
        <v>46154</v>
      </c>
      <c r="R537" s="455">
        <v>46164</v>
      </c>
      <c r="U537" s="455">
        <v>46177</v>
      </c>
    </row>
    <row r="538" spans="1:21">
      <c r="A538" t="s">
        <v>1751</v>
      </c>
      <c r="B538" t="s">
        <v>3737</v>
      </c>
      <c r="C538" t="s">
        <v>1751</v>
      </c>
      <c r="D538">
        <v>20516202</v>
      </c>
      <c r="E538" t="s">
        <v>1897</v>
      </c>
      <c r="F538" t="s">
        <v>1912</v>
      </c>
      <c r="G538" t="s">
        <v>3134</v>
      </c>
      <c r="H538" t="s">
        <v>1247</v>
      </c>
      <c r="I538" t="s">
        <v>3200</v>
      </c>
      <c r="J538" s="455">
        <v>46146</v>
      </c>
      <c r="K538" s="455">
        <v>46146</v>
      </c>
      <c r="U538" s="455">
        <v>46146</v>
      </c>
    </row>
    <row r="539" spans="1:21">
      <c r="A539" t="s">
        <v>1751</v>
      </c>
      <c r="B539" t="s">
        <v>6564</v>
      </c>
      <c r="C539" t="s">
        <v>1751</v>
      </c>
      <c r="D539">
        <v>20529889</v>
      </c>
      <c r="E539" t="s">
        <v>3142</v>
      </c>
      <c r="F539" t="s">
        <v>1238</v>
      </c>
      <c r="G539" t="s">
        <v>3134</v>
      </c>
      <c r="H539" t="s">
        <v>1247</v>
      </c>
      <c r="I539" t="s">
        <v>2137</v>
      </c>
      <c r="J539" s="455">
        <v>46160</v>
      </c>
      <c r="K539" s="455">
        <v>46160</v>
      </c>
      <c r="L539" s="455">
        <v>46161</v>
      </c>
      <c r="M539" s="455">
        <v>46162</v>
      </c>
      <c r="N539" s="455">
        <v>46162</v>
      </c>
      <c r="P539" s="455">
        <v>46163</v>
      </c>
      <c r="Q539" s="455">
        <v>46163</v>
      </c>
      <c r="U539" s="455">
        <v>46165</v>
      </c>
    </row>
    <row r="540" spans="1:21">
      <c r="A540" t="s">
        <v>1751</v>
      </c>
      <c r="B540" t="s">
        <v>3741</v>
      </c>
      <c r="C540" t="s">
        <v>1751</v>
      </c>
      <c r="D540">
        <v>20528585</v>
      </c>
      <c r="E540" t="s">
        <v>1897</v>
      </c>
      <c r="F540" t="s">
        <v>1241</v>
      </c>
      <c r="G540" t="s">
        <v>3134</v>
      </c>
      <c r="H540" t="s">
        <v>1247</v>
      </c>
      <c r="J540" s="455">
        <v>46159</v>
      </c>
      <c r="K540" s="455">
        <v>46159</v>
      </c>
      <c r="U540" s="455">
        <v>46172</v>
      </c>
    </row>
    <row r="541" spans="1:21">
      <c r="A541" t="s">
        <v>1751</v>
      </c>
      <c r="B541" t="s">
        <v>10674</v>
      </c>
      <c r="C541" t="s">
        <v>1751</v>
      </c>
      <c r="D541">
        <v>20530432</v>
      </c>
      <c r="E541" t="s">
        <v>3128</v>
      </c>
      <c r="F541" t="s">
        <v>1782</v>
      </c>
      <c r="G541" t="s">
        <v>3134</v>
      </c>
      <c r="H541" t="s">
        <v>1252</v>
      </c>
      <c r="J541" s="455">
        <v>46161</v>
      </c>
      <c r="U541" s="455">
        <v>46185</v>
      </c>
    </row>
    <row r="542" spans="1:21">
      <c r="A542" t="s">
        <v>1751</v>
      </c>
      <c r="B542" t="s">
        <v>10675</v>
      </c>
      <c r="C542" t="s">
        <v>1751</v>
      </c>
      <c r="D542">
        <v>20535100</v>
      </c>
      <c r="E542" t="s">
        <v>3128</v>
      </c>
      <c r="F542" t="s">
        <v>1241</v>
      </c>
      <c r="G542" t="s">
        <v>2009</v>
      </c>
      <c r="H542" t="s">
        <v>1247</v>
      </c>
      <c r="J542" s="455">
        <v>46167</v>
      </c>
      <c r="U542" s="455">
        <v>46167</v>
      </c>
    </row>
    <row r="543" spans="1:21">
      <c r="A543" t="s">
        <v>1751</v>
      </c>
      <c r="B543" t="s">
        <v>10676</v>
      </c>
      <c r="C543" t="s">
        <v>1751</v>
      </c>
      <c r="D543">
        <v>20533547</v>
      </c>
      <c r="E543" t="s">
        <v>3133</v>
      </c>
      <c r="F543" t="s">
        <v>1241</v>
      </c>
      <c r="G543" t="s">
        <v>3134</v>
      </c>
      <c r="H543" t="s">
        <v>1247</v>
      </c>
      <c r="I543" t="s">
        <v>3344</v>
      </c>
      <c r="J543" s="455">
        <v>46164</v>
      </c>
      <c r="K543" s="455">
        <v>46164</v>
      </c>
      <c r="L543" s="455">
        <v>46164</v>
      </c>
      <c r="S543" s="455">
        <v>46168</v>
      </c>
      <c r="U543" s="455">
        <v>46171</v>
      </c>
    </row>
    <row r="544" spans="1:21">
      <c r="A544" t="s">
        <v>1751</v>
      </c>
      <c r="B544" t="s">
        <v>10677</v>
      </c>
      <c r="C544" t="s">
        <v>1751</v>
      </c>
      <c r="D544">
        <v>20518274</v>
      </c>
      <c r="E544" t="s">
        <v>3133</v>
      </c>
      <c r="F544" t="s">
        <v>1237</v>
      </c>
      <c r="G544" t="s">
        <v>3134</v>
      </c>
      <c r="H544" t="s">
        <v>1247</v>
      </c>
      <c r="I544" t="s">
        <v>1574</v>
      </c>
      <c r="J544" s="455">
        <v>46148</v>
      </c>
      <c r="K544" s="455">
        <v>46148</v>
      </c>
      <c r="R544" s="455">
        <v>46164</v>
      </c>
      <c r="U544" s="455">
        <v>46148</v>
      </c>
    </row>
    <row r="545" spans="1:21">
      <c r="A545" t="s">
        <v>1751</v>
      </c>
      <c r="B545" t="s">
        <v>10678</v>
      </c>
      <c r="C545" t="s">
        <v>1751</v>
      </c>
      <c r="D545">
        <v>20533244</v>
      </c>
      <c r="E545" t="s">
        <v>3128</v>
      </c>
      <c r="F545" t="s">
        <v>1782</v>
      </c>
      <c r="G545" t="s">
        <v>3137</v>
      </c>
      <c r="H545" t="s">
        <v>1252</v>
      </c>
      <c r="J545" s="455">
        <v>46164</v>
      </c>
      <c r="U545" s="455">
        <v>46224</v>
      </c>
    </row>
    <row r="546" spans="1:21">
      <c r="A546" t="s">
        <v>1751</v>
      </c>
      <c r="B546" t="s">
        <v>10679</v>
      </c>
      <c r="C546" t="s">
        <v>1751</v>
      </c>
      <c r="D546">
        <v>20514712</v>
      </c>
      <c r="E546" t="s">
        <v>3190</v>
      </c>
      <c r="F546" t="s">
        <v>1241</v>
      </c>
      <c r="G546" t="s">
        <v>3129</v>
      </c>
      <c r="H546" t="s">
        <v>1253</v>
      </c>
      <c r="I546" t="s">
        <v>1834</v>
      </c>
      <c r="J546" s="455">
        <v>46143</v>
      </c>
      <c r="R546" s="455">
        <v>46164</v>
      </c>
      <c r="U546" s="455">
        <v>46143</v>
      </c>
    </row>
    <row r="547" spans="1:21">
      <c r="A547" t="s">
        <v>1751</v>
      </c>
      <c r="B547" t="s">
        <v>3746</v>
      </c>
      <c r="C547" t="s">
        <v>1751</v>
      </c>
      <c r="D547">
        <v>20528676</v>
      </c>
      <c r="E547" t="s">
        <v>3128</v>
      </c>
      <c r="F547" t="s">
        <v>1242</v>
      </c>
      <c r="G547" t="s">
        <v>2009</v>
      </c>
      <c r="H547" t="s">
        <v>1247</v>
      </c>
      <c r="I547" t="s">
        <v>1952</v>
      </c>
      <c r="J547" s="455">
        <v>46159</v>
      </c>
      <c r="L547" s="455">
        <v>46177</v>
      </c>
      <c r="U547" s="455">
        <v>46159</v>
      </c>
    </row>
    <row r="548" spans="1:21">
      <c r="A548" t="s">
        <v>1751</v>
      </c>
      <c r="B548" t="s">
        <v>10680</v>
      </c>
      <c r="C548" t="s">
        <v>1751</v>
      </c>
      <c r="D548">
        <v>20523531</v>
      </c>
      <c r="E548" t="s">
        <v>3133</v>
      </c>
      <c r="F548" t="s">
        <v>1241</v>
      </c>
      <c r="G548" t="s">
        <v>3134</v>
      </c>
      <c r="H548" t="s">
        <v>1247</v>
      </c>
      <c r="I548" t="s">
        <v>1903</v>
      </c>
      <c r="J548" s="455">
        <v>46154</v>
      </c>
      <c r="K548" s="455">
        <v>46154</v>
      </c>
      <c r="R548" s="455">
        <v>46164</v>
      </c>
      <c r="U548" s="455">
        <v>46154</v>
      </c>
    </row>
    <row r="549" spans="1:21">
      <c r="A549" t="s">
        <v>1751</v>
      </c>
      <c r="B549" t="s">
        <v>6700</v>
      </c>
      <c r="C549" t="s">
        <v>1751</v>
      </c>
      <c r="D549">
        <v>20526473</v>
      </c>
      <c r="E549" t="s">
        <v>3142</v>
      </c>
      <c r="F549" t="s">
        <v>1242</v>
      </c>
      <c r="G549" t="s">
        <v>3134</v>
      </c>
      <c r="H549" t="s">
        <v>1247</v>
      </c>
      <c r="I549" t="s">
        <v>1548</v>
      </c>
      <c r="J549" s="455">
        <v>46156</v>
      </c>
      <c r="K549" s="455">
        <v>46156</v>
      </c>
      <c r="L549" s="455">
        <v>46157</v>
      </c>
      <c r="M549" s="455">
        <v>46161</v>
      </c>
      <c r="N549" s="455">
        <v>46161</v>
      </c>
      <c r="P549" s="455">
        <v>46161</v>
      </c>
      <c r="Q549" s="455">
        <v>46161</v>
      </c>
      <c r="U549" s="455">
        <v>46171</v>
      </c>
    </row>
    <row r="550" spans="1:21">
      <c r="A550" t="s">
        <v>1751</v>
      </c>
      <c r="B550" t="s">
        <v>10681</v>
      </c>
      <c r="C550" t="s">
        <v>1751</v>
      </c>
      <c r="D550">
        <v>20518151</v>
      </c>
      <c r="E550" t="s">
        <v>3128</v>
      </c>
      <c r="F550" t="s">
        <v>1782</v>
      </c>
      <c r="G550" t="s">
        <v>3134</v>
      </c>
      <c r="H550" t="s">
        <v>3165</v>
      </c>
      <c r="J550" s="455">
        <v>46148</v>
      </c>
      <c r="U550" s="455">
        <v>46149</v>
      </c>
    </row>
    <row r="551" spans="1:21">
      <c r="A551" t="s">
        <v>1751</v>
      </c>
      <c r="B551" t="s">
        <v>4677</v>
      </c>
      <c r="C551" t="s">
        <v>1751</v>
      </c>
      <c r="D551">
        <v>20521605</v>
      </c>
      <c r="E551" t="s">
        <v>3128</v>
      </c>
      <c r="F551" t="s">
        <v>1243</v>
      </c>
      <c r="G551" t="s">
        <v>3137</v>
      </c>
      <c r="H551" t="s">
        <v>1247</v>
      </c>
      <c r="I551" t="s">
        <v>1952</v>
      </c>
      <c r="J551" s="455">
        <v>46152</v>
      </c>
      <c r="U551" s="455">
        <v>46152</v>
      </c>
    </row>
    <row r="552" spans="1:21">
      <c r="A552" t="s">
        <v>1751</v>
      </c>
      <c r="B552" t="s">
        <v>3751</v>
      </c>
      <c r="C552" t="s">
        <v>1751</v>
      </c>
      <c r="D552">
        <v>20535329</v>
      </c>
      <c r="E552" t="s">
        <v>3128</v>
      </c>
      <c r="F552" t="s">
        <v>1782</v>
      </c>
      <c r="G552" t="s">
        <v>3141</v>
      </c>
      <c r="H552" t="s">
        <v>1252</v>
      </c>
      <c r="J552" s="455">
        <v>46167</v>
      </c>
      <c r="U552" s="455">
        <v>46171</v>
      </c>
    </row>
    <row r="553" spans="1:21">
      <c r="A553" t="s">
        <v>1751</v>
      </c>
      <c r="B553" t="s">
        <v>10682</v>
      </c>
      <c r="C553" t="s">
        <v>1751</v>
      </c>
      <c r="D553">
        <v>20536537</v>
      </c>
      <c r="E553" t="s">
        <v>3128</v>
      </c>
      <c r="F553" t="s">
        <v>1782</v>
      </c>
      <c r="G553" t="s">
        <v>3141</v>
      </c>
      <c r="H553" t="s">
        <v>1252</v>
      </c>
      <c r="J553" s="455">
        <v>46169</v>
      </c>
      <c r="U553" s="455">
        <v>46170</v>
      </c>
    </row>
    <row r="554" spans="1:21">
      <c r="A554" t="s">
        <v>1751</v>
      </c>
      <c r="B554" t="s">
        <v>9914</v>
      </c>
      <c r="C554" t="s">
        <v>1751</v>
      </c>
      <c r="D554">
        <v>20509748</v>
      </c>
      <c r="E554" t="s">
        <v>3133</v>
      </c>
      <c r="F554" t="s">
        <v>1241</v>
      </c>
      <c r="G554" t="s">
        <v>3134</v>
      </c>
      <c r="H554" t="s">
        <v>1247</v>
      </c>
      <c r="I554" t="s">
        <v>3849</v>
      </c>
      <c r="J554" s="455">
        <v>46137</v>
      </c>
      <c r="K554" s="455">
        <v>46137</v>
      </c>
      <c r="R554" s="455">
        <v>46158</v>
      </c>
      <c r="U554" s="455">
        <v>46137</v>
      </c>
    </row>
    <row r="555" spans="1:21">
      <c r="A555" t="s">
        <v>1751</v>
      </c>
      <c r="B555" t="s">
        <v>10683</v>
      </c>
      <c r="C555" t="s">
        <v>1751</v>
      </c>
      <c r="D555">
        <v>20519977</v>
      </c>
      <c r="E555" t="s">
        <v>3190</v>
      </c>
      <c r="F555" t="s">
        <v>1242</v>
      </c>
      <c r="G555" t="s">
        <v>3143</v>
      </c>
      <c r="H555" t="s">
        <v>1248</v>
      </c>
      <c r="I555" t="s">
        <v>1952</v>
      </c>
      <c r="J555" s="455">
        <v>46150</v>
      </c>
      <c r="R555" s="455">
        <v>46164</v>
      </c>
      <c r="U555" s="455">
        <v>46164</v>
      </c>
    </row>
    <row r="556" spans="1:21">
      <c r="A556" t="s">
        <v>1751</v>
      </c>
      <c r="B556" t="s">
        <v>6397</v>
      </c>
      <c r="C556" t="s">
        <v>1751</v>
      </c>
      <c r="D556">
        <v>20526637</v>
      </c>
      <c r="E556" t="s">
        <v>3128</v>
      </c>
      <c r="F556" t="s">
        <v>1237</v>
      </c>
      <c r="G556" t="s">
        <v>3129</v>
      </c>
      <c r="H556" t="s">
        <v>3131</v>
      </c>
      <c r="J556" s="455">
        <v>46157</v>
      </c>
      <c r="U556" s="455">
        <v>46165</v>
      </c>
    </row>
    <row r="557" spans="1:21">
      <c r="A557" t="s">
        <v>1751</v>
      </c>
      <c r="B557" t="s">
        <v>6397</v>
      </c>
      <c r="C557" t="s">
        <v>1751</v>
      </c>
      <c r="D557">
        <v>20529870</v>
      </c>
      <c r="E557" t="s">
        <v>3142</v>
      </c>
      <c r="F557" t="s">
        <v>1237</v>
      </c>
      <c r="G557" t="s">
        <v>3134</v>
      </c>
      <c r="H557" t="s">
        <v>1247</v>
      </c>
      <c r="I557" t="s">
        <v>5943</v>
      </c>
      <c r="J557" s="455">
        <v>46160</v>
      </c>
      <c r="K557" s="455">
        <v>46160</v>
      </c>
      <c r="L557" s="455">
        <v>46160</v>
      </c>
      <c r="M557" s="455">
        <v>46164</v>
      </c>
      <c r="N557" s="455">
        <v>46164</v>
      </c>
      <c r="P557" s="455">
        <v>46164</v>
      </c>
      <c r="Q557" s="455">
        <v>46164</v>
      </c>
      <c r="U557" s="455">
        <v>46165</v>
      </c>
    </row>
    <row r="558" spans="1:21">
      <c r="A558" t="s">
        <v>1751</v>
      </c>
      <c r="B558" t="s">
        <v>3767</v>
      </c>
      <c r="C558" t="s">
        <v>1751</v>
      </c>
      <c r="D558">
        <v>20526547</v>
      </c>
      <c r="E558" t="s">
        <v>1897</v>
      </c>
      <c r="F558" t="s">
        <v>1241</v>
      </c>
      <c r="G558" t="s">
        <v>3134</v>
      </c>
      <c r="H558" t="s">
        <v>1247</v>
      </c>
      <c r="I558" t="s">
        <v>3363</v>
      </c>
      <c r="J558" s="455">
        <v>46156</v>
      </c>
      <c r="K558" s="455">
        <v>46156</v>
      </c>
      <c r="U558" s="455">
        <v>46156</v>
      </c>
    </row>
    <row r="559" spans="1:21">
      <c r="A559" t="s">
        <v>1751</v>
      </c>
      <c r="B559" t="s">
        <v>3767</v>
      </c>
      <c r="C559" t="s">
        <v>1751</v>
      </c>
      <c r="D559">
        <v>20525323</v>
      </c>
      <c r="E559" t="s">
        <v>3128</v>
      </c>
      <c r="F559" t="s">
        <v>1782</v>
      </c>
      <c r="G559" t="s">
        <v>3137</v>
      </c>
      <c r="H559" t="s">
        <v>1252</v>
      </c>
      <c r="J559" s="455">
        <v>46156</v>
      </c>
      <c r="U559" s="455">
        <v>46170</v>
      </c>
    </row>
    <row r="560" spans="1:21">
      <c r="A560" t="s">
        <v>1751</v>
      </c>
      <c r="B560" t="s">
        <v>10684</v>
      </c>
      <c r="C560" t="s">
        <v>1751</v>
      </c>
      <c r="D560">
        <v>20522132</v>
      </c>
      <c r="E560" t="s">
        <v>3190</v>
      </c>
      <c r="F560" t="s">
        <v>1782</v>
      </c>
      <c r="G560" t="s">
        <v>3129</v>
      </c>
      <c r="H560" t="s">
        <v>1252</v>
      </c>
      <c r="J560" s="455">
        <v>46153</v>
      </c>
      <c r="R560" s="455">
        <v>46164</v>
      </c>
      <c r="U560" s="455">
        <v>46153</v>
      </c>
    </row>
    <row r="561" spans="1:21">
      <c r="A561" t="s">
        <v>1751</v>
      </c>
      <c r="B561" t="s">
        <v>9292</v>
      </c>
      <c r="C561" t="s">
        <v>1751</v>
      </c>
      <c r="D561">
        <v>20495913</v>
      </c>
      <c r="E561" t="s">
        <v>3133</v>
      </c>
      <c r="F561" t="s">
        <v>1238</v>
      </c>
      <c r="G561" t="s">
        <v>3134</v>
      </c>
      <c r="H561" t="s">
        <v>1252</v>
      </c>
      <c r="I561" t="s">
        <v>1530</v>
      </c>
      <c r="J561" s="455">
        <v>46127</v>
      </c>
      <c r="K561" s="455">
        <v>46127</v>
      </c>
      <c r="R561" s="455">
        <v>46158</v>
      </c>
      <c r="U561" s="455">
        <v>46174</v>
      </c>
    </row>
    <row r="562" spans="1:21">
      <c r="A562" t="s">
        <v>1751</v>
      </c>
      <c r="B562" t="s">
        <v>10685</v>
      </c>
      <c r="C562" t="s">
        <v>1751</v>
      </c>
      <c r="D562">
        <v>20517225</v>
      </c>
      <c r="E562" t="s">
        <v>3190</v>
      </c>
      <c r="F562" t="s">
        <v>1242</v>
      </c>
      <c r="G562" t="s">
        <v>3129</v>
      </c>
      <c r="H562" t="s">
        <v>3131</v>
      </c>
      <c r="J562" s="455">
        <v>46147</v>
      </c>
      <c r="R562" s="455">
        <v>46164</v>
      </c>
      <c r="U562" s="455">
        <v>46172</v>
      </c>
    </row>
    <row r="563" spans="1:21">
      <c r="A563" t="s">
        <v>1751</v>
      </c>
      <c r="B563" t="s">
        <v>10686</v>
      </c>
      <c r="C563" t="s">
        <v>1751</v>
      </c>
      <c r="D563">
        <v>20519275</v>
      </c>
      <c r="E563" t="s">
        <v>3128</v>
      </c>
      <c r="F563" t="s">
        <v>1241</v>
      </c>
      <c r="G563" t="s">
        <v>3137</v>
      </c>
      <c r="H563" t="s">
        <v>1247</v>
      </c>
      <c r="J563" s="455">
        <v>46149</v>
      </c>
      <c r="U563" s="455">
        <v>46149</v>
      </c>
    </row>
    <row r="564" spans="1:21">
      <c r="A564" t="s">
        <v>1751</v>
      </c>
      <c r="B564" t="s">
        <v>2424</v>
      </c>
      <c r="C564" t="s">
        <v>1751</v>
      </c>
      <c r="D564">
        <v>20530068</v>
      </c>
      <c r="E564" t="s">
        <v>3142</v>
      </c>
      <c r="F564" t="s">
        <v>1239</v>
      </c>
      <c r="G564" t="s">
        <v>3134</v>
      </c>
      <c r="H564" t="s">
        <v>1252</v>
      </c>
      <c r="I564" t="s">
        <v>1947</v>
      </c>
      <c r="J564" s="455">
        <v>46160</v>
      </c>
      <c r="K564" s="455">
        <v>46160</v>
      </c>
      <c r="L564" s="455">
        <v>46161</v>
      </c>
      <c r="M564" s="455">
        <v>46164</v>
      </c>
      <c r="N564" s="455">
        <v>46164</v>
      </c>
      <c r="P564" s="455">
        <v>46164</v>
      </c>
      <c r="Q564" s="455">
        <v>46164</v>
      </c>
      <c r="U564" s="455">
        <v>46179</v>
      </c>
    </row>
    <row r="565" spans="1:21">
      <c r="A565" t="s">
        <v>1751</v>
      </c>
      <c r="B565" t="s">
        <v>10687</v>
      </c>
      <c r="C565" t="s">
        <v>1751</v>
      </c>
      <c r="D565">
        <v>20534252</v>
      </c>
      <c r="E565" t="s">
        <v>3128</v>
      </c>
      <c r="F565" t="s">
        <v>1782</v>
      </c>
      <c r="G565" t="s">
        <v>3134</v>
      </c>
      <c r="H565" t="s">
        <v>3165</v>
      </c>
      <c r="J565" s="455">
        <v>46165</v>
      </c>
      <c r="U565" s="455">
        <v>46189</v>
      </c>
    </row>
    <row r="566" spans="1:21">
      <c r="A566" t="s">
        <v>1751</v>
      </c>
      <c r="B566" t="s">
        <v>9925</v>
      </c>
      <c r="C566" t="s">
        <v>1751</v>
      </c>
      <c r="D566">
        <v>20514756</v>
      </c>
      <c r="E566" t="s">
        <v>3133</v>
      </c>
      <c r="F566" t="s">
        <v>1912</v>
      </c>
      <c r="G566" t="s">
        <v>3129</v>
      </c>
      <c r="H566" t="s">
        <v>1253</v>
      </c>
      <c r="J566" s="455">
        <v>46143</v>
      </c>
      <c r="K566" s="455">
        <v>46149</v>
      </c>
      <c r="R566" s="455">
        <v>46164</v>
      </c>
      <c r="U566" s="455">
        <v>46143</v>
      </c>
    </row>
    <row r="567" spans="1:21">
      <c r="A567" t="s">
        <v>1751</v>
      </c>
      <c r="B567" t="s">
        <v>10688</v>
      </c>
      <c r="C567" t="s">
        <v>1751</v>
      </c>
      <c r="D567">
        <v>20522617</v>
      </c>
      <c r="E567" t="s">
        <v>3190</v>
      </c>
      <c r="F567" t="s">
        <v>1782</v>
      </c>
      <c r="G567" t="s">
        <v>3141</v>
      </c>
      <c r="H567" t="s">
        <v>1252</v>
      </c>
      <c r="J567" s="455">
        <v>46153</v>
      </c>
      <c r="R567" s="455">
        <v>46164</v>
      </c>
      <c r="U567" s="455">
        <v>46235</v>
      </c>
    </row>
    <row r="568" spans="1:21">
      <c r="A568" t="s">
        <v>1751</v>
      </c>
      <c r="B568" t="s">
        <v>10689</v>
      </c>
      <c r="C568" t="s">
        <v>1751</v>
      </c>
      <c r="D568">
        <v>20530211</v>
      </c>
      <c r="E568" t="s">
        <v>3128</v>
      </c>
      <c r="F568" t="s">
        <v>1241</v>
      </c>
      <c r="G568" t="s">
        <v>3137</v>
      </c>
      <c r="H568" t="s">
        <v>1252</v>
      </c>
      <c r="J568" s="455">
        <v>46161</v>
      </c>
      <c r="U568" s="455">
        <v>46183</v>
      </c>
    </row>
    <row r="569" spans="1:21">
      <c r="A569" t="s">
        <v>1751</v>
      </c>
      <c r="B569" t="s">
        <v>10690</v>
      </c>
      <c r="C569" t="s">
        <v>1751</v>
      </c>
      <c r="D569">
        <v>20524945</v>
      </c>
      <c r="E569" t="s">
        <v>3128</v>
      </c>
      <c r="F569" t="s">
        <v>1239</v>
      </c>
      <c r="G569" t="s">
        <v>3143</v>
      </c>
      <c r="H569" t="s">
        <v>1247</v>
      </c>
      <c r="I569" t="s">
        <v>1952</v>
      </c>
      <c r="J569" s="455">
        <v>46155</v>
      </c>
      <c r="U569" s="455">
        <v>46155</v>
      </c>
    </row>
    <row r="570" spans="1:21">
      <c r="A570" t="s">
        <v>1751</v>
      </c>
      <c r="B570" t="s">
        <v>3778</v>
      </c>
      <c r="C570" t="s">
        <v>1751</v>
      </c>
      <c r="D570">
        <v>20516769</v>
      </c>
      <c r="E570" t="s">
        <v>1897</v>
      </c>
      <c r="F570" t="s">
        <v>1242</v>
      </c>
      <c r="G570" t="s">
        <v>3143</v>
      </c>
      <c r="H570" t="s">
        <v>1247</v>
      </c>
      <c r="I570" t="s">
        <v>1834</v>
      </c>
      <c r="J570" s="455">
        <v>46146</v>
      </c>
      <c r="K570" s="455">
        <v>46146</v>
      </c>
      <c r="U570" s="455">
        <v>46165</v>
      </c>
    </row>
    <row r="571" spans="1:21">
      <c r="A571" t="s">
        <v>1751</v>
      </c>
      <c r="B571" t="s">
        <v>3778</v>
      </c>
      <c r="C571" t="s">
        <v>1751</v>
      </c>
      <c r="D571">
        <v>20516874</v>
      </c>
      <c r="E571" t="s">
        <v>1897</v>
      </c>
      <c r="F571" t="s">
        <v>1912</v>
      </c>
      <c r="G571" t="s">
        <v>3134</v>
      </c>
      <c r="H571" t="s">
        <v>1247</v>
      </c>
      <c r="J571" s="455">
        <v>46146</v>
      </c>
      <c r="K571" s="455">
        <v>46146</v>
      </c>
      <c r="U571" s="455">
        <v>46146</v>
      </c>
    </row>
    <row r="572" spans="1:21">
      <c r="A572" t="s">
        <v>1751</v>
      </c>
      <c r="B572" t="s">
        <v>10691</v>
      </c>
      <c r="C572" t="s">
        <v>1751</v>
      </c>
      <c r="D572">
        <v>20514423</v>
      </c>
      <c r="E572" t="s">
        <v>3128</v>
      </c>
      <c r="F572" t="s">
        <v>1782</v>
      </c>
      <c r="G572" t="s">
        <v>3134</v>
      </c>
      <c r="H572" t="s">
        <v>1252</v>
      </c>
      <c r="J572" s="455">
        <v>46143</v>
      </c>
      <c r="U572" s="455">
        <v>46143</v>
      </c>
    </row>
    <row r="573" spans="1:21">
      <c r="A573" t="s">
        <v>1751</v>
      </c>
      <c r="B573" t="s">
        <v>2712</v>
      </c>
      <c r="C573" t="s">
        <v>1751</v>
      </c>
      <c r="D573">
        <v>20477418</v>
      </c>
      <c r="E573" t="s">
        <v>3142</v>
      </c>
      <c r="F573" t="s">
        <v>1238</v>
      </c>
      <c r="G573" t="s">
        <v>2009</v>
      </c>
      <c r="H573" t="s">
        <v>1248</v>
      </c>
      <c r="I573" t="s">
        <v>1915</v>
      </c>
      <c r="J573" s="455">
        <v>46102</v>
      </c>
      <c r="K573" s="455">
        <v>46133</v>
      </c>
      <c r="L573" s="455">
        <v>46133</v>
      </c>
      <c r="M573" s="455">
        <v>46150</v>
      </c>
      <c r="N573" s="455">
        <v>46150</v>
      </c>
      <c r="P573" s="455">
        <v>46150</v>
      </c>
      <c r="Q573" s="455">
        <v>46150</v>
      </c>
      <c r="T573" s="455">
        <v>46150</v>
      </c>
      <c r="U573" s="455">
        <v>46171</v>
      </c>
    </row>
    <row r="574" spans="1:21">
      <c r="A574" t="s">
        <v>1751</v>
      </c>
      <c r="B574" t="s">
        <v>2712</v>
      </c>
      <c r="C574" t="s">
        <v>1751</v>
      </c>
      <c r="D574">
        <v>20519606</v>
      </c>
      <c r="E574" t="s">
        <v>1897</v>
      </c>
      <c r="F574" t="s">
        <v>1782</v>
      </c>
      <c r="G574" t="s">
        <v>3129</v>
      </c>
      <c r="H574" t="s">
        <v>1248</v>
      </c>
      <c r="J574" s="455">
        <v>46149</v>
      </c>
      <c r="K574" s="455">
        <v>46150</v>
      </c>
      <c r="U574" s="455">
        <v>46149</v>
      </c>
    </row>
    <row r="575" spans="1:21">
      <c r="A575" t="s">
        <v>1751</v>
      </c>
      <c r="B575" t="s">
        <v>3779</v>
      </c>
      <c r="C575" t="s">
        <v>1751</v>
      </c>
      <c r="D575">
        <v>20537700</v>
      </c>
      <c r="E575" t="s">
        <v>1897</v>
      </c>
      <c r="F575" t="s">
        <v>1241</v>
      </c>
      <c r="G575" t="s">
        <v>3134</v>
      </c>
      <c r="H575" t="s">
        <v>1249</v>
      </c>
      <c r="I575" t="s">
        <v>3752</v>
      </c>
      <c r="J575" s="455">
        <v>46170</v>
      </c>
      <c r="K575" s="455">
        <v>46170</v>
      </c>
      <c r="U575" s="455">
        <v>46183</v>
      </c>
    </row>
    <row r="576" spans="1:21">
      <c r="A576" t="s">
        <v>1751</v>
      </c>
      <c r="B576" t="s">
        <v>10692</v>
      </c>
      <c r="C576" t="s">
        <v>1751</v>
      </c>
      <c r="D576">
        <v>20539637</v>
      </c>
      <c r="E576" t="s">
        <v>3128</v>
      </c>
      <c r="F576" t="s">
        <v>1782</v>
      </c>
      <c r="G576" t="s">
        <v>3141</v>
      </c>
      <c r="H576" t="s">
        <v>1247</v>
      </c>
      <c r="J576" s="455">
        <v>46172</v>
      </c>
      <c r="U576" s="455">
        <v>46172</v>
      </c>
    </row>
    <row r="577" spans="1:21">
      <c r="A577" t="s">
        <v>1751</v>
      </c>
      <c r="B577" t="s">
        <v>10693</v>
      </c>
      <c r="C577" t="s">
        <v>1751</v>
      </c>
      <c r="D577">
        <v>20534847</v>
      </c>
      <c r="E577" t="s">
        <v>3128</v>
      </c>
      <c r="F577" t="s">
        <v>1782</v>
      </c>
      <c r="G577" t="s">
        <v>3141</v>
      </c>
      <c r="H577" t="s">
        <v>1252</v>
      </c>
      <c r="J577" s="455">
        <v>46166</v>
      </c>
      <c r="U577" s="455">
        <v>46177</v>
      </c>
    </row>
    <row r="578" spans="1:21">
      <c r="A578" t="s">
        <v>1751</v>
      </c>
      <c r="B578" t="s">
        <v>10694</v>
      </c>
      <c r="C578" t="s">
        <v>1751</v>
      </c>
      <c r="D578">
        <v>20530179</v>
      </c>
      <c r="E578" t="s">
        <v>3190</v>
      </c>
      <c r="F578" t="s">
        <v>1782</v>
      </c>
      <c r="G578" t="s">
        <v>3137</v>
      </c>
      <c r="H578" t="s">
        <v>1252</v>
      </c>
      <c r="J578" s="455">
        <v>46161</v>
      </c>
      <c r="R578" s="455">
        <v>46164</v>
      </c>
      <c r="U578" s="455">
        <v>46235</v>
      </c>
    </row>
    <row r="579" spans="1:21">
      <c r="A579" t="s">
        <v>1751</v>
      </c>
      <c r="B579" t="s">
        <v>3785</v>
      </c>
      <c r="C579" t="s">
        <v>1751</v>
      </c>
      <c r="D579">
        <v>20530433</v>
      </c>
      <c r="E579" t="s">
        <v>3128</v>
      </c>
      <c r="F579" t="s">
        <v>1782</v>
      </c>
      <c r="G579" t="s">
        <v>3129</v>
      </c>
      <c r="H579" t="s">
        <v>1252</v>
      </c>
      <c r="J579" s="455">
        <v>46161</v>
      </c>
      <c r="U579" s="455">
        <v>46161</v>
      </c>
    </row>
    <row r="580" spans="1:21">
      <c r="A580" t="s">
        <v>1751</v>
      </c>
      <c r="B580" t="s">
        <v>10695</v>
      </c>
      <c r="C580" t="s">
        <v>1751</v>
      </c>
      <c r="D580">
        <v>20515668</v>
      </c>
      <c r="E580" t="s">
        <v>3128</v>
      </c>
      <c r="F580" t="s">
        <v>1782</v>
      </c>
      <c r="G580" t="s">
        <v>3141</v>
      </c>
      <c r="H580" t="s">
        <v>1252</v>
      </c>
      <c r="J580" s="455">
        <v>46145</v>
      </c>
      <c r="U580" s="455">
        <v>46327</v>
      </c>
    </row>
    <row r="581" spans="1:21">
      <c r="A581" t="s">
        <v>1751</v>
      </c>
      <c r="B581" t="s">
        <v>10696</v>
      </c>
      <c r="C581" t="s">
        <v>1751</v>
      </c>
      <c r="D581">
        <v>20523659</v>
      </c>
      <c r="E581" t="s">
        <v>3133</v>
      </c>
      <c r="F581" t="s">
        <v>1241</v>
      </c>
      <c r="G581" t="s">
        <v>3134</v>
      </c>
      <c r="H581" t="s">
        <v>1247</v>
      </c>
      <c r="J581" s="455">
        <v>46154</v>
      </c>
      <c r="K581" s="455">
        <v>46154</v>
      </c>
      <c r="R581" s="455">
        <v>46155</v>
      </c>
      <c r="U581" s="455">
        <v>46170</v>
      </c>
    </row>
    <row r="582" spans="1:21">
      <c r="A582" t="s">
        <v>1751</v>
      </c>
      <c r="B582" t="s">
        <v>10697</v>
      </c>
      <c r="C582" t="s">
        <v>1751</v>
      </c>
      <c r="D582">
        <v>20538663</v>
      </c>
      <c r="E582" t="s">
        <v>3128</v>
      </c>
      <c r="F582" t="s">
        <v>1237</v>
      </c>
      <c r="G582" t="s">
        <v>3141</v>
      </c>
      <c r="H582" t="s">
        <v>1248</v>
      </c>
      <c r="J582" s="455">
        <v>46171</v>
      </c>
      <c r="U582" s="455">
        <v>46234</v>
      </c>
    </row>
    <row r="583" spans="1:21">
      <c r="A583" t="s">
        <v>1751</v>
      </c>
      <c r="B583" t="s">
        <v>9938</v>
      </c>
      <c r="C583" t="s">
        <v>1751</v>
      </c>
      <c r="D583">
        <v>20503601</v>
      </c>
      <c r="E583" t="s">
        <v>3133</v>
      </c>
      <c r="F583" t="s">
        <v>1782</v>
      </c>
      <c r="G583" t="s">
        <v>3134</v>
      </c>
      <c r="H583" t="s">
        <v>1252</v>
      </c>
      <c r="J583" s="455">
        <v>46132</v>
      </c>
      <c r="K583" s="455">
        <v>46134</v>
      </c>
      <c r="R583" s="455">
        <v>46164</v>
      </c>
      <c r="U583" s="455">
        <v>46192</v>
      </c>
    </row>
    <row r="584" spans="1:21">
      <c r="A584" t="s">
        <v>1751</v>
      </c>
      <c r="B584" t="s">
        <v>10698</v>
      </c>
      <c r="C584" t="s">
        <v>1751</v>
      </c>
      <c r="D584">
        <v>20519875</v>
      </c>
      <c r="E584" t="s">
        <v>3128</v>
      </c>
      <c r="F584" t="s">
        <v>1782</v>
      </c>
      <c r="G584" t="s">
        <v>3141</v>
      </c>
      <c r="H584" t="s">
        <v>1251</v>
      </c>
      <c r="J584" s="455">
        <v>46149</v>
      </c>
      <c r="U584" s="455">
        <v>46149</v>
      </c>
    </row>
    <row r="585" spans="1:21">
      <c r="A585" t="s">
        <v>1751</v>
      </c>
      <c r="B585" t="s">
        <v>9940</v>
      </c>
      <c r="C585" t="s">
        <v>1751</v>
      </c>
      <c r="D585">
        <v>20510368</v>
      </c>
      <c r="E585" t="s">
        <v>3190</v>
      </c>
      <c r="F585" t="s">
        <v>1242</v>
      </c>
      <c r="G585" t="s">
        <v>3137</v>
      </c>
      <c r="H585" t="s">
        <v>1252</v>
      </c>
      <c r="J585" s="455">
        <v>46138</v>
      </c>
      <c r="R585" s="455">
        <v>46164</v>
      </c>
      <c r="U585" s="455">
        <v>46172</v>
      </c>
    </row>
    <row r="586" spans="1:21">
      <c r="A586" t="s">
        <v>1751</v>
      </c>
      <c r="B586" t="s">
        <v>10699</v>
      </c>
      <c r="C586" t="s">
        <v>1751</v>
      </c>
      <c r="D586">
        <v>20519571</v>
      </c>
      <c r="E586" t="s">
        <v>3128</v>
      </c>
      <c r="F586" t="s">
        <v>1238</v>
      </c>
      <c r="G586" t="s">
        <v>3129</v>
      </c>
      <c r="H586" t="s">
        <v>1252</v>
      </c>
      <c r="I586" t="s">
        <v>3170</v>
      </c>
      <c r="J586" s="455">
        <v>46149</v>
      </c>
      <c r="U586" s="455">
        <v>46149</v>
      </c>
    </row>
    <row r="587" spans="1:21">
      <c r="A587" t="s">
        <v>1751</v>
      </c>
      <c r="B587" t="s">
        <v>10700</v>
      </c>
      <c r="C587" t="s">
        <v>1751</v>
      </c>
      <c r="D587">
        <v>20531635</v>
      </c>
      <c r="E587" t="s">
        <v>3128</v>
      </c>
      <c r="F587" t="s">
        <v>1782</v>
      </c>
      <c r="G587" t="s">
        <v>3141</v>
      </c>
      <c r="H587" t="s">
        <v>1247</v>
      </c>
      <c r="J587" s="455">
        <v>46162</v>
      </c>
      <c r="U587" s="455">
        <v>46162</v>
      </c>
    </row>
    <row r="588" spans="1:21">
      <c r="A588" t="s">
        <v>1751</v>
      </c>
      <c r="B588" t="s">
        <v>3802</v>
      </c>
      <c r="C588" t="s">
        <v>1751</v>
      </c>
      <c r="D588">
        <v>20537983</v>
      </c>
      <c r="E588" t="s">
        <v>1897</v>
      </c>
      <c r="F588" t="s">
        <v>1782</v>
      </c>
      <c r="G588" t="s">
        <v>3134</v>
      </c>
      <c r="H588" t="s">
        <v>3165</v>
      </c>
      <c r="I588" t="s">
        <v>2941</v>
      </c>
      <c r="J588" s="455">
        <v>46170</v>
      </c>
      <c r="K588" s="455">
        <v>46171</v>
      </c>
      <c r="U588" s="455">
        <v>46206</v>
      </c>
    </row>
    <row r="589" spans="1:21">
      <c r="A589" t="s">
        <v>1751</v>
      </c>
      <c r="B589" t="s">
        <v>10701</v>
      </c>
      <c r="C589" t="s">
        <v>1751</v>
      </c>
      <c r="D589">
        <v>20525179</v>
      </c>
      <c r="E589" t="s">
        <v>3190</v>
      </c>
      <c r="F589" t="s">
        <v>1782</v>
      </c>
      <c r="G589" t="s">
        <v>3141</v>
      </c>
      <c r="H589" t="s">
        <v>1252</v>
      </c>
      <c r="J589" s="455">
        <v>46155</v>
      </c>
      <c r="R589" s="455">
        <v>46164</v>
      </c>
      <c r="U589" s="455">
        <v>46174</v>
      </c>
    </row>
    <row r="590" spans="1:21">
      <c r="A590" t="s">
        <v>1751</v>
      </c>
      <c r="B590" t="s">
        <v>10702</v>
      </c>
      <c r="C590" t="s">
        <v>1751</v>
      </c>
      <c r="D590">
        <v>20516040</v>
      </c>
      <c r="E590" t="s">
        <v>3128</v>
      </c>
      <c r="F590" t="s">
        <v>1782</v>
      </c>
      <c r="G590" t="s">
        <v>3137</v>
      </c>
      <c r="H590" t="s">
        <v>1252</v>
      </c>
      <c r="J590" s="455">
        <v>46145</v>
      </c>
      <c r="U590" s="455">
        <v>46149</v>
      </c>
    </row>
    <row r="591" spans="1:21">
      <c r="A591" t="s">
        <v>1751</v>
      </c>
      <c r="B591" t="s">
        <v>7115</v>
      </c>
      <c r="C591" t="s">
        <v>1751</v>
      </c>
      <c r="D591">
        <v>20515349</v>
      </c>
      <c r="E591" t="s">
        <v>3142</v>
      </c>
      <c r="F591" t="s">
        <v>1242</v>
      </c>
      <c r="G591" t="s">
        <v>3134</v>
      </c>
      <c r="H591" t="s">
        <v>10703</v>
      </c>
      <c r="I591" t="s">
        <v>3303</v>
      </c>
      <c r="J591" s="455">
        <v>46144</v>
      </c>
      <c r="K591" s="455">
        <v>46144</v>
      </c>
      <c r="L591" s="455">
        <v>46158</v>
      </c>
      <c r="M591" s="455">
        <v>46165</v>
      </c>
      <c r="N591" s="455">
        <v>46168</v>
      </c>
      <c r="O591" s="455">
        <v>46168</v>
      </c>
      <c r="P591" s="455">
        <v>46170</v>
      </c>
      <c r="Q591" s="455">
        <v>46170</v>
      </c>
      <c r="U591" s="455">
        <v>46193</v>
      </c>
    </row>
    <row r="592" spans="1:21">
      <c r="A592" t="s">
        <v>1751</v>
      </c>
      <c r="B592" t="s">
        <v>7115</v>
      </c>
      <c r="C592" t="s">
        <v>1751</v>
      </c>
      <c r="D592">
        <v>20487052</v>
      </c>
      <c r="E592" t="s">
        <v>3190</v>
      </c>
      <c r="F592" t="s">
        <v>1242</v>
      </c>
      <c r="G592" t="s">
        <v>3141</v>
      </c>
      <c r="H592" t="s">
        <v>1248</v>
      </c>
      <c r="I592" t="s">
        <v>4012</v>
      </c>
      <c r="J592" s="455">
        <v>46116</v>
      </c>
      <c r="K592" s="455">
        <v>46146</v>
      </c>
      <c r="R592" s="455">
        <v>46160</v>
      </c>
      <c r="U592" s="455">
        <v>46193</v>
      </c>
    </row>
    <row r="593" spans="1:21">
      <c r="A593" t="s">
        <v>1751</v>
      </c>
      <c r="B593" t="s">
        <v>10704</v>
      </c>
      <c r="C593" t="s">
        <v>1751</v>
      </c>
      <c r="D593">
        <v>20537557</v>
      </c>
      <c r="E593" t="s">
        <v>3128</v>
      </c>
      <c r="F593" t="s">
        <v>1241</v>
      </c>
      <c r="G593" t="s">
        <v>3129</v>
      </c>
      <c r="H593" t="s">
        <v>1252</v>
      </c>
      <c r="I593" t="s">
        <v>1808</v>
      </c>
      <c r="J593" s="455">
        <v>46170</v>
      </c>
      <c r="U593" s="455">
        <v>46204</v>
      </c>
    </row>
    <row r="594" spans="1:21">
      <c r="A594" t="s">
        <v>1751</v>
      </c>
      <c r="B594" t="s">
        <v>10705</v>
      </c>
      <c r="C594" t="s">
        <v>1751</v>
      </c>
      <c r="D594">
        <v>20521063</v>
      </c>
      <c r="E594" t="s">
        <v>3128</v>
      </c>
      <c r="F594" t="s">
        <v>1782</v>
      </c>
      <c r="G594" t="s">
        <v>3129</v>
      </c>
      <c r="H594" t="s">
        <v>3131</v>
      </c>
      <c r="J594" s="455">
        <v>46151</v>
      </c>
      <c r="U594" s="455">
        <v>46151</v>
      </c>
    </row>
    <row r="595" spans="1:21">
      <c r="A595" t="s">
        <v>1751</v>
      </c>
      <c r="B595" t="s">
        <v>3809</v>
      </c>
      <c r="C595" t="s">
        <v>1751</v>
      </c>
      <c r="D595">
        <v>20534481</v>
      </c>
      <c r="E595" t="s">
        <v>2008</v>
      </c>
      <c r="F595" t="s">
        <v>1782</v>
      </c>
      <c r="G595" t="s">
        <v>3134</v>
      </c>
      <c r="H595" t="s">
        <v>1247</v>
      </c>
      <c r="I595" t="s">
        <v>3179</v>
      </c>
      <c r="J595" s="455">
        <v>46165</v>
      </c>
      <c r="K595" s="455">
        <v>46165</v>
      </c>
      <c r="L595" s="455">
        <v>46165</v>
      </c>
      <c r="M595" s="455">
        <v>46170</v>
      </c>
      <c r="N595" s="455">
        <v>46171</v>
      </c>
      <c r="U595" s="455">
        <v>46183</v>
      </c>
    </row>
    <row r="596" spans="1:21">
      <c r="A596" t="s">
        <v>1751</v>
      </c>
      <c r="B596" t="s">
        <v>3812</v>
      </c>
      <c r="C596" t="s">
        <v>1751</v>
      </c>
      <c r="D596">
        <v>20521433</v>
      </c>
      <c r="E596" t="s">
        <v>3128</v>
      </c>
      <c r="F596" t="s">
        <v>1237</v>
      </c>
      <c r="G596" t="s">
        <v>3134</v>
      </c>
      <c r="H596" t="s">
        <v>1252</v>
      </c>
      <c r="I596" t="s">
        <v>1947</v>
      </c>
      <c r="J596" s="455">
        <v>46152</v>
      </c>
      <c r="U596" s="455">
        <v>46204</v>
      </c>
    </row>
    <row r="597" spans="1:21">
      <c r="A597" t="s">
        <v>1751</v>
      </c>
      <c r="B597" t="s">
        <v>10706</v>
      </c>
      <c r="C597" t="s">
        <v>1751</v>
      </c>
      <c r="D597">
        <v>20519710</v>
      </c>
      <c r="E597" t="s">
        <v>3128</v>
      </c>
      <c r="F597" t="s">
        <v>1782</v>
      </c>
      <c r="G597" t="s">
        <v>3141</v>
      </c>
      <c r="H597" t="s">
        <v>1252</v>
      </c>
      <c r="J597" s="455">
        <v>46149</v>
      </c>
      <c r="U597" s="455">
        <v>46178</v>
      </c>
    </row>
    <row r="598" spans="1:21">
      <c r="A598" t="s">
        <v>1751</v>
      </c>
      <c r="B598" t="s">
        <v>9964</v>
      </c>
      <c r="C598" t="s">
        <v>1751</v>
      </c>
      <c r="D598">
        <v>20504845</v>
      </c>
      <c r="E598" t="s">
        <v>3133</v>
      </c>
      <c r="F598" t="s">
        <v>1782</v>
      </c>
      <c r="G598" t="s">
        <v>3134</v>
      </c>
      <c r="H598" t="s">
        <v>1249</v>
      </c>
      <c r="I598" t="s">
        <v>1915</v>
      </c>
      <c r="J598" s="455">
        <v>46133</v>
      </c>
      <c r="K598" s="455">
        <v>46133</v>
      </c>
      <c r="L598" s="455">
        <v>46133</v>
      </c>
      <c r="R598" s="455">
        <v>46153</v>
      </c>
      <c r="U598" s="455">
        <v>46150</v>
      </c>
    </row>
    <row r="599" spans="1:21">
      <c r="A599" t="s">
        <v>1751</v>
      </c>
      <c r="B599" t="s">
        <v>10707</v>
      </c>
      <c r="C599" t="s">
        <v>1751</v>
      </c>
      <c r="D599">
        <v>20516180</v>
      </c>
      <c r="E599" t="s">
        <v>3128</v>
      </c>
      <c r="F599" t="s">
        <v>1242</v>
      </c>
      <c r="G599" t="s">
        <v>2009</v>
      </c>
      <c r="H599" t="s">
        <v>1248</v>
      </c>
      <c r="J599" s="455">
        <v>46146</v>
      </c>
      <c r="U599" s="455">
        <v>46151</v>
      </c>
    </row>
    <row r="600" spans="1:21">
      <c r="A600" t="s">
        <v>1751</v>
      </c>
      <c r="B600" t="s">
        <v>3816</v>
      </c>
      <c r="C600" t="s">
        <v>1751</v>
      </c>
      <c r="D600">
        <v>20517642</v>
      </c>
      <c r="E600" t="s">
        <v>1907</v>
      </c>
      <c r="F600" t="s">
        <v>1238</v>
      </c>
      <c r="G600" t="s">
        <v>3134</v>
      </c>
      <c r="H600" t="s">
        <v>1247</v>
      </c>
      <c r="I600" t="s">
        <v>2127</v>
      </c>
      <c r="J600" s="455">
        <v>46147</v>
      </c>
      <c r="K600" s="455">
        <v>46147</v>
      </c>
      <c r="L600" s="455">
        <v>46147</v>
      </c>
      <c r="U600" s="455">
        <v>46186</v>
      </c>
    </row>
    <row r="601" spans="1:21">
      <c r="A601" t="s">
        <v>1751</v>
      </c>
      <c r="B601" t="s">
        <v>3816</v>
      </c>
      <c r="C601" t="s">
        <v>1751</v>
      </c>
      <c r="D601">
        <v>20516536</v>
      </c>
      <c r="E601" t="s">
        <v>1897</v>
      </c>
      <c r="F601" t="s">
        <v>1238</v>
      </c>
      <c r="G601" t="s">
        <v>2009</v>
      </c>
      <c r="H601" t="s">
        <v>1251</v>
      </c>
      <c r="I601" t="s">
        <v>2562</v>
      </c>
      <c r="J601" s="455">
        <v>46146</v>
      </c>
      <c r="K601" s="455">
        <v>46147</v>
      </c>
      <c r="U601" s="455">
        <v>46188</v>
      </c>
    </row>
    <row r="602" spans="1:21">
      <c r="A602" t="s">
        <v>1751</v>
      </c>
      <c r="B602" t="s">
        <v>10708</v>
      </c>
      <c r="C602" t="s">
        <v>1751</v>
      </c>
      <c r="D602">
        <v>20523131</v>
      </c>
      <c r="E602" t="s">
        <v>3190</v>
      </c>
      <c r="F602" t="s">
        <v>1237</v>
      </c>
      <c r="G602" t="s">
        <v>3141</v>
      </c>
      <c r="H602" t="s">
        <v>1249</v>
      </c>
      <c r="J602" s="455">
        <v>46154</v>
      </c>
      <c r="R602" s="455">
        <v>46164</v>
      </c>
      <c r="U602" s="455">
        <v>46198</v>
      </c>
    </row>
    <row r="603" spans="1:21">
      <c r="A603" t="s">
        <v>1751</v>
      </c>
      <c r="B603" t="s">
        <v>3083</v>
      </c>
      <c r="C603" t="s">
        <v>1751</v>
      </c>
      <c r="D603">
        <v>20523702</v>
      </c>
      <c r="E603" t="s">
        <v>3142</v>
      </c>
      <c r="F603" t="s">
        <v>1237</v>
      </c>
      <c r="G603" t="s">
        <v>3134</v>
      </c>
      <c r="H603" t="s">
        <v>1247</v>
      </c>
      <c r="I603" t="s">
        <v>2443</v>
      </c>
      <c r="J603" s="455">
        <v>46155</v>
      </c>
      <c r="K603" s="455">
        <v>46155</v>
      </c>
      <c r="L603" s="455">
        <v>46156</v>
      </c>
      <c r="M603" s="455">
        <v>46170</v>
      </c>
      <c r="N603" s="455">
        <v>46171</v>
      </c>
      <c r="P603" s="455">
        <v>46171</v>
      </c>
      <c r="Q603" s="455">
        <v>46171</v>
      </c>
      <c r="T603" s="455">
        <v>46169</v>
      </c>
      <c r="U603" s="455">
        <v>46209</v>
      </c>
    </row>
    <row r="604" spans="1:21">
      <c r="A604" t="s">
        <v>1751</v>
      </c>
      <c r="B604" t="s">
        <v>3818</v>
      </c>
      <c r="C604" t="s">
        <v>1751</v>
      </c>
      <c r="D604">
        <v>20519117</v>
      </c>
      <c r="E604" t="s">
        <v>1897</v>
      </c>
      <c r="F604" t="s">
        <v>1241</v>
      </c>
      <c r="G604" t="s">
        <v>3134</v>
      </c>
      <c r="H604" t="s">
        <v>1247</v>
      </c>
      <c r="I604" t="s">
        <v>1559</v>
      </c>
      <c r="J604" s="455">
        <v>46149</v>
      </c>
      <c r="K604" s="455">
        <v>46149</v>
      </c>
      <c r="U604" s="455">
        <v>46149</v>
      </c>
    </row>
    <row r="605" spans="1:21">
      <c r="A605" t="s">
        <v>1751</v>
      </c>
      <c r="B605" t="s">
        <v>10709</v>
      </c>
      <c r="C605" t="s">
        <v>1751</v>
      </c>
      <c r="D605">
        <v>20515477</v>
      </c>
      <c r="E605" t="s">
        <v>3128</v>
      </c>
      <c r="F605" t="s">
        <v>1782</v>
      </c>
      <c r="G605" t="s">
        <v>3134</v>
      </c>
      <c r="H605" t="s">
        <v>3165</v>
      </c>
      <c r="J605" s="455">
        <v>46144</v>
      </c>
      <c r="U605" s="455">
        <v>46145</v>
      </c>
    </row>
    <row r="606" spans="1:21">
      <c r="A606" t="s">
        <v>1751</v>
      </c>
      <c r="B606" t="s">
        <v>3821</v>
      </c>
      <c r="C606" t="s">
        <v>1751</v>
      </c>
      <c r="D606">
        <v>20525209</v>
      </c>
      <c r="E606" t="s">
        <v>1897</v>
      </c>
      <c r="F606" t="s">
        <v>1241</v>
      </c>
      <c r="G606" t="s">
        <v>3134</v>
      </c>
      <c r="H606" t="s">
        <v>1247</v>
      </c>
      <c r="J606" s="455">
        <v>46156</v>
      </c>
      <c r="K606" s="455">
        <v>46156</v>
      </c>
      <c r="U606" s="455">
        <v>46156</v>
      </c>
    </row>
    <row r="607" spans="1:21">
      <c r="A607" t="s">
        <v>1751</v>
      </c>
      <c r="B607" t="s">
        <v>3821</v>
      </c>
      <c r="C607" t="s">
        <v>1751</v>
      </c>
      <c r="D607">
        <v>20511582</v>
      </c>
      <c r="E607" t="s">
        <v>3133</v>
      </c>
      <c r="F607" t="s">
        <v>1782</v>
      </c>
      <c r="G607" t="s">
        <v>3141</v>
      </c>
      <c r="H607" t="s">
        <v>1252</v>
      </c>
      <c r="J607" s="455">
        <v>46140</v>
      </c>
      <c r="K607" s="455">
        <v>46156</v>
      </c>
      <c r="R607" s="455">
        <v>46164</v>
      </c>
      <c r="U607" s="455">
        <v>46174</v>
      </c>
    </row>
    <row r="608" spans="1:21">
      <c r="A608" t="s">
        <v>1751</v>
      </c>
      <c r="B608" t="s">
        <v>10710</v>
      </c>
      <c r="C608" t="s">
        <v>1751</v>
      </c>
      <c r="D608">
        <v>20531330</v>
      </c>
      <c r="E608" t="s">
        <v>3190</v>
      </c>
      <c r="F608" t="s">
        <v>1237</v>
      </c>
      <c r="G608" t="s">
        <v>3141</v>
      </c>
      <c r="H608" t="s">
        <v>1252</v>
      </c>
      <c r="I608" t="s">
        <v>1524</v>
      </c>
      <c r="J608" s="455">
        <v>46161</v>
      </c>
      <c r="R608" s="455">
        <v>46164</v>
      </c>
      <c r="U608" s="455">
        <v>46174</v>
      </c>
    </row>
    <row r="609" spans="1:21">
      <c r="A609" t="s">
        <v>1751</v>
      </c>
      <c r="B609" t="s">
        <v>10711</v>
      </c>
      <c r="C609" t="s">
        <v>1751</v>
      </c>
      <c r="D609">
        <v>20532282</v>
      </c>
      <c r="E609" t="s">
        <v>3128</v>
      </c>
      <c r="F609" t="s">
        <v>1782</v>
      </c>
      <c r="G609" t="s">
        <v>3141</v>
      </c>
      <c r="H609" t="s">
        <v>1252</v>
      </c>
      <c r="J609" s="455">
        <v>46162</v>
      </c>
      <c r="U609" s="455">
        <v>46181</v>
      </c>
    </row>
    <row r="610" spans="1:21">
      <c r="A610" t="s">
        <v>1751</v>
      </c>
      <c r="B610" t="s">
        <v>3826</v>
      </c>
      <c r="C610" t="s">
        <v>1751</v>
      </c>
      <c r="D610">
        <v>20516754</v>
      </c>
      <c r="E610" t="s">
        <v>3142</v>
      </c>
      <c r="F610" t="s">
        <v>1244</v>
      </c>
      <c r="G610" t="s">
        <v>3134</v>
      </c>
      <c r="H610" t="s">
        <v>1247</v>
      </c>
      <c r="I610" t="s">
        <v>2129</v>
      </c>
      <c r="J610" s="455">
        <v>46146</v>
      </c>
      <c r="K610" s="455">
        <v>46146</v>
      </c>
      <c r="L610" s="455">
        <v>46172</v>
      </c>
      <c r="M610" s="455">
        <v>46172</v>
      </c>
      <c r="N610" s="455">
        <v>46172</v>
      </c>
      <c r="P610" s="455">
        <v>46172</v>
      </c>
      <c r="Q610" s="455">
        <v>46172</v>
      </c>
      <c r="U610" s="455">
        <v>46172</v>
      </c>
    </row>
    <row r="611" spans="1:21">
      <c r="A611" t="s">
        <v>1751</v>
      </c>
      <c r="B611" t="s">
        <v>2661</v>
      </c>
      <c r="C611" t="s">
        <v>1751</v>
      </c>
      <c r="D611">
        <v>20516715</v>
      </c>
      <c r="E611" t="s">
        <v>1897</v>
      </c>
      <c r="F611" t="s">
        <v>1238</v>
      </c>
      <c r="G611" t="s">
        <v>3134</v>
      </c>
      <c r="H611" t="s">
        <v>1247</v>
      </c>
      <c r="I611" t="s">
        <v>1808</v>
      </c>
      <c r="J611" s="455">
        <v>46146</v>
      </c>
      <c r="K611" s="455">
        <v>46146</v>
      </c>
      <c r="U611" s="455">
        <v>46148</v>
      </c>
    </row>
    <row r="612" spans="1:21">
      <c r="A612" t="s">
        <v>1751</v>
      </c>
      <c r="B612" t="s">
        <v>7099</v>
      </c>
      <c r="C612" t="s">
        <v>1751</v>
      </c>
      <c r="D612">
        <v>20489813</v>
      </c>
      <c r="E612" t="s">
        <v>3142</v>
      </c>
      <c r="F612" t="s">
        <v>1242</v>
      </c>
      <c r="G612" t="s">
        <v>3134</v>
      </c>
      <c r="H612" t="s">
        <v>1250</v>
      </c>
      <c r="I612" t="s">
        <v>6281</v>
      </c>
      <c r="J612" s="455">
        <v>46120</v>
      </c>
      <c r="K612" s="455">
        <v>46120</v>
      </c>
      <c r="L612" s="455">
        <v>46141</v>
      </c>
      <c r="M612" s="455">
        <v>46148</v>
      </c>
      <c r="N612" s="455">
        <v>46148</v>
      </c>
      <c r="P612" s="455">
        <v>46148</v>
      </c>
      <c r="Q612" s="455">
        <v>46148</v>
      </c>
      <c r="U612" s="455">
        <v>46172</v>
      </c>
    </row>
    <row r="613" spans="1:21">
      <c r="A613" t="s">
        <v>1751</v>
      </c>
      <c r="B613" t="s">
        <v>10712</v>
      </c>
      <c r="C613" t="s">
        <v>1751</v>
      </c>
      <c r="D613">
        <v>20515924</v>
      </c>
      <c r="E613" t="s">
        <v>3128</v>
      </c>
      <c r="F613" t="s">
        <v>1782</v>
      </c>
      <c r="G613" t="s">
        <v>3141</v>
      </c>
      <c r="H613" t="s">
        <v>1252</v>
      </c>
      <c r="J613" s="455">
        <v>46145</v>
      </c>
      <c r="U613" s="455">
        <v>46190</v>
      </c>
    </row>
    <row r="614" spans="1:21">
      <c r="A614" t="s">
        <v>1751</v>
      </c>
      <c r="B614" t="s">
        <v>7116</v>
      </c>
      <c r="C614" t="s">
        <v>1751</v>
      </c>
      <c r="D614">
        <v>20521778</v>
      </c>
      <c r="E614" t="s">
        <v>3142</v>
      </c>
      <c r="F614" t="s">
        <v>1237</v>
      </c>
      <c r="G614" t="s">
        <v>3134</v>
      </c>
      <c r="H614" t="s">
        <v>1247</v>
      </c>
      <c r="I614" t="s">
        <v>3426</v>
      </c>
      <c r="J614" s="455">
        <v>46153</v>
      </c>
      <c r="K614" s="455">
        <v>46153</v>
      </c>
      <c r="L614" s="455">
        <v>46155</v>
      </c>
      <c r="M614" s="455">
        <v>46169</v>
      </c>
      <c r="N614" s="455">
        <v>46169</v>
      </c>
      <c r="P614" s="455">
        <v>46169</v>
      </c>
      <c r="Q614" s="455">
        <v>46169</v>
      </c>
      <c r="U614" s="455">
        <v>46172</v>
      </c>
    </row>
    <row r="615" spans="1:21">
      <c r="A615" t="s">
        <v>1751</v>
      </c>
      <c r="B615" t="s">
        <v>10713</v>
      </c>
      <c r="C615" t="s">
        <v>1751</v>
      </c>
      <c r="D615">
        <v>20530180</v>
      </c>
      <c r="E615" t="s">
        <v>3190</v>
      </c>
      <c r="F615" t="s">
        <v>1782</v>
      </c>
      <c r="G615" t="s">
        <v>3129</v>
      </c>
      <c r="H615" t="s">
        <v>1252</v>
      </c>
      <c r="J615" s="455">
        <v>46161</v>
      </c>
      <c r="R615" s="455">
        <v>46164</v>
      </c>
      <c r="U615" s="455">
        <v>46161</v>
      </c>
    </row>
    <row r="616" spans="1:21">
      <c r="A616" t="s">
        <v>1751</v>
      </c>
      <c r="B616" t="s">
        <v>10714</v>
      </c>
      <c r="C616" t="s">
        <v>1751</v>
      </c>
      <c r="D616">
        <v>20539368</v>
      </c>
      <c r="E616" t="s">
        <v>3128</v>
      </c>
      <c r="F616" t="s">
        <v>1242</v>
      </c>
      <c r="G616" t="s">
        <v>2009</v>
      </c>
      <c r="H616" t="s">
        <v>1248</v>
      </c>
      <c r="J616" s="455">
        <v>46172</v>
      </c>
      <c r="U616" s="455">
        <v>46186</v>
      </c>
    </row>
    <row r="617" spans="1:21">
      <c r="A617" t="s">
        <v>1751</v>
      </c>
      <c r="B617" t="s">
        <v>9980</v>
      </c>
      <c r="C617" t="s">
        <v>1751</v>
      </c>
      <c r="D617">
        <v>20511034</v>
      </c>
      <c r="E617" t="s">
        <v>3190</v>
      </c>
      <c r="F617" t="s">
        <v>1241</v>
      </c>
      <c r="G617" t="s">
        <v>3141</v>
      </c>
      <c r="H617" t="s">
        <v>1252</v>
      </c>
      <c r="I617" t="s">
        <v>3344</v>
      </c>
      <c r="J617" s="455">
        <v>46139</v>
      </c>
      <c r="R617" s="455">
        <v>46144</v>
      </c>
      <c r="U617" s="455">
        <v>46162</v>
      </c>
    </row>
    <row r="618" spans="1:21">
      <c r="A618" t="s">
        <v>1751</v>
      </c>
      <c r="B618" t="s">
        <v>7130</v>
      </c>
      <c r="C618" t="s">
        <v>1751</v>
      </c>
      <c r="D618">
        <v>20491192</v>
      </c>
      <c r="E618" t="s">
        <v>3142</v>
      </c>
      <c r="F618" t="s">
        <v>3158</v>
      </c>
      <c r="G618" t="s">
        <v>3134</v>
      </c>
      <c r="H618" t="s">
        <v>1252</v>
      </c>
      <c r="I618" t="s">
        <v>3582</v>
      </c>
      <c r="J618" s="455">
        <v>46121</v>
      </c>
      <c r="K618" s="455">
        <v>46122</v>
      </c>
      <c r="L618" s="455">
        <v>46122</v>
      </c>
      <c r="M618" s="455">
        <v>46132</v>
      </c>
      <c r="N618" s="455">
        <v>46132</v>
      </c>
      <c r="O618" s="455">
        <v>46132</v>
      </c>
      <c r="P618" s="455">
        <v>46132</v>
      </c>
      <c r="Q618" s="455">
        <v>46133</v>
      </c>
      <c r="U618" s="455">
        <v>46158</v>
      </c>
    </row>
    <row r="619" spans="1:21">
      <c r="A619" t="s">
        <v>1751</v>
      </c>
      <c r="B619" t="s">
        <v>10715</v>
      </c>
      <c r="C619" t="s">
        <v>1751</v>
      </c>
      <c r="D619">
        <v>20539519</v>
      </c>
      <c r="E619" t="s">
        <v>3128</v>
      </c>
      <c r="F619" t="s">
        <v>1782</v>
      </c>
      <c r="G619" t="s">
        <v>3141</v>
      </c>
      <c r="H619" t="s">
        <v>1252</v>
      </c>
      <c r="J619" s="455">
        <v>46172</v>
      </c>
      <c r="U619" s="455">
        <v>46173</v>
      </c>
    </row>
    <row r="620" spans="1:21">
      <c r="A620" t="s">
        <v>1751</v>
      </c>
      <c r="B620" t="s">
        <v>3838</v>
      </c>
      <c r="C620" t="s">
        <v>1751</v>
      </c>
      <c r="D620">
        <v>20539402</v>
      </c>
      <c r="E620" t="s">
        <v>1897</v>
      </c>
      <c r="F620" t="s">
        <v>1241</v>
      </c>
      <c r="G620" t="s">
        <v>2009</v>
      </c>
      <c r="H620" t="s">
        <v>1247</v>
      </c>
      <c r="I620" t="s">
        <v>3752</v>
      </c>
      <c r="J620" s="455">
        <v>46172</v>
      </c>
      <c r="K620" s="455">
        <v>46172</v>
      </c>
      <c r="U620" s="455">
        <v>46204</v>
      </c>
    </row>
    <row r="621" spans="1:21">
      <c r="A621" t="s">
        <v>1751</v>
      </c>
      <c r="B621" t="s">
        <v>10716</v>
      </c>
      <c r="C621" t="s">
        <v>1751</v>
      </c>
      <c r="D621">
        <v>20532944</v>
      </c>
      <c r="E621" t="s">
        <v>3128</v>
      </c>
      <c r="F621" t="s">
        <v>1782</v>
      </c>
      <c r="G621" t="s">
        <v>3134</v>
      </c>
      <c r="H621" t="s">
        <v>3165</v>
      </c>
      <c r="J621" s="455">
        <v>46163</v>
      </c>
      <c r="U621" s="455">
        <v>46332</v>
      </c>
    </row>
    <row r="622" spans="1:21">
      <c r="A622" t="s">
        <v>1751</v>
      </c>
      <c r="B622" t="s">
        <v>3839</v>
      </c>
      <c r="C622" t="s">
        <v>1751</v>
      </c>
      <c r="D622">
        <v>20528118</v>
      </c>
      <c r="E622" t="s">
        <v>3128</v>
      </c>
      <c r="F622" t="s">
        <v>1242</v>
      </c>
      <c r="G622" t="s">
        <v>3143</v>
      </c>
      <c r="H622" t="s">
        <v>1249</v>
      </c>
      <c r="I622" t="s">
        <v>1952</v>
      </c>
      <c r="J622" s="455">
        <v>46158</v>
      </c>
      <c r="U622" s="455">
        <v>46179</v>
      </c>
    </row>
    <row r="623" spans="1:21">
      <c r="A623" t="s">
        <v>1751</v>
      </c>
      <c r="B623" t="s">
        <v>3839</v>
      </c>
      <c r="C623" t="s">
        <v>1751</v>
      </c>
      <c r="D623">
        <v>20528161</v>
      </c>
      <c r="E623" t="s">
        <v>1897</v>
      </c>
      <c r="F623" t="s">
        <v>1242</v>
      </c>
      <c r="G623" t="s">
        <v>3134</v>
      </c>
      <c r="H623" t="s">
        <v>1249</v>
      </c>
      <c r="I623" t="s">
        <v>3198</v>
      </c>
      <c r="J623" s="455">
        <v>46158</v>
      </c>
      <c r="K623" s="455">
        <v>46158</v>
      </c>
      <c r="U623" s="455">
        <v>46179</v>
      </c>
    </row>
    <row r="624" spans="1:21">
      <c r="A624" t="s">
        <v>1751</v>
      </c>
      <c r="B624" t="s">
        <v>3840</v>
      </c>
      <c r="C624" t="s">
        <v>1751</v>
      </c>
      <c r="D624">
        <v>20528787</v>
      </c>
      <c r="E624" t="s">
        <v>1897</v>
      </c>
      <c r="F624" t="s">
        <v>1782</v>
      </c>
      <c r="G624" t="s">
        <v>3134</v>
      </c>
      <c r="H624" t="s">
        <v>1247</v>
      </c>
      <c r="I624" t="s">
        <v>3198</v>
      </c>
      <c r="J624" s="455">
        <v>46159</v>
      </c>
      <c r="K624" s="455">
        <v>46159</v>
      </c>
      <c r="U624" s="455">
        <v>46179</v>
      </c>
    </row>
    <row r="625" spans="1:21">
      <c r="A625" t="s">
        <v>1751</v>
      </c>
      <c r="B625" t="s">
        <v>6969</v>
      </c>
      <c r="C625" t="s">
        <v>1751</v>
      </c>
      <c r="D625">
        <v>20484370</v>
      </c>
      <c r="E625" t="s">
        <v>3133</v>
      </c>
      <c r="F625" t="s">
        <v>1241</v>
      </c>
      <c r="G625" t="s">
        <v>3143</v>
      </c>
      <c r="H625" t="s">
        <v>1248</v>
      </c>
      <c r="I625" t="s">
        <v>1952</v>
      </c>
      <c r="J625" s="455">
        <v>46112</v>
      </c>
      <c r="K625" s="455">
        <v>46112</v>
      </c>
      <c r="R625" s="455">
        <v>46158</v>
      </c>
      <c r="U625" s="455">
        <v>46127</v>
      </c>
    </row>
    <row r="626" spans="1:21">
      <c r="A626" t="s">
        <v>1751</v>
      </c>
      <c r="B626" t="s">
        <v>3843</v>
      </c>
      <c r="C626" t="s">
        <v>1751</v>
      </c>
      <c r="D626">
        <v>20519055</v>
      </c>
      <c r="E626" t="s">
        <v>1897</v>
      </c>
      <c r="F626" t="s">
        <v>1238</v>
      </c>
      <c r="G626" t="s">
        <v>3134</v>
      </c>
      <c r="H626" t="s">
        <v>1247</v>
      </c>
      <c r="I626" t="s">
        <v>2131</v>
      </c>
      <c r="J626" s="455">
        <v>46149</v>
      </c>
      <c r="K626" s="455">
        <v>46149</v>
      </c>
      <c r="U626" s="455">
        <v>46178</v>
      </c>
    </row>
    <row r="627" spans="1:21">
      <c r="A627" t="s">
        <v>1751</v>
      </c>
      <c r="B627" t="s">
        <v>10717</v>
      </c>
      <c r="C627" t="s">
        <v>1751</v>
      </c>
      <c r="D627">
        <v>20529287</v>
      </c>
      <c r="E627" t="s">
        <v>3128</v>
      </c>
      <c r="F627" t="s">
        <v>1238</v>
      </c>
      <c r="G627" t="s">
        <v>3141</v>
      </c>
      <c r="H627" t="s">
        <v>1252</v>
      </c>
      <c r="J627" s="455">
        <v>46160</v>
      </c>
      <c r="U627" s="455">
        <v>46169</v>
      </c>
    </row>
    <row r="628" spans="1:21">
      <c r="A628" t="s">
        <v>1751</v>
      </c>
      <c r="B628" t="s">
        <v>10718</v>
      </c>
      <c r="C628" t="s">
        <v>1751</v>
      </c>
      <c r="D628">
        <v>20518059</v>
      </c>
      <c r="E628" t="s">
        <v>3128</v>
      </c>
      <c r="F628" t="s">
        <v>1782</v>
      </c>
      <c r="G628" t="s">
        <v>3134</v>
      </c>
      <c r="H628" t="s">
        <v>3165</v>
      </c>
      <c r="J628" s="455">
        <v>46148</v>
      </c>
      <c r="U628" s="455">
        <v>46214</v>
      </c>
    </row>
    <row r="629" spans="1:21">
      <c r="A629" t="s">
        <v>1751</v>
      </c>
      <c r="B629" t="s">
        <v>10719</v>
      </c>
      <c r="C629" t="s">
        <v>1751</v>
      </c>
      <c r="D629">
        <v>20529686</v>
      </c>
      <c r="E629" t="s">
        <v>3128</v>
      </c>
      <c r="F629" t="s">
        <v>1782</v>
      </c>
      <c r="G629" t="s">
        <v>3141</v>
      </c>
      <c r="H629" t="s">
        <v>1252</v>
      </c>
      <c r="J629" s="455">
        <v>46160</v>
      </c>
      <c r="U629" s="455">
        <v>46160</v>
      </c>
    </row>
    <row r="630" spans="1:21">
      <c r="A630" t="s">
        <v>1751</v>
      </c>
      <c r="B630" t="s">
        <v>10720</v>
      </c>
      <c r="C630" t="s">
        <v>1751</v>
      </c>
      <c r="D630">
        <v>20514154</v>
      </c>
      <c r="E630" t="s">
        <v>3190</v>
      </c>
      <c r="F630" t="s">
        <v>1782</v>
      </c>
      <c r="G630" t="s">
        <v>3143</v>
      </c>
      <c r="H630" t="s">
        <v>1252</v>
      </c>
      <c r="I630" t="s">
        <v>3200</v>
      </c>
      <c r="J630" s="455">
        <v>46143</v>
      </c>
      <c r="R630" s="455">
        <v>46144</v>
      </c>
      <c r="U630" s="455">
        <v>46147</v>
      </c>
    </row>
    <row r="631" spans="1:21">
      <c r="A631" t="s">
        <v>1751</v>
      </c>
      <c r="B631" t="s">
        <v>3850</v>
      </c>
      <c r="C631" t="s">
        <v>1751</v>
      </c>
      <c r="D631">
        <v>20515476</v>
      </c>
      <c r="E631" t="s">
        <v>1897</v>
      </c>
      <c r="F631" t="s">
        <v>1241</v>
      </c>
      <c r="G631" t="s">
        <v>3134</v>
      </c>
      <c r="H631" t="s">
        <v>1247</v>
      </c>
      <c r="J631" s="455">
        <v>46144</v>
      </c>
      <c r="K631" s="455">
        <v>46144</v>
      </c>
      <c r="U631" s="455">
        <v>46146</v>
      </c>
    </row>
    <row r="632" spans="1:21">
      <c r="A632" t="s">
        <v>1751</v>
      </c>
      <c r="B632" t="s">
        <v>3850</v>
      </c>
      <c r="C632" t="s">
        <v>1751</v>
      </c>
      <c r="D632">
        <v>20515475</v>
      </c>
      <c r="E632" t="s">
        <v>1897</v>
      </c>
      <c r="F632" t="s">
        <v>1912</v>
      </c>
      <c r="G632" t="s">
        <v>3134</v>
      </c>
      <c r="H632" t="s">
        <v>1247</v>
      </c>
      <c r="I632" t="s">
        <v>3851</v>
      </c>
      <c r="J632" s="455">
        <v>46144</v>
      </c>
      <c r="K632" s="455">
        <v>46144</v>
      </c>
      <c r="U632" s="455">
        <v>46157</v>
      </c>
    </row>
    <row r="633" spans="1:21">
      <c r="A633" t="s">
        <v>1751</v>
      </c>
      <c r="B633" t="s">
        <v>10721</v>
      </c>
      <c r="C633" t="s">
        <v>1751</v>
      </c>
      <c r="D633">
        <v>20534761</v>
      </c>
      <c r="E633" t="s">
        <v>3128</v>
      </c>
      <c r="F633" t="s">
        <v>1782</v>
      </c>
      <c r="G633" t="s">
        <v>3141</v>
      </c>
      <c r="H633" t="s">
        <v>1252</v>
      </c>
      <c r="J633" s="455">
        <v>46166</v>
      </c>
      <c r="U633" s="455">
        <v>46172</v>
      </c>
    </row>
    <row r="634" spans="1:21">
      <c r="A634" t="s">
        <v>1751</v>
      </c>
      <c r="B634" t="s">
        <v>10722</v>
      </c>
      <c r="C634" t="s">
        <v>1751</v>
      </c>
      <c r="D634">
        <v>20518732</v>
      </c>
      <c r="E634" t="s">
        <v>3128</v>
      </c>
      <c r="F634" t="s">
        <v>1782</v>
      </c>
      <c r="G634" t="s">
        <v>3129</v>
      </c>
      <c r="H634" t="s">
        <v>3377</v>
      </c>
      <c r="J634" s="455">
        <v>46148</v>
      </c>
      <c r="U634" s="455">
        <v>46148</v>
      </c>
    </row>
    <row r="635" spans="1:21">
      <c r="A635" t="s">
        <v>1751</v>
      </c>
      <c r="B635" t="s">
        <v>10723</v>
      </c>
      <c r="C635" t="s">
        <v>1751</v>
      </c>
      <c r="D635">
        <v>20524860</v>
      </c>
      <c r="E635" t="s">
        <v>3190</v>
      </c>
      <c r="F635" t="s">
        <v>1238</v>
      </c>
      <c r="G635" t="s">
        <v>3141</v>
      </c>
      <c r="H635" t="s">
        <v>1248</v>
      </c>
      <c r="J635" s="455">
        <v>46155</v>
      </c>
      <c r="R635" s="455">
        <v>46164</v>
      </c>
      <c r="U635" s="455">
        <v>46170</v>
      </c>
    </row>
    <row r="636" spans="1:21">
      <c r="A636" t="s">
        <v>1751</v>
      </c>
      <c r="B636" t="s">
        <v>10724</v>
      </c>
      <c r="C636" t="s">
        <v>1751</v>
      </c>
      <c r="D636">
        <v>20523400</v>
      </c>
      <c r="E636" t="s">
        <v>3190</v>
      </c>
      <c r="F636" t="s">
        <v>1782</v>
      </c>
      <c r="G636" t="s">
        <v>3141</v>
      </c>
      <c r="H636" t="s">
        <v>1248</v>
      </c>
      <c r="J636" s="455">
        <v>46154</v>
      </c>
      <c r="R636" s="455">
        <v>46164</v>
      </c>
      <c r="U636" s="455">
        <v>46154</v>
      </c>
    </row>
    <row r="637" spans="1:21">
      <c r="A637" t="s">
        <v>1751</v>
      </c>
      <c r="B637" t="s">
        <v>10725</v>
      </c>
      <c r="C637" t="s">
        <v>1751</v>
      </c>
      <c r="D637">
        <v>20529066</v>
      </c>
      <c r="E637" t="s">
        <v>3128</v>
      </c>
      <c r="F637" t="s">
        <v>1782</v>
      </c>
      <c r="G637" t="s">
        <v>3137</v>
      </c>
      <c r="H637" t="s">
        <v>1252</v>
      </c>
      <c r="J637" s="455">
        <v>46160</v>
      </c>
      <c r="U637" s="455">
        <v>46219</v>
      </c>
    </row>
    <row r="638" spans="1:21">
      <c r="A638" t="s">
        <v>1751</v>
      </c>
      <c r="B638" t="s">
        <v>10726</v>
      </c>
      <c r="C638" t="s">
        <v>1751</v>
      </c>
      <c r="D638">
        <v>20529187</v>
      </c>
      <c r="E638" t="s">
        <v>3128</v>
      </c>
      <c r="F638" t="s">
        <v>1242</v>
      </c>
      <c r="G638" t="s">
        <v>3137</v>
      </c>
      <c r="H638" t="s">
        <v>1252</v>
      </c>
      <c r="I638" t="s">
        <v>6672</v>
      </c>
      <c r="J638" s="455">
        <v>46160</v>
      </c>
      <c r="U638" s="455">
        <v>46200</v>
      </c>
    </row>
    <row r="639" spans="1:21">
      <c r="A639" t="s">
        <v>1751</v>
      </c>
      <c r="B639" t="s">
        <v>10727</v>
      </c>
      <c r="C639" t="s">
        <v>1751</v>
      </c>
      <c r="D639">
        <v>20532850</v>
      </c>
      <c r="E639" t="s">
        <v>3133</v>
      </c>
      <c r="F639" t="s">
        <v>1241</v>
      </c>
      <c r="G639" t="s">
        <v>3134</v>
      </c>
      <c r="H639" t="s">
        <v>1247</v>
      </c>
      <c r="I639" t="s">
        <v>3451</v>
      </c>
      <c r="J639" s="455">
        <v>46163</v>
      </c>
      <c r="K639" s="455">
        <v>46163</v>
      </c>
      <c r="L639" s="455">
        <v>46163</v>
      </c>
      <c r="S639" s="455">
        <v>46164</v>
      </c>
      <c r="U639" s="455">
        <v>46188</v>
      </c>
    </row>
    <row r="640" spans="1:21">
      <c r="A640" t="s">
        <v>1751</v>
      </c>
      <c r="B640" t="s">
        <v>10728</v>
      </c>
      <c r="C640" t="s">
        <v>1751</v>
      </c>
      <c r="D640">
        <v>20521711</v>
      </c>
      <c r="E640" t="s">
        <v>3128</v>
      </c>
      <c r="F640" t="s">
        <v>1782</v>
      </c>
      <c r="G640" t="s">
        <v>3134</v>
      </c>
      <c r="H640" t="s">
        <v>1252</v>
      </c>
      <c r="J640" s="455">
        <v>46152</v>
      </c>
      <c r="U640" s="455">
        <v>46165</v>
      </c>
    </row>
    <row r="641" spans="1:21">
      <c r="A641" t="s">
        <v>1751</v>
      </c>
      <c r="B641" t="s">
        <v>10729</v>
      </c>
      <c r="C641" t="s">
        <v>1751</v>
      </c>
      <c r="D641">
        <v>20538337</v>
      </c>
      <c r="E641" t="s">
        <v>3128</v>
      </c>
      <c r="F641" t="s">
        <v>1782</v>
      </c>
      <c r="G641" t="s">
        <v>3134</v>
      </c>
      <c r="H641" t="s">
        <v>3165</v>
      </c>
      <c r="J641" s="455">
        <v>46170</v>
      </c>
      <c r="U641" s="455">
        <v>46172</v>
      </c>
    </row>
    <row r="642" spans="1:21">
      <c r="A642" t="s">
        <v>1751</v>
      </c>
      <c r="B642" t="s">
        <v>10730</v>
      </c>
      <c r="C642" t="s">
        <v>1751</v>
      </c>
      <c r="D642">
        <v>20520362</v>
      </c>
      <c r="E642" t="s">
        <v>3128</v>
      </c>
      <c r="F642" t="s">
        <v>1782</v>
      </c>
      <c r="G642" t="s">
        <v>3141</v>
      </c>
      <c r="H642" t="s">
        <v>3165</v>
      </c>
      <c r="J642" s="455">
        <v>46150</v>
      </c>
      <c r="U642" s="455">
        <v>46150</v>
      </c>
    </row>
    <row r="643" spans="1:21">
      <c r="A643" t="s">
        <v>1751</v>
      </c>
      <c r="B643" t="s">
        <v>10731</v>
      </c>
      <c r="C643" t="s">
        <v>1751</v>
      </c>
      <c r="D643">
        <v>20532801</v>
      </c>
      <c r="E643" t="s">
        <v>3128</v>
      </c>
      <c r="F643" t="s">
        <v>1782</v>
      </c>
      <c r="G643" t="s">
        <v>3134</v>
      </c>
      <c r="H643" t="s">
        <v>1252</v>
      </c>
      <c r="J643" s="455">
        <v>46163</v>
      </c>
      <c r="U643" s="455">
        <v>46183</v>
      </c>
    </row>
    <row r="644" spans="1:21">
      <c r="A644" t="s">
        <v>1751</v>
      </c>
      <c r="B644" t="s">
        <v>10731</v>
      </c>
      <c r="C644" t="s">
        <v>1751</v>
      </c>
      <c r="D644">
        <v>20532786</v>
      </c>
      <c r="E644" t="s">
        <v>3128</v>
      </c>
      <c r="F644" t="s">
        <v>1782</v>
      </c>
      <c r="G644" t="s">
        <v>3129</v>
      </c>
      <c r="H644" t="s">
        <v>1251</v>
      </c>
      <c r="I644" t="s">
        <v>1565</v>
      </c>
      <c r="J644" s="455">
        <v>46163</v>
      </c>
      <c r="U644" s="455">
        <v>46163</v>
      </c>
    </row>
    <row r="645" spans="1:21">
      <c r="A645" t="s">
        <v>1751</v>
      </c>
      <c r="B645" t="s">
        <v>10732</v>
      </c>
      <c r="C645" t="s">
        <v>1751</v>
      </c>
      <c r="D645">
        <v>20518556</v>
      </c>
      <c r="E645" t="s">
        <v>3128</v>
      </c>
      <c r="F645" t="s">
        <v>1238</v>
      </c>
      <c r="G645" t="s">
        <v>3141</v>
      </c>
      <c r="H645" t="s">
        <v>1251</v>
      </c>
      <c r="J645" s="455">
        <v>46148</v>
      </c>
      <c r="U645" s="455">
        <v>46154</v>
      </c>
    </row>
    <row r="646" spans="1:21">
      <c r="A646" t="s">
        <v>1751</v>
      </c>
      <c r="B646" t="s">
        <v>10004</v>
      </c>
      <c r="C646" t="s">
        <v>1751</v>
      </c>
      <c r="D646">
        <v>20529793</v>
      </c>
      <c r="E646" t="s">
        <v>3128</v>
      </c>
      <c r="F646" t="s">
        <v>1782</v>
      </c>
      <c r="G646" t="s">
        <v>3141</v>
      </c>
      <c r="H646" t="s">
        <v>1252</v>
      </c>
      <c r="J646" s="455">
        <v>46160</v>
      </c>
      <c r="U646" s="455">
        <v>46160</v>
      </c>
    </row>
    <row r="647" spans="1:21">
      <c r="A647" t="s">
        <v>1751</v>
      </c>
      <c r="B647" t="s">
        <v>3863</v>
      </c>
      <c r="C647" t="s">
        <v>1751</v>
      </c>
      <c r="D647">
        <v>20527019</v>
      </c>
      <c r="E647" t="s">
        <v>3133</v>
      </c>
      <c r="F647" t="s">
        <v>1241</v>
      </c>
      <c r="G647" t="s">
        <v>3134</v>
      </c>
      <c r="H647" t="s">
        <v>1247</v>
      </c>
      <c r="J647" s="455">
        <v>46157</v>
      </c>
      <c r="K647" s="455">
        <v>46157</v>
      </c>
      <c r="R647" s="455">
        <v>46164</v>
      </c>
      <c r="U647" s="455">
        <v>46204</v>
      </c>
    </row>
    <row r="648" spans="1:21">
      <c r="A648" t="s">
        <v>1751</v>
      </c>
      <c r="B648" t="s">
        <v>3863</v>
      </c>
      <c r="C648" t="s">
        <v>1751</v>
      </c>
      <c r="D648">
        <v>20522043</v>
      </c>
      <c r="E648" t="s">
        <v>1897</v>
      </c>
      <c r="F648" t="s">
        <v>1912</v>
      </c>
      <c r="G648" t="s">
        <v>3134</v>
      </c>
      <c r="H648" t="s">
        <v>1247</v>
      </c>
      <c r="I648" t="s">
        <v>3055</v>
      </c>
      <c r="J648" s="455">
        <v>46153</v>
      </c>
      <c r="K648" s="455">
        <v>46153</v>
      </c>
      <c r="U648" s="455">
        <v>46153</v>
      </c>
    </row>
    <row r="649" spans="1:21">
      <c r="A649" t="s">
        <v>1751</v>
      </c>
      <c r="B649" t="s">
        <v>3865</v>
      </c>
      <c r="C649" t="s">
        <v>1751</v>
      </c>
      <c r="D649">
        <v>20531120</v>
      </c>
      <c r="E649" t="s">
        <v>1897</v>
      </c>
      <c r="F649" t="s">
        <v>1782</v>
      </c>
      <c r="G649" t="s">
        <v>3141</v>
      </c>
      <c r="H649" t="s">
        <v>1252</v>
      </c>
      <c r="I649" t="s">
        <v>2482</v>
      </c>
      <c r="J649" s="455">
        <v>46161</v>
      </c>
      <c r="K649" s="455">
        <v>46163</v>
      </c>
      <c r="U649" s="455">
        <v>46248</v>
      </c>
    </row>
    <row r="650" spans="1:21">
      <c r="A650" t="s">
        <v>1751</v>
      </c>
      <c r="B650" t="s">
        <v>10733</v>
      </c>
      <c r="C650" t="s">
        <v>1751</v>
      </c>
      <c r="D650">
        <v>20536026</v>
      </c>
      <c r="E650" t="s">
        <v>3128</v>
      </c>
      <c r="F650" t="s">
        <v>1782</v>
      </c>
      <c r="G650" t="s">
        <v>3129</v>
      </c>
      <c r="H650" t="s">
        <v>1252</v>
      </c>
      <c r="J650" s="455">
        <v>46168</v>
      </c>
      <c r="U650" s="455">
        <v>46168</v>
      </c>
    </row>
    <row r="651" spans="1:21">
      <c r="A651" t="s">
        <v>1751</v>
      </c>
      <c r="B651" t="s">
        <v>10734</v>
      </c>
      <c r="C651" t="s">
        <v>1751</v>
      </c>
      <c r="D651">
        <v>20525225</v>
      </c>
      <c r="E651" t="s">
        <v>3190</v>
      </c>
      <c r="F651" t="s">
        <v>1782</v>
      </c>
      <c r="G651" t="s">
        <v>3134</v>
      </c>
      <c r="H651" t="s">
        <v>3165</v>
      </c>
      <c r="J651" s="455">
        <v>46156</v>
      </c>
      <c r="R651" s="455">
        <v>46164</v>
      </c>
      <c r="U651" s="455">
        <v>46174</v>
      </c>
    </row>
    <row r="652" spans="1:21">
      <c r="A652" t="s">
        <v>1751</v>
      </c>
      <c r="B652" t="s">
        <v>10735</v>
      </c>
      <c r="C652" t="s">
        <v>1751</v>
      </c>
      <c r="D652">
        <v>20537576</v>
      </c>
      <c r="E652" t="s">
        <v>3128</v>
      </c>
      <c r="F652" t="s">
        <v>1243</v>
      </c>
      <c r="G652" t="s">
        <v>2009</v>
      </c>
      <c r="H652" t="s">
        <v>1247</v>
      </c>
      <c r="I652" t="s">
        <v>3168</v>
      </c>
      <c r="J652" s="455">
        <v>46170</v>
      </c>
      <c r="U652" s="455">
        <v>46170</v>
      </c>
    </row>
    <row r="653" spans="1:21">
      <c r="A653" t="s">
        <v>1751</v>
      </c>
      <c r="B653" t="s">
        <v>3871</v>
      </c>
      <c r="C653" t="s">
        <v>1751</v>
      </c>
      <c r="D653">
        <v>20492324</v>
      </c>
      <c r="E653" t="s">
        <v>3142</v>
      </c>
      <c r="F653" t="s">
        <v>1242</v>
      </c>
      <c r="G653" t="s">
        <v>3143</v>
      </c>
      <c r="H653" t="s">
        <v>1248</v>
      </c>
      <c r="I653" t="s">
        <v>3872</v>
      </c>
      <c r="J653" s="455">
        <v>46123</v>
      </c>
      <c r="K653" s="455">
        <v>46129</v>
      </c>
      <c r="L653" s="455">
        <v>46143</v>
      </c>
      <c r="M653" s="455">
        <v>46149</v>
      </c>
      <c r="N653" s="455">
        <v>46149</v>
      </c>
      <c r="P653" s="455">
        <v>46149</v>
      </c>
      <c r="Q653" s="455">
        <v>46149</v>
      </c>
      <c r="U653" s="455">
        <v>46174</v>
      </c>
    </row>
    <row r="654" spans="1:21">
      <c r="A654" t="s">
        <v>1751</v>
      </c>
      <c r="B654" t="s">
        <v>3871</v>
      </c>
      <c r="C654" t="s">
        <v>1751</v>
      </c>
      <c r="D654">
        <v>20499705</v>
      </c>
      <c r="E654" t="s">
        <v>3133</v>
      </c>
      <c r="F654" t="s">
        <v>1782</v>
      </c>
      <c r="G654" t="s">
        <v>3134</v>
      </c>
      <c r="H654" t="s">
        <v>1247</v>
      </c>
      <c r="J654" s="455">
        <v>46129</v>
      </c>
      <c r="K654" s="455">
        <v>46129</v>
      </c>
      <c r="R654" s="455">
        <v>46151</v>
      </c>
      <c r="U654" s="455">
        <v>46143</v>
      </c>
    </row>
    <row r="655" spans="1:21">
      <c r="A655" t="s">
        <v>1751</v>
      </c>
      <c r="B655" t="s">
        <v>10736</v>
      </c>
      <c r="C655" t="s">
        <v>1751</v>
      </c>
      <c r="D655">
        <v>20538803</v>
      </c>
      <c r="E655" t="s">
        <v>3128</v>
      </c>
      <c r="F655" t="s">
        <v>1782</v>
      </c>
      <c r="G655" t="s">
        <v>3134</v>
      </c>
      <c r="H655" t="s">
        <v>3165</v>
      </c>
      <c r="J655" s="455">
        <v>46171</v>
      </c>
      <c r="U655" s="455">
        <v>46179</v>
      </c>
    </row>
    <row r="656" spans="1:21">
      <c r="A656" t="s">
        <v>1751</v>
      </c>
      <c r="B656" t="s">
        <v>10737</v>
      </c>
      <c r="C656" t="s">
        <v>1751</v>
      </c>
      <c r="D656">
        <v>20520646</v>
      </c>
      <c r="E656" t="s">
        <v>3128</v>
      </c>
      <c r="F656" t="s">
        <v>1782</v>
      </c>
      <c r="G656" t="s">
        <v>3141</v>
      </c>
      <c r="H656" t="s">
        <v>1252</v>
      </c>
      <c r="J656" s="455">
        <v>46150</v>
      </c>
      <c r="U656" s="455">
        <v>46193</v>
      </c>
    </row>
    <row r="657" spans="1:21">
      <c r="A657" t="s">
        <v>1751</v>
      </c>
      <c r="B657" t="s">
        <v>10738</v>
      </c>
      <c r="C657" t="s">
        <v>1751</v>
      </c>
      <c r="D657">
        <v>20534772</v>
      </c>
      <c r="E657" t="s">
        <v>3128</v>
      </c>
      <c r="F657" t="s">
        <v>1782</v>
      </c>
      <c r="G657" t="s">
        <v>3134</v>
      </c>
      <c r="H657" t="s">
        <v>1252</v>
      </c>
      <c r="J657" s="455">
        <v>46166</v>
      </c>
      <c r="U657" s="455">
        <v>46172</v>
      </c>
    </row>
    <row r="658" spans="1:21">
      <c r="A658" t="s">
        <v>1751</v>
      </c>
      <c r="B658" t="s">
        <v>10739</v>
      </c>
      <c r="C658" t="s">
        <v>1751</v>
      </c>
      <c r="D658">
        <v>20539935</v>
      </c>
      <c r="E658" t="s">
        <v>3128</v>
      </c>
      <c r="F658" t="s">
        <v>1782</v>
      </c>
      <c r="G658" t="s">
        <v>3141</v>
      </c>
      <c r="H658" t="s">
        <v>1252</v>
      </c>
      <c r="J658" s="455">
        <v>46173</v>
      </c>
      <c r="U658" s="455">
        <v>46213</v>
      </c>
    </row>
    <row r="659" spans="1:21">
      <c r="A659" t="s">
        <v>1751</v>
      </c>
      <c r="B659" t="s">
        <v>3878</v>
      </c>
      <c r="C659" t="s">
        <v>1751</v>
      </c>
      <c r="D659">
        <v>20501792</v>
      </c>
      <c r="E659" t="s">
        <v>3142</v>
      </c>
      <c r="F659" t="s">
        <v>1238</v>
      </c>
      <c r="G659" t="s">
        <v>3134</v>
      </c>
      <c r="H659" t="s">
        <v>3165</v>
      </c>
      <c r="I659" t="s">
        <v>3042</v>
      </c>
      <c r="J659" s="455">
        <v>46131</v>
      </c>
      <c r="K659" s="455">
        <v>46135</v>
      </c>
      <c r="L659" s="455">
        <v>46141</v>
      </c>
      <c r="M659" s="455">
        <v>46150</v>
      </c>
      <c r="N659" s="455">
        <v>46150</v>
      </c>
      <c r="P659" s="455">
        <v>46150</v>
      </c>
      <c r="Q659" s="455">
        <v>46150</v>
      </c>
      <c r="U659" s="455">
        <v>46191</v>
      </c>
    </row>
    <row r="660" spans="1:21">
      <c r="A660" t="s">
        <v>1751</v>
      </c>
      <c r="B660" t="s">
        <v>3879</v>
      </c>
      <c r="C660" t="s">
        <v>1751</v>
      </c>
      <c r="D660">
        <v>20524032</v>
      </c>
      <c r="E660" t="s">
        <v>1897</v>
      </c>
      <c r="F660" t="s">
        <v>1782</v>
      </c>
      <c r="G660" t="s">
        <v>3134</v>
      </c>
      <c r="H660" t="s">
        <v>1247</v>
      </c>
      <c r="J660" s="455">
        <v>46155</v>
      </c>
      <c r="K660" s="455">
        <v>46155</v>
      </c>
      <c r="U660" s="455">
        <v>46186</v>
      </c>
    </row>
    <row r="661" spans="1:21">
      <c r="A661" t="s">
        <v>1751</v>
      </c>
      <c r="B661" t="s">
        <v>3879</v>
      </c>
      <c r="C661" t="s">
        <v>1751</v>
      </c>
      <c r="D661">
        <v>20524031</v>
      </c>
      <c r="E661" t="s">
        <v>1897</v>
      </c>
      <c r="F661" t="s">
        <v>1241</v>
      </c>
      <c r="G661" t="s">
        <v>3134</v>
      </c>
      <c r="H661" t="s">
        <v>1247</v>
      </c>
      <c r="J661" s="455">
        <v>46155</v>
      </c>
      <c r="K661" s="455">
        <v>46155</v>
      </c>
      <c r="U661" s="455">
        <v>46155</v>
      </c>
    </row>
    <row r="662" spans="1:21">
      <c r="A662" t="s">
        <v>1751</v>
      </c>
      <c r="B662" t="s">
        <v>3880</v>
      </c>
      <c r="C662" t="s">
        <v>1751</v>
      </c>
      <c r="D662">
        <v>20523925</v>
      </c>
      <c r="E662" t="s">
        <v>1897</v>
      </c>
      <c r="F662" t="s">
        <v>1241</v>
      </c>
      <c r="G662" t="s">
        <v>3134</v>
      </c>
      <c r="H662" t="s">
        <v>1247</v>
      </c>
      <c r="J662" s="455">
        <v>46155</v>
      </c>
      <c r="K662" s="455">
        <v>46155</v>
      </c>
      <c r="U662" s="455">
        <v>46155</v>
      </c>
    </row>
    <row r="663" spans="1:21">
      <c r="A663" t="s">
        <v>1751</v>
      </c>
      <c r="B663" t="s">
        <v>3880</v>
      </c>
      <c r="C663" t="s">
        <v>1751</v>
      </c>
      <c r="D663">
        <v>20521787</v>
      </c>
      <c r="E663" t="s">
        <v>3128</v>
      </c>
      <c r="F663" t="s">
        <v>1782</v>
      </c>
      <c r="G663" t="s">
        <v>3129</v>
      </c>
      <c r="H663" t="s">
        <v>1253</v>
      </c>
      <c r="J663" s="455">
        <v>46153</v>
      </c>
      <c r="U663" s="455">
        <v>46153</v>
      </c>
    </row>
    <row r="664" spans="1:21">
      <c r="A664" t="s">
        <v>1751</v>
      </c>
      <c r="B664" t="s">
        <v>10740</v>
      </c>
      <c r="C664" t="s">
        <v>1751</v>
      </c>
      <c r="D664">
        <v>20514607</v>
      </c>
      <c r="E664" t="s">
        <v>3133</v>
      </c>
      <c r="F664" t="s">
        <v>1238</v>
      </c>
      <c r="G664" t="s">
        <v>3134</v>
      </c>
      <c r="H664" t="s">
        <v>1252</v>
      </c>
      <c r="I664" t="s">
        <v>1524</v>
      </c>
      <c r="J664" s="455">
        <v>46143</v>
      </c>
      <c r="K664" s="455">
        <v>46144</v>
      </c>
      <c r="L664" s="455">
        <v>46144</v>
      </c>
      <c r="R664" s="455">
        <v>46151</v>
      </c>
      <c r="U664" s="455">
        <v>46165</v>
      </c>
    </row>
    <row r="665" spans="1:21">
      <c r="A665" t="s">
        <v>1751</v>
      </c>
      <c r="B665" t="s">
        <v>10740</v>
      </c>
      <c r="C665" t="s">
        <v>1751</v>
      </c>
      <c r="D665">
        <v>20515541</v>
      </c>
      <c r="E665" t="s">
        <v>3133</v>
      </c>
      <c r="F665" t="s">
        <v>1782</v>
      </c>
      <c r="G665" t="s">
        <v>3134</v>
      </c>
      <c r="H665" t="s">
        <v>1247</v>
      </c>
      <c r="I665" t="s">
        <v>1574</v>
      </c>
      <c r="J665" s="455">
        <v>46144</v>
      </c>
      <c r="K665" s="455">
        <v>46144</v>
      </c>
      <c r="R665" s="455">
        <v>46157</v>
      </c>
      <c r="U665" s="455">
        <v>46165</v>
      </c>
    </row>
    <row r="666" spans="1:21">
      <c r="A666" t="s">
        <v>1751</v>
      </c>
      <c r="B666" t="s">
        <v>10740</v>
      </c>
      <c r="C666" t="s">
        <v>1751</v>
      </c>
      <c r="D666">
        <v>20521920</v>
      </c>
      <c r="E666" t="s">
        <v>3133</v>
      </c>
      <c r="F666" t="s">
        <v>1782</v>
      </c>
      <c r="G666" t="s">
        <v>3141</v>
      </c>
      <c r="H666" t="s">
        <v>1252</v>
      </c>
      <c r="J666" s="455">
        <v>46153</v>
      </c>
      <c r="K666" s="455">
        <v>46156</v>
      </c>
      <c r="R666" s="455">
        <v>46157</v>
      </c>
      <c r="U666" s="455">
        <v>46153</v>
      </c>
    </row>
    <row r="667" spans="1:21">
      <c r="A667" t="s">
        <v>1751</v>
      </c>
      <c r="B667" t="s">
        <v>10741</v>
      </c>
      <c r="C667" t="s">
        <v>1751</v>
      </c>
      <c r="D667">
        <v>20514582</v>
      </c>
      <c r="E667" t="s">
        <v>3128</v>
      </c>
      <c r="F667" t="s">
        <v>1782</v>
      </c>
      <c r="G667" t="s">
        <v>3129</v>
      </c>
      <c r="H667" t="s">
        <v>1252</v>
      </c>
      <c r="J667" s="455">
        <v>46143</v>
      </c>
      <c r="U667" s="455">
        <v>46143</v>
      </c>
    </row>
    <row r="668" spans="1:21">
      <c r="A668" t="s">
        <v>1751</v>
      </c>
      <c r="B668" t="s">
        <v>10742</v>
      </c>
      <c r="C668" t="s">
        <v>1751</v>
      </c>
      <c r="D668">
        <v>20519488</v>
      </c>
      <c r="E668" t="s">
        <v>3190</v>
      </c>
      <c r="F668" t="s">
        <v>1238</v>
      </c>
      <c r="G668" t="s">
        <v>3129</v>
      </c>
      <c r="H668" t="s">
        <v>1253</v>
      </c>
      <c r="I668" t="s">
        <v>1559</v>
      </c>
      <c r="J668" s="455">
        <v>46149</v>
      </c>
      <c r="R668" s="455">
        <v>46158</v>
      </c>
      <c r="U668" s="455">
        <v>46149</v>
      </c>
    </row>
    <row r="669" spans="1:21">
      <c r="A669" t="s">
        <v>1751</v>
      </c>
      <c r="B669" t="s">
        <v>3881</v>
      </c>
      <c r="C669" t="s">
        <v>1751</v>
      </c>
      <c r="D669">
        <v>20524036</v>
      </c>
      <c r="E669" t="s">
        <v>3142</v>
      </c>
      <c r="F669" t="s">
        <v>1241</v>
      </c>
      <c r="G669" t="s">
        <v>3134</v>
      </c>
      <c r="H669" t="s">
        <v>1249</v>
      </c>
      <c r="I669" t="s">
        <v>1574</v>
      </c>
      <c r="J669" s="455">
        <v>46155</v>
      </c>
      <c r="K669" s="455">
        <v>46155</v>
      </c>
      <c r="L669" s="455">
        <v>46155</v>
      </c>
      <c r="M669" s="455">
        <v>46157</v>
      </c>
      <c r="N669" s="455">
        <v>46157</v>
      </c>
      <c r="O669" s="455">
        <v>46157</v>
      </c>
      <c r="P669" s="455">
        <v>46157</v>
      </c>
      <c r="Q669" s="455">
        <v>46157</v>
      </c>
      <c r="U669" s="455">
        <v>46202</v>
      </c>
    </row>
    <row r="670" spans="1:21">
      <c r="A670" t="s">
        <v>1751</v>
      </c>
      <c r="B670" t="s">
        <v>10743</v>
      </c>
      <c r="C670" t="s">
        <v>1751</v>
      </c>
      <c r="D670">
        <v>20514987</v>
      </c>
      <c r="E670" t="s">
        <v>3128</v>
      </c>
      <c r="F670" t="s">
        <v>1782</v>
      </c>
      <c r="G670" t="s">
        <v>3141</v>
      </c>
      <c r="H670" t="s">
        <v>1252</v>
      </c>
      <c r="J670" s="455">
        <v>46143</v>
      </c>
      <c r="U670" s="455">
        <v>46158</v>
      </c>
    </row>
    <row r="671" spans="1:21">
      <c r="A671" t="s">
        <v>1751</v>
      </c>
      <c r="B671" t="s">
        <v>3063</v>
      </c>
      <c r="C671" t="s">
        <v>1751</v>
      </c>
      <c r="D671">
        <v>20523433</v>
      </c>
      <c r="E671" t="s">
        <v>3133</v>
      </c>
      <c r="F671" t="s">
        <v>1239</v>
      </c>
      <c r="G671" t="s">
        <v>3134</v>
      </c>
      <c r="H671" t="s">
        <v>1249</v>
      </c>
      <c r="I671" t="s">
        <v>2543</v>
      </c>
      <c r="J671" s="455">
        <v>46154</v>
      </c>
      <c r="K671" s="455">
        <v>46154</v>
      </c>
      <c r="L671" s="455">
        <v>46154</v>
      </c>
      <c r="S671" s="455">
        <v>46163</v>
      </c>
      <c r="U671" s="455">
        <v>46172</v>
      </c>
    </row>
    <row r="672" spans="1:21">
      <c r="A672" t="s">
        <v>1751</v>
      </c>
      <c r="B672" t="s">
        <v>10744</v>
      </c>
      <c r="C672" t="s">
        <v>1751</v>
      </c>
      <c r="D672">
        <v>20523658</v>
      </c>
      <c r="E672" t="s">
        <v>3133</v>
      </c>
      <c r="F672" t="s">
        <v>1241</v>
      </c>
      <c r="G672" t="s">
        <v>3134</v>
      </c>
      <c r="H672" t="s">
        <v>1247</v>
      </c>
      <c r="I672" t="s">
        <v>1808</v>
      </c>
      <c r="J672" s="455">
        <v>46154</v>
      </c>
      <c r="K672" s="455">
        <v>46154</v>
      </c>
      <c r="L672" s="455">
        <v>46155</v>
      </c>
      <c r="R672" s="455">
        <v>46157</v>
      </c>
      <c r="U672" s="455">
        <v>46170</v>
      </c>
    </row>
    <row r="673" spans="1:21">
      <c r="A673" t="s">
        <v>1751</v>
      </c>
      <c r="B673" t="s">
        <v>4748</v>
      </c>
      <c r="C673" t="s">
        <v>1751</v>
      </c>
      <c r="D673">
        <v>20523371</v>
      </c>
      <c r="E673" t="s">
        <v>3190</v>
      </c>
      <c r="F673" t="s">
        <v>1782</v>
      </c>
      <c r="G673" t="s">
        <v>3143</v>
      </c>
      <c r="H673" t="s">
        <v>1249</v>
      </c>
      <c r="J673" s="455">
        <v>46154</v>
      </c>
      <c r="R673" s="455">
        <v>46164</v>
      </c>
      <c r="U673" s="455">
        <v>46154</v>
      </c>
    </row>
    <row r="674" spans="1:21">
      <c r="A674" t="s">
        <v>1751</v>
      </c>
      <c r="B674" t="s">
        <v>10745</v>
      </c>
      <c r="C674" t="s">
        <v>1751</v>
      </c>
      <c r="D674">
        <v>20523662</v>
      </c>
      <c r="E674" t="s">
        <v>3133</v>
      </c>
      <c r="F674" t="s">
        <v>1241</v>
      </c>
      <c r="G674" t="s">
        <v>3134</v>
      </c>
      <c r="H674" t="s">
        <v>1247</v>
      </c>
      <c r="J674" s="455">
        <v>46154</v>
      </c>
      <c r="K674" s="455">
        <v>46154</v>
      </c>
      <c r="R674" s="455">
        <v>46164</v>
      </c>
      <c r="U674" s="455">
        <v>46154</v>
      </c>
    </row>
    <row r="675" spans="1:21">
      <c r="A675" t="s">
        <v>1751</v>
      </c>
      <c r="B675" t="s">
        <v>10746</v>
      </c>
      <c r="C675" t="s">
        <v>1751</v>
      </c>
      <c r="D675">
        <v>20533852</v>
      </c>
      <c r="E675" t="s">
        <v>3128</v>
      </c>
      <c r="F675" t="s">
        <v>1782</v>
      </c>
      <c r="G675" t="s">
        <v>3137</v>
      </c>
      <c r="H675" t="s">
        <v>1252</v>
      </c>
      <c r="J675" s="455">
        <v>46164</v>
      </c>
      <c r="U675" s="455">
        <v>46213</v>
      </c>
    </row>
    <row r="676" spans="1:21">
      <c r="A676" t="s">
        <v>1751</v>
      </c>
      <c r="B676" t="s">
        <v>10747</v>
      </c>
      <c r="C676" t="s">
        <v>1751</v>
      </c>
      <c r="D676">
        <v>20540170</v>
      </c>
      <c r="E676" t="s">
        <v>3128</v>
      </c>
      <c r="F676" t="s">
        <v>1241</v>
      </c>
      <c r="G676" t="s">
        <v>3137</v>
      </c>
      <c r="H676" t="s">
        <v>1252</v>
      </c>
      <c r="J676" s="455">
        <v>46173</v>
      </c>
      <c r="U676" s="455">
        <v>46205</v>
      </c>
    </row>
    <row r="677" spans="1:21">
      <c r="A677" t="s">
        <v>1751</v>
      </c>
      <c r="B677" t="s">
        <v>10014</v>
      </c>
      <c r="C677" t="s">
        <v>1751</v>
      </c>
      <c r="D677">
        <v>20513947</v>
      </c>
      <c r="E677" t="s">
        <v>3133</v>
      </c>
      <c r="F677" t="s">
        <v>1241</v>
      </c>
      <c r="G677" t="s">
        <v>2009</v>
      </c>
      <c r="H677" t="s">
        <v>1251</v>
      </c>
      <c r="I677" t="s">
        <v>3529</v>
      </c>
      <c r="J677" s="455">
        <v>46142</v>
      </c>
      <c r="K677" s="455">
        <v>46142</v>
      </c>
      <c r="R677" s="455">
        <v>46164</v>
      </c>
      <c r="U677" s="455">
        <v>46146</v>
      </c>
    </row>
    <row r="678" spans="1:21">
      <c r="A678" t="s">
        <v>1751</v>
      </c>
      <c r="B678" t="s">
        <v>10748</v>
      </c>
      <c r="C678" t="s">
        <v>1751</v>
      </c>
      <c r="D678">
        <v>20523520</v>
      </c>
      <c r="E678" t="s">
        <v>3128</v>
      </c>
      <c r="F678" t="s">
        <v>1239</v>
      </c>
      <c r="G678" t="s">
        <v>3137</v>
      </c>
      <c r="H678" t="s">
        <v>1252</v>
      </c>
      <c r="I678" t="s">
        <v>1952</v>
      </c>
      <c r="J678" s="455">
        <v>46154</v>
      </c>
      <c r="U678" s="455">
        <v>46172</v>
      </c>
    </row>
    <row r="679" spans="1:21">
      <c r="A679" t="s">
        <v>1751</v>
      </c>
      <c r="B679" t="s">
        <v>10749</v>
      </c>
      <c r="C679" t="s">
        <v>1751</v>
      </c>
      <c r="D679">
        <v>20523325</v>
      </c>
      <c r="E679" t="s">
        <v>3190</v>
      </c>
      <c r="F679" t="s">
        <v>1782</v>
      </c>
      <c r="G679" t="s">
        <v>3141</v>
      </c>
      <c r="H679" t="s">
        <v>1252</v>
      </c>
      <c r="J679" s="455">
        <v>46154</v>
      </c>
      <c r="R679" s="455">
        <v>46164</v>
      </c>
      <c r="U679" s="455">
        <v>46265</v>
      </c>
    </row>
    <row r="680" spans="1:21">
      <c r="A680" t="s">
        <v>1751</v>
      </c>
      <c r="B680" t="s">
        <v>3884</v>
      </c>
      <c r="C680" t="s">
        <v>1751</v>
      </c>
      <c r="D680">
        <v>20533926</v>
      </c>
      <c r="E680" t="s">
        <v>1897</v>
      </c>
      <c r="F680" t="s">
        <v>1241</v>
      </c>
      <c r="G680" t="s">
        <v>3134</v>
      </c>
      <c r="H680" t="s">
        <v>1248</v>
      </c>
      <c r="J680" s="455">
        <v>46164</v>
      </c>
      <c r="K680" s="455">
        <v>46164</v>
      </c>
      <c r="U680" s="455">
        <v>46185</v>
      </c>
    </row>
    <row r="681" spans="1:21">
      <c r="A681" t="s">
        <v>1751</v>
      </c>
      <c r="B681" t="s">
        <v>10750</v>
      </c>
      <c r="C681" t="s">
        <v>1751</v>
      </c>
      <c r="D681">
        <v>20532582</v>
      </c>
      <c r="E681" t="s">
        <v>3190</v>
      </c>
      <c r="F681" t="s">
        <v>1782</v>
      </c>
      <c r="G681" t="s">
        <v>3129</v>
      </c>
      <c r="H681" t="s">
        <v>3131</v>
      </c>
      <c r="J681" s="455">
        <v>46163</v>
      </c>
      <c r="R681" s="455">
        <v>46164</v>
      </c>
      <c r="U681" s="455">
        <v>46163</v>
      </c>
    </row>
    <row r="682" spans="1:21">
      <c r="A682" t="s">
        <v>1751</v>
      </c>
      <c r="B682" t="s">
        <v>3886</v>
      </c>
      <c r="C682" t="s">
        <v>1751</v>
      </c>
      <c r="D682">
        <v>20534956</v>
      </c>
      <c r="E682" t="s">
        <v>1897</v>
      </c>
      <c r="F682" t="s">
        <v>1241</v>
      </c>
      <c r="G682" t="s">
        <v>3134</v>
      </c>
      <c r="H682" t="s">
        <v>1252</v>
      </c>
      <c r="I682" t="s">
        <v>2449</v>
      </c>
      <c r="J682" s="455">
        <v>46166</v>
      </c>
      <c r="K682" s="455">
        <v>46166</v>
      </c>
      <c r="U682" s="455">
        <v>46234</v>
      </c>
    </row>
    <row r="683" spans="1:21">
      <c r="A683" t="s">
        <v>1751</v>
      </c>
      <c r="B683" t="s">
        <v>3886</v>
      </c>
      <c r="C683" t="s">
        <v>1751</v>
      </c>
      <c r="D683">
        <v>20534267</v>
      </c>
      <c r="E683" t="s">
        <v>3128</v>
      </c>
      <c r="F683" t="s">
        <v>1241</v>
      </c>
      <c r="G683" t="s">
        <v>2009</v>
      </c>
      <c r="H683" t="s">
        <v>1252</v>
      </c>
      <c r="J683" s="455">
        <v>46165</v>
      </c>
      <c r="U683" s="455">
        <v>46165</v>
      </c>
    </row>
    <row r="684" spans="1:21">
      <c r="A684" t="s">
        <v>1751</v>
      </c>
      <c r="B684" t="s">
        <v>3887</v>
      </c>
      <c r="C684" t="s">
        <v>1751</v>
      </c>
      <c r="D684">
        <v>20537626</v>
      </c>
      <c r="E684" t="s">
        <v>1907</v>
      </c>
      <c r="F684" t="s">
        <v>1782</v>
      </c>
      <c r="G684" t="s">
        <v>3134</v>
      </c>
      <c r="H684" t="s">
        <v>1247</v>
      </c>
      <c r="I684" t="s">
        <v>3055</v>
      </c>
      <c r="J684" s="455">
        <v>46170</v>
      </c>
      <c r="K684" s="455">
        <v>46170</v>
      </c>
      <c r="L684" s="455">
        <v>46170</v>
      </c>
      <c r="U684" s="455">
        <v>46188</v>
      </c>
    </row>
    <row r="685" spans="1:21">
      <c r="A685" t="s">
        <v>1751</v>
      </c>
      <c r="B685" t="s">
        <v>10751</v>
      </c>
      <c r="C685" t="s">
        <v>1751</v>
      </c>
      <c r="D685">
        <v>20515650</v>
      </c>
      <c r="E685" t="s">
        <v>3128</v>
      </c>
      <c r="F685" t="s">
        <v>1782</v>
      </c>
      <c r="G685" t="s">
        <v>3134</v>
      </c>
      <c r="H685" t="s">
        <v>1252</v>
      </c>
      <c r="J685" s="455">
        <v>46144</v>
      </c>
      <c r="U685" s="455">
        <v>46177</v>
      </c>
    </row>
    <row r="686" spans="1:21">
      <c r="A686" t="s">
        <v>1751</v>
      </c>
      <c r="B686" t="s">
        <v>7066</v>
      </c>
      <c r="C686" t="s">
        <v>1751</v>
      </c>
      <c r="D686">
        <v>20465644</v>
      </c>
      <c r="E686" t="s">
        <v>3142</v>
      </c>
      <c r="F686" t="s">
        <v>1238</v>
      </c>
      <c r="G686" t="s">
        <v>3129</v>
      </c>
      <c r="H686" t="s">
        <v>3131</v>
      </c>
      <c r="I686" t="s">
        <v>7065</v>
      </c>
      <c r="J686" s="455">
        <v>46090</v>
      </c>
      <c r="K686" s="455">
        <v>46108</v>
      </c>
      <c r="L686" s="455">
        <v>46113</v>
      </c>
      <c r="M686" s="455">
        <v>46133</v>
      </c>
      <c r="N686" s="455">
        <v>46142</v>
      </c>
      <c r="P686" s="455">
        <v>46144</v>
      </c>
      <c r="Q686" s="455">
        <v>46146</v>
      </c>
      <c r="U686" s="455">
        <v>46149</v>
      </c>
    </row>
    <row r="687" spans="1:21">
      <c r="A687" t="s">
        <v>1751</v>
      </c>
      <c r="B687" t="s">
        <v>10752</v>
      </c>
      <c r="C687" t="s">
        <v>1751</v>
      </c>
      <c r="D687">
        <v>20520967</v>
      </c>
      <c r="E687" t="s">
        <v>3128</v>
      </c>
      <c r="F687" t="s">
        <v>1238</v>
      </c>
      <c r="G687" t="s">
        <v>3141</v>
      </c>
      <c r="H687" t="s">
        <v>3165</v>
      </c>
      <c r="J687" s="455">
        <v>46151</v>
      </c>
      <c r="U687" s="455">
        <v>46163</v>
      </c>
    </row>
    <row r="688" spans="1:21">
      <c r="A688" t="s">
        <v>1751</v>
      </c>
      <c r="B688" t="s">
        <v>2714</v>
      </c>
      <c r="C688" t="s">
        <v>1751</v>
      </c>
      <c r="D688">
        <v>20479450</v>
      </c>
      <c r="E688" t="s">
        <v>3142</v>
      </c>
      <c r="F688" t="s">
        <v>1243</v>
      </c>
      <c r="G688" t="s">
        <v>3134</v>
      </c>
      <c r="H688" t="s">
        <v>1247</v>
      </c>
      <c r="I688" t="s">
        <v>2713</v>
      </c>
      <c r="J688" s="455">
        <v>46105</v>
      </c>
      <c r="K688" s="455">
        <v>46105</v>
      </c>
      <c r="L688" s="455">
        <v>46105</v>
      </c>
      <c r="M688" s="455">
        <v>46120</v>
      </c>
      <c r="N688" s="455">
        <v>46120</v>
      </c>
      <c r="P688" s="455">
        <v>46157</v>
      </c>
      <c r="Q688" s="455">
        <v>46157</v>
      </c>
      <c r="T688" s="455">
        <v>46156</v>
      </c>
      <c r="U688" s="455">
        <v>46172</v>
      </c>
    </row>
    <row r="689" spans="1:21">
      <c r="A689" t="s">
        <v>1751</v>
      </c>
      <c r="B689" t="s">
        <v>10753</v>
      </c>
      <c r="C689" t="s">
        <v>1751</v>
      </c>
      <c r="D689">
        <v>20514563</v>
      </c>
      <c r="E689" t="s">
        <v>3128</v>
      </c>
      <c r="F689" t="s">
        <v>1241</v>
      </c>
      <c r="G689" t="s">
        <v>3129</v>
      </c>
      <c r="H689" t="s">
        <v>3377</v>
      </c>
      <c r="J689" s="455">
        <v>46143</v>
      </c>
      <c r="U689" s="455">
        <v>46143</v>
      </c>
    </row>
    <row r="690" spans="1:21">
      <c r="A690" t="s">
        <v>1751</v>
      </c>
      <c r="B690" t="s">
        <v>10754</v>
      </c>
      <c r="C690" t="s">
        <v>1751</v>
      </c>
      <c r="D690">
        <v>20528040</v>
      </c>
      <c r="E690" t="s">
        <v>3190</v>
      </c>
      <c r="F690" t="s">
        <v>1242</v>
      </c>
      <c r="G690" t="s">
        <v>3129</v>
      </c>
      <c r="H690" t="s">
        <v>3131</v>
      </c>
      <c r="J690" s="455">
        <v>46158</v>
      </c>
      <c r="R690" s="455">
        <v>46164</v>
      </c>
      <c r="U690" s="455">
        <v>46158</v>
      </c>
    </row>
    <row r="691" spans="1:21">
      <c r="A691" t="s">
        <v>1751</v>
      </c>
      <c r="B691" t="s">
        <v>3897</v>
      </c>
      <c r="C691" t="s">
        <v>1751</v>
      </c>
      <c r="D691">
        <v>20528926</v>
      </c>
      <c r="E691" t="s">
        <v>1897</v>
      </c>
      <c r="F691" t="s">
        <v>1241</v>
      </c>
      <c r="G691" t="s">
        <v>3134</v>
      </c>
      <c r="H691" t="s">
        <v>1247</v>
      </c>
      <c r="J691" s="455">
        <v>46159</v>
      </c>
      <c r="K691" s="455">
        <v>46159</v>
      </c>
      <c r="U691" s="455">
        <v>46171</v>
      </c>
    </row>
    <row r="692" spans="1:21">
      <c r="A692" t="s">
        <v>1751</v>
      </c>
      <c r="B692" t="s">
        <v>3897</v>
      </c>
      <c r="C692" t="s">
        <v>1751</v>
      </c>
      <c r="D692">
        <v>20528518</v>
      </c>
      <c r="E692" t="s">
        <v>1897</v>
      </c>
      <c r="F692" t="s">
        <v>1241</v>
      </c>
      <c r="G692" t="s">
        <v>3137</v>
      </c>
      <c r="H692" t="s">
        <v>1247</v>
      </c>
      <c r="I692" t="s">
        <v>2124</v>
      </c>
      <c r="J692" s="455">
        <v>46158</v>
      </c>
      <c r="K692" s="455">
        <v>46159</v>
      </c>
      <c r="U692" s="455">
        <v>46171</v>
      </c>
    </row>
    <row r="693" spans="1:21">
      <c r="A693" t="s">
        <v>1751</v>
      </c>
      <c r="B693" t="s">
        <v>3899</v>
      </c>
      <c r="C693" t="s">
        <v>1751</v>
      </c>
      <c r="D693">
        <v>20533449</v>
      </c>
      <c r="E693" t="s">
        <v>1907</v>
      </c>
      <c r="F693" t="s">
        <v>1238</v>
      </c>
      <c r="G693" t="s">
        <v>2009</v>
      </c>
      <c r="H693" t="s">
        <v>1247</v>
      </c>
      <c r="I693" t="s">
        <v>1588</v>
      </c>
      <c r="J693" s="455">
        <v>46164</v>
      </c>
      <c r="K693" s="455">
        <v>46165</v>
      </c>
      <c r="L693" s="455">
        <v>46165</v>
      </c>
      <c r="U693" s="455">
        <v>46185</v>
      </c>
    </row>
    <row r="694" spans="1:21">
      <c r="A694" t="s">
        <v>1751</v>
      </c>
      <c r="B694" t="s">
        <v>3901</v>
      </c>
      <c r="C694" t="s">
        <v>1751</v>
      </c>
      <c r="D694">
        <v>20514956</v>
      </c>
      <c r="E694" t="s">
        <v>1897</v>
      </c>
      <c r="F694" t="s">
        <v>1912</v>
      </c>
      <c r="G694" t="s">
        <v>3134</v>
      </c>
      <c r="H694" t="s">
        <v>1247</v>
      </c>
      <c r="J694" s="455">
        <v>46143</v>
      </c>
      <c r="K694" s="455">
        <v>46143</v>
      </c>
      <c r="U694" s="455">
        <v>46178</v>
      </c>
    </row>
    <row r="695" spans="1:21">
      <c r="A695" t="s">
        <v>1751</v>
      </c>
      <c r="B695" t="s">
        <v>7161</v>
      </c>
      <c r="C695" t="s">
        <v>1751</v>
      </c>
      <c r="D695">
        <v>20500840</v>
      </c>
      <c r="E695" t="s">
        <v>3190</v>
      </c>
      <c r="F695" t="s">
        <v>1242</v>
      </c>
      <c r="G695" t="s">
        <v>3134</v>
      </c>
      <c r="H695" t="s">
        <v>1248</v>
      </c>
      <c r="I695" t="s">
        <v>3303</v>
      </c>
      <c r="J695" s="455">
        <v>46130</v>
      </c>
      <c r="K695" s="455">
        <v>46130</v>
      </c>
      <c r="R695" s="455">
        <v>46143</v>
      </c>
      <c r="U695" s="455">
        <v>46174</v>
      </c>
    </row>
    <row r="696" spans="1:21">
      <c r="A696" t="s">
        <v>1751</v>
      </c>
      <c r="B696" t="s">
        <v>7161</v>
      </c>
      <c r="C696" t="s">
        <v>1751</v>
      </c>
      <c r="D696">
        <v>20514323</v>
      </c>
      <c r="E696" t="s">
        <v>3142</v>
      </c>
      <c r="F696" t="s">
        <v>1242</v>
      </c>
      <c r="G696" t="s">
        <v>3134</v>
      </c>
      <c r="H696" t="s">
        <v>1248</v>
      </c>
      <c r="I696" t="s">
        <v>1969</v>
      </c>
      <c r="J696" s="455">
        <v>46143</v>
      </c>
      <c r="K696" s="455">
        <v>46143</v>
      </c>
      <c r="L696" s="455">
        <v>46143</v>
      </c>
      <c r="M696" s="455">
        <v>46150</v>
      </c>
      <c r="N696" s="455">
        <v>46150</v>
      </c>
      <c r="O696" s="455">
        <v>46150</v>
      </c>
      <c r="P696" s="455">
        <v>46150</v>
      </c>
      <c r="Q696" s="455">
        <v>46150</v>
      </c>
      <c r="U696" s="455">
        <v>46178</v>
      </c>
    </row>
    <row r="697" spans="1:21">
      <c r="A697" t="s">
        <v>1751</v>
      </c>
      <c r="B697" t="s">
        <v>2404</v>
      </c>
      <c r="C697" t="s">
        <v>1751</v>
      </c>
      <c r="D697">
        <v>20530835</v>
      </c>
      <c r="E697" t="s">
        <v>3142</v>
      </c>
      <c r="F697" t="s">
        <v>1238</v>
      </c>
      <c r="G697" t="s">
        <v>3134</v>
      </c>
      <c r="H697" t="s">
        <v>1247</v>
      </c>
      <c r="I697" t="s">
        <v>2403</v>
      </c>
      <c r="J697" s="455">
        <v>46161</v>
      </c>
      <c r="K697" s="455">
        <v>46161</v>
      </c>
      <c r="L697" s="455">
        <v>46164</v>
      </c>
      <c r="M697" s="455">
        <v>46170</v>
      </c>
      <c r="N697" s="455">
        <v>46170</v>
      </c>
      <c r="O697" s="455">
        <v>46170</v>
      </c>
      <c r="P697" s="455">
        <v>46170</v>
      </c>
      <c r="Q697" s="455">
        <v>46171</v>
      </c>
      <c r="U697" s="455">
        <v>46171</v>
      </c>
    </row>
    <row r="698" spans="1:21">
      <c r="A698" t="s">
        <v>1751</v>
      </c>
      <c r="B698" t="s">
        <v>2404</v>
      </c>
      <c r="C698" t="s">
        <v>1751</v>
      </c>
      <c r="D698">
        <v>20528115</v>
      </c>
      <c r="E698" t="s">
        <v>3128</v>
      </c>
      <c r="F698" t="s">
        <v>1238</v>
      </c>
      <c r="G698" t="s">
        <v>3129</v>
      </c>
      <c r="H698" t="s">
        <v>1247</v>
      </c>
      <c r="I698" t="s">
        <v>1952</v>
      </c>
      <c r="J698" s="455">
        <v>46158</v>
      </c>
      <c r="U698" s="455">
        <v>46158</v>
      </c>
    </row>
    <row r="699" spans="1:21">
      <c r="A699" t="s">
        <v>1751</v>
      </c>
      <c r="B699" t="s">
        <v>10755</v>
      </c>
      <c r="C699" t="s">
        <v>1751</v>
      </c>
      <c r="D699">
        <v>20527900</v>
      </c>
      <c r="E699" t="s">
        <v>3128</v>
      </c>
      <c r="F699" t="s">
        <v>1782</v>
      </c>
      <c r="G699" t="s">
        <v>3134</v>
      </c>
      <c r="H699" t="s">
        <v>3165</v>
      </c>
      <c r="J699" s="455">
        <v>46157</v>
      </c>
      <c r="U699" s="455">
        <v>46204</v>
      </c>
    </row>
    <row r="700" spans="1:21">
      <c r="A700" t="s">
        <v>1751</v>
      </c>
      <c r="B700" t="s">
        <v>10756</v>
      </c>
      <c r="C700" t="s">
        <v>1751</v>
      </c>
      <c r="D700">
        <v>20539566</v>
      </c>
      <c r="E700" t="s">
        <v>3128</v>
      </c>
      <c r="F700" t="s">
        <v>1782</v>
      </c>
      <c r="G700" t="s">
        <v>3134</v>
      </c>
      <c r="H700" t="s">
        <v>1252</v>
      </c>
      <c r="J700" s="455">
        <v>46172</v>
      </c>
      <c r="U700" s="455">
        <v>46181</v>
      </c>
    </row>
    <row r="701" spans="1:21">
      <c r="A701" t="s">
        <v>1751</v>
      </c>
      <c r="B701" t="s">
        <v>10757</v>
      </c>
      <c r="C701" t="s">
        <v>1751</v>
      </c>
      <c r="D701">
        <v>20529136</v>
      </c>
      <c r="E701" t="s">
        <v>3128</v>
      </c>
      <c r="F701" t="s">
        <v>1782</v>
      </c>
      <c r="G701" t="s">
        <v>3137</v>
      </c>
      <c r="H701" t="s">
        <v>1247</v>
      </c>
      <c r="J701" s="455">
        <v>46160</v>
      </c>
      <c r="U701" s="455">
        <v>46160</v>
      </c>
    </row>
    <row r="702" spans="1:21">
      <c r="A702" t="s">
        <v>1751</v>
      </c>
      <c r="B702" t="s">
        <v>10758</v>
      </c>
      <c r="C702" t="s">
        <v>1751</v>
      </c>
      <c r="D702">
        <v>20535058</v>
      </c>
      <c r="E702" t="s">
        <v>3128</v>
      </c>
      <c r="F702" t="s">
        <v>1782</v>
      </c>
      <c r="G702" t="s">
        <v>3141</v>
      </c>
      <c r="H702" t="s">
        <v>1247</v>
      </c>
      <c r="J702" s="455">
        <v>46167</v>
      </c>
      <c r="U702" s="455">
        <v>46167</v>
      </c>
    </row>
    <row r="703" spans="1:21">
      <c r="A703" t="s">
        <v>1751</v>
      </c>
      <c r="B703" t="s">
        <v>10043</v>
      </c>
      <c r="C703" t="s">
        <v>1751</v>
      </c>
      <c r="D703">
        <v>20513707</v>
      </c>
      <c r="E703" t="s">
        <v>3190</v>
      </c>
      <c r="F703" t="s">
        <v>1239</v>
      </c>
      <c r="G703" t="s">
        <v>2009</v>
      </c>
      <c r="H703" t="s">
        <v>1252</v>
      </c>
      <c r="J703" s="455">
        <v>46142</v>
      </c>
      <c r="R703" s="455">
        <v>46164</v>
      </c>
      <c r="U703" s="455">
        <v>46142</v>
      </c>
    </row>
    <row r="704" spans="1:21">
      <c r="A704" t="s">
        <v>1751</v>
      </c>
      <c r="B704" t="s">
        <v>10045</v>
      </c>
      <c r="C704" t="s">
        <v>1751</v>
      </c>
      <c r="D704">
        <v>20504120</v>
      </c>
      <c r="E704" t="s">
        <v>3133</v>
      </c>
      <c r="F704" t="s">
        <v>1242</v>
      </c>
      <c r="G704" t="s">
        <v>3143</v>
      </c>
      <c r="H704" t="s">
        <v>1249</v>
      </c>
      <c r="I704" t="s">
        <v>3832</v>
      </c>
      <c r="J704" s="455">
        <v>46132</v>
      </c>
      <c r="K704" s="455">
        <v>46134</v>
      </c>
      <c r="L704" s="455">
        <v>46134</v>
      </c>
      <c r="R704" s="455">
        <v>46143</v>
      </c>
      <c r="U704" s="455">
        <v>46142</v>
      </c>
    </row>
    <row r="705" spans="1:21">
      <c r="A705" t="s">
        <v>1751</v>
      </c>
      <c r="B705" t="s">
        <v>10759</v>
      </c>
      <c r="C705" t="s">
        <v>1751</v>
      </c>
      <c r="D705">
        <v>20535781</v>
      </c>
      <c r="E705" t="s">
        <v>3128</v>
      </c>
      <c r="F705" t="s">
        <v>1782</v>
      </c>
      <c r="G705" t="s">
        <v>3137</v>
      </c>
      <c r="H705" t="s">
        <v>1247</v>
      </c>
      <c r="J705" s="455">
        <v>46168</v>
      </c>
      <c r="U705" s="455">
        <v>46168</v>
      </c>
    </row>
    <row r="706" spans="1:21">
      <c r="A706" t="s">
        <v>1751</v>
      </c>
      <c r="B706" t="s">
        <v>10046</v>
      </c>
      <c r="C706" t="s">
        <v>1751</v>
      </c>
      <c r="D706">
        <v>20510514</v>
      </c>
      <c r="E706" t="s">
        <v>3133</v>
      </c>
      <c r="F706" t="s">
        <v>1241</v>
      </c>
      <c r="G706" t="s">
        <v>3134</v>
      </c>
      <c r="H706" t="s">
        <v>1247</v>
      </c>
      <c r="I706" t="s">
        <v>1834</v>
      </c>
      <c r="J706" s="455">
        <v>46138</v>
      </c>
      <c r="K706" s="455">
        <v>46138</v>
      </c>
      <c r="R706" s="455">
        <v>46164</v>
      </c>
      <c r="U706" s="455">
        <v>46160</v>
      </c>
    </row>
    <row r="707" spans="1:21">
      <c r="A707" t="s">
        <v>1751</v>
      </c>
      <c r="B707" t="s">
        <v>10760</v>
      </c>
      <c r="C707" t="s">
        <v>1751</v>
      </c>
      <c r="D707">
        <v>20539261</v>
      </c>
      <c r="E707" t="s">
        <v>3128</v>
      </c>
      <c r="F707" t="s">
        <v>1782</v>
      </c>
      <c r="G707" t="s">
        <v>3134</v>
      </c>
      <c r="H707" t="s">
        <v>1252</v>
      </c>
      <c r="J707" s="455">
        <v>46172</v>
      </c>
      <c r="U707" s="455">
        <v>46204</v>
      </c>
    </row>
    <row r="708" spans="1:21">
      <c r="A708" t="s">
        <v>1751</v>
      </c>
      <c r="B708" t="s">
        <v>10761</v>
      </c>
      <c r="C708" t="s">
        <v>1751</v>
      </c>
      <c r="D708">
        <v>20518953</v>
      </c>
      <c r="E708" t="s">
        <v>3128</v>
      </c>
      <c r="F708" t="s">
        <v>1241</v>
      </c>
      <c r="G708" t="s">
        <v>2009</v>
      </c>
      <c r="H708" t="s">
        <v>1247</v>
      </c>
      <c r="J708" s="455">
        <v>46148</v>
      </c>
      <c r="U708" s="455">
        <v>46148</v>
      </c>
    </row>
    <row r="709" spans="1:21">
      <c r="A709" t="s">
        <v>1751</v>
      </c>
      <c r="B709" t="s">
        <v>3913</v>
      </c>
      <c r="C709" t="s">
        <v>1751</v>
      </c>
      <c r="D709">
        <v>20533551</v>
      </c>
      <c r="E709" t="s">
        <v>1897</v>
      </c>
      <c r="F709" t="s">
        <v>1241</v>
      </c>
      <c r="G709" t="s">
        <v>3134</v>
      </c>
      <c r="H709" t="s">
        <v>1252</v>
      </c>
      <c r="I709" t="s">
        <v>3258</v>
      </c>
      <c r="J709" s="455">
        <v>46164</v>
      </c>
      <c r="K709" s="455">
        <v>46170</v>
      </c>
      <c r="U709" s="455">
        <v>46172</v>
      </c>
    </row>
    <row r="710" spans="1:21">
      <c r="A710" t="s">
        <v>1751</v>
      </c>
      <c r="B710" t="s">
        <v>10762</v>
      </c>
      <c r="C710" t="s">
        <v>1751</v>
      </c>
      <c r="D710">
        <v>20535165</v>
      </c>
      <c r="E710" t="s">
        <v>3128</v>
      </c>
      <c r="F710" t="s">
        <v>1782</v>
      </c>
      <c r="G710" t="s">
        <v>3129</v>
      </c>
      <c r="H710" t="s">
        <v>1251</v>
      </c>
      <c r="J710" s="455">
        <v>46167</v>
      </c>
      <c r="U710" s="455">
        <v>46167</v>
      </c>
    </row>
    <row r="711" spans="1:21">
      <c r="A711" t="s">
        <v>1751</v>
      </c>
      <c r="B711" t="s">
        <v>10763</v>
      </c>
      <c r="C711" t="s">
        <v>1751</v>
      </c>
      <c r="D711">
        <v>20534968</v>
      </c>
      <c r="E711" t="s">
        <v>3128</v>
      </c>
      <c r="F711" t="s">
        <v>1782</v>
      </c>
      <c r="G711" t="s">
        <v>3134</v>
      </c>
      <c r="H711" t="s">
        <v>3165</v>
      </c>
      <c r="J711" s="455">
        <v>46166</v>
      </c>
      <c r="U711" s="455">
        <v>46168</v>
      </c>
    </row>
    <row r="712" spans="1:21">
      <c r="A712" t="s">
        <v>1751</v>
      </c>
      <c r="B712" t="s">
        <v>10764</v>
      </c>
      <c r="C712" t="s">
        <v>1751</v>
      </c>
      <c r="D712">
        <v>20534302</v>
      </c>
      <c r="E712" t="s">
        <v>3128</v>
      </c>
      <c r="F712" t="s">
        <v>1237</v>
      </c>
      <c r="G712" t="s">
        <v>2009</v>
      </c>
      <c r="H712" t="s">
        <v>1247</v>
      </c>
      <c r="J712" s="455">
        <v>46165</v>
      </c>
      <c r="U712" s="455">
        <v>46165</v>
      </c>
    </row>
    <row r="713" spans="1:21">
      <c r="A713" t="s">
        <v>1751</v>
      </c>
      <c r="B713" t="s">
        <v>10765</v>
      </c>
      <c r="C713" t="s">
        <v>1751</v>
      </c>
      <c r="D713">
        <v>20534463</v>
      </c>
      <c r="E713" t="s">
        <v>3128</v>
      </c>
      <c r="F713" t="s">
        <v>1782</v>
      </c>
      <c r="G713" t="s">
        <v>3141</v>
      </c>
      <c r="H713" t="s">
        <v>1252</v>
      </c>
      <c r="J713" s="455">
        <v>46165</v>
      </c>
      <c r="U713" s="455">
        <v>46199</v>
      </c>
    </row>
    <row r="714" spans="1:21">
      <c r="A714" t="s">
        <v>1751</v>
      </c>
      <c r="B714" t="s">
        <v>10766</v>
      </c>
      <c r="C714" t="s">
        <v>1751</v>
      </c>
      <c r="D714">
        <v>20520412</v>
      </c>
      <c r="E714" t="s">
        <v>3128</v>
      </c>
      <c r="F714" t="s">
        <v>1782</v>
      </c>
      <c r="G714" t="s">
        <v>3134</v>
      </c>
      <c r="H714" t="s">
        <v>1252</v>
      </c>
      <c r="J714" s="455">
        <v>46150</v>
      </c>
      <c r="U714" s="455">
        <v>46158</v>
      </c>
    </row>
    <row r="715" spans="1:21">
      <c r="A715" t="s">
        <v>1751</v>
      </c>
      <c r="B715" t="s">
        <v>10767</v>
      </c>
      <c r="C715" t="s">
        <v>1751</v>
      </c>
      <c r="D715">
        <v>20516383</v>
      </c>
      <c r="E715" t="s">
        <v>3128</v>
      </c>
      <c r="F715" t="s">
        <v>1782</v>
      </c>
      <c r="G715" t="s">
        <v>3129</v>
      </c>
      <c r="H715" t="s">
        <v>1252</v>
      </c>
      <c r="J715" s="455">
        <v>46146</v>
      </c>
      <c r="U715" s="455">
        <v>46160</v>
      </c>
    </row>
    <row r="716" spans="1:21">
      <c r="A716" t="s">
        <v>1751</v>
      </c>
      <c r="B716" t="s">
        <v>10051</v>
      </c>
      <c r="C716" t="s">
        <v>1751</v>
      </c>
      <c r="D716">
        <v>20520690</v>
      </c>
      <c r="E716" t="s">
        <v>3128</v>
      </c>
      <c r="F716" t="s">
        <v>1782</v>
      </c>
      <c r="G716" t="s">
        <v>3134</v>
      </c>
      <c r="H716" t="s">
        <v>1252</v>
      </c>
      <c r="J716" s="455">
        <v>46151</v>
      </c>
      <c r="U716" s="455">
        <v>46213</v>
      </c>
    </row>
    <row r="717" spans="1:21">
      <c r="A717" t="s">
        <v>1751</v>
      </c>
      <c r="B717" t="s">
        <v>10768</v>
      </c>
      <c r="C717" t="s">
        <v>1751</v>
      </c>
      <c r="D717">
        <v>20520655</v>
      </c>
      <c r="E717" t="s">
        <v>3128</v>
      </c>
      <c r="F717" t="s">
        <v>1782</v>
      </c>
      <c r="G717" t="s">
        <v>3141</v>
      </c>
      <c r="H717" t="s">
        <v>1252</v>
      </c>
      <c r="J717" s="455">
        <v>46150</v>
      </c>
      <c r="U717" s="455">
        <v>46189</v>
      </c>
    </row>
    <row r="718" spans="1:21">
      <c r="A718" t="s">
        <v>1751</v>
      </c>
      <c r="B718" t="s">
        <v>10769</v>
      </c>
      <c r="C718" t="s">
        <v>1751</v>
      </c>
      <c r="D718">
        <v>20540299</v>
      </c>
      <c r="E718" t="s">
        <v>3128</v>
      </c>
      <c r="F718" t="s">
        <v>1241</v>
      </c>
      <c r="G718" t="s">
        <v>3134</v>
      </c>
      <c r="H718" t="s">
        <v>1252</v>
      </c>
      <c r="J718" s="455">
        <v>46173</v>
      </c>
      <c r="U718" s="455">
        <v>46188</v>
      </c>
    </row>
    <row r="719" spans="1:21">
      <c r="A719" t="s">
        <v>1751</v>
      </c>
      <c r="B719" t="s">
        <v>3929</v>
      </c>
      <c r="C719" t="s">
        <v>1751</v>
      </c>
      <c r="D719">
        <v>20518936</v>
      </c>
      <c r="E719" t="s">
        <v>1897</v>
      </c>
      <c r="F719" t="s">
        <v>1912</v>
      </c>
      <c r="G719" t="s">
        <v>3134</v>
      </c>
      <c r="H719" t="s">
        <v>1247</v>
      </c>
      <c r="I719" t="s">
        <v>2171</v>
      </c>
      <c r="J719" s="455">
        <v>46148</v>
      </c>
      <c r="K719" s="455">
        <v>46148</v>
      </c>
      <c r="U719" s="455">
        <v>46150</v>
      </c>
    </row>
    <row r="720" spans="1:21">
      <c r="A720" t="s">
        <v>1751</v>
      </c>
      <c r="B720" t="s">
        <v>10770</v>
      </c>
      <c r="C720" t="s">
        <v>1751</v>
      </c>
      <c r="D720">
        <v>20536506</v>
      </c>
      <c r="E720" t="s">
        <v>3128</v>
      </c>
      <c r="F720" t="s">
        <v>1782</v>
      </c>
      <c r="G720" t="s">
        <v>3134</v>
      </c>
      <c r="H720" t="s">
        <v>3165</v>
      </c>
      <c r="J720" s="455">
        <v>46168</v>
      </c>
      <c r="U720" s="455">
        <v>46185</v>
      </c>
    </row>
    <row r="721" spans="1:21">
      <c r="A721" t="s">
        <v>1751</v>
      </c>
      <c r="B721" t="s">
        <v>3930</v>
      </c>
      <c r="C721" t="s">
        <v>1751</v>
      </c>
      <c r="D721">
        <v>20518464</v>
      </c>
      <c r="E721" t="s">
        <v>1897</v>
      </c>
      <c r="F721" t="s">
        <v>1912</v>
      </c>
      <c r="G721" t="s">
        <v>3134</v>
      </c>
      <c r="H721" t="s">
        <v>1247</v>
      </c>
      <c r="J721" s="455">
        <v>46148</v>
      </c>
      <c r="K721" s="455">
        <v>46148</v>
      </c>
      <c r="U721" s="455">
        <v>46148</v>
      </c>
    </row>
    <row r="722" spans="1:21">
      <c r="A722" t="s">
        <v>1751</v>
      </c>
      <c r="B722" t="s">
        <v>3930</v>
      </c>
      <c r="C722" t="s">
        <v>1751</v>
      </c>
      <c r="D722">
        <v>20518400</v>
      </c>
      <c r="E722" t="s">
        <v>1897</v>
      </c>
      <c r="F722" t="s">
        <v>1782</v>
      </c>
      <c r="G722" t="s">
        <v>3129</v>
      </c>
      <c r="H722" t="s">
        <v>3131</v>
      </c>
      <c r="I722" t="s">
        <v>1587</v>
      </c>
      <c r="J722" s="455">
        <v>46148</v>
      </c>
      <c r="K722" s="455">
        <v>46148</v>
      </c>
      <c r="U722" s="455">
        <v>46148</v>
      </c>
    </row>
    <row r="723" spans="1:21">
      <c r="A723" t="s">
        <v>1751</v>
      </c>
      <c r="B723" t="s">
        <v>10771</v>
      </c>
      <c r="C723" t="s">
        <v>1751</v>
      </c>
      <c r="D723">
        <v>20534876</v>
      </c>
      <c r="E723" t="s">
        <v>3128</v>
      </c>
      <c r="F723" t="s">
        <v>1782</v>
      </c>
      <c r="G723" t="s">
        <v>3141</v>
      </c>
      <c r="H723" t="s">
        <v>1252</v>
      </c>
      <c r="J723" s="455">
        <v>46166</v>
      </c>
      <c r="U723" s="455">
        <v>46226</v>
      </c>
    </row>
    <row r="724" spans="1:21">
      <c r="A724" t="s">
        <v>1751</v>
      </c>
      <c r="B724" t="s">
        <v>10772</v>
      </c>
      <c r="C724" t="s">
        <v>1751</v>
      </c>
      <c r="D724">
        <v>20534023</v>
      </c>
      <c r="E724" t="s">
        <v>3128</v>
      </c>
      <c r="F724" t="s">
        <v>1782</v>
      </c>
      <c r="G724" t="s">
        <v>3134</v>
      </c>
      <c r="H724" t="s">
        <v>3165</v>
      </c>
      <c r="J724" s="455">
        <v>46165</v>
      </c>
      <c r="U724" s="455">
        <v>46174</v>
      </c>
    </row>
    <row r="725" spans="1:21">
      <c r="A725" t="s">
        <v>1751</v>
      </c>
      <c r="B725" t="s">
        <v>10773</v>
      </c>
      <c r="C725" t="s">
        <v>1751</v>
      </c>
      <c r="D725">
        <v>20526421</v>
      </c>
      <c r="E725" t="s">
        <v>3128</v>
      </c>
      <c r="F725" t="s">
        <v>1239</v>
      </c>
      <c r="G725" t="s">
        <v>3143</v>
      </c>
      <c r="H725" t="s">
        <v>1247</v>
      </c>
      <c r="I725" t="s">
        <v>3385</v>
      </c>
      <c r="J725" s="455">
        <v>46156</v>
      </c>
      <c r="U725" s="455">
        <v>46156</v>
      </c>
    </row>
    <row r="726" spans="1:21">
      <c r="A726" t="s">
        <v>1751</v>
      </c>
      <c r="B726" t="s">
        <v>10774</v>
      </c>
      <c r="C726" t="s">
        <v>1751</v>
      </c>
      <c r="D726">
        <v>20531678</v>
      </c>
      <c r="E726" t="s">
        <v>3128</v>
      </c>
      <c r="F726" t="s">
        <v>1237</v>
      </c>
      <c r="G726" t="s">
        <v>3141</v>
      </c>
      <c r="H726" t="s">
        <v>1248</v>
      </c>
      <c r="J726" s="455">
        <v>46162</v>
      </c>
      <c r="U726" s="455">
        <v>46230</v>
      </c>
    </row>
    <row r="727" spans="1:21">
      <c r="A727" t="s">
        <v>1751</v>
      </c>
      <c r="B727" t="s">
        <v>10775</v>
      </c>
      <c r="C727" t="s">
        <v>1751</v>
      </c>
      <c r="D727">
        <v>20538939</v>
      </c>
      <c r="E727" t="s">
        <v>3128</v>
      </c>
      <c r="F727" t="s">
        <v>1238</v>
      </c>
      <c r="G727" t="s">
        <v>3143</v>
      </c>
      <c r="H727" t="s">
        <v>1248</v>
      </c>
      <c r="J727" s="455">
        <v>46171</v>
      </c>
      <c r="U727" s="455">
        <v>46171</v>
      </c>
    </row>
    <row r="728" spans="1:21">
      <c r="A728" t="s">
        <v>1751</v>
      </c>
      <c r="B728" t="s">
        <v>10776</v>
      </c>
      <c r="C728" t="s">
        <v>1751</v>
      </c>
      <c r="D728">
        <v>20526504</v>
      </c>
      <c r="E728" t="s">
        <v>3190</v>
      </c>
      <c r="F728" t="s">
        <v>1241</v>
      </c>
      <c r="G728" t="s">
        <v>3134</v>
      </c>
      <c r="H728" t="s">
        <v>1252</v>
      </c>
      <c r="J728" s="455">
        <v>46156</v>
      </c>
      <c r="R728" s="455">
        <v>46164</v>
      </c>
      <c r="U728" s="455">
        <v>46217</v>
      </c>
    </row>
    <row r="729" spans="1:21">
      <c r="A729" t="s">
        <v>1751</v>
      </c>
      <c r="B729" t="s">
        <v>10777</v>
      </c>
      <c r="C729" t="s">
        <v>1751</v>
      </c>
      <c r="D729">
        <v>20537684</v>
      </c>
      <c r="E729" t="s">
        <v>3128</v>
      </c>
      <c r="F729" t="s">
        <v>1782</v>
      </c>
      <c r="G729" t="s">
        <v>3129</v>
      </c>
      <c r="H729" t="s">
        <v>1253</v>
      </c>
      <c r="J729" s="455">
        <v>46170</v>
      </c>
      <c r="U729" s="455">
        <v>46170</v>
      </c>
    </row>
    <row r="730" spans="1:21">
      <c r="A730" t="s">
        <v>1751</v>
      </c>
      <c r="B730" t="s">
        <v>10778</v>
      </c>
      <c r="C730" t="s">
        <v>1751</v>
      </c>
      <c r="D730">
        <v>20520343</v>
      </c>
      <c r="E730" t="s">
        <v>3128</v>
      </c>
      <c r="F730" t="s">
        <v>1782</v>
      </c>
      <c r="G730" t="s">
        <v>3129</v>
      </c>
      <c r="H730" t="s">
        <v>1252</v>
      </c>
      <c r="J730" s="455">
        <v>46150</v>
      </c>
      <c r="U730" s="455">
        <v>46153</v>
      </c>
    </row>
    <row r="731" spans="1:21">
      <c r="A731" t="s">
        <v>1751</v>
      </c>
      <c r="B731" t="s">
        <v>10779</v>
      </c>
      <c r="C731" t="s">
        <v>1751</v>
      </c>
      <c r="D731">
        <v>20522376</v>
      </c>
      <c r="E731" t="s">
        <v>3190</v>
      </c>
      <c r="F731" t="s">
        <v>1782</v>
      </c>
      <c r="G731" t="s">
        <v>3134</v>
      </c>
      <c r="H731" t="s">
        <v>3165</v>
      </c>
      <c r="J731" s="455">
        <v>46153</v>
      </c>
      <c r="R731" s="455">
        <v>46164</v>
      </c>
      <c r="U731" s="455">
        <v>46158</v>
      </c>
    </row>
    <row r="732" spans="1:21">
      <c r="A732" t="s">
        <v>1751</v>
      </c>
      <c r="B732" t="s">
        <v>10780</v>
      </c>
      <c r="C732" t="s">
        <v>1751</v>
      </c>
      <c r="D732">
        <v>20523515</v>
      </c>
      <c r="E732" t="s">
        <v>3128</v>
      </c>
      <c r="F732" t="s">
        <v>1782</v>
      </c>
      <c r="G732" t="s">
        <v>3137</v>
      </c>
      <c r="H732" t="s">
        <v>1247</v>
      </c>
      <c r="J732" s="455">
        <v>46154</v>
      </c>
      <c r="U732" s="455">
        <v>46154</v>
      </c>
    </row>
    <row r="733" spans="1:21">
      <c r="A733" t="s">
        <v>1751</v>
      </c>
      <c r="B733" t="s">
        <v>10781</v>
      </c>
      <c r="C733" t="s">
        <v>1751</v>
      </c>
      <c r="D733">
        <v>20534025</v>
      </c>
      <c r="E733" t="s">
        <v>3133</v>
      </c>
      <c r="F733" t="s">
        <v>1782</v>
      </c>
      <c r="G733" t="s">
        <v>3134</v>
      </c>
      <c r="H733" t="s">
        <v>1247</v>
      </c>
      <c r="I733" t="s">
        <v>1808</v>
      </c>
      <c r="J733" s="455">
        <v>46165</v>
      </c>
      <c r="K733" s="455">
        <v>46165</v>
      </c>
      <c r="L733" s="455">
        <v>46165</v>
      </c>
      <c r="S733" s="455">
        <v>46169</v>
      </c>
      <c r="U733" s="455">
        <v>46188</v>
      </c>
    </row>
    <row r="734" spans="1:21">
      <c r="A734" t="s">
        <v>1751</v>
      </c>
      <c r="B734" t="s">
        <v>10782</v>
      </c>
      <c r="C734" t="s">
        <v>1751</v>
      </c>
      <c r="D734">
        <v>20516746</v>
      </c>
      <c r="E734" t="s">
        <v>3128</v>
      </c>
      <c r="F734" t="s">
        <v>1237</v>
      </c>
      <c r="G734" t="s">
        <v>3143</v>
      </c>
      <c r="H734" t="s">
        <v>1248</v>
      </c>
      <c r="I734" t="s">
        <v>1952</v>
      </c>
      <c r="J734" s="455">
        <v>46146</v>
      </c>
      <c r="U734" s="455">
        <v>46160</v>
      </c>
    </row>
    <row r="735" spans="1:21">
      <c r="A735" t="s">
        <v>1751</v>
      </c>
      <c r="B735" t="s">
        <v>10783</v>
      </c>
      <c r="C735" t="s">
        <v>1751</v>
      </c>
      <c r="D735">
        <v>20538668</v>
      </c>
      <c r="E735" t="s">
        <v>3128</v>
      </c>
      <c r="F735" t="s">
        <v>1782</v>
      </c>
      <c r="G735" t="s">
        <v>3141</v>
      </c>
      <c r="H735" t="s">
        <v>1252</v>
      </c>
      <c r="J735" s="455">
        <v>46171</v>
      </c>
      <c r="U735" s="455">
        <v>46183</v>
      </c>
    </row>
    <row r="736" spans="1:21">
      <c r="A736" t="s">
        <v>1751</v>
      </c>
      <c r="B736" t="s">
        <v>10784</v>
      </c>
      <c r="C736" t="s">
        <v>1751</v>
      </c>
      <c r="D736">
        <v>20524941</v>
      </c>
      <c r="E736" t="s">
        <v>3128</v>
      </c>
      <c r="F736" t="s">
        <v>1782</v>
      </c>
      <c r="G736" t="s">
        <v>2009</v>
      </c>
      <c r="H736" t="s">
        <v>1247</v>
      </c>
      <c r="J736" s="455">
        <v>46155</v>
      </c>
      <c r="U736" s="455">
        <v>46155</v>
      </c>
    </row>
    <row r="737" spans="1:21">
      <c r="A737" t="s">
        <v>1751</v>
      </c>
      <c r="B737" t="s">
        <v>10785</v>
      </c>
      <c r="C737" t="s">
        <v>1751</v>
      </c>
      <c r="D737">
        <v>20532272</v>
      </c>
      <c r="E737" t="s">
        <v>3128</v>
      </c>
      <c r="F737" t="s">
        <v>1782</v>
      </c>
      <c r="G737" t="s">
        <v>3141</v>
      </c>
      <c r="H737" t="s">
        <v>1252</v>
      </c>
      <c r="J737" s="455">
        <v>46162</v>
      </c>
      <c r="U737" s="455">
        <v>46163</v>
      </c>
    </row>
    <row r="738" spans="1:21">
      <c r="A738" t="s">
        <v>1751</v>
      </c>
      <c r="B738" t="s">
        <v>10786</v>
      </c>
      <c r="C738" t="s">
        <v>1751</v>
      </c>
      <c r="D738">
        <v>20521447</v>
      </c>
      <c r="E738" t="s">
        <v>3128</v>
      </c>
      <c r="F738" t="s">
        <v>1782</v>
      </c>
      <c r="G738" t="s">
        <v>3134</v>
      </c>
      <c r="H738" t="s">
        <v>3165</v>
      </c>
      <c r="J738" s="455">
        <v>46152</v>
      </c>
      <c r="U738" s="455">
        <v>46153</v>
      </c>
    </row>
    <row r="739" spans="1:21">
      <c r="A739" t="s">
        <v>1751</v>
      </c>
      <c r="B739" t="s">
        <v>10787</v>
      </c>
      <c r="C739" t="s">
        <v>1751</v>
      </c>
      <c r="D739">
        <v>20517897</v>
      </c>
      <c r="E739" t="s">
        <v>3128</v>
      </c>
      <c r="F739" t="s">
        <v>1241</v>
      </c>
      <c r="G739" t="s">
        <v>2009</v>
      </c>
      <c r="H739" t="s">
        <v>1247</v>
      </c>
      <c r="J739" s="455">
        <v>46147</v>
      </c>
      <c r="U739" s="455">
        <v>46147</v>
      </c>
    </row>
    <row r="740" spans="1:21">
      <c r="A740" t="s">
        <v>1751</v>
      </c>
      <c r="B740" t="s">
        <v>10788</v>
      </c>
      <c r="C740" t="s">
        <v>1751</v>
      </c>
      <c r="D740">
        <v>20535680</v>
      </c>
      <c r="E740" t="s">
        <v>3128</v>
      </c>
      <c r="F740" t="s">
        <v>1782</v>
      </c>
      <c r="G740" t="s">
        <v>3129</v>
      </c>
      <c r="H740" t="s">
        <v>1247</v>
      </c>
      <c r="J740" s="455">
        <v>46168</v>
      </c>
      <c r="U740" s="455">
        <v>46168</v>
      </c>
    </row>
    <row r="741" spans="1:21">
      <c r="A741" t="s">
        <v>1751</v>
      </c>
      <c r="B741" t="s">
        <v>10789</v>
      </c>
      <c r="C741" t="s">
        <v>1751</v>
      </c>
      <c r="D741">
        <v>20516756</v>
      </c>
      <c r="E741" t="s">
        <v>3128</v>
      </c>
      <c r="F741" t="s">
        <v>1782</v>
      </c>
      <c r="G741" t="s">
        <v>3134</v>
      </c>
      <c r="H741" t="s">
        <v>1252</v>
      </c>
      <c r="J741" s="455">
        <v>46146</v>
      </c>
      <c r="U741" s="455">
        <v>46150</v>
      </c>
    </row>
    <row r="742" spans="1:21">
      <c r="A742" t="s">
        <v>1751</v>
      </c>
      <c r="B742" t="s">
        <v>10790</v>
      </c>
      <c r="C742" t="s">
        <v>1751</v>
      </c>
      <c r="D742">
        <v>20516708</v>
      </c>
      <c r="E742" t="s">
        <v>3190</v>
      </c>
      <c r="F742" t="s">
        <v>1241</v>
      </c>
      <c r="G742" t="s">
        <v>3129</v>
      </c>
      <c r="H742" t="s">
        <v>3131</v>
      </c>
      <c r="J742" s="455">
        <v>46146</v>
      </c>
      <c r="R742" s="455">
        <v>46164</v>
      </c>
      <c r="U742" s="455">
        <v>46146</v>
      </c>
    </row>
    <row r="743" spans="1:21">
      <c r="A743" t="s">
        <v>1751</v>
      </c>
      <c r="B743" t="s">
        <v>10791</v>
      </c>
      <c r="C743" t="s">
        <v>1751</v>
      </c>
      <c r="D743">
        <v>20514930</v>
      </c>
      <c r="E743" t="s">
        <v>3128</v>
      </c>
      <c r="F743" t="s">
        <v>1782</v>
      </c>
      <c r="G743" t="s">
        <v>3134</v>
      </c>
      <c r="H743" t="s">
        <v>3165</v>
      </c>
      <c r="J743" s="455">
        <v>46143</v>
      </c>
      <c r="U743" s="455">
        <v>46157</v>
      </c>
    </row>
    <row r="744" spans="1:21">
      <c r="A744" t="s">
        <v>1751</v>
      </c>
      <c r="B744" t="s">
        <v>10792</v>
      </c>
      <c r="C744" t="s">
        <v>1751</v>
      </c>
      <c r="D744">
        <v>20523590</v>
      </c>
      <c r="E744" t="s">
        <v>3128</v>
      </c>
      <c r="F744" t="s">
        <v>1242</v>
      </c>
      <c r="G744" t="s">
        <v>3137</v>
      </c>
      <c r="H744" t="s">
        <v>1247</v>
      </c>
      <c r="I744" t="s">
        <v>1952</v>
      </c>
      <c r="J744" s="455">
        <v>46154</v>
      </c>
      <c r="U744" s="455">
        <v>46158</v>
      </c>
    </row>
    <row r="745" spans="1:21">
      <c r="A745" t="s">
        <v>1751</v>
      </c>
      <c r="B745" t="s">
        <v>10793</v>
      </c>
      <c r="C745" t="s">
        <v>1751</v>
      </c>
      <c r="D745">
        <v>20533256</v>
      </c>
      <c r="E745" t="s">
        <v>3190</v>
      </c>
      <c r="F745" t="s">
        <v>1782</v>
      </c>
      <c r="G745" t="s">
        <v>3134</v>
      </c>
      <c r="H745" t="s">
        <v>3165</v>
      </c>
      <c r="J745" s="455">
        <v>46164</v>
      </c>
      <c r="R745" s="455">
        <v>46164</v>
      </c>
      <c r="U745" s="455">
        <v>46200</v>
      </c>
    </row>
    <row r="746" spans="1:21">
      <c r="A746" t="s">
        <v>1751</v>
      </c>
      <c r="B746" t="s">
        <v>10794</v>
      </c>
      <c r="C746" t="s">
        <v>1751</v>
      </c>
      <c r="D746">
        <v>20533858</v>
      </c>
      <c r="E746" t="s">
        <v>3128</v>
      </c>
      <c r="F746" t="s">
        <v>1782</v>
      </c>
      <c r="G746" t="s">
        <v>3129</v>
      </c>
      <c r="H746" t="s">
        <v>3131</v>
      </c>
      <c r="J746" s="455">
        <v>46164</v>
      </c>
      <c r="U746" s="455">
        <v>46164</v>
      </c>
    </row>
    <row r="747" spans="1:21">
      <c r="A747" t="s">
        <v>1751</v>
      </c>
      <c r="B747" t="s">
        <v>9361</v>
      </c>
      <c r="C747" t="s">
        <v>1751</v>
      </c>
      <c r="D747">
        <v>20480910</v>
      </c>
      <c r="E747" t="s">
        <v>3133</v>
      </c>
      <c r="F747" t="s">
        <v>1242</v>
      </c>
      <c r="G747" t="s">
        <v>3143</v>
      </c>
      <c r="H747" t="s">
        <v>1249</v>
      </c>
      <c r="I747" t="s">
        <v>1917</v>
      </c>
      <c r="J747" s="455">
        <v>46107</v>
      </c>
      <c r="K747" s="455">
        <v>46119</v>
      </c>
      <c r="R747" s="455">
        <v>46164</v>
      </c>
      <c r="U747" s="455">
        <v>46143</v>
      </c>
    </row>
    <row r="748" spans="1:21">
      <c r="A748" t="s">
        <v>1751</v>
      </c>
      <c r="B748" t="s">
        <v>10795</v>
      </c>
      <c r="C748" t="s">
        <v>1751</v>
      </c>
      <c r="D748">
        <v>20521260</v>
      </c>
      <c r="E748" t="s">
        <v>3128</v>
      </c>
      <c r="F748" t="s">
        <v>1782</v>
      </c>
      <c r="G748" t="s">
        <v>3137</v>
      </c>
      <c r="H748" t="s">
        <v>1252</v>
      </c>
      <c r="J748" s="455">
        <v>46151</v>
      </c>
      <c r="U748" s="455">
        <v>46445</v>
      </c>
    </row>
    <row r="749" spans="1:21">
      <c r="A749" t="s">
        <v>1751</v>
      </c>
      <c r="B749" t="s">
        <v>3954</v>
      </c>
      <c r="C749" t="s">
        <v>1751</v>
      </c>
      <c r="D749">
        <v>20528369</v>
      </c>
      <c r="E749" t="s">
        <v>1897</v>
      </c>
      <c r="F749" t="s">
        <v>1241</v>
      </c>
      <c r="G749" t="s">
        <v>3134</v>
      </c>
      <c r="H749" t="s">
        <v>1247</v>
      </c>
      <c r="I749" t="s">
        <v>3013</v>
      </c>
      <c r="J749" s="455">
        <v>46158</v>
      </c>
      <c r="K749" s="455">
        <v>46158</v>
      </c>
      <c r="U749" s="455">
        <v>46206</v>
      </c>
    </row>
    <row r="750" spans="1:21">
      <c r="A750" t="s">
        <v>1751</v>
      </c>
      <c r="B750" t="s">
        <v>10796</v>
      </c>
      <c r="C750" t="s">
        <v>1751</v>
      </c>
      <c r="D750">
        <v>20526517</v>
      </c>
      <c r="E750" t="s">
        <v>3128</v>
      </c>
      <c r="F750" t="s">
        <v>1242</v>
      </c>
      <c r="G750" t="s">
        <v>3141</v>
      </c>
      <c r="H750" t="s">
        <v>1251</v>
      </c>
      <c r="J750" s="455">
        <v>46156</v>
      </c>
      <c r="U750" s="455">
        <v>46156</v>
      </c>
    </row>
    <row r="751" spans="1:21">
      <c r="A751" t="s">
        <v>1751</v>
      </c>
      <c r="B751" t="s">
        <v>10797</v>
      </c>
      <c r="C751" t="s">
        <v>1751</v>
      </c>
      <c r="D751">
        <v>20516791</v>
      </c>
      <c r="E751" t="s">
        <v>3128</v>
      </c>
      <c r="F751" t="s">
        <v>1782</v>
      </c>
      <c r="G751" t="s">
        <v>3129</v>
      </c>
      <c r="H751" t="s">
        <v>1253</v>
      </c>
      <c r="J751" s="455">
        <v>46146</v>
      </c>
      <c r="U751" s="455">
        <v>46146</v>
      </c>
    </row>
    <row r="752" spans="1:21">
      <c r="A752" t="s">
        <v>1751</v>
      </c>
      <c r="B752" t="s">
        <v>10798</v>
      </c>
      <c r="C752" t="s">
        <v>1751</v>
      </c>
      <c r="D752">
        <v>20517436</v>
      </c>
      <c r="E752" t="s">
        <v>3128</v>
      </c>
      <c r="F752" t="s">
        <v>1242</v>
      </c>
      <c r="G752" t="s">
        <v>3143</v>
      </c>
      <c r="H752" t="s">
        <v>1251</v>
      </c>
      <c r="I752" t="s">
        <v>2137</v>
      </c>
      <c r="J752" s="455">
        <v>46147</v>
      </c>
      <c r="U752" s="455">
        <v>46171</v>
      </c>
    </row>
    <row r="753" spans="1:21">
      <c r="A753" t="s">
        <v>1751</v>
      </c>
      <c r="B753" t="s">
        <v>10799</v>
      </c>
      <c r="C753" t="s">
        <v>1751</v>
      </c>
      <c r="D753">
        <v>20520244</v>
      </c>
      <c r="E753" t="s">
        <v>3128</v>
      </c>
      <c r="F753" t="s">
        <v>1237</v>
      </c>
      <c r="G753" t="s">
        <v>3129</v>
      </c>
      <c r="H753" t="s">
        <v>1252</v>
      </c>
      <c r="I753" t="s">
        <v>1808</v>
      </c>
      <c r="J753" s="455">
        <v>46150</v>
      </c>
      <c r="U753" s="455">
        <v>46150</v>
      </c>
    </row>
    <row r="754" spans="1:21">
      <c r="A754" t="s">
        <v>1751</v>
      </c>
      <c r="B754" t="s">
        <v>3957</v>
      </c>
      <c r="C754" t="s">
        <v>1751</v>
      </c>
      <c r="D754">
        <v>20516453</v>
      </c>
      <c r="E754" t="s">
        <v>1897</v>
      </c>
      <c r="F754" t="s">
        <v>1242</v>
      </c>
      <c r="G754" t="s">
        <v>2009</v>
      </c>
      <c r="H754" t="s">
        <v>1250</v>
      </c>
      <c r="J754" s="455">
        <v>46146</v>
      </c>
      <c r="K754" s="455">
        <v>46146</v>
      </c>
      <c r="U754" s="455">
        <v>46165</v>
      </c>
    </row>
    <row r="755" spans="1:21">
      <c r="A755" t="s">
        <v>1751</v>
      </c>
      <c r="B755" t="s">
        <v>3957</v>
      </c>
      <c r="C755" t="s">
        <v>1751</v>
      </c>
      <c r="D755">
        <v>20516511</v>
      </c>
      <c r="E755" t="s">
        <v>3133</v>
      </c>
      <c r="F755" t="s">
        <v>1242</v>
      </c>
      <c r="G755" t="s">
        <v>3134</v>
      </c>
      <c r="H755" t="s">
        <v>1247</v>
      </c>
      <c r="I755" t="s">
        <v>3303</v>
      </c>
      <c r="J755" s="455">
        <v>46146</v>
      </c>
      <c r="K755" s="455">
        <v>46146</v>
      </c>
      <c r="L755" s="455">
        <v>46146</v>
      </c>
      <c r="R755" s="455">
        <v>46148</v>
      </c>
      <c r="U755" s="455">
        <v>46165</v>
      </c>
    </row>
    <row r="756" spans="1:21">
      <c r="A756" t="s">
        <v>1751</v>
      </c>
      <c r="B756" t="s">
        <v>10800</v>
      </c>
      <c r="C756" t="s">
        <v>1751</v>
      </c>
      <c r="D756">
        <v>20514970</v>
      </c>
      <c r="E756" t="s">
        <v>3128</v>
      </c>
      <c r="F756" t="s">
        <v>1782</v>
      </c>
      <c r="G756" t="s">
        <v>3141</v>
      </c>
      <c r="H756" t="s">
        <v>1252</v>
      </c>
      <c r="J756" s="455">
        <v>46143</v>
      </c>
      <c r="U756" s="455">
        <v>46171</v>
      </c>
    </row>
    <row r="757" spans="1:21">
      <c r="A757" t="s">
        <v>1751</v>
      </c>
      <c r="B757" t="s">
        <v>10801</v>
      </c>
      <c r="C757" t="s">
        <v>1751</v>
      </c>
      <c r="D757">
        <v>20525984</v>
      </c>
      <c r="E757" t="s">
        <v>3190</v>
      </c>
      <c r="F757" t="s">
        <v>1782</v>
      </c>
      <c r="G757" t="s">
        <v>3129</v>
      </c>
      <c r="H757" t="s">
        <v>3131</v>
      </c>
      <c r="J757" s="455">
        <v>46156</v>
      </c>
      <c r="R757" s="455">
        <v>46164</v>
      </c>
      <c r="U757" s="455">
        <v>46156</v>
      </c>
    </row>
    <row r="758" spans="1:21">
      <c r="A758" t="s">
        <v>1751</v>
      </c>
      <c r="B758" t="s">
        <v>10802</v>
      </c>
      <c r="C758" t="s">
        <v>1751</v>
      </c>
      <c r="D758">
        <v>20525348</v>
      </c>
      <c r="E758" t="s">
        <v>3190</v>
      </c>
      <c r="F758" t="s">
        <v>1782</v>
      </c>
      <c r="G758" t="s">
        <v>3129</v>
      </c>
      <c r="H758" t="s">
        <v>1252</v>
      </c>
      <c r="J758" s="455">
        <v>46156</v>
      </c>
      <c r="R758" s="455">
        <v>46164</v>
      </c>
      <c r="U758" s="455">
        <v>46156</v>
      </c>
    </row>
    <row r="759" spans="1:21">
      <c r="A759" t="s">
        <v>1751</v>
      </c>
      <c r="B759" t="s">
        <v>9366</v>
      </c>
      <c r="C759" t="s">
        <v>1751</v>
      </c>
      <c r="D759">
        <v>20513710</v>
      </c>
      <c r="E759" t="s">
        <v>3133</v>
      </c>
      <c r="F759" t="s">
        <v>1782</v>
      </c>
      <c r="G759" t="s">
        <v>3141</v>
      </c>
      <c r="H759" t="s">
        <v>1247</v>
      </c>
      <c r="I759" t="s">
        <v>1947</v>
      </c>
      <c r="J759" s="455">
        <v>46142</v>
      </c>
      <c r="K759" s="455">
        <v>46146</v>
      </c>
      <c r="R759" s="455">
        <v>46158</v>
      </c>
      <c r="U759" s="455">
        <v>46163</v>
      </c>
    </row>
    <row r="760" spans="1:21">
      <c r="A760" t="s">
        <v>1751</v>
      </c>
      <c r="B760" t="s">
        <v>10803</v>
      </c>
      <c r="C760" t="s">
        <v>1751</v>
      </c>
      <c r="D760">
        <v>20517235</v>
      </c>
      <c r="E760" t="s">
        <v>3128</v>
      </c>
      <c r="F760" t="s">
        <v>1782</v>
      </c>
      <c r="G760" t="s">
        <v>3134</v>
      </c>
      <c r="H760" t="s">
        <v>3165</v>
      </c>
      <c r="J760" s="455">
        <v>46147</v>
      </c>
      <c r="U760" s="455">
        <v>46148</v>
      </c>
    </row>
    <row r="761" spans="1:21">
      <c r="A761" t="s">
        <v>1751</v>
      </c>
      <c r="B761" t="s">
        <v>3978</v>
      </c>
      <c r="C761" t="s">
        <v>1751</v>
      </c>
      <c r="D761">
        <v>20516162</v>
      </c>
      <c r="E761" t="s">
        <v>1907</v>
      </c>
      <c r="F761" t="s">
        <v>1242</v>
      </c>
      <c r="G761" t="s">
        <v>3137</v>
      </c>
      <c r="H761" t="s">
        <v>1247</v>
      </c>
      <c r="I761" t="s">
        <v>2550</v>
      </c>
      <c r="J761" s="455">
        <v>46146</v>
      </c>
      <c r="K761" s="455">
        <v>46148</v>
      </c>
      <c r="L761" s="455">
        <v>46163</v>
      </c>
      <c r="U761" s="455">
        <v>46176</v>
      </c>
    </row>
    <row r="762" spans="1:21">
      <c r="A762" t="s">
        <v>1751</v>
      </c>
      <c r="B762" t="s">
        <v>3980</v>
      </c>
      <c r="C762" t="s">
        <v>1751</v>
      </c>
      <c r="D762">
        <v>20486921</v>
      </c>
      <c r="E762" t="s">
        <v>3133</v>
      </c>
      <c r="F762" t="s">
        <v>1782</v>
      </c>
      <c r="G762" t="s">
        <v>3134</v>
      </c>
      <c r="H762" t="s">
        <v>1252</v>
      </c>
      <c r="J762" s="455">
        <v>46116</v>
      </c>
      <c r="K762" s="455">
        <v>46124</v>
      </c>
      <c r="R762" s="455">
        <v>46151</v>
      </c>
      <c r="U762" s="455">
        <v>46143</v>
      </c>
    </row>
    <row r="763" spans="1:21">
      <c r="A763" t="s">
        <v>1751</v>
      </c>
      <c r="B763" t="s">
        <v>10804</v>
      </c>
      <c r="C763" t="s">
        <v>1751</v>
      </c>
      <c r="D763">
        <v>20534190</v>
      </c>
      <c r="E763" t="s">
        <v>3128</v>
      </c>
      <c r="F763" t="s">
        <v>1782</v>
      </c>
      <c r="G763" t="s">
        <v>3134</v>
      </c>
      <c r="H763" t="s">
        <v>3165</v>
      </c>
      <c r="J763" s="455">
        <v>46165</v>
      </c>
      <c r="U763" s="455">
        <v>46167</v>
      </c>
    </row>
    <row r="764" spans="1:21">
      <c r="A764" t="s">
        <v>1751</v>
      </c>
      <c r="B764" t="s">
        <v>10805</v>
      </c>
      <c r="C764" t="s">
        <v>1751</v>
      </c>
      <c r="D764">
        <v>20535499</v>
      </c>
      <c r="E764" t="s">
        <v>3128</v>
      </c>
      <c r="F764" t="s">
        <v>1782</v>
      </c>
      <c r="G764" t="s">
        <v>3141</v>
      </c>
      <c r="H764" t="s">
        <v>1252</v>
      </c>
      <c r="J764" s="455">
        <v>46167</v>
      </c>
      <c r="U764" s="455">
        <v>46204</v>
      </c>
    </row>
    <row r="765" spans="1:21">
      <c r="A765" t="s">
        <v>1751</v>
      </c>
      <c r="B765" t="s">
        <v>10806</v>
      </c>
      <c r="C765" t="s">
        <v>1751</v>
      </c>
      <c r="D765">
        <v>20530886</v>
      </c>
      <c r="E765" t="s">
        <v>3128</v>
      </c>
      <c r="F765" t="s">
        <v>1782</v>
      </c>
      <c r="G765" t="s">
        <v>3129</v>
      </c>
      <c r="H765" t="s">
        <v>3131</v>
      </c>
      <c r="I765" t="s">
        <v>1565</v>
      </c>
      <c r="J765" s="455">
        <v>46161</v>
      </c>
      <c r="U765" s="455">
        <v>46161</v>
      </c>
    </row>
    <row r="766" spans="1:21">
      <c r="A766" t="s">
        <v>1751</v>
      </c>
      <c r="B766" t="s">
        <v>10807</v>
      </c>
      <c r="C766" t="s">
        <v>1751</v>
      </c>
      <c r="D766">
        <v>20533745</v>
      </c>
      <c r="E766" t="s">
        <v>3128</v>
      </c>
      <c r="F766" t="s">
        <v>1782</v>
      </c>
      <c r="G766" t="s">
        <v>3129</v>
      </c>
      <c r="H766" t="s">
        <v>3131</v>
      </c>
      <c r="J766" s="455">
        <v>46164</v>
      </c>
      <c r="U766" s="455">
        <v>46164</v>
      </c>
    </row>
    <row r="767" spans="1:21">
      <c r="A767" t="s">
        <v>1751</v>
      </c>
      <c r="B767" t="s">
        <v>3984</v>
      </c>
      <c r="C767" t="s">
        <v>1751</v>
      </c>
      <c r="D767">
        <v>20518563</v>
      </c>
      <c r="E767" t="s">
        <v>1897</v>
      </c>
      <c r="F767" t="s">
        <v>1912</v>
      </c>
      <c r="G767" t="s">
        <v>3134</v>
      </c>
      <c r="H767" t="s">
        <v>1247</v>
      </c>
      <c r="J767" s="455">
        <v>46148</v>
      </c>
      <c r="K767" s="455">
        <v>46148</v>
      </c>
      <c r="U767" s="455">
        <v>46148</v>
      </c>
    </row>
    <row r="768" spans="1:21">
      <c r="A768" t="s">
        <v>1751</v>
      </c>
      <c r="B768" t="s">
        <v>3984</v>
      </c>
      <c r="C768" t="s">
        <v>1751</v>
      </c>
      <c r="D768">
        <v>20518550</v>
      </c>
      <c r="E768" t="s">
        <v>3190</v>
      </c>
      <c r="F768" t="s">
        <v>1782</v>
      </c>
      <c r="G768" t="s">
        <v>3129</v>
      </c>
      <c r="H768" t="s">
        <v>1252</v>
      </c>
      <c r="J768" s="455">
        <v>46148</v>
      </c>
      <c r="R768" s="455">
        <v>46164</v>
      </c>
      <c r="U768" s="455">
        <v>46148</v>
      </c>
    </row>
    <row r="769" spans="1:21">
      <c r="A769" t="s">
        <v>1751</v>
      </c>
      <c r="B769" t="s">
        <v>10808</v>
      </c>
      <c r="C769" t="s">
        <v>1751</v>
      </c>
      <c r="D769">
        <v>20535291</v>
      </c>
      <c r="E769" t="s">
        <v>3133</v>
      </c>
      <c r="F769" t="s">
        <v>1782</v>
      </c>
      <c r="G769" t="s">
        <v>3134</v>
      </c>
      <c r="H769" t="s">
        <v>1247</v>
      </c>
      <c r="I769" t="s">
        <v>1541</v>
      </c>
      <c r="J769" s="455">
        <v>46167</v>
      </c>
      <c r="K769" s="455">
        <v>46167</v>
      </c>
      <c r="L769" s="455">
        <v>46168</v>
      </c>
      <c r="S769" s="455">
        <v>46168</v>
      </c>
      <c r="U769" s="455">
        <v>46185</v>
      </c>
    </row>
    <row r="770" spans="1:21">
      <c r="A770" t="s">
        <v>1751</v>
      </c>
      <c r="B770" t="s">
        <v>3985</v>
      </c>
      <c r="C770" t="s">
        <v>1751</v>
      </c>
      <c r="D770">
        <v>20535313</v>
      </c>
      <c r="E770" t="s">
        <v>1897</v>
      </c>
      <c r="F770" t="s">
        <v>1241</v>
      </c>
      <c r="G770" t="s">
        <v>3134</v>
      </c>
      <c r="H770" t="s">
        <v>1247</v>
      </c>
      <c r="J770" s="455">
        <v>46167</v>
      </c>
      <c r="K770" s="455">
        <v>46167</v>
      </c>
      <c r="U770" s="455">
        <v>46193</v>
      </c>
    </row>
    <row r="771" spans="1:21">
      <c r="A771" t="s">
        <v>1751</v>
      </c>
      <c r="B771" t="s">
        <v>3986</v>
      </c>
      <c r="C771" t="s">
        <v>1751</v>
      </c>
      <c r="D771">
        <v>20535519</v>
      </c>
      <c r="E771" t="s">
        <v>1897</v>
      </c>
      <c r="F771" t="s">
        <v>1241</v>
      </c>
      <c r="G771" t="s">
        <v>3134</v>
      </c>
      <c r="H771" t="s">
        <v>1247</v>
      </c>
      <c r="I771" t="s">
        <v>1895</v>
      </c>
      <c r="J771" s="455">
        <v>46168</v>
      </c>
      <c r="K771" s="455">
        <v>46168</v>
      </c>
      <c r="U771" s="455">
        <v>46192</v>
      </c>
    </row>
    <row r="772" spans="1:21">
      <c r="A772" t="s">
        <v>1751</v>
      </c>
      <c r="B772" t="s">
        <v>2402</v>
      </c>
      <c r="C772" t="s">
        <v>1751</v>
      </c>
      <c r="D772">
        <v>20509560</v>
      </c>
      <c r="E772" t="s">
        <v>3142</v>
      </c>
      <c r="F772" t="s">
        <v>1237</v>
      </c>
      <c r="G772" t="s">
        <v>3134</v>
      </c>
      <c r="H772" t="s">
        <v>1247</v>
      </c>
      <c r="I772" t="s">
        <v>1834</v>
      </c>
      <c r="J772" s="455">
        <v>46137</v>
      </c>
      <c r="K772" s="455">
        <v>46137</v>
      </c>
      <c r="L772" s="455">
        <v>46139</v>
      </c>
      <c r="M772" s="455">
        <v>46148</v>
      </c>
      <c r="N772" s="455">
        <v>46148</v>
      </c>
      <c r="O772" s="455">
        <v>46148</v>
      </c>
      <c r="P772" s="455">
        <v>46148</v>
      </c>
      <c r="Q772" s="455">
        <v>46148</v>
      </c>
      <c r="U772" s="455">
        <v>46153</v>
      </c>
    </row>
    <row r="773" spans="1:21">
      <c r="A773" t="s">
        <v>1751</v>
      </c>
      <c r="B773" t="s">
        <v>10809</v>
      </c>
      <c r="C773" t="s">
        <v>1751</v>
      </c>
      <c r="D773">
        <v>20514566</v>
      </c>
      <c r="E773" t="s">
        <v>3128</v>
      </c>
      <c r="F773" t="s">
        <v>1239</v>
      </c>
      <c r="G773" t="s">
        <v>3129</v>
      </c>
      <c r="H773" t="s">
        <v>1253</v>
      </c>
      <c r="I773" t="s">
        <v>1565</v>
      </c>
      <c r="J773" s="455">
        <v>46143</v>
      </c>
      <c r="U773" s="455">
        <v>46183</v>
      </c>
    </row>
    <row r="774" spans="1:21">
      <c r="A774" t="s">
        <v>1751</v>
      </c>
      <c r="B774" t="s">
        <v>10810</v>
      </c>
      <c r="C774" t="s">
        <v>1751</v>
      </c>
      <c r="D774">
        <v>20532488</v>
      </c>
      <c r="E774" t="s">
        <v>3128</v>
      </c>
      <c r="F774" t="s">
        <v>1782</v>
      </c>
      <c r="G774" t="s">
        <v>3141</v>
      </c>
      <c r="H774" t="s">
        <v>1252</v>
      </c>
      <c r="J774" s="455">
        <v>46163</v>
      </c>
      <c r="U774" s="455">
        <v>46204</v>
      </c>
    </row>
    <row r="775" spans="1:21">
      <c r="A775" t="s">
        <v>1751</v>
      </c>
      <c r="B775" t="s">
        <v>10118</v>
      </c>
      <c r="C775" t="s">
        <v>1751</v>
      </c>
      <c r="D775">
        <v>20511983</v>
      </c>
      <c r="E775" t="s">
        <v>3190</v>
      </c>
      <c r="F775" t="s">
        <v>1242</v>
      </c>
      <c r="G775" t="s">
        <v>2009</v>
      </c>
      <c r="H775" t="s">
        <v>1251</v>
      </c>
      <c r="J775" s="455">
        <v>46140</v>
      </c>
      <c r="R775" s="455">
        <v>46164</v>
      </c>
      <c r="U775" s="455">
        <v>46179</v>
      </c>
    </row>
    <row r="776" spans="1:21">
      <c r="A776" t="s">
        <v>1751</v>
      </c>
      <c r="B776" t="s">
        <v>10811</v>
      </c>
      <c r="C776" t="s">
        <v>1751</v>
      </c>
      <c r="D776">
        <v>20528708</v>
      </c>
      <c r="E776" t="s">
        <v>3128</v>
      </c>
      <c r="F776" t="s">
        <v>1782</v>
      </c>
      <c r="G776" t="s">
        <v>3134</v>
      </c>
      <c r="H776" t="s">
        <v>1252</v>
      </c>
      <c r="J776" s="455">
        <v>46159</v>
      </c>
      <c r="U776" s="455">
        <v>46343</v>
      </c>
    </row>
    <row r="777" spans="1:21">
      <c r="A777" t="s">
        <v>1751</v>
      </c>
      <c r="B777" t="s">
        <v>6451</v>
      </c>
      <c r="C777" t="s">
        <v>1751</v>
      </c>
      <c r="D777">
        <v>20526339</v>
      </c>
      <c r="E777" t="s">
        <v>3142</v>
      </c>
      <c r="F777" t="s">
        <v>1242</v>
      </c>
      <c r="G777" t="s">
        <v>3134</v>
      </c>
      <c r="H777" t="s">
        <v>1247</v>
      </c>
      <c r="I777" t="s">
        <v>3332</v>
      </c>
      <c r="J777" s="455">
        <v>46156</v>
      </c>
      <c r="K777" s="455">
        <v>46156</v>
      </c>
      <c r="L777" s="455">
        <v>46169</v>
      </c>
      <c r="M777" s="455">
        <v>46170</v>
      </c>
      <c r="N777" s="455">
        <v>46170</v>
      </c>
      <c r="P777" s="455">
        <v>46171</v>
      </c>
      <c r="Q777" s="455">
        <v>46171</v>
      </c>
      <c r="U777" s="455">
        <v>46188</v>
      </c>
    </row>
    <row r="778" spans="1:21">
      <c r="A778" t="s">
        <v>1751</v>
      </c>
      <c r="B778" t="s">
        <v>10120</v>
      </c>
      <c r="C778" t="s">
        <v>1751</v>
      </c>
      <c r="D778">
        <v>20517135</v>
      </c>
      <c r="E778" t="s">
        <v>3128</v>
      </c>
      <c r="F778" t="s">
        <v>1782</v>
      </c>
      <c r="G778" t="s">
        <v>3134</v>
      </c>
      <c r="H778" t="s">
        <v>3165</v>
      </c>
      <c r="J778" s="455">
        <v>46147</v>
      </c>
      <c r="U778" s="455">
        <v>46150</v>
      </c>
    </row>
    <row r="779" spans="1:21">
      <c r="A779" t="s">
        <v>1751</v>
      </c>
      <c r="B779" t="s">
        <v>3996</v>
      </c>
      <c r="C779" t="s">
        <v>1751</v>
      </c>
      <c r="D779">
        <v>20531866</v>
      </c>
      <c r="E779" t="s">
        <v>1897</v>
      </c>
      <c r="F779" t="s">
        <v>1782</v>
      </c>
      <c r="G779" t="s">
        <v>3129</v>
      </c>
      <c r="H779" t="s">
        <v>1252</v>
      </c>
      <c r="I779" t="s">
        <v>3997</v>
      </c>
      <c r="J779" s="455">
        <v>46162</v>
      </c>
      <c r="K779" s="455">
        <v>46162</v>
      </c>
      <c r="U779" s="455">
        <v>46164</v>
      </c>
    </row>
    <row r="780" spans="1:21">
      <c r="A780" t="s">
        <v>1751</v>
      </c>
      <c r="B780" t="s">
        <v>10121</v>
      </c>
      <c r="C780" t="s">
        <v>1751</v>
      </c>
      <c r="D780">
        <v>20500576</v>
      </c>
      <c r="E780" t="s">
        <v>3133</v>
      </c>
      <c r="F780" t="s">
        <v>1241</v>
      </c>
      <c r="G780" t="s">
        <v>3134</v>
      </c>
      <c r="H780" t="s">
        <v>1247</v>
      </c>
      <c r="I780" t="s">
        <v>2127</v>
      </c>
      <c r="J780" s="455">
        <v>46130</v>
      </c>
      <c r="K780" s="455">
        <v>46130</v>
      </c>
      <c r="R780" s="455">
        <v>46164</v>
      </c>
      <c r="U780" s="455">
        <v>46130</v>
      </c>
    </row>
    <row r="781" spans="1:21">
      <c r="A781" t="s">
        <v>1751</v>
      </c>
      <c r="B781" t="s">
        <v>3998</v>
      </c>
      <c r="C781" t="s">
        <v>1751</v>
      </c>
      <c r="D781">
        <v>20526487</v>
      </c>
      <c r="E781" t="s">
        <v>1897</v>
      </c>
      <c r="F781" t="s">
        <v>1241</v>
      </c>
      <c r="G781" t="s">
        <v>3134</v>
      </c>
      <c r="H781" t="s">
        <v>1247</v>
      </c>
      <c r="I781" t="s">
        <v>3179</v>
      </c>
      <c r="J781" s="455">
        <v>46156</v>
      </c>
      <c r="K781" s="455">
        <v>46156</v>
      </c>
      <c r="U781" s="455">
        <v>46174</v>
      </c>
    </row>
    <row r="782" spans="1:21">
      <c r="A782" t="s">
        <v>1751</v>
      </c>
      <c r="B782" t="s">
        <v>10812</v>
      </c>
      <c r="C782" t="s">
        <v>1751</v>
      </c>
      <c r="D782">
        <v>20522622</v>
      </c>
      <c r="E782" t="s">
        <v>3190</v>
      </c>
      <c r="F782" t="s">
        <v>1782</v>
      </c>
      <c r="G782" t="s">
        <v>3141</v>
      </c>
      <c r="H782" t="s">
        <v>1252</v>
      </c>
      <c r="J782" s="455">
        <v>46153</v>
      </c>
      <c r="R782" s="455">
        <v>46164</v>
      </c>
      <c r="U782" s="455">
        <v>46164</v>
      </c>
    </row>
    <row r="783" spans="1:21">
      <c r="A783" t="s">
        <v>1751</v>
      </c>
      <c r="B783" t="s">
        <v>10813</v>
      </c>
      <c r="C783" t="s">
        <v>1751</v>
      </c>
      <c r="D783">
        <v>20521450</v>
      </c>
      <c r="E783" t="s">
        <v>3128</v>
      </c>
      <c r="F783" t="s">
        <v>1782</v>
      </c>
      <c r="G783" t="s">
        <v>3141</v>
      </c>
      <c r="H783" t="s">
        <v>1252</v>
      </c>
      <c r="J783" s="455">
        <v>46152</v>
      </c>
      <c r="U783" s="455">
        <v>46174</v>
      </c>
    </row>
    <row r="784" spans="1:21">
      <c r="A784" t="s">
        <v>1751</v>
      </c>
      <c r="B784" t="s">
        <v>10814</v>
      </c>
      <c r="C784" t="s">
        <v>1751</v>
      </c>
      <c r="D784">
        <v>20525864</v>
      </c>
      <c r="E784" t="s">
        <v>3190</v>
      </c>
      <c r="F784" t="s">
        <v>1782</v>
      </c>
      <c r="G784" t="s">
        <v>3134</v>
      </c>
      <c r="H784" t="s">
        <v>1252</v>
      </c>
      <c r="I784" t="s">
        <v>1565</v>
      </c>
      <c r="J784" s="455">
        <v>46156</v>
      </c>
      <c r="R784" s="455">
        <v>46164</v>
      </c>
      <c r="U784" s="455">
        <v>46254</v>
      </c>
    </row>
    <row r="785" spans="1:21">
      <c r="A785" t="s">
        <v>1751</v>
      </c>
      <c r="B785" t="s">
        <v>10815</v>
      </c>
      <c r="C785" t="s">
        <v>1751</v>
      </c>
      <c r="D785">
        <v>20516652</v>
      </c>
      <c r="E785" t="s">
        <v>3128</v>
      </c>
      <c r="F785" t="s">
        <v>1782</v>
      </c>
      <c r="G785" t="s">
        <v>3129</v>
      </c>
      <c r="H785" t="s">
        <v>3131</v>
      </c>
      <c r="J785" s="455">
        <v>46146</v>
      </c>
      <c r="U785" s="455">
        <v>46146</v>
      </c>
    </row>
    <row r="786" spans="1:21">
      <c r="A786" t="s">
        <v>1751</v>
      </c>
      <c r="B786" t="s">
        <v>10816</v>
      </c>
      <c r="C786" t="s">
        <v>1751</v>
      </c>
      <c r="D786">
        <v>20525900</v>
      </c>
      <c r="E786" t="s">
        <v>3190</v>
      </c>
      <c r="F786" t="s">
        <v>1237</v>
      </c>
      <c r="G786" t="s">
        <v>3129</v>
      </c>
      <c r="H786" t="s">
        <v>1252</v>
      </c>
      <c r="J786" s="455">
        <v>46156</v>
      </c>
      <c r="R786" s="455">
        <v>46164</v>
      </c>
      <c r="U786" s="455">
        <v>46156</v>
      </c>
    </row>
    <row r="787" spans="1:21">
      <c r="A787" t="s">
        <v>1751</v>
      </c>
      <c r="B787" t="s">
        <v>3006</v>
      </c>
      <c r="C787" t="s">
        <v>1751</v>
      </c>
      <c r="D787">
        <v>20520800</v>
      </c>
      <c r="E787" t="s">
        <v>1897</v>
      </c>
      <c r="F787" t="s">
        <v>1912</v>
      </c>
      <c r="G787" t="s">
        <v>3134</v>
      </c>
      <c r="H787" t="s">
        <v>1247</v>
      </c>
      <c r="I787" t="s">
        <v>2576</v>
      </c>
      <c r="J787" s="455">
        <v>46151</v>
      </c>
      <c r="K787" s="455">
        <v>46151</v>
      </c>
      <c r="U787" s="455">
        <v>46206</v>
      </c>
    </row>
    <row r="788" spans="1:21">
      <c r="A788" t="s">
        <v>1751</v>
      </c>
      <c r="B788" t="s">
        <v>3006</v>
      </c>
      <c r="C788" t="s">
        <v>1751</v>
      </c>
      <c r="D788">
        <v>20528801</v>
      </c>
      <c r="E788" t="s">
        <v>1907</v>
      </c>
      <c r="F788" t="s">
        <v>1782</v>
      </c>
      <c r="G788" t="s">
        <v>3134</v>
      </c>
      <c r="H788" t="s">
        <v>1247</v>
      </c>
      <c r="I788" t="s">
        <v>2617</v>
      </c>
      <c r="J788" s="455">
        <v>46159</v>
      </c>
      <c r="K788" s="455">
        <v>46159</v>
      </c>
      <c r="L788" s="455">
        <v>46171</v>
      </c>
      <c r="U788" s="455">
        <v>46206</v>
      </c>
    </row>
    <row r="789" spans="1:21">
      <c r="A789" t="s">
        <v>1751</v>
      </c>
      <c r="B789" t="s">
        <v>6555</v>
      </c>
      <c r="C789" t="s">
        <v>1751</v>
      </c>
      <c r="D789">
        <v>20509117</v>
      </c>
      <c r="E789" t="s">
        <v>3142</v>
      </c>
      <c r="F789" t="s">
        <v>1242</v>
      </c>
      <c r="G789" t="s">
        <v>3143</v>
      </c>
      <c r="H789" t="s">
        <v>1252</v>
      </c>
      <c r="I789" t="s">
        <v>3262</v>
      </c>
      <c r="J789" s="455">
        <v>46136</v>
      </c>
      <c r="K789" s="455">
        <v>46137</v>
      </c>
      <c r="L789" s="455">
        <v>46137</v>
      </c>
      <c r="M789" s="455">
        <v>46154</v>
      </c>
      <c r="N789" s="455">
        <v>46155</v>
      </c>
      <c r="O789" s="455">
        <v>46155</v>
      </c>
      <c r="P789" s="455">
        <v>46155</v>
      </c>
      <c r="Q789" s="455">
        <v>46156</v>
      </c>
      <c r="U789" s="455">
        <v>46157</v>
      </c>
    </row>
    <row r="790" spans="1:21">
      <c r="A790" t="s">
        <v>1751</v>
      </c>
      <c r="B790" t="s">
        <v>10817</v>
      </c>
      <c r="C790" t="s">
        <v>1751</v>
      </c>
      <c r="D790">
        <v>20519598</v>
      </c>
      <c r="E790" t="s">
        <v>3128</v>
      </c>
      <c r="F790" t="s">
        <v>1241</v>
      </c>
      <c r="G790" t="s">
        <v>3134</v>
      </c>
      <c r="H790" t="s">
        <v>1252</v>
      </c>
      <c r="J790" s="455">
        <v>46149</v>
      </c>
      <c r="U790" s="455">
        <v>46174</v>
      </c>
    </row>
    <row r="791" spans="1:21">
      <c r="A791" t="s">
        <v>1751</v>
      </c>
      <c r="B791" t="s">
        <v>10130</v>
      </c>
      <c r="C791" t="s">
        <v>1751</v>
      </c>
      <c r="D791">
        <v>20429666</v>
      </c>
      <c r="E791" t="s">
        <v>3190</v>
      </c>
      <c r="F791" t="s">
        <v>1237</v>
      </c>
      <c r="G791" t="s">
        <v>3134</v>
      </c>
      <c r="H791" t="s">
        <v>1247</v>
      </c>
      <c r="I791" t="s">
        <v>6580</v>
      </c>
      <c r="J791" s="455">
        <v>46039</v>
      </c>
      <c r="K791" s="455">
        <v>46039</v>
      </c>
      <c r="R791" s="455">
        <v>46160</v>
      </c>
      <c r="U791" s="455">
        <v>46039</v>
      </c>
    </row>
    <row r="792" spans="1:21">
      <c r="A792" t="s">
        <v>1751</v>
      </c>
      <c r="B792" t="s">
        <v>10818</v>
      </c>
      <c r="C792" t="s">
        <v>1751</v>
      </c>
      <c r="D792">
        <v>20529244</v>
      </c>
      <c r="E792" t="s">
        <v>3190</v>
      </c>
      <c r="F792" t="s">
        <v>1239</v>
      </c>
      <c r="G792" t="s">
        <v>3143</v>
      </c>
      <c r="H792" t="s">
        <v>1249</v>
      </c>
      <c r="I792" t="s">
        <v>3344</v>
      </c>
      <c r="J792" s="455">
        <v>46160</v>
      </c>
      <c r="R792" s="455">
        <v>46164</v>
      </c>
      <c r="U792" s="455">
        <v>46160</v>
      </c>
    </row>
    <row r="793" spans="1:21">
      <c r="A793" t="s">
        <v>1751</v>
      </c>
      <c r="B793" t="s">
        <v>4016</v>
      </c>
      <c r="C793" t="s">
        <v>1751</v>
      </c>
      <c r="D793">
        <v>20493027</v>
      </c>
      <c r="E793" t="s">
        <v>3133</v>
      </c>
      <c r="F793" t="s">
        <v>3158</v>
      </c>
      <c r="G793" t="s">
        <v>3137</v>
      </c>
      <c r="H793" t="s">
        <v>1247</v>
      </c>
      <c r="I793" t="s">
        <v>1519</v>
      </c>
      <c r="J793" s="455">
        <v>46124</v>
      </c>
      <c r="K793" s="455">
        <v>46128</v>
      </c>
      <c r="L793" s="455">
        <v>46128</v>
      </c>
      <c r="R793" s="455">
        <v>46143</v>
      </c>
      <c r="U793" s="455">
        <v>46162</v>
      </c>
    </row>
    <row r="794" spans="1:21">
      <c r="A794" t="s">
        <v>1751</v>
      </c>
      <c r="B794" t="s">
        <v>10819</v>
      </c>
      <c r="C794" t="s">
        <v>1751</v>
      </c>
      <c r="D794">
        <v>20529045</v>
      </c>
      <c r="E794" t="s">
        <v>3128</v>
      </c>
      <c r="F794" t="s">
        <v>1782</v>
      </c>
      <c r="G794" t="s">
        <v>3141</v>
      </c>
      <c r="H794" t="s">
        <v>1252</v>
      </c>
      <c r="J794" s="455">
        <v>46160</v>
      </c>
      <c r="U794" s="455">
        <v>46226</v>
      </c>
    </row>
    <row r="795" spans="1:21">
      <c r="A795" t="s">
        <v>1751</v>
      </c>
      <c r="B795" t="s">
        <v>10820</v>
      </c>
      <c r="C795" t="s">
        <v>1751</v>
      </c>
      <c r="D795">
        <v>20517496</v>
      </c>
      <c r="E795" t="s">
        <v>3128</v>
      </c>
      <c r="F795" t="s">
        <v>1782</v>
      </c>
      <c r="G795" t="s">
        <v>3129</v>
      </c>
      <c r="H795" t="s">
        <v>1253</v>
      </c>
      <c r="J795" s="455">
        <v>46147</v>
      </c>
      <c r="U795" s="455">
        <v>46235</v>
      </c>
    </row>
    <row r="796" spans="1:21">
      <c r="A796" t="s">
        <v>1751</v>
      </c>
      <c r="B796" t="s">
        <v>10821</v>
      </c>
      <c r="C796" t="s">
        <v>1751</v>
      </c>
      <c r="D796">
        <v>20537568</v>
      </c>
      <c r="E796" t="s">
        <v>3128</v>
      </c>
      <c r="F796" t="s">
        <v>1782</v>
      </c>
      <c r="G796" t="s">
        <v>3129</v>
      </c>
      <c r="H796" t="s">
        <v>3131</v>
      </c>
      <c r="J796" s="455">
        <v>46170</v>
      </c>
      <c r="U796" s="455">
        <v>46170</v>
      </c>
    </row>
    <row r="797" spans="1:21">
      <c r="A797" t="s">
        <v>1751</v>
      </c>
      <c r="B797" t="s">
        <v>10822</v>
      </c>
      <c r="C797" t="s">
        <v>1751</v>
      </c>
      <c r="D797">
        <v>20525016</v>
      </c>
      <c r="E797" t="s">
        <v>3190</v>
      </c>
      <c r="F797" t="s">
        <v>1782</v>
      </c>
      <c r="G797" t="s">
        <v>3141</v>
      </c>
      <c r="H797" t="s">
        <v>1252</v>
      </c>
      <c r="J797" s="455">
        <v>46155</v>
      </c>
      <c r="R797" s="455">
        <v>46164</v>
      </c>
      <c r="U797" s="455">
        <v>46213</v>
      </c>
    </row>
    <row r="798" spans="1:21">
      <c r="A798" t="s">
        <v>1751</v>
      </c>
      <c r="B798" t="s">
        <v>10823</v>
      </c>
      <c r="C798" t="s">
        <v>1751</v>
      </c>
      <c r="D798">
        <v>20515564</v>
      </c>
      <c r="E798" t="s">
        <v>3133</v>
      </c>
      <c r="F798" t="s">
        <v>1241</v>
      </c>
      <c r="G798" t="s">
        <v>3134</v>
      </c>
      <c r="H798" t="s">
        <v>1247</v>
      </c>
      <c r="I798" t="s">
        <v>3202</v>
      </c>
      <c r="J798" s="455">
        <v>46144</v>
      </c>
      <c r="K798" s="455">
        <v>46144</v>
      </c>
      <c r="R798" s="455">
        <v>46164</v>
      </c>
      <c r="U798" s="455">
        <v>46144</v>
      </c>
    </row>
    <row r="799" spans="1:21">
      <c r="A799" t="s">
        <v>1751</v>
      </c>
      <c r="B799" t="s">
        <v>10824</v>
      </c>
      <c r="C799" t="s">
        <v>1751</v>
      </c>
      <c r="D799">
        <v>20532591</v>
      </c>
      <c r="E799" t="s">
        <v>3128</v>
      </c>
      <c r="F799" t="s">
        <v>1782</v>
      </c>
      <c r="G799" t="s">
        <v>3134</v>
      </c>
      <c r="H799" t="s">
        <v>1252</v>
      </c>
      <c r="J799" s="455">
        <v>46163</v>
      </c>
      <c r="U799" s="455">
        <v>46266</v>
      </c>
    </row>
    <row r="800" spans="1:21">
      <c r="A800" t="s">
        <v>1751</v>
      </c>
      <c r="B800" t="s">
        <v>4019</v>
      </c>
      <c r="C800" t="s">
        <v>1751</v>
      </c>
      <c r="D800">
        <v>20518677</v>
      </c>
      <c r="E800" t="s">
        <v>1897</v>
      </c>
      <c r="F800" t="s">
        <v>1912</v>
      </c>
      <c r="G800" t="s">
        <v>3134</v>
      </c>
      <c r="H800" t="s">
        <v>1247</v>
      </c>
      <c r="I800" t="s">
        <v>1524</v>
      </c>
      <c r="J800" s="455">
        <v>46148</v>
      </c>
      <c r="K800" s="455">
        <v>46148</v>
      </c>
      <c r="U800" s="455">
        <v>46171</v>
      </c>
    </row>
    <row r="801" spans="1:21">
      <c r="A801" t="s">
        <v>1751</v>
      </c>
      <c r="B801" t="s">
        <v>10825</v>
      </c>
      <c r="C801" t="s">
        <v>1751</v>
      </c>
      <c r="D801">
        <v>20515133</v>
      </c>
      <c r="E801" t="s">
        <v>3128</v>
      </c>
      <c r="F801" t="s">
        <v>1241</v>
      </c>
      <c r="G801" t="s">
        <v>3137</v>
      </c>
      <c r="H801" t="s">
        <v>1247</v>
      </c>
      <c r="J801" s="455">
        <v>46144</v>
      </c>
      <c r="U801" s="455">
        <v>46144</v>
      </c>
    </row>
    <row r="802" spans="1:21">
      <c r="A802" t="s">
        <v>1751</v>
      </c>
      <c r="B802" t="s">
        <v>4023</v>
      </c>
      <c r="C802" t="s">
        <v>1751</v>
      </c>
      <c r="D802">
        <v>20539072</v>
      </c>
      <c r="E802" t="s">
        <v>1907</v>
      </c>
      <c r="F802" t="s">
        <v>1243</v>
      </c>
      <c r="G802" t="s">
        <v>3143</v>
      </c>
      <c r="H802" t="s">
        <v>1252</v>
      </c>
      <c r="I802" t="s">
        <v>2488</v>
      </c>
      <c r="J802" s="455">
        <v>46171</v>
      </c>
      <c r="K802" s="455">
        <v>46172</v>
      </c>
      <c r="L802" s="455">
        <v>46172</v>
      </c>
      <c r="U802" s="455">
        <v>46184</v>
      </c>
    </row>
    <row r="803" spans="1:21">
      <c r="A803" t="s">
        <v>1751</v>
      </c>
      <c r="B803" t="s">
        <v>10826</v>
      </c>
      <c r="C803" t="s">
        <v>1751</v>
      </c>
      <c r="D803">
        <v>20519070</v>
      </c>
      <c r="E803" t="s">
        <v>3128</v>
      </c>
      <c r="F803" t="s">
        <v>1782</v>
      </c>
      <c r="G803" t="s">
        <v>3137</v>
      </c>
      <c r="H803" t="s">
        <v>1252</v>
      </c>
      <c r="J803" s="455">
        <v>46149</v>
      </c>
      <c r="U803" s="455">
        <v>46157</v>
      </c>
    </row>
    <row r="804" spans="1:21">
      <c r="A804" t="s">
        <v>1751</v>
      </c>
      <c r="B804" t="s">
        <v>6944</v>
      </c>
      <c r="C804" t="s">
        <v>1751</v>
      </c>
      <c r="D804">
        <v>20509393</v>
      </c>
      <c r="E804" t="s">
        <v>3142</v>
      </c>
      <c r="F804" t="s">
        <v>1239</v>
      </c>
      <c r="G804" t="s">
        <v>3141</v>
      </c>
      <c r="H804" t="s">
        <v>1252</v>
      </c>
      <c r="I804" t="s">
        <v>3851</v>
      </c>
      <c r="J804" s="455">
        <v>46136</v>
      </c>
      <c r="K804" s="455">
        <v>46141</v>
      </c>
      <c r="L804" s="455">
        <v>46141</v>
      </c>
      <c r="M804" s="455">
        <v>46146</v>
      </c>
      <c r="N804" s="455">
        <v>46149</v>
      </c>
      <c r="P804" s="455">
        <v>46149</v>
      </c>
      <c r="Q804" s="455">
        <v>46150</v>
      </c>
      <c r="U804" s="455">
        <v>46160</v>
      </c>
    </row>
    <row r="805" spans="1:21">
      <c r="A805" t="s">
        <v>1751</v>
      </c>
      <c r="B805" t="s">
        <v>10827</v>
      </c>
      <c r="C805" t="s">
        <v>1751</v>
      </c>
      <c r="D805">
        <v>20521471</v>
      </c>
      <c r="E805" t="s">
        <v>3128</v>
      </c>
      <c r="F805" t="s">
        <v>1782</v>
      </c>
      <c r="G805" t="s">
        <v>3129</v>
      </c>
      <c r="H805" t="s">
        <v>1252</v>
      </c>
      <c r="J805" s="455">
        <v>46152</v>
      </c>
      <c r="U805" s="455">
        <v>46152</v>
      </c>
    </row>
    <row r="806" spans="1:21">
      <c r="A806" t="s">
        <v>1751</v>
      </c>
      <c r="B806" t="s">
        <v>10828</v>
      </c>
      <c r="C806" t="s">
        <v>1751</v>
      </c>
      <c r="D806">
        <v>20517782</v>
      </c>
      <c r="E806" t="s">
        <v>3128</v>
      </c>
      <c r="F806" t="s">
        <v>1241</v>
      </c>
      <c r="G806" t="s">
        <v>2009</v>
      </c>
      <c r="H806" t="s">
        <v>1252</v>
      </c>
      <c r="J806" s="455">
        <v>46147</v>
      </c>
      <c r="U806" s="455">
        <v>46207</v>
      </c>
    </row>
    <row r="807" spans="1:21">
      <c r="A807" t="s">
        <v>1751</v>
      </c>
      <c r="B807" t="s">
        <v>10829</v>
      </c>
      <c r="C807" t="s">
        <v>1751</v>
      </c>
      <c r="D807">
        <v>20532533</v>
      </c>
      <c r="E807" t="s">
        <v>3190</v>
      </c>
      <c r="F807" t="s">
        <v>1782</v>
      </c>
      <c r="G807" t="s">
        <v>3129</v>
      </c>
      <c r="H807" t="s">
        <v>3131</v>
      </c>
      <c r="J807" s="455">
        <v>46163</v>
      </c>
      <c r="R807" s="455">
        <v>46164</v>
      </c>
      <c r="U807" s="455">
        <v>46163</v>
      </c>
    </row>
    <row r="808" spans="1:21">
      <c r="A808" t="s">
        <v>1751</v>
      </c>
      <c r="B808" t="s">
        <v>10830</v>
      </c>
      <c r="C808" t="s">
        <v>1751</v>
      </c>
      <c r="D808">
        <v>20540019</v>
      </c>
      <c r="E808" t="s">
        <v>3128</v>
      </c>
      <c r="F808" t="s">
        <v>1241</v>
      </c>
      <c r="G808" t="s">
        <v>2009</v>
      </c>
      <c r="H808" t="s">
        <v>1252</v>
      </c>
      <c r="J808" s="455">
        <v>46173</v>
      </c>
      <c r="U808" s="455">
        <v>46175</v>
      </c>
    </row>
    <row r="809" spans="1:21">
      <c r="A809" t="s">
        <v>1751</v>
      </c>
      <c r="B809" t="s">
        <v>6759</v>
      </c>
      <c r="C809" t="s">
        <v>1751</v>
      </c>
      <c r="D809">
        <v>20512160</v>
      </c>
      <c r="E809" t="s">
        <v>3142</v>
      </c>
      <c r="F809" t="s">
        <v>1237</v>
      </c>
      <c r="G809" t="s">
        <v>3141</v>
      </c>
      <c r="H809" t="s">
        <v>1940</v>
      </c>
      <c r="I809" t="s">
        <v>5716</v>
      </c>
      <c r="J809" s="455">
        <v>46140</v>
      </c>
      <c r="K809" s="455">
        <v>46141</v>
      </c>
      <c r="L809" s="455">
        <v>46141</v>
      </c>
      <c r="M809" s="455">
        <v>46146</v>
      </c>
      <c r="N809" s="455">
        <v>46146</v>
      </c>
      <c r="P809" s="455">
        <v>46146</v>
      </c>
      <c r="Q809" s="455">
        <v>46147</v>
      </c>
      <c r="U809" s="455">
        <v>46153</v>
      </c>
    </row>
    <row r="810" spans="1:21">
      <c r="A810" t="s">
        <v>1751</v>
      </c>
      <c r="B810" t="s">
        <v>4031</v>
      </c>
      <c r="C810" t="s">
        <v>1751</v>
      </c>
      <c r="D810">
        <v>20534327</v>
      </c>
      <c r="E810" t="s">
        <v>1897</v>
      </c>
      <c r="F810" t="s">
        <v>1241</v>
      </c>
      <c r="G810" t="s">
        <v>3134</v>
      </c>
      <c r="H810" t="s">
        <v>1247</v>
      </c>
      <c r="I810" t="s">
        <v>1950</v>
      </c>
      <c r="J810" s="455">
        <v>46165</v>
      </c>
      <c r="K810" s="455">
        <v>46165</v>
      </c>
      <c r="U810" s="455">
        <v>46177</v>
      </c>
    </row>
    <row r="811" spans="1:21">
      <c r="A811" t="s">
        <v>1751</v>
      </c>
      <c r="B811" t="s">
        <v>4032</v>
      </c>
      <c r="C811" t="s">
        <v>1751</v>
      </c>
      <c r="D811">
        <v>20530949</v>
      </c>
      <c r="E811" t="s">
        <v>3128</v>
      </c>
      <c r="F811" t="s">
        <v>1782</v>
      </c>
      <c r="G811" t="s">
        <v>3141</v>
      </c>
      <c r="H811" t="s">
        <v>1252</v>
      </c>
      <c r="J811" s="455">
        <v>46161</v>
      </c>
      <c r="U811" s="455">
        <v>46320</v>
      </c>
    </row>
    <row r="812" spans="1:21">
      <c r="A812" t="s">
        <v>1751</v>
      </c>
      <c r="B812" t="s">
        <v>10831</v>
      </c>
      <c r="C812" t="s">
        <v>1751</v>
      </c>
      <c r="D812">
        <v>20521528</v>
      </c>
      <c r="E812" t="s">
        <v>3190</v>
      </c>
      <c r="F812" t="s">
        <v>1782</v>
      </c>
      <c r="G812" t="s">
        <v>3134</v>
      </c>
      <c r="H812" t="s">
        <v>1252</v>
      </c>
      <c r="J812" s="455">
        <v>46152</v>
      </c>
      <c r="R812" s="455">
        <v>46164</v>
      </c>
      <c r="U812" s="455">
        <v>46153</v>
      </c>
    </row>
    <row r="813" spans="1:21">
      <c r="A813" t="s">
        <v>1751</v>
      </c>
      <c r="B813" t="s">
        <v>4034</v>
      </c>
      <c r="C813" t="s">
        <v>1751</v>
      </c>
      <c r="D813">
        <v>20534690</v>
      </c>
      <c r="E813" t="s">
        <v>1897</v>
      </c>
      <c r="F813" t="s">
        <v>1241</v>
      </c>
      <c r="G813" t="s">
        <v>3134</v>
      </c>
      <c r="H813" t="s">
        <v>1247</v>
      </c>
      <c r="J813" s="455">
        <v>46166</v>
      </c>
      <c r="K813" s="455">
        <v>46166</v>
      </c>
      <c r="U813" s="455">
        <v>46167</v>
      </c>
    </row>
    <row r="814" spans="1:21">
      <c r="A814" t="s">
        <v>1751</v>
      </c>
      <c r="B814" t="s">
        <v>4034</v>
      </c>
      <c r="C814" t="s">
        <v>1751</v>
      </c>
      <c r="D814">
        <v>20531259</v>
      </c>
      <c r="E814" t="s">
        <v>3142</v>
      </c>
      <c r="F814" t="s">
        <v>1237</v>
      </c>
      <c r="G814" t="s">
        <v>3134</v>
      </c>
      <c r="H814" t="s">
        <v>1247</v>
      </c>
      <c r="I814" t="s">
        <v>1952</v>
      </c>
      <c r="J814" s="455">
        <v>46161</v>
      </c>
      <c r="K814" s="455">
        <v>46161</v>
      </c>
      <c r="L814" s="455">
        <v>46161</v>
      </c>
      <c r="M814" s="455">
        <v>46169</v>
      </c>
      <c r="N814" s="455">
        <v>46169</v>
      </c>
      <c r="P814" s="455">
        <v>46169</v>
      </c>
      <c r="Q814" s="455">
        <v>46169</v>
      </c>
      <c r="U814" s="455">
        <v>46169</v>
      </c>
    </row>
    <row r="815" spans="1:21">
      <c r="A815" t="s">
        <v>1751</v>
      </c>
      <c r="B815" t="s">
        <v>10832</v>
      </c>
      <c r="C815" t="s">
        <v>1751</v>
      </c>
      <c r="D815">
        <v>20529578</v>
      </c>
      <c r="E815" t="s">
        <v>3128</v>
      </c>
      <c r="F815" t="s">
        <v>1237</v>
      </c>
      <c r="G815" t="s">
        <v>3143</v>
      </c>
      <c r="H815" t="s">
        <v>1248</v>
      </c>
      <c r="J815" s="455">
        <v>46160</v>
      </c>
      <c r="U815" s="455">
        <v>46179</v>
      </c>
    </row>
    <row r="816" spans="1:21">
      <c r="A816" t="s">
        <v>1751</v>
      </c>
      <c r="B816" t="s">
        <v>10833</v>
      </c>
      <c r="C816" t="s">
        <v>1751</v>
      </c>
      <c r="D816">
        <v>20532938</v>
      </c>
      <c r="E816" t="s">
        <v>3128</v>
      </c>
      <c r="F816" t="s">
        <v>1782</v>
      </c>
      <c r="G816" t="s">
        <v>3134</v>
      </c>
      <c r="H816" t="s">
        <v>3165</v>
      </c>
      <c r="J816" s="455">
        <v>46163</v>
      </c>
      <c r="U816" s="455">
        <v>46164</v>
      </c>
    </row>
    <row r="817" spans="1:21">
      <c r="A817" t="s">
        <v>1751</v>
      </c>
      <c r="B817" t="s">
        <v>10834</v>
      </c>
      <c r="C817" t="s">
        <v>1751</v>
      </c>
      <c r="D817">
        <v>20520905</v>
      </c>
      <c r="E817" t="s">
        <v>3128</v>
      </c>
      <c r="F817" t="s">
        <v>1782</v>
      </c>
      <c r="G817" t="s">
        <v>3137</v>
      </c>
      <c r="H817" t="s">
        <v>1252</v>
      </c>
      <c r="J817" s="455">
        <v>46151</v>
      </c>
      <c r="U817" s="455">
        <v>46211</v>
      </c>
    </row>
    <row r="818" spans="1:21">
      <c r="A818" t="s">
        <v>1751</v>
      </c>
      <c r="B818" t="s">
        <v>10835</v>
      </c>
      <c r="C818" t="s">
        <v>1751</v>
      </c>
      <c r="D818">
        <v>20539680</v>
      </c>
      <c r="E818" t="s">
        <v>3128</v>
      </c>
      <c r="F818" t="s">
        <v>1782</v>
      </c>
      <c r="G818" t="s">
        <v>3129</v>
      </c>
      <c r="H818" t="s">
        <v>3377</v>
      </c>
      <c r="J818" s="455">
        <v>46172</v>
      </c>
      <c r="U818" s="455">
        <v>46172</v>
      </c>
    </row>
    <row r="819" spans="1:21">
      <c r="A819" t="s">
        <v>1751</v>
      </c>
      <c r="B819" t="s">
        <v>10836</v>
      </c>
      <c r="C819" t="s">
        <v>1751</v>
      </c>
      <c r="D819">
        <v>20528641</v>
      </c>
      <c r="E819" t="s">
        <v>3128</v>
      </c>
      <c r="F819" t="s">
        <v>1782</v>
      </c>
      <c r="G819" t="s">
        <v>3141</v>
      </c>
      <c r="H819" t="s">
        <v>1252</v>
      </c>
      <c r="J819" s="455">
        <v>46159</v>
      </c>
      <c r="U819" s="455">
        <v>46204</v>
      </c>
    </row>
    <row r="820" spans="1:21">
      <c r="A820" t="s">
        <v>1751</v>
      </c>
      <c r="B820" t="s">
        <v>10837</v>
      </c>
      <c r="C820" t="s">
        <v>1751</v>
      </c>
      <c r="D820">
        <v>20516168</v>
      </c>
      <c r="E820" t="s">
        <v>3128</v>
      </c>
      <c r="F820" t="s">
        <v>1241</v>
      </c>
      <c r="G820" t="s">
        <v>2009</v>
      </c>
      <c r="H820" t="s">
        <v>1252</v>
      </c>
      <c r="J820" s="455">
        <v>46146</v>
      </c>
      <c r="U820" s="455">
        <v>46157</v>
      </c>
    </row>
    <row r="821" spans="1:21">
      <c r="A821" t="s">
        <v>1751</v>
      </c>
      <c r="B821" t="s">
        <v>10837</v>
      </c>
      <c r="C821" t="s">
        <v>1751</v>
      </c>
      <c r="D821">
        <v>20516170</v>
      </c>
      <c r="E821" t="s">
        <v>3128</v>
      </c>
      <c r="F821" t="s">
        <v>1782</v>
      </c>
      <c r="G821" t="s">
        <v>3141</v>
      </c>
      <c r="H821" t="s">
        <v>1252</v>
      </c>
      <c r="J821" s="455">
        <v>46146</v>
      </c>
      <c r="U821" s="455">
        <v>46157</v>
      </c>
    </row>
    <row r="822" spans="1:21">
      <c r="A822" t="s">
        <v>1751</v>
      </c>
      <c r="B822" t="s">
        <v>7153</v>
      </c>
      <c r="C822" t="s">
        <v>1751</v>
      </c>
      <c r="D822">
        <v>20507077</v>
      </c>
      <c r="E822" t="s">
        <v>3142</v>
      </c>
      <c r="F822" t="s">
        <v>1238</v>
      </c>
      <c r="G822" t="s">
        <v>3134</v>
      </c>
      <c r="H822" t="s">
        <v>1251</v>
      </c>
      <c r="I822" t="s">
        <v>1519</v>
      </c>
      <c r="J822" s="455">
        <v>46134</v>
      </c>
      <c r="K822" s="455">
        <v>46134</v>
      </c>
      <c r="L822" s="455">
        <v>46136</v>
      </c>
      <c r="M822" s="455">
        <v>46149</v>
      </c>
      <c r="N822" s="455">
        <v>46149</v>
      </c>
      <c r="O822" s="455">
        <v>46149</v>
      </c>
      <c r="P822" s="455">
        <v>46150</v>
      </c>
      <c r="Q822" s="455">
        <v>46150</v>
      </c>
      <c r="T822" s="455">
        <v>46148</v>
      </c>
      <c r="U822" s="455">
        <v>46151</v>
      </c>
    </row>
    <row r="823" spans="1:21">
      <c r="A823" t="s">
        <v>1751</v>
      </c>
      <c r="B823" t="s">
        <v>7153</v>
      </c>
      <c r="C823" t="s">
        <v>1751</v>
      </c>
      <c r="D823">
        <v>20483721</v>
      </c>
      <c r="E823" t="s">
        <v>3133</v>
      </c>
      <c r="F823" t="s">
        <v>1238</v>
      </c>
      <c r="G823" t="s">
        <v>3134</v>
      </c>
      <c r="H823" t="s">
        <v>1252</v>
      </c>
      <c r="I823" t="s">
        <v>3179</v>
      </c>
      <c r="J823" s="455">
        <v>46111</v>
      </c>
      <c r="K823" s="455">
        <v>46134</v>
      </c>
      <c r="R823" s="455">
        <v>46164</v>
      </c>
      <c r="U823" s="455">
        <v>46165</v>
      </c>
    </row>
    <row r="824" spans="1:21">
      <c r="A824" t="s">
        <v>1751</v>
      </c>
      <c r="B824" t="s">
        <v>10155</v>
      </c>
      <c r="C824" t="s">
        <v>1751</v>
      </c>
      <c r="D824">
        <v>20491002</v>
      </c>
      <c r="E824" t="s">
        <v>3133</v>
      </c>
      <c r="F824" t="s">
        <v>1239</v>
      </c>
      <c r="G824" t="s">
        <v>3143</v>
      </c>
      <c r="H824" t="s">
        <v>3685</v>
      </c>
      <c r="I824" t="s">
        <v>1559</v>
      </c>
      <c r="J824" s="455">
        <v>46121</v>
      </c>
      <c r="K824" s="455">
        <v>46148</v>
      </c>
      <c r="L824" s="455">
        <v>46153</v>
      </c>
      <c r="S824" s="455">
        <v>46156</v>
      </c>
      <c r="U824" s="455">
        <v>46188</v>
      </c>
    </row>
    <row r="825" spans="1:21">
      <c r="A825" t="s">
        <v>1751</v>
      </c>
      <c r="B825" t="s">
        <v>10838</v>
      </c>
      <c r="C825" t="s">
        <v>1751</v>
      </c>
      <c r="D825">
        <v>20515465</v>
      </c>
      <c r="E825" t="s">
        <v>3190</v>
      </c>
      <c r="F825" t="s">
        <v>1238</v>
      </c>
      <c r="G825" t="s">
        <v>3129</v>
      </c>
      <c r="H825" t="s">
        <v>1253</v>
      </c>
      <c r="J825" s="455">
        <v>46144</v>
      </c>
      <c r="K825" s="455">
        <v>46147</v>
      </c>
      <c r="R825" s="455">
        <v>46151</v>
      </c>
      <c r="U825" s="455">
        <v>46157</v>
      </c>
    </row>
    <row r="826" spans="1:21">
      <c r="A826" t="s">
        <v>1751</v>
      </c>
      <c r="B826" t="s">
        <v>10838</v>
      </c>
      <c r="C826" t="s">
        <v>1751</v>
      </c>
      <c r="D826">
        <v>20517534</v>
      </c>
      <c r="E826" t="s">
        <v>3133</v>
      </c>
      <c r="F826" t="s">
        <v>1238</v>
      </c>
      <c r="G826" t="s">
        <v>3134</v>
      </c>
      <c r="H826" t="s">
        <v>1250</v>
      </c>
      <c r="I826" t="s">
        <v>2182</v>
      </c>
      <c r="J826" s="455">
        <v>46147</v>
      </c>
      <c r="K826" s="455">
        <v>46147</v>
      </c>
      <c r="L826" s="455">
        <v>46148</v>
      </c>
      <c r="R826" s="455">
        <v>46154</v>
      </c>
      <c r="U826" s="455">
        <v>46157</v>
      </c>
    </row>
    <row r="827" spans="1:21">
      <c r="A827" t="s">
        <v>1751</v>
      </c>
      <c r="B827" t="s">
        <v>10839</v>
      </c>
      <c r="C827" t="s">
        <v>1751</v>
      </c>
      <c r="D827">
        <v>20514468</v>
      </c>
      <c r="E827" t="s">
        <v>3133</v>
      </c>
      <c r="F827" t="s">
        <v>1241</v>
      </c>
      <c r="G827" t="s">
        <v>3134</v>
      </c>
      <c r="H827" t="s">
        <v>3220</v>
      </c>
      <c r="I827" t="s">
        <v>1561</v>
      </c>
      <c r="J827" s="455">
        <v>46143</v>
      </c>
      <c r="K827" s="455">
        <v>46143</v>
      </c>
      <c r="L827" s="455">
        <v>46143</v>
      </c>
      <c r="R827" s="455">
        <v>46147</v>
      </c>
      <c r="U827" s="455">
        <v>46167</v>
      </c>
    </row>
    <row r="828" spans="1:21">
      <c r="A828" t="s">
        <v>1751</v>
      </c>
      <c r="B828" t="s">
        <v>4875</v>
      </c>
      <c r="C828" t="s">
        <v>1751</v>
      </c>
      <c r="D828">
        <v>20520324</v>
      </c>
      <c r="E828" t="s">
        <v>3128</v>
      </c>
      <c r="F828" t="s">
        <v>1782</v>
      </c>
      <c r="G828" t="s">
        <v>3134</v>
      </c>
      <c r="H828" t="s">
        <v>1252</v>
      </c>
      <c r="J828" s="455">
        <v>46150</v>
      </c>
      <c r="U828" s="455">
        <v>46174</v>
      </c>
    </row>
    <row r="829" spans="1:21">
      <c r="A829" t="s">
        <v>1751</v>
      </c>
      <c r="B829" t="s">
        <v>10840</v>
      </c>
      <c r="C829" t="s">
        <v>1751</v>
      </c>
      <c r="D829">
        <v>20530541</v>
      </c>
      <c r="E829" t="s">
        <v>3128</v>
      </c>
      <c r="F829" t="s">
        <v>1782</v>
      </c>
      <c r="G829" t="s">
        <v>3141</v>
      </c>
      <c r="H829" t="s">
        <v>4492</v>
      </c>
      <c r="J829" s="455">
        <v>46161</v>
      </c>
      <c r="U829" s="455">
        <v>46173</v>
      </c>
    </row>
    <row r="830" spans="1:21">
      <c r="A830" t="s">
        <v>1751</v>
      </c>
      <c r="B830" t="s">
        <v>10841</v>
      </c>
      <c r="C830" t="s">
        <v>1751</v>
      </c>
      <c r="D830">
        <v>20530530</v>
      </c>
      <c r="E830" t="s">
        <v>3128</v>
      </c>
      <c r="F830" t="s">
        <v>1782</v>
      </c>
      <c r="G830" t="s">
        <v>3141</v>
      </c>
      <c r="H830" t="s">
        <v>1252</v>
      </c>
      <c r="J830" s="455">
        <v>46161</v>
      </c>
      <c r="U830" s="455">
        <v>46192</v>
      </c>
    </row>
    <row r="831" spans="1:21">
      <c r="A831" t="s">
        <v>1751</v>
      </c>
      <c r="B831" t="s">
        <v>10842</v>
      </c>
      <c r="C831" t="s">
        <v>1751</v>
      </c>
      <c r="D831">
        <v>20530527</v>
      </c>
      <c r="E831" t="s">
        <v>3128</v>
      </c>
      <c r="F831" t="s">
        <v>1241</v>
      </c>
      <c r="G831" t="s">
        <v>3134</v>
      </c>
      <c r="H831" t="s">
        <v>3165</v>
      </c>
      <c r="J831" s="455">
        <v>46161</v>
      </c>
      <c r="U831" s="455">
        <v>46171</v>
      </c>
    </row>
    <row r="832" spans="1:21">
      <c r="A832" t="s">
        <v>1751</v>
      </c>
      <c r="B832" t="s">
        <v>10843</v>
      </c>
      <c r="C832" t="s">
        <v>1751</v>
      </c>
      <c r="D832">
        <v>20530537</v>
      </c>
      <c r="E832" t="s">
        <v>3128</v>
      </c>
      <c r="F832" t="s">
        <v>1782</v>
      </c>
      <c r="G832" t="s">
        <v>3141</v>
      </c>
      <c r="H832" t="s">
        <v>1252</v>
      </c>
      <c r="J832" s="455">
        <v>46161</v>
      </c>
      <c r="U832" s="455">
        <v>46172</v>
      </c>
    </row>
    <row r="833" spans="1:21">
      <c r="A833" t="s">
        <v>1751</v>
      </c>
      <c r="B833" t="s">
        <v>10844</v>
      </c>
      <c r="C833" t="s">
        <v>1751</v>
      </c>
      <c r="D833">
        <v>20530545</v>
      </c>
      <c r="E833" t="s">
        <v>3128</v>
      </c>
      <c r="F833" t="s">
        <v>1241</v>
      </c>
      <c r="G833" t="s">
        <v>2009</v>
      </c>
      <c r="H833" t="s">
        <v>1247</v>
      </c>
      <c r="J833" s="455">
        <v>46161</v>
      </c>
      <c r="U833" s="455">
        <v>46161</v>
      </c>
    </row>
    <row r="834" spans="1:21">
      <c r="A834" t="s">
        <v>1751</v>
      </c>
      <c r="B834" t="s">
        <v>10845</v>
      </c>
      <c r="C834" t="s">
        <v>1751</v>
      </c>
      <c r="D834">
        <v>20520023</v>
      </c>
      <c r="E834" t="s">
        <v>3128</v>
      </c>
      <c r="F834" t="s">
        <v>1782</v>
      </c>
      <c r="G834" t="s">
        <v>3141</v>
      </c>
      <c r="H834" t="s">
        <v>1252</v>
      </c>
      <c r="J834" s="455">
        <v>46150</v>
      </c>
      <c r="U834" s="455">
        <v>46151</v>
      </c>
    </row>
    <row r="835" spans="1:21">
      <c r="A835" t="s">
        <v>1751</v>
      </c>
      <c r="B835" t="s">
        <v>10845</v>
      </c>
      <c r="C835" t="s">
        <v>1751</v>
      </c>
      <c r="D835">
        <v>20520025</v>
      </c>
      <c r="E835" t="s">
        <v>3128</v>
      </c>
      <c r="F835" t="s">
        <v>1782</v>
      </c>
      <c r="G835" t="s">
        <v>3134</v>
      </c>
      <c r="H835" t="s">
        <v>1252</v>
      </c>
      <c r="J835" s="455">
        <v>46150</v>
      </c>
      <c r="U835" s="455">
        <v>46151</v>
      </c>
    </row>
    <row r="836" spans="1:21">
      <c r="A836" t="s">
        <v>1751</v>
      </c>
      <c r="B836" t="s">
        <v>10846</v>
      </c>
      <c r="C836" t="s">
        <v>1751</v>
      </c>
      <c r="D836">
        <v>20515473</v>
      </c>
      <c r="E836" t="s">
        <v>3133</v>
      </c>
      <c r="F836" t="s">
        <v>1239</v>
      </c>
      <c r="G836" t="s">
        <v>3134</v>
      </c>
      <c r="H836" t="s">
        <v>1247</v>
      </c>
      <c r="I836" t="s">
        <v>5007</v>
      </c>
      <c r="J836" s="455">
        <v>46144</v>
      </c>
      <c r="K836" s="455">
        <v>46144</v>
      </c>
      <c r="L836" s="455">
        <v>46144</v>
      </c>
      <c r="R836" s="455">
        <v>46147</v>
      </c>
      <c r="U836" s="455">
        <v>46151</v>
      </c>
    </row>
    <row r="837" spans="1:21">
      <c r="A837" t="s">
        <v>1751</v>
      </c>
      <c r="B837" t="s">
        <v>10847</v>
      </c>
      <c r="C837" t="s">
        <v>1751</v>
      </c>
      <c r="D837">
        <v>20515229</v>
      </c>
      <c r="E837" t="s">
        <v>3128</v>
      </c>
      <c r="F837" t="s">
        <v>1782</v>
      </c>
      <c r="G837" t="s">
        <v>3143</v>
      </c>
      <c r="H837" t="s">
        <v>1248</v>
      </c>
      <c r="I837" t="s">
        <v>3344</v>
      </c>
      <c r="J837" s="455">
        <v>46144</v>
      </c>
      <c r="U837" s="455">
        <v>46144</v>
      </c>
    </row>
    <row r="838" spans="1:21">
      <c r="A838" t="s">
        <v>1751</v>
      </c>
      <c r="B838" t="s">
        <v>10848</v>
      </c>
      <c r="C838" t="s">
        <v>1751</v>
      </c>
      <c r="D838">
        <v>20522224</v>
      </c>
      <c r="E838" t="s">
        <v>3190</v>
      </c>
      <c r="F838" t="s">
        <v>1782</v>
      </c>
      <c r="G838" t="s">
        <v>3129</v>
      </c>
      <c r="H838" t="s">
        <v>1252</v>
      </c>
      <c r="J838" s="455">
        <v>46153</v>
      </c>
      <c r="R838" s="455">
        <v>46164</v>
      </c>
      <c r="U838" s="455">
        <v>46153</v>
      </c>
    </row>
    <row r="839" spans="1:21">
      <c r="A839" t="s">
        <v>1751</v>
      </c>
      <c r="B839" t="s">
        <v>10849</v>
      </c>
      <c r="C839" t="s">
        <v>1751</v>
      </c>
      <c r="D839">
        <v>20540315</v>
      </c>
      <c r="E839" t="s">
        <v>3128</v>
      </c>
      <c r="F839" t="s">
        <v>1241</v>
      </c>
      <c r="G839" t="s">
        <v>3134</v>
      </c>
      <c r="H839" t="s">
        <v>1252</v>
      </c>
      <c r="J839" s="455">
        <v>46173</v>
      </c>
      <c r="U839" s="455">
        <v>46191</v>
      </c>
    </row>
    <row r="840" spans="1:21">
      <c r="A840" t="s">
        <v>1751</v>
      </c>
      <c r="B840" t="s">
        <v>10850</v>
      </c>
      <c r="C840" t="s">
        <v>1751</v>
      </c>
      <c r="D840">
        <v>20535066</v>
      </c>
      <c r="E840" t="s">
        <v>3128</v>
      </c>
      <c r="F840" t="s">
        <v>1782</v>
      </c>
      <c r="G840" t="s">
        <v>3129</v>
      </c>
      <c r="H840" t="s">
        <v>1253</v>
      </c>
      <c r="J840" s="455">
        <v>46167</v>
      </c>
      <c r="U840" s="455">
        <v>46167</v>
      </c>
    </row>
    <row r="841" spans="1:21">
      <c r="A841" t="s">
        <v>1751</v>
      </c>
      <c r="B841" t="s">
        <v>10851</v>
      </c>
      <c r="C841" t="s">
        <v>1751</v>
      </c>
      <c r="D841">
        <v>20518533</v>
      </c>
      <c r="E841" t="s">
        <v>3128</v>
      </c>
      <c r="F841" t="s">
        <v>1782</v>
      </c>
      <c r="G841" t="s">
        <v>3137</v>
      </c>
      <c r="H841" t="s">
        <v>1252</v>
      </c>
      <c r="J841" s="455">
        <v>46148</v>
      </c>
      <c r="U841" s="455">
        <v>46235</v>
      </c>
    </row>
    <row r="842" spans="1:21">
      <c r="A842" t="s">
        <v>1751</v>
      </c>
      <c r="B842" t="s">
        <v>10852</v>
      </c>
      <c r="C842" t="s">
        <v>1751</v>
      </c>
      <c r="D842">
        <v>20535933</v>
      </c>
      <c r="E842" t="s">
        <v>3128</v>
      </c>
      <c r="F842" t="s">
        <v>1782</v>
      </c>
      <c r="G842" t="s">
        <v>3134</v>
      </c>
      <c r="H842" t="s">
        <v>1252</v>
      </c>
      <c r="J842" s="455">
        <v>46168</v>
      </c>
      <c r="U842" s="455">
        <v>46177</v>
      </c>
    </row>
    <row r="843" spans="1:21">
      <c r="A843" t="s">
        <v>1751</v>
      </c>
      <c r="B843" t="s">
        <v>10852</v>
      </c>
      <c r="C843" t="s">
        <v>1751</v>
      </c>
      <c r="D843">
        <v>20532628</v>
      </c>
      <c r="E843" t="s">
        <v>3128</v>
      </c>
      <c r="F843" t="s">
        <v>1782</v>
      </c>
      <c r="G843" t="s">
        <v>3134</v>
      </c>
      <c r="H843" t="s">
        <v>3165</v>
      </c>
      <c r="J843" s="455">
        <v>46163</v>
      </c>
      <c r="U843" s="455">
        <v>46164</v>
      </c>
    </row>
    <row r="844" spans="1:21">
      <c r="A844" t="s">
        <v>1751</v>
      </c>
      <c r="B844" t="s">
        <v>10853</v>
      </c>
      <c r="C844" t="s">
        <v>1751</v>
      </c>
      <c r="D844">
        <v>20517359</v>
      </c>
      <c r="E844" t="s">
        <v>3128</v>
      </c>
      <c r="F844" t="s">
        <v>1782</v>
      </c>
      <c r="G844" t="s">
        <v>3134</v>
      </c>
      <c r="H844" t="s">
        <v>1252</v>
      </c>
      <c r="J844" s="455">
        <v>46147</v>
      </c>
      <c r="U844" s="455">
        <v>46174</v>
      </c>
    </row>
    <row r="845" spans="1:21">
      <c r="A845" t="s">
        <v>1751</v>
      </c>
      <c r="B845" t="s">
        <v>10854</v>
      </c>
      <c r="C845" t="s">
        <v>1751</v>
      </c>
      <c r="D845">
        <v>20529977</v>
      </c>
      <c r="E845" t="s">
        <v>3128</v>
      </c>
      <c r="F845" t="s">
        <v>1782</v>
      </c>
      <c r="G845" t="s">
        <v>3134</v>
      </c>
      <c r="H845" t="s">
        <v>3165</v>
      </c>
      <c r="J845" s="455">
        <v>46160</v>
      </c>
      <c r="U845" s="455">
        <v>46162</v>
      </c>
    </row>
    <row r="846" spans="1:21">
      <c r="A846" t="s">
        <v>1751</v>
      </c>
      <c r="B846" t="s">
        <v>4055</v>
      </c>
      <c r="C846" t="s">
        <v>1751</v>
      </c>
      <c r="D846">
        <v>20516066</v>
      </c>
      <c r="E846" t="s">
        <v>1897</v>
      </c>
      <c r="F846" t="s">
        <v>1242</v>
      </c>
      <c r="G846" t="s">
        <v>3134</v>
      </c>
      <c r="H846" t="s">
        <v>1247</v>
      </c>
      <c r="J846" s="455">
        <v>46146</v>
      </c>
      <c r="K846" s="455">
        <v>46146</v>
      </c>
      <c r="U846" s="455">
        <v>46146</v>
      </c>
    </row>
    <row r="847" spans="1:21">
      <c r="A847" t="s">
        <v>1751</v>
      </c>
      <c r="B847" t="s">
        <v>10855</v>
      </c>
      <c r="C847" t="s">
        <v>1751</v>
      </c>
      <c r="D847">
        <v>20514514</v>
      </c>
      <c r="E847" t="s">
        <v>3128</v>
      </c>
      <c r="F847" t="s">
        <v>1782</v>
      </c>
      <c r="G847" t="s">
        <v>3129</v>
      </c>
      <c r="H847" t="s">
        <v>1253</v>
      </c>
      <c r="J847" s="455">
        <v>46143</v>
      </c>
      <c r="U847" s="455">
        <v>46143</v>
      </c>
    </row>
    <row r="848" spans="1:21">
      <c r="A848" t="s">
        <v>1751</v>
      </c>
      <c r="B848" t="s">
        <v>10856</v>
      </c>
      <c r="C848" t="s">
        <v>1751</v>
      </c>
      <c r="D848">
        <v>20514838</v>
      </c>
      <c r="E848" t="s">
        <v>3128</v>
      </c>
      <c r="F848" t="s">
        <v>1782</v>
      </c>
      <c r="G848" t="s">
        <v>3129</v>
      </c>
      <c r="H848" t="s">
        <v>1252</v>
      </c>
      <c r="J848" s="455">
        <v>46143</v>
      </c>
      <c r="U848" s="455">
        <v>46143</v>
      </c>
    </row>
    <row r="849" spans="1:21">
      <c r="A849" t="s">
        <v>1751</v>
      </c>
      <c r="B849" t="s">
        <v>10857</v>
      </c>
      <c r="C849" t="s">
        <v>1751</v>
      </c>
      <c r="D849">
        <v>20516624</v>
      </c>
      <c r="E849" t="s">
        <v>3128</v>
      </c>
      <c r="F849" t="s">
        <v>1782</v>
      </c>
      <c r="G849" t="s">
        <v>3141</v>
      </c>
      <c r="H849" t="s">
        <v>1252</v>
      </c>
      <c r="J849" s="455">
        <v>46146</v>
      </c>
      <c r="U849" s="455">
        <v>46146</v>
      </c>
    </row>
    <row r="850" spans="1:21">
      <c r="A850" t="s">
        <v>1751</v>
      </c>
      <c r="B850" t="s">
        <v>7145</v>
      </c>
      <c r="C850" t="s">
        <v>1751</v>
      </c>
      <c r="D850">
        <v>20495707</v>
      </c>
      <c r="E850" t="s">
        <v>3142</v>
      </c>
      <c r="F850" t="s">
        <v>1243</v>
      </c>
      <c r="G850" t="s">
        <v>3134</v>
      </c>
      <c r="H850" t="s">
        <v>1247</v>
      </c>
      <c r="I850" t="s">
        <v>1598</v>
      </c>
      <c r="J850" s="455">
        <v>46127</v>
      </c>
      <c r="K850" s="455">
        <v>46127</v>
      </c>
      <c r="L850" s="455">
        <v>46134</v>
      </c>
      <c r="M850" s="455">
        <v>46143</v>
      </c>
      <c r="N850" s="455">
        <v>46143</v>
      </c>
      <c r="P850" s="455">
        <v>46143</v>
      </c>
      <c r="Q850" s="455">
        <v>46143</v>
      </c>
      <c r="U850" s="455">
        <v>46143</v>
      </c>
    </row>
    <row r="851" spans="1:21">
      <c r="A851" t="s">
        <v>1751</v>
      </c>
      <c r="B851" t="s">
        <v>10858</v>
      </c>
      <c r="C851" t="s">
        <v>1751</v>
      </c>
      <c r="D851">
        <v>20529962</v>
      </c>
      <c r="E851" t="s">
        <v>3128</v>
      </c>
      <c r="F851" t="s">
        <v>1782</v>
      </c>
      <c r="G851" t="s">
        <v>3143</v>
      </c>
      <c r="H851" t="s">
        <v>1247</v>
      </c>
      <c r="J851" s="455">
        <v>46160</v>
      </c>
      <c r="U851" s="455">
        <v>46160</v>
      </c>
    </row>
    <row r="852" spans="1:21">
      <c r="A852" t="s">
        <v>1751</v>
      </c>
      <c r="B852" t="s">
        <v>10859</v>
      </c>
      <c r="C852" t="s">
        <v>1751</v>
      </c>
      <c r="D852">
        <v>20534089</v>
      </c>
      <c r="E852" t="s">
        <v>3190</v>
      </c>
      <c r="F852" t="s">
        <v>1239</v>
      </c>
      <c r="G852" t="s">
        <v>3143</v>
      </c>
      <c r="H852" t="s">
        <v>1251</v>
      </c>
      <c r="I852" t="s">
        <v>3288</v>
      </c>
      <c r="J852" s="455">
        <v>46165</v>
      </c>
      <c r="R852" s="455">
        <v>46168</v>
      </c>
      <c r="U852" s="455">
        <v>46165</v>
      </c>
    </row>
    <row r="853" spans="1:21">
      <c r="A853" t="s">
        <v>1751</v>
      </c>
      <c r="B853" t="s">
        <v>3074</v>
      </c>
      <c r="C853" t="s">
        <v>1751</v>
      </c>
      <c r="D853">
        <v>20539149</v>
      </c>
      <c r="E853" t="s">
        <v>1901</v>
      </c>
      <c r="F853" t="s">
        <v>1243</v>
      </c>
      <c r="G853" t="s">
        <v>2009</v>
      </c>
      <c r="H853" t="s">
        <v>1247</v>
      </c>
      <c r="I853" t="s">
        <v>2517</v>
      </c>
      <c r="J853" s="455">
        <v>46171</v>
      </c>
      <c r="K853" s="455">
        <v>46172</v>
      </c>
      <c r="L853" s="455">
        <v>46173</v>
      </c>
      <c r="O853" s="455">
        <v>46181</v>
      </c>
      <c r="U853" s="455">
        <v>46223</v>
      </c>
    </row>
    <row r="854" spans="1:21">
      <c r="A854" t="s">
        <v>1751</v>
      </c>
      <c r="B854" t="s">
        <v>10178</v>
      </c>
      <c r="C854" t="s">
        <v>1751</v>
      </c>
      <c r="D854">
        <v>20513148</v>
      </c>
      <c r="E854" t="s">
        <v>3133</v>
      </c>
      <c r="F854" t="s">
        <v>1241</v>
      </c>
      <c r="G854" t="s">
        <v>3134</v>
      </c>
      <c r="H854" t="s">
        <v>1247</v>
      </c>
      <c r="I854" t="s">
        <v>2403</v>
      </c>
      <c r="J854" s="455">
        <v>46141</v>
      </c>
      <c r="K854" s="455">
        <v>46141</v>
      </c>
      <c r="R854" s="455">
        <v>46164</v>
      </c>
      <c r="U854" s="455">
        <v>46142</v>
      </c>
    </row>
    <row r="855" spans="1:21">
      <c r="A855" t="s">
        <v>1751</v>
      </c>
      <c r="B855" t="s">
        <v>10860</v>
      </c>
      <c r="C855" t="s">
        <v>1751</v>
      </c>
      <c r="D855">
        <v>20517485</v>
      </c>
      <c r="E855" t="s">
        <v>3128</v>
      </c>
      <c r="F855" t="s">
        <v>1239</v>
      </c>
      <c r="G855" t="s">
        <v>3143</v>
      </c>
      <c r="H855" t="s">
        <v>1248</v>
      </c>
      <c r="J855" s="455">
        <v>46147</v>
      </c>
      <c r="U855" s="455">
        <v>46147</v>
      </c>
    </row>
    <row r="856" spans="1:21">
      <c r="A856" t="s">
        <v>1751</v>
      </c>
      <c r="B856" t="s">
        <v>10861</v>
      </c>
      <c r="C856" t="s">
        <v>1751</v>
      </c>
      <c r="D856">
        <v>20519385</v>
      </c>
      <c r="E856" t="s">
        <v>3190</v>
      </c>
      <c r="F856" t="s">
        <v>1912</v>
      </c>
      <c r="G856" t="s">
        <v>3134</v>
      </c>
      <c r="H856" t="s">
        <v>1247</v>
      </c>
      <c r="I856" t="s">
        <v>2131</v>
      </c>
      <c r="J856" s="455">
        <v>46149</v>
      </c>
      <c r="K856" s="455">
        <v>46149</v>
      </c>
      <c r="R856" s="455">
        <v>46150</v>
      </c>
      <c r="U856" s="455">
        <v>46156</v>
      </c>
    </row>
    <row r="857" spans="1:21">
      <c r="A857" t="s">
        <v>1751</v>
      </c>
      <c r="B857" t="s">
        <v>4073</v>
      </c>
      <c r="C857" t="s">
        <v>1751</v>
      </c>
      <c r="D857">
        <v>20520495</v>
      </c>
      <c r="E857" t="s">
        <v>1897</v>
      </c>
      <c r="F857" t="s">
        <v>1241</v>
      </c>
      <c r="G857" t="s">
        <v>3134</v>
      </c>
      <c r="H857" t="s">
        <v>1251</v>
      </c>
      <c r="J857" s="455">
        <v>46150</v>
      </c>
      <c r="K857" s="455">
        <v>46150</v>
      </c>
      <c r="U857" s="455">
        <v>46179</v>
      </c>
    </row>
    <row r="858" spans="1:21">
      <c r="A858" t="s">
        <v>1751</v>
      </c>
      <c r="B858" t="s">
        <v>10862</v>
      </c>
      <c r="C858" t="s">
        <v>1751</v>
      </c>
      <c r="D858">
        <v>20520433</v>
      </c>
      <c r="E858" t="s">
        <v>3128</v>
      </c>
      <c r="F858" t="s">
        <v>1238</v>
      </c>
      <c r="G858" t="s">
        <v>3143</v>
      </c>
      <c r="H858" t="s">
        <v>1252</v>
      </c>
      <c r="I858" t="s">
        <v>3265</v>
      </c>
      <c r="J858" s="455">
        <v>46150</v>
      </c>
      <c r="U858" s="455">
        <v>46203</v>
      </c>
    </row>
    <row r="859" spans="1:21">
      <c r="A859" t="s">
        <v>1751</v>
      </c>
      <c r="B859" t="s">
        <v>10863</v>
      </c>
      <c r="C859" t="s">
        <v>1751</v>
      </c>
      <c r="D859">
        <v>20534680</v>
      </c>
      <c r="E859" t="s">
        <v>3128</v>
      </c>
      <c r="F859" t="s">
        <v>1782</v>
      </c>
      <c r="G859" t="s">
        <v>3141</v>
      </c>
      <c r="H859" t="s">
        <v>1252</v>
      </c>
      <c r="J859" s="455">
        <v>46166</v>
      </c>
      <c r="U859" s="455">
        <v>46221</v>
      </c>
    </row>
    <row r="860" spans="1:21">
      <c r="A860" t="s">
        <v>1751</v>
      </c>
      <c r="B860" t="s">
        <v>10864</v>
      </c>
      <c r="C860" t="s">
        <v>1751</v>
      </c>
      <c r="D860">
        <v>20524834</v>
      </c>
      <c r="E860" t="s">
        <v>3128</v>
      </c>
      <c r="F860" t="s">
        <v>1239</v>
      </c>
      <c r="G860" t="s">
        <v>3137</v>
      </c>
      <c r="H860" t="s">
        <v>1247</v>
      </c>
      <c r="I860" t="s">
        <v>3055</v>
      </c>
      <c r="J860" s="455">
        <v>46155</v>
      </c>
      <c r="U860" s="455">
        <v>46186</v>
      </c>
    </row>
    <row r="861" spans="1:21">
      <c r="A861" t="s">
        <v>1751</v>
      </c>
      <c r="B861" t="s">
        <v>10865</v>
      </c>
      <c r="C861" t="s">
        <v>1751</v>
      </c>
      <c r="D861">
        <v>20516793</v>
      </c>
      <c r="E861" t="s">
        <v>3128</v>
      </c>
      <c r="F861" t="s">
        <v>1241</v>
      </c>
      <c r="G861" t="s">
        <v>3129</v>
      </c>
      <c r="H861" t="s">
        <v>3377</v>
      </c>
      <c r="J861" s="455">
        <v>46146</v>
      </c>
      <c r="U861" s="455">
        <v>46146</v>
      </c>
    </row>
    <row r="862" spans="1:21">
      <c r="A862" t="s">
        <v>1751</v>
      </c>
      <c r="B862" t="s">
        <v>10866</v>
      </c>
      <c r="C862" t="s">
        <v>1751</v>
      </c>
      <c r="D862">
        <v>20523049</v>
      </c>
      <c r="E862" t="s">
        <v>3190</v>
      </c>
      <c r="F862" t="s">
        <v>1782</v>
      </c>
      <c r="G862" t="s">
        <v>3129</v>
      </c>
      <c r="H862" t="s">
        <v>1253</v>
      </c>
      <c r="J862" s="455">
        <v>46154</v>
      </c>
      <c r="R862" s="455">
        <v>46164</v>
      </c>
      <c r="U862" s="455">
        <v>46154</v>
      </c>
    </row>
    <row r="863" spans="1:21">
      <c r="A863" t="s">
        <v>1751</v>
      </c>
      <c r="B863" t="s">
        <v>10188</v>
      </c>
      <c r="C863" t="s">
        <v>1751</v>
      </c>
      <c r="D863">
        <v>20511030</v>
      </c>
      <c r="E863" t="s">
        <v>3190</v>
      </c>
      <c r="F863" t="s">
        <v>1782</v>
      </c>
      <c r="G863" t="s">
        <v>3129</v>
      </c>
      <c r="H863" t="s">
        <v>1253</v>
      </c>
      <c r="J863" s="455">
        <v>46139</v>
      </c>
      <c r="R863" s="455">
        <v>46147</v>
      </c>
      <c r="U863" s="455">
        <v>46139</v>
      </c>
    </row>
    <row r="864" spans="1:21">
      <c r="A864" t="s">
        <v>1751</v>
      </c>
      <c r="B864" t="s">
        <v>10867</v>
      </c>
      <c r="C864" t="s">
        <v>1751</v>
      </c>
      <c r="D864">
        <v>20528402</v>
      </c>
      <c r="E864" t="s">
        <v>3128</v>
      </c>
      <c r="F864" t="s">
        <v>1782</v>
      </c>
      <c r="G864" t="s">
        <v>3129</v>
      </c>
      <c r="H864" t="s">
        <v>1252</v>
      </c>
      <c r="J864" s="455">
        <v>46158</v>
      </c>
      <c r="U864" s="455">
        <v>46174</v>
      </c>
    </row>
    <row r="865" spans="1:21">
      <c r="A865" t="s">
        <v>1751</v>
      </c>
      <c r="B865" t="s">
        <v>10868</v>
      </c>
      <c r="C865" t="s">
        <v>1751</v>
      </c>
      <c r="D865">
        <v>20518228</v>
      </c>
      <c r="E865" t="s">
        <v>3128</v>
      </c>
      <c r="F865" t="s">
        <v>1782</v>
      </c>
      <c r="G865" t="s">
        <v>3129</v>
      </c>
      <c r="H865" t="s">
        <v>1252</v>
      </c>
      <c r="J865" s="455">
        <v>46148</v>
      </c>
      <c r="U865" s="455">
        <v>46148</v>
      </c>
    </row>
    <row r="866" spans="1:21">
      <c r="A866" t="s">
        <v>1751</v>
      </c>
      <c r="B866" t="s">
        <v>10869</v>
      </c>
      <c r="C866" t="s">
        <v>1751</v>
      </c>
      <c r="D866">
        <v>20525369</v>
      </c>
      <c r="E866" t="s">
        <v>3190</v>
      </c>
      <c r="F866" t="s">
        <v>1782</v>
      </c>
      <c r="G866" t="s">
        <v>3129</v>
      </c>
      <c r="H866" t="s">
        <v>1253</v>
      </c>
      <c r="J866" s="455">
        <v>46156</v>
      </c>
      <c r="R866" s="455">
        <v>46164</v>
      </c>
      <c r="U866" s="455">
        <v>46156</v>
      </c>
    </row>
    <row r="867" spans="1:21">
      <c r="A867" t="s">
        <v>1751</v>
      </c>
      <c r="B867" t="s">
        <v>10869</v>
      </c>
      <c r="C867" t="s">
        <v>1751</v>
      </c>
      <c r="D867">
        <v>20536173</v>
      </c>
      <c r="E867" t="s">
        <v>3128</v>
      </c>
      <c r="F867" t="s">
        <v>1782</v>
      </c>
      <c r="G867" t="s">
        <v>3129</v>
      </c>
      <c r="H867" t="s">
        <v>3377</v>
      </c>
      <c r="J867" s="455">
        <v>46168</v>
      </c>
      <c r="U867" s="455">
        <v>46168</v>
      </c>
    </row>
    <row r="868" spans="1:21">
      <c r="A868" t="s">
        <v>1751</v>
      </c>
      <c r="B868" t="s">
        <v>10870</v>
      </c>
      <c r="C868" t="s">
        <v>1751</v>
      </c>
      <c r="D868">
        <v>20523887</v>
      </c>
      <c r="E868" t="s">
        <v>3190</v>
      </c>
      <c r="F868" t="s">
        <v>1782</v>
      </c>
      <c r="G868" t="s">
        <v>3129</v>
      </c>
      <c r="H868" t="s">
        <v>1253</v>
      </c>
      <c r="J868" s="455">
        <v>46155</v>
      </c>
      <c r="R868" s="455">
        <v>46164</v>
      </c>
      <c r="U868" s="455">
        <v>46155</v>
      </c>
    </row>
    <row r="869" spans="1:21">
      <c r="A869" t="s">
        <v>1751</v>
      </c>
      <c r="B869" t="s">
        <v>10871</v>
      </c>
      <c r="C869" t="s">
        <v>1751</v>
      </c>
      <c r="D869">
        <v>20534192</v>
      </c>
      <c r="E869" t="s">
        <v>3128</v>
      </c>
      <c r="F869" t="s">
        <v>1782</v>
      </c>
      <c r="G869" t="s">
        <v>3129</v>
      </c>
      <c r="H869" t="s">
        <v>3131</v>
      </c>
      <c r="J869" s="455">
        <v>46165</v>
      </c>
      <c r="U869" s="455">
        <v>46165</v>
      </c>
    </row>
    <row r="870" spans="1:21">
      <c r="A870" t="s">
        <v>1751</v>
      </c>
      <c r="B870" t="s">
        <v>9418</v>
      </c>
      <c r="C870" t="s">
        <v>1751</v>
      </c>
      <c r="D870">
        <v>20516364</v>
      </c>
      <c r="E870" t="s">
        <v>3128</v>
      </c>
      <c r="F870" t="s">
        <v>1782</v>
      </c>
      <c r="G870" t="s">
        <v>3129</v>
      </c>
      <c r="H870" t="s">
        <v>1253</v>
      </c>
      <c r="J870" s="455">
        <v>46146</v>
      </c>
      <c r="U870" s="455">
        <v>46146</v>
      </c>
    </row>
    <row r="871" spans="1:21">
      <c r="A871" t="s">
        <v>1751</v>
      </c>
      <c r="B871" t="s">
        <v>4911</v>
      </c>
      <c r="C871" t="s">
        <v>1751</v>
      </c>
      <c r="D871">
        <v>20533333</v>
      </c>
      <c r="E871" t="s">
        <v>3190</v>
      </c>
      <c r="F871" t="s">
        <v>1782</v>
      </c>
      <c r="G871" t="s">
        <v>3129</v>
      </c>
      <c r="H871" t="s">
        <v>1252</v>
      </c>
      <c r="J871" s="455">
        <v>46164</v>
      </c>
      <c r="R871" s="455">
        <v>46164</v>
      </c>
      <c r="U871" s="455">
        <v>46164</v>
      </c>
    </row>
    <row r="872" spans="1:21">
      <c r="A872" t="s">
        <v>1751</v>
      </c>
      <c r="B872" t="s">
        <v>10872</v>
      </c>
      <c r="C872" t="s">
        <v>1751</v>
      </c>
      <c r="D872">
        <v>20538034</v>
      </c>
      <c r="E872" t="s">
        <v>3128</v>
      </c>
      <c r="F872" t="s">
        <v>1782</v>
      </c>
      <c r="G872" t="s">
        <v>3129</v>
      </c>
      <c r="H872" t="s">
        <v>1252</v>
      </c>
      <c r="J872" s="455">
        <v>46170</v>
      </c>
      <c r="U872" s="455">
        <v>46194</v>
      </c>
    </row>
    <row r="873" spans="1:21">
      <c r="A873" t="s">
        <v>1751</v>
      </c>
      <c r="B873" t="s">
        <v>10873</v>
      </c>
      <c r="C873" t="s">
        <v>1751</v>
      </c>
      <c r="D873">
        <v>20529263</v>
      </c>
      <c r="E873" t="s">
        <v>3190</v>
      </c>
      <c r="F873" t="s">
        <v>1782</v>
      </c>
      <c r="G873" t="s">
        <v>3129</v>
      </c>
      <c r="H873" t="s">
        <v>1253</v>
      </c>
      <c r="J873" s="455">
        <v>46160</v>
      </c>
      <c r="R873" s="455">
        <v>46164</v>
      </c>
      <c r="U873" s="455">
        <v>46160</v>
      </c>
    </row>
    <row r="874" spans="1:21">
      <c r="A874" t="s">
        <v>1751</v>
      </c>
      <c r="B874" t="s">
        <v>10873</v>
      </c>
      <c r="C874" t="s">
        <v>1751</v>
      </c>
      <c r="D874">
        <v>20532536</v>
      </c>
      <c r="E874" t="s">
        <v>3128</v>
      </c>
      <c r="F874" t="s">
        <v>1782</v>
      </c>
      <c r="G874" t="s">
        <v>3129</v>
      </c>
      <c r="H874" t="s">
        <v>3377</v>
      </c>
      <c r="J874" s="455">
        <v>46163</v>
      </c>
      <c r="U874" s="455">
        <v>46164</v>
      </c>
    </row>
    <row r="875" spans="1:21">
      <c r="A875" t="s">
        <v>1751</v>
      </c>
      <c r="B875" t="s">
        <v>10873</v>
      </c>
      <c r="C875" t="s">
        <v>1751</v>
      </c>
      <c r="D875">
        <v>20520924</v>
      </c>
      <c r="E875" t="s">
        <v>3128</v>
      </c>
      <c r="F875" t="s">
        <v>1782</v>
      </c>
      <c r="G875" t="s">
        <v>3129</v>
      </c>
      <c r="H875" t="s">
        <v>1247</v>
      </c>
      <c r="J875" s="455">
        <v>46151</v>
      </c>
      <c r="U875" s="455">
        <v>46151</v>
      </c>
    </row>
    <row r="876" spans="1:21">
      <c r="A876" t="s">
        <v>1751</v>
      </c>
      <c r="B876" t="s">
        <v>8988</v>
      </c>
      <c r="C876" t="s">
        <v>1751</v>
      </c>
      <c r="D876">
        <v>20533075</v>
      </c>
      <c r="E876" t="s">
        <v>3190</v>
      </c>
      <c r="F876" t="s">
        <v>1782</v>
      </c>
      <c r="G876" t="s">
        <v>3129</v>
      </c>
      <c r="H876" t="s">
        <v>1252</v>
      </c>
      <c r="J876" s="455">
        <v>46163</v>
      </c>
      <c r="R876" s="455">
        <v>46164</v>
      </c>
      <c r="U876" s="455">
        <v>46163</v>
      </c>
    </row>
    <row r="877" spans="1:21">
      <c r="A877" t="s">
        <v>1751</v>
      </c>
      <c r="B877" t="s">
        <v>8988</v>
      </c>
      <c r="C877" t="s">
        <v>1751</v>
      </c>
      <c r="D877">
        <v>20524344</v>
      </c>
      <c r="E877" t="s">
        <v>3190</v>
      </c>
      <c r="F877" t="s">
        <v>1782</v>
      </c>
      <c r="G877" t="s">
        <v>3129</v>
      </c>
      <c r="H877" t="s">
        <v>1253</v>
      </c>
      <c r="J877" s="455">
        <v>46155</v>
      </c>
      <c r="R877" s="455">
        <v>46164</v>
      </c>
      <c r="U877" s="455">
        <v>46155</v>
      </c>
    </row>
    <row r="878" spans="1:21">
      <c r="A878" t="s">
        <v>1751</v>
      </c>
      <c r="B878" t="s">
        <v>10874</v>
      </c>
      <c r="C878" t="s">
        <v>1751</v>
      </c>
      <c r="D878">
        <v>20524097</v>
      </c>
      <c r="E878" t="s">
        <v>3190</v>
      </c>
      <c r="F878" t="s">
        <v>1782</v>
      </c>
      <c r="G878" t="s">
        <v>3129</v>
      </c>
      <c r="H878" t="s">
        <v>1253</v>
      </c>
      <c r="J878" s="455">
        <v>46155</v>
      </c>
      <c r="R878" s="455">
        <v>46164</v>
      </c>
      <c r="U878" s="455">
        <v>46155</v>
      </c>
    </row>
    <row r="879" spans="1:21">
      <c r="A879" t="s">
        <v>1751</v>
      </c>
      <c r="B879" t="s">
        <v>10875</v>
      </c>
      <c r="C879" t="s">
        <v>1751</v>
      </c>
      <c r="D879">
        <v>20532620</v>
      </c>
      <c r="E879" t="s">
        <v>3190</v>
      </c>
      <c r="F879" t="s">
        <v>1782</v>
      </c>
      <c r="G879" t="s">
        <v>3129</v>
      </c>
      <c r="H879" t="s">
        <v>1253</v>
      </c>
      <c r="I879" t="s">
        <v>2941</v>
      </c>
      <c r="J879" s="455">
        <v>46163</v>
      </c>
      <c r="R879" s="455">
        <v>46164</v>
      </c>
      <c r="U879" s="455">
        <v>46163</v>
      </c>
    </row>
    <row r="880" spans="1:21">
      <c r="A880" t="s">
        <v>1751</v>
      </c>
      <c r="B880" t="s">
        <v>10876</v>
      </c>
      <c r="C880" t="s">
        <v>1751</v>
      </c>
      <c r="D880">
        <v>20537804</v>
      </c>
      <c r="E880" t="s">
        <v>3128</v>
      </c>
      <c r="F880" t="s">
        <v>1782</v>
      </c>
      <c r="G880" t="s">
        <v>3129</v>
      </c>
      <c r="H880" t="s">
        <v>1253</v>
      </c>
      <c r="J880" s="455">
        <v>46170</v>
      </c>
      <c r="U880" s="455">
        <v>46170</v>
      </c>
    </row>
    <row r="881" spans="1:21">
      <c r="A881" t="s">
        <v>1751</v>
      </c>
      <c r="B881" t="s">
        <v>4084</v>
      </c>
      <c r="C881" t="s">
        <v>1751</v>
      </c>
      <c r="D881">
        <v>20528130</v>
      </c>
      <c r="E881" t="s">
        <v>3128</v>
      </c>
      <c r="F881" t="s">
        <v>1782</v>
      </c>
      <c r="G881" t="s">
        <v>3129</v>
      </c>
      <c r="H881" t="s">
        <v>1252</v>
      </c>
      <c r="I881" t="s">
        <v>1559</v>
      </c>
      <c r="J881" s="455">
        <v>46158</v>
      </c>
      <c r="U881" s="455">
        <v>46158</v>
      </c>
    </row>
    <row r="882" spans="1:21">
      <c r="A882" t="s">
        <v>1751</v>
      </c>
      <c r="B882" t="s">
        <v>4084</v>
      </c>
      <c r="C882" t="s">
        <v>1751</v>
      </c>
      <c r="D882">
        <v>20528083</v>
      </c>
      <c r="E882" t="s">
        <v>3190</v>
      </c>
      <c r="F882" t="s">
        <v>1782</v>
      </c>
      <c r="G882" t="s">
        <v>3129</v>
      </c>
      <c r="H882" t="s">
        <v>1252</v>
      </c>
      <c r="J882" s="455">
        <v>46158</v>
      </c>
      <c r="R882" s="455">
        <v>46164</v>
      </c>
      <c r="U882" s="455">
        <v>46158</v>
      </c>
    </row>
    <row r="883" spans="1:21">
      <c r="A883" t="s">
        <v>1751</v>
      </c>
      <c r="B883" t="s">
        <v>10197</v>
      </c>
      <c r="C883" t="s">
        <v>1751</v>
      </c>
      <c r="D883">
        <v>20538800</v>
      </c>
      <c r="E883" t="s">
        <v>3128</v>
      </c>
      <c r="F883" t="s">
        <v>1782</v>
      </c>
      <c r="G883" t="s">
        <v>3129</v>
      </c>
      <c r="H883" t="s">
        <v>1252</v>
      </c>
      <c r="J883" s="455">
        <v>46171</v>
      </c>
      <c r="U883" s="455">
        <v>46171</v>
      </c>
    </row>
    <row r="884" spans="1:21">
      <c r="A884" t="s">
        <v>1751</v>
      </c>
      <c r="B884" t="s">
        <v>8995</v>
      </c>
      <c r="C884" t="s">
        <v>1751</v>
      </c>
      <c r="D884">
        <v>20537604</v>
      </c>
      <c r="E884" t="s">
        <v>3128</v>
      </c>
      <c r="F884" t="s">
        <v>1782</v>
      </c>
      <c r="G884" t="s">
        <v>3129</v>
      </c>
      <c r="H884" t="s">
        <v>1252</v>
      </c>
      <c r="J884" s="455">
        <v>46170</v>
      </c>
      <c r="U884" s="455">
        <v>46170</v>
      </c>
    </row>
    <row r="885" spans="1:21">
      <c r="A885" t="s">
        <v>1751</v>
      </c>
      <c r="B885" t="s">
        <v>8995</v>
      </c>
      <c r="C885" t="s">
        <v>1751</v>
      </c>
      <c r="D885">
        <v>20519469</v>
      </c>
      <c r="E885" t="s">
        <v>3128</v>
      </c>
      <c r="F885" t="s">
        <v>1241</v>
      </c>
      <c r="G885" t="s">
        <v>3129</v>
      </c>
      <c r="H885" t="s">
        <v>1252</v>
      </c>
      <c r="I885" t="s">
        <v>1565</v>
      </c>
      <c r="J885" s="455">
        <v>46149</v>
      </c>
      <c r="U885" s="455">
        <v>46149</v>
      </c>
    </row>
    <row r="886" spans="1:21">
      <c r="A886" t="s">
        <v>1751</v>
      </c>
      <c r="B886" t="s">
        <v>10877</v>
      </c>
      <c r="C886" t="s">
        <v>1751</v>
      </c>
      <c r="D886">
        <v>20539325</v>
      </c>
      <c r="E886" t="s">
        <v>3128</v>
      </c>
      <c r="F886" t="s">
        <v>1241</v>
      </c>
      <c r="G886" t="s">
        <v>3129</v>
      </c>
      <c r="H886" t="s">
        <v>1252</v>
      </c>
      <c r="J886" s="455">
        <v>46172</v>
      </c>
      <c r="U886" s="455">
        <v>46172</v>
      </c>
    </row>
    <row r="887" spans="1:21">
      <c r="A887" t="s">
        <v>1751</v>
      </c>
      <c r="B887" t="s">
        <v>8996</v>
      </c>
      <c r="C887" t="s">
        <v>1751</v>
      </c>
      <c r="D887">
        <v>20528778</v>
      </c>
      <c r="E887" t="s">
        <v>3128</v>
      </c>
      <c r="F887" t="s">
        <v>1782</v>
      </c>
      <c r="G887" t="s">
        <v>3129</v>
      </c>
      <c r="H887" t="s">
        <v>3131</v>
      </c>
      <c r="J887" s="455">
        <v>46159</v>
      </c>
      <c r="U887" s="455">
        <v>46159</v>
      </c>
    </row>
    <row r="888" spans="1:21">
      <c r="A888" t="s">
        <v>1751</v>
      </c>
      <c r="B888" t="s">
        <v>8996</v>
      </c>
      <c r="C888" t="s">
        <v>1751</v>
      </c>
      <c r="D888">
        <v>20515434</v>
      </c>
      <c r="E888" t="s">
        <v>3128</v>
      </c>
      <c r="F888" t="s">
        <v>1782</v>
      </c>
      <c r="G888" t="s">
        <v>3129</v>
      </c>
      <c r="H888" t="s">
        <v>1252</v>
      </c>
      <c r="J888" s="455">
        <v>46144</v>
      </c>
      <c r="U888" s="455">
        <v>46144</v>
      </c>
    </row>
    <row r="889" spans="1:21">
      <c r="A889" t="s">
        <v>1751</v>
      </c>
      <c r="B889" t="s">
        <v>10878</v>
      </c>
      <c r="C889" t="s">
        <v>1751</v>
      </c>
      <c r="D889">
        <v>20517372</v>
      </c>
      <c r="E889" t="s">
        <v>3128</v>
      </c>
      <c r="F889" t="s">
        <v>1782</v>
      </c>
      <c r="G889" t="s">
        <v>3129</v>
      </c>
      <c r="H889" t="s">
        <v>1253</v>
      </c>
      <c r="J889" s="455">
        <v>46147</v>
      </c>
      <c r="U889" s="455">
        <v>46147</v>
      </c>
    </row>
    <row r="890" spans="1:21">
      <c r="A890" t="s">
        <v>1751</v>
      </c>
      <c r="B890" t="s">
        <v>10879</v>
      </c>
      <c r="C890" t="s">
        <v>1751</v>
      </c>
      <c r="D890">
        <v>20534404</v>
      </c>
      <c r="E890" t="s">
        <v>3128</v>
      </c>
      <c r="F890" t="s">
        <v>1782</v>
      </c>
      <c r="G890" t="s">
        <v>3129</v>
      </c>
      <c r="H890" t="s">
        <v>3131</v>
      </c>
      <c r="J890" s="455">
        <v>46165</v>
      </c>
      <c r="U890" s="455">
        <v>46165</v>
      </c>
    </row>
    <row r="891" spans="1:21">
      <c r="A891" t="s">
        <v>1751</v>
      </c>
      <c r="B891" t="s">
        <v>10880</v>
      </c>
      <c r="C891" t="s">
        <v>1751</v>
      </c>
      <c r="D891">
        <v>20527499</v>
      </c>
      <c r="E891" t="s">
        <v>3190</v>
      </c>
      <c r="F891" t="s">
        <v>1782</v>
      </c>
      <c r="G891" t="s">
        <v>3129</v>
      </c>
      <c r="H891" t="s">
        <v>1252</v>
      </c>
      <c r="J891" s="455">
        <v>46157</v>
      </c>
      <c r="R891" s="455">
        <v>46164</v>
      </c>
      <c r="U891" s="455">
        <v>46157</v>
      </c>
    </row>
    <row r="892" spans="1:21">
      <c r="A892" t="s">
        <v>1751</v>
      </c>
      <c r="B892" t="s">
        <v>10881</v>
      </c>
      <c r="C892" t="s">
        <v>1751</v>
      </c>
      <c r="D892">
        <v>20518555</v>
      </c>
      <c r="E892" t="s">
        <v>3128</v>
      </c>
      <c r="F892" t="s">
        <v>1782</v>
      </c>
      <c r="G892" t="s">
        <v>3129</v>
      </c>
      <c r="H892" t="s">
        <v>1252</v>
      </c>
      <c r="J892" s="455">
        <v>46148</v>
      </c>
      <c r="U892" s="455">
        <v>46148</v>
      </c>
    </row>
    <row r="893" spans="1:21">
      <c r="A893" t="s">
        <v>1751</v>
      </c>
      <c r="B893" t="s">
        <v>10882</v>
      </c>
      <c r="C893" t="s">
        <v>1751</v>
      </c>
      <c r="D893">
        <v>20538549</v>
      </c>
      <c r="E893" t="s">
        <v>3128</v>
      </c>
      <c r="F893" t="s">
        <v>1782</v>
      </c>
      <c r="G893" t="s">
        <v>3129</v>
      </c>
      <c r="H893" t="s">
        <v>1252</v>
      </c>
      <c r="J893" s="455">
        <v>46171</v>
      </c>
      <c r="U893" s="455">
        <v>46266</v>
      </c>
    </row>
    <row r="894" spans="1:21">
      <c r="A894" t="s">
        <v>1751</v>
      </c>
      <c r="B894" t="s">
        <v>10883</v>
      </c>
      <c r="C894" t="s">
        <v>1751</v>
      </c>
      <c r="D894">
        <v>20534428</v>
      </c>
      <c r="E894" t="s">
        <v>3128</v>
      </c>
      <c r="F894" t="s">
        <v>1782</v>
      </c>
      <c r="G894" t="s">
        <v>3129</v>
      </c>
      <c r="H894" t="s">
        <v>1253</v>
      </c>
      <c r="J894" s="455">
        <v>46165</v>
      </c>
      <c r="U894" s="455">
        <v>46165</v>
      </c>
    </row>
    <row r="895" spans="1:21">
      <c r="A895" t="s">
        <v>1751</v>
      </c>
      <c r="B895" t="s">
        <v>10884</v>
      </c>
      <c r="C895" t="s">
        <v>1751</v>
      </c>
      <c r="D895">
        <v>20516532</v>
      </c>
      <c r="E895" t="s">
        <v>3190</v>
      </c>
      <c r="F895" t="s">
        <v>1241</v>
      </c>
      <c r="G895" t="s">
        <v>3129</v>
      </c>
      <c r="H895" t="s">
        <v>1252</v>
      </c>
      <c r="J895" s="455">
        <v>46146</v>
      </c>
      <c r="R895" s="455">
        <v>46164</v>
      </c>
      <c r="U895" s="455">
        <v>46146</v>
      </c>
    </row>
    <row r="896" spans="1:21">
      <c r="A896" t="s">
        <v>1751</v>
      </c>
      <c r="B896" t="s">
        <v>4922</v>
      </c>
      <c r="C896" t="s">
        <v>1751</v>
      </c>
      <c r="D896">
        <v>20526364</v>
      </c>
      <c r="E896" t="s">
        <v>3190</v>
      </c>
      <c r="F896" t="s">
        <v>1782</v>
      </c>
      <c r="G896" t="s">
        <v>3129</v>
      </c>
      <c r="H896" t="s">
        <v>3131</v>
      </c>
      <c r="J896" s="455">
        <v>46156</v>
      </c>
      <c r="R896" s="455">
        <v>46164</v>
      </c>
      <c r="U896" s="455">
        <v>46156</v>
      </c>
    </row>
    <row r="897" spans="1:21">
      <c r="A897" t="s">
        <v>1751</v>
      </c>
      <c r="B897" t="s">
        <v>10204</v>
      </c>
      <c r="C897" t="s">
        <v>1751</v>
      </c>
      <c r="D897">
        <v>20511056</v>
      </c>
      <c r="E897" t="s">
        <v>3190</v>
      </c>
      <c r="F897" t="s">
        <v>1782</v>
      </c>
      <c r="G897" t="s">
        <v>3129</v>
      </c>
      <c r="H897" t="s">
        <v>1252</v>
      </c>
      <c r="J897" s="455">
        <v>46139</v>
      </c>
      <c r="R897" s="455">
        <v>46147</v>
      </c>
      <c r="U897" s="455">
        <v>46139</v>
      </c>
    </row>
    <row r="898" spans="1:21">
      <c r="A898" t="s">
        <v>1751</v>
      </c>
      <c r="B898" t="s">
        <v>4923</v>
      </c>
      <c r="C898" t="s">
        <v>1751</v>
      </c>
      <c r="D898">
        <v>20532797</v>
      </c>
      <c r="E898" t="s">
        <v>3190</v>
      </c>
      <c r="F898" t="s">
        <v>1782</v>
      </c>
      <c r="G898" t="s">
        <v>3129</v>
      </c>
      <c r="H898" t="s">
        <v>1253</v>
      </c>
      <c r="J898" s="455">
        <v>46163</v>
      </c>
      <c r="R898" s="455">
        <v>46164</v>
      </c>
      <c r="U898" s="455">
        <v>46163</v>
      </c>
    </row>
    <row r="899" spans="1:21">
      <c r="A899" t="s">
        <v>1751</v>
      </c>
      <c r="B899" t="s">
        <v>10885</v>
      </c>
      <c r="C899" t="s">
        <v>1751</v>
      </c>
      <c r="D899">
        <v>20536767</v>
      </c>
      <c r="E899" t="s">
        <v>3128</v>
      </c>
      <c r="F899" t="s">
        <v>1782</v>
      </c>
      <c r="G899" t="s">
        <v>3129</v>
      </c>
      <c r="H899" t="s">
        <v>3131</v>
      </c>
      <c r="J899" s="455">
        <v>46169</v>
      </c>
      <c r="U899" s="455">
        <v>46169</v>
      </c>
    </row>
    <row r="900" spans="1:21">
      <c r="A900" t="s">
        <v>1751</v>
      </c>
      <c r="B900" t="s">
        <v>4093</v>
      </c>
      <c r="C900" t="s">
        <v>1751</v>
      </c>
      <c r="D900">
        <v>20510780</v>
      </c>
      <c r="E900" t="s">
        <v>3190</v>
      </c>
      <c r="F900" t="s">
        <v>1782</v>
      </c>
      <c r="G900" t="s">
        <v>3129</v>
      </c>
      <c r="H900" t="s">
        <v>1253</v>
      </c>
      <c r="J900" s="455">
        <v>46139</v>
      </c>
      <c r="R900" s="455">
        <v>46147</v>
      </c>
      <c r="U900" s="455">
        <v>46139</v>
      </c>
    </row>
    <row r="901" spans="1:21">
      <c r="A901" t="s">
        <v>1751</v>
      </c>
      <c r="B901" t="s">
        <v>4093</v>
      </c>
      <c r="C901" t="s">
        <v>1751</v>
      </c>
      <c r="D901">
        <v>20522745</v>
      </c>
      <c r="E901" t="s">
        <v>3190</v>
      </c>
      <c r="F901" t="s">
        <v>1782</v>
      </c>
      <c r="G901" t="s">
        <v>3129</v>
      </c>
      <c r="H901" t="s">
        <v>3131</v>
      </c>
      <c r="J901" s="455">
        <v>46154</v>
      </c>
      <c r="R901" s="455">
        <v>46164</v>
      </c>
      <c r="U901" s="455">
        <v>46154</v>
      </c>
    </row>
    <row r="902" spans="1:21">
      <c r="A902" t="s">
        <v>1751</v>
      </c>
      <c r="B902" t="s">
        <v>10206</v>
      </c>
      <c r="C902" t="s">
        <v>1751</v>
      </c>
      <c r="D902">
        <v>20511722</v>
      </c>
      <c r="E902" t="s">
        <v>3190</v>
      </c>
      <c r="F902" t="s">
        <v>1782</v>
      </c>
      <c r="G902" t="s">
        <v>3129</v>
      </c>
      <c r="H902" t="s">
        <v>1252</v>
      </c>
      <c r="J902" s="455">
        <v>46140</v>
      </c>
      <c r="R902" s="455">
        <v>46147</v>
      </c>
      <c r="U902" s="455">
        <v>46140</v>
      </c>
    </row>
    <row r="903" spans="1:21">
      <c r="A903" t="s">
        <v>1751</v>
      </c>
      <c r="B903" t="s">
        <v>4925</v>
      </c>
      <c r="C903" t="s">
        <v>1751</v>
      </c>
      <c r="D903">
        <v>20536894</v>
      </c>
      <c r="E903" t="s">
        <v>3128</v>
      </c>
      <c r="F903" t="s">
        <v>1782</v>
      </c>
      <c r="G903" t="s">
        <v>3129</v>
      </c>
      <c r="H903" t="s">
        <v>1252</v>
      </c>
      <c r="J903" s="455">
        <v>46169</v>
      </c>
      <c r="U903" s="455">
        <v>46169</v>
      </c>
    </row>
    <row r="904" spans="1:21">
      <c r="A904" t="s">
        <v>1751</v>
      </c>
      <c r="B904" t="s">
        <v>4925</v>
      </c>
      <c r="C904" t="s">
        <v>1751</v>
      </c>
      <c r="D904">
        <v>20516329</v>
      </c>
      <c r="E904" t="s">
        <v>3128</v>
      </c>
      <c r="F904" t="s">
        <v>1782</v>
      </c>
      <c r="G904" t="s">
        <v>3129</v>
      </c>
      <c r="H904" t="s">
        <v>1253</v>
      </c>
      <c r="J904" s="455">
        <v>46146</v>
      </c>
      <c r="U904" s="455">
        <v>46146</v>
      </c>
    </row>
    <row r="905" spans="1:21">
      <c r="A905" t="s">
        <v>1751</v>
      </c>
      <c r="B905" t="s">
        <v>10208</v>
      </c>
      <c r="C905" t="s">
        <v>1751</v>
      </c>
      <c r="D905">
        <v>20510767</v>
      </c>
      <c r="E905" t="s">
        <v>3190</v>
      </c>
      <c r="F905" t="s">
        <v>1782</v>
      </c>
      <c r="G905" t="s">
        <v>3129</v>
      </c>
      <c r="H905" t="s">
        <v>3377</v>
      </c>
      <c r="J905" s="455">
        <v>46139</v>
      </c>
      <c r="R905" s="455">
        <v>46147</v>
      </c>
      <c r="U905" s="455">
        <v>46139</v>
      </c>
    </row>
    <row r="906" spans="1:21">
      <c r="A906" t="s">
        <v>1751</v>
      </c>
      <c r="B906" t="s">
        <v>4097</v>
      </c>
      <c r="C906" t="s">
        <v>1751</v>
      </c>
      <c r="D906">
        <v>20514467</v>
      </c>
      <c r="E906" t="s">
        <v>3128</v>
      </c>
      <c r="F906" t="s">
        <v>1782</v>
      </c>
      <c r="G906" t="s">
        <v>3129</v>
      </c>
      <c r="H906" t="s">
        <v>3131</v>
      </c>
      <c r="J906" s="455">
        <v>46143</v>
      </c>
      <c r="U906" s="455">
        <v>46143</v>
      </c>
    </row>
    <row r="907" spans="1:21">
      <c r="A907" t="s">
        <v>1751</v>
      </c>
      <c r="B907" t="s">
        <v>10886</v>
      </c>
      <c r="C907" t="s">
        <v>1751</v>
      </c>
      <c r="D907">
        <v>20539493</v>
      </c>
      <c r="E907" t="s">
        <v>3128</v>
      </c>
      <c r="F907" t="s">
        <v>1782</v>
      </c>
      <c r="G907" t="s">
        <v>3129</v>
      </c>
      <c r="H907" t="s">
        <v>1253</v>
      </c>
      <c r="I907" t="s">
        <v>2470</v>
      </c>
      <c r="J907" s="455">
        <v>46172</v>
      </c>
      <c r="U907" s="455">
        <v>46234</v>
      </c>
    </row>
    <row r="908" spans="1:21">
      <c r="A908" t="s">
        <v>1751</v>
      </c>
      <c r="B908" t="s">
        <v>4105</v>
      </c>
      <c r="C908" t="s">
        <v>1751</v>
      </c>
      <c r="D908">
        <v>20514292</v>
      </c>
      <c r="E908" t="s">
        <v>3128</v>
      </c>
      <c r="F908" t="s">
        <v>1782</v>
      </c>
      <c r="G908" t="s">
        <v>3129</v>
      </c>
      <c r="H908" t="s">
        <v>1252</v>
      </c>
      <c r="J908" s="455">
        <v>46143</v>
      </c>
      <c r="U908" s="455">
        <v>46143</v>
      </c>
    </row>
    <row r="909" spans="1:21">
      <c r="A909" t="s">
        <v>1751</v>
      </c>
      <c r="B909" t="s">
        <v>10887</v>
      </c>
      <c r="C909" t="s">
        <v>1751</v>
      </c>
      <c r="D909">
        <v>20516789</v>
      </c>
      <c r="E909" t="s">
        <v>3128</v>
      </c>
      <c r="F909" t="s">
        <v>1782</v>
      </c>
      <c r="G909" t="s">
        <v>3129</v>
      </c>
      <c r="H909" t="s">
        <v>3131</v>
      </c>
      <c r="J909" s="455">
        <v>46146</v>
      </c>
      <c r="U909" s="455">
        <v>46146</v>
      </c>
    </row>
    <row r="910" spans="1:21">
      <c r="A910" t="s">
        <v>1751</v>
      </c>
      <c r="B910" t="s">
        <v>4106</v>
      </c>
      <c r="C910" t="s">
        <v>1751</v>
      </c>
      <c r="D910">
        <v>20532180</v>
      </c>
      <c r="E910" t="s">
        <v>3128</v>
      </c>
      <c r="F910" t="s">
        <v>1782</v>
      </c>
      <c r="G910" t="s">
        <v>3129</v>
      </c>
      <c r="H910" t="s">
        <v>1252</v>
      </c>
      <c r="J910" s="455">
        <v>46162</v>
      </c>
      <c r="U910" s="455">
        <v>46162</v>
      </c>
    </row>
    <row r="911" spans="1:21">
      <c r="A911" t="s">
        <v>1751</v>
      </c>
      <c r="B911" t="s">
        <v>10888</v>
      </c>
      <c r="C911" t="s">
        <v>1751</v>
      </c>
      <c r="D911">
        <v>20536656</v>
      </c>
      <c r="E911" t="s">
        <v>3128</v>
      </c>
      <c r="F911" t="s">
        <v>1782</v>
      </c>
      <c r="G911" t="s">
        <v>3129</v>
      </c>
      <c r="H911" t="s">
        <v>3131</v>
      </c>
      <c r="J911" s="455">
        <v>46169</v>
      </c>
      <c r="U911" s="455">
        <v>46169</v>
      </c>
    </row>
    <row r="912" spans="1:21">
      <c r="A912" t="s">
        <v>1751</v>
      </c>
      <c r="B912" t="s">
        <v>10889</v>
      </c>
      <c r="C912" t="s">
        <v>1751</v>
      </c>
      <c r="D912">
        <v>20538415</v>
      </c>
      <c r="E912" t="s">
        <v>3128</v>
      </c>
      <c r="F912" t="s">
        <v>1782</v>
      </c>
      <c r="G912" t="s">
        <v>3129</v>
      </c>
      <c r="H912" t="s">
        <v>1252</v>
      </c>
      <c r="J912" s="455">
        <v>46171</v>
      </c>
      <c r="U912" s="455">
        <v>46171</v>
      </c>
    </row>
    <row r="913" spans="1:21">
      <c r="A913" t="s">
        <v>1751</v>
      </c>
      <c r="B913" t="s">
        <v>10890</v>
      </c>
      <c r="C913" t="s">
        <v>1751</v>
      </c>
      <c r="D913">
        <v>20535697</v>
      </c>
      <c r="E913" t="s">
        <v>3128</v>
      </c>
      <c r="F913" t="s">
        <v>1782</v>
      </c>
      <c r="G913" t="s">
        <v>3129</v>
      </c>
      <c r="H913" t="s">
        <v>1253</v>
      </c>
      <c r="J913" s="455">
        <v>46168</v>
      </c>
      <c r="U913" s="455">
        <v>46168</v>
      </c>
    </row>
    <row r="914" spans="1:21">
      <c r="A914" t="s">
        <v>1751</v>
      </c>
      <c r="B914" t="s">
        <v>10891</v>
      </c>
      <c r="C914" t="s">
        <v>1751</v>
      </c>
      <c r="D914">
        <v>20535799</v>
      </c>
      <c r="E914" t="s">
        <v>3128</v>
      </c>
      <c r="F914" t="s">
        <v>1241</v>
      </c>
      <c r="G914" t="s">
        <v>3129</v>
      </c>
      <c r="H914" t="s">
        <v>3131</v>
      </c>
      <c r="J914" s="455">
        <v>46168</v>
      </c>
      <c r="U914" s="455">
        <v>46168</v>
      </c>
    </row>
    <row r="915" spans="1:21">
      <c r="A915" t="s">
        <v>1751</v>
      </c>
      <c r="B915" t="s">
        <v>10892</v>
      </c>
      <c r="C915" t="s">
        <v>1751</v>
      </c>
      <c r="D915">
        <v>20530325</v>
      </c>
      <c r="E915" t="s">
        <v>3190</v>
      </c>
      <c r="F915" t="s">
        <v>1782</v>
      </c>
      <c r="G915" t="s">
        <v>3129</v>
      </c>
      <c r="H915" t="s">
        <v>3131</v>
      </c>
      <c r="J915" s="455">
        <v>46161</v>
      </c>
      <c r="R915" s="455">
        <v>46164</v>
      </c>
      <c r="U915" s="455">
        <v>46161</v>
      </c>
    </row>
    <row r="916" spans="1:21">
      <c r="A916" t="s">
        <v>1751</v>
      </c>
      <c r="B916" t="s">
        <v>10893</v>
      </c>
      <c r="C916" t="s">
        <v>1751</v>
      </c>
      <c r="D916">
        <v>20528371</v>
      </c>
      <c r="E916" t="s">
        <v>3128</v>
      </c>
      <c r="F916" t="s">
        <v>1782</v>
      </c>
      <c r="G916" t="s">
        <v>3129</v>
      </c>
      <c r="H916" t="s">
        <v>3131</v>
      </c>
      <c r="J916" s="455">
        <v>46158</v>
      </c>
      <c r="U916" s="455">
        <v>46158</v>
      </c>
    </row>
    <row r="917" spans="1:21">
      <c r="A917" t="s">
        <v>1751</v>
      </c>
      <c r="B917" t="s">
        <v>10894</v>
      </c>
      <c r="C917" t="s">
        <v>1751</v>
      </c>
      <c r="D917">
        <v>20529733</v>
      </c>
      <c r="E917" t="s">
        <v>3190</v>
      </c>
      <c r="F917" t="s">
        <v>1782</v>
      </c>
      <c r="G917" t="s">
        <v>3129</v>
      </c>
      <c r="H917" t="s">
        <v>3131</v>
      </c>
      <c r="J917" s="455">
        <v>46160</v>
      </c>
      <c r="R917" s="455">
        <v>46164</v>
      </c>
      <c r="U917" s="455">
        <v>46160</v>
      </c>
    </row>
    <row r="918" spans="1:21">
      <c r="A918" t="s">
        <v>1751</v>
      </c>
      <c r="B918" t="s">
        <v>4936</v>
      </c>
      <c r="C918" t="s">
        <v>1751</v>
      </c>
      <c r="D918">
        <v>20528362</v>
      </c>
      <c r="E918" t="s">
        <v>3190</v>
      </c>
      <c r="F918" t="s">
        <v>1782</v>
      </c>
      <c r="G918" t="s">
        <v>3129</v>
      </c>
      <c r="H918" t="s">
        <v>3131</v>
      </c>
      <c r="J918" s="455">
        <v>46158</v>
      </c>
      <c r="R918" s="455">
        <v>46164</v>
      </c>
      <c r="U918" s="455">
        <v>46158</v>
      </c>
    </row>
    <row r="919" spans="1:21">
      <c r="A919" t="s">
        <v>1751</v>
      </c>
      <c r="B919" t="s">
        <v>10895</v>
      </c>
      <c r="C919" t="s">
        <v>1751</v>
      </c>
      <c r="D919">
        <v>20533502</v>
      </c>
      <c r="E919" t="s">
        <v>3128</v>
      </c>
      <c r="F919" t="s">
        <v>1241</v>
      </c>
      <c r="G919" t="s">
        <v>3129</v>
      </c>
      <c r="H919" t="s">
        <v>1252</v>
      </c>
      <c r="J919" s="455">
        <v>46164</v>
      </c>
      <c r="U919" s="455">
        <v>46164</v>
      </c>
    </row>
    <row r="920" spans="1:21">
      <c r="A920" t="s">
        <v>1751</v>
      </c>
      <c r="B920" t="s">
        <v>10896</v>
      </c>
      <c r="C920" t="s">
        <v>1751</v>
      </c>
      <c r="D920">
        <v>20519217</v>
      </c>
      <c r="E920" t="s">
        <v>3128</v>
      </c>
      <c r="F920" t="s">
        <v>1782</v>
      </c>
      <c r="G920" t="s">
        <v>3129</v>
      </c>
      <c r="H920" t="s">
        <v>3131</v>
      </c>
      <c r="J920" s="455">
        <v>46149</v>
      </c>
      <c r="U920" s="455">
        <v>46149</v>
      </c>
    </row>
    <row r="921" spans="1:21">
      <c r="A921" t="s">
        <v>1751</v>
      </c>
      <c r="B921" t="s">
        <v>4941</v>
      </c>
      <c r="C921" t="s">
        <v>1751</v>
      </c>
      <c r="D921">
        <v>20538010</v>
      </c>
      <c r="E921" t="s">
        <v>3128</v>
      </c>
      <c r="F921" t="s">
        <v>1782</v>
      </c>
      <c r="G921" t="s">
        <v>3129</v>
      </c>
      <c r="H921" t="s">
        <v>1253</v>
      </c>
      <c r="J921" s="455">
        <v>46170</v>
      </c>
      <c r="U921" s="455">
        <v>46170</v>
      </c>
    </row>
    <row r="922" spans="1:21">
      <c r="A922" t="s">
        <v>1751</v>
      </c>
      <c r="B922" t="s">
        <v>9010</v>
      </c>
      <c r="C922" t="s">
        <v>1751</v>
      </c>
      <c r="D922">
        <v>20533860</v>
      </c>
      <c r="E922" t="s">
        <v>3128</v>
      </c>
      <c r="F922" t="s">
        <v>1782</v>
      </c>
      <c r="G922" t="s">
        <v>3129</v>
      </c>
      <c r="H922" t="s">
        <v>1252</v>
      </c>
      <c r="J922" s="455">
        <v>46164</v>
      </c>
      <c r="U922" s="455">
        <v>46164</v>
      </c>
    </row>
    <row r="923" spans="1:21">
      <c r="A923" t="s">
        <v>1751</v>
      </c>
      <c r="B923" t="s">
        <v>5112</v>
      </c>
      <c r="C923" t="s">
        <v>1751</v>
      </c>
      <c r="D923">
        <v>20526292</v>
      </c>
      <c r="E923" t="s">
        <v>3190</v>
      </c>
      <c r="F923" t="s">
        <v>1782</v>
      </c>
      <c r="G923" t="s">
        <v>3129</v>
      </c>
      <c r="H923" t="s">
        <v>3131</v>
      </c>
      <c r="J923" s="455">
        <v>46156</v>
      </c>
      <c r="R923" s="455">
        <v>46164</v>
      </c>
      <c r="U923" s="455">
        <v>46156</v>
      </c>
    </row>
    <row r="924" spans="1:21">
      <c r="A924" t="s">
        <v>1751</v>
      </c>
      <c r="B924" t="s">
        <v>10897</v>
      </c>
      <c r="C924" t="s">
        <v>1751</v>
      </c>
      <c r="D924">
        <v>20531728</v>
      </c>
      <c r="E924" t="s">
        <v>3128</v>
      </c>
      <c r="F924" t="s">
        <v>1782</v>
      </c>
      <c r="G924" t="s">
        <v>3129</v>
      </c>
      <c r="H924" t="s">
        <v>1252</v>
      </c>
      <c r="J924" s="455">
        <v>46162</v>
      </c>
      <c r="U924" s="455">
        <v>46162</v>
      </c>
    </row>
    <row r="925" spans="1:21">
      <c r="A925" t="s">
        <v>1751</v>
      </c>
      <c r="B925" t="s">
        <v>5115</v>
      </c>
      <c r="C925" t="s">
        <v>1751</v>
      </c>
      <c r="D925">
        <v>20533440</v>
      </c>
      <c r="E925" t="s">
        <v>3128</v>
      </c>
      <c r="F925" t="s">
        <v>1782</v>
      </c>
      <c r="G925" t="s">
        <v>3129</v>
      </c>
      <c r="H925" t="s">
        <v>1253</v>
      </c>
      <c r="J925" s="455">
        <v>46164</v>
      </c>
      <c r="U925" s="455">
        <v>46164</v>
      </c>
    </row>
    <row r="926" spans="1:21">
      <c r="A926" t="s">
        <v>1751</v>
      </c>
      <c r="B926" t="s">
        <v>10898</v>
      </c>
      <c r="C926" t="s">
        <v>1751</v>
      </c>
      <c r="D926">
        <v>20514792</v>
      </c>
      <c r="E926" t="s">
        <v>3128</v>
      </c>
      <c r="F926" t="s">
        <v>1782</v>
      </c>
      <c r="G926" t="s">
        <v>3129</v>
      </c>
      <c r="H926" t="s">
        <v>1253</v>
      </c>
      <c r="J926" s="455">
        <v>46143</v>
      </c>
      <c r="U926" s="455">
        <v>46143</v>
      </c>
    </row>
    <row r="927" spans="1:21">
      <c r="A927" t="s">
        <v>1751</v>
      </c>
      <c r="B927" t="s">
        <v>10899</v>
      </c>
      <c r="C927" t="s">
        <v>1751</v>
      </c>
      <c r="D927">
        <v>20522114</v>
      </c>
      <c r="E927" t="s">
        <v>3190</v>
      </c>
      <c r="F927" t="s">
        <v>1782</v>
      </c>
      <c r="G927" t="s">
        <v>3129</v>
      </c>
      <c r="H927" t="s">
        <v>1253</v>
      </c>
      <c r="J927" s="455">
        <v>46153</v>
      </c>
      <c r="R927" s="455">
        <v>46164</v>
      </c>
      <c r="U927" s="455">
        <v>46153</v>
      </c>
    </row>
    <row r="928" spans="1:21">
      <c r="A928" t="s">
        <v>1751</v>
      </c>
      <c r="B928" t="s">
        <v>10233</v>
      </c>
      <c r="C928" t="s">
        <v>1751</v>
      </c>
      <c r="D928">
        <v>20511784</v>
      </c>
      <c r="E928" t="s">
        <v>3190</v>
      </c>
      <c r="F928" t="s">
        <v>1241</v>
      </c>
      <c r="G928" t="s">
        <v>3129</v>
      </c>
      <c r="H928" t="s">
        <v>1253</v>
      </c>
      <c r="J928" s="455">
        <v>46140</v>
      </c>
      <c r="R928" s="455">
        <v>46147</v>
      </c>
      <c r="U928" s="455">
        <v>46140</v>
      </c>
    </row>
    <row r="929" spans="1:21">
      <c r="A929" t="s">
        <v>1751</v>
      </c>
      <c r="B929" t="s">
        <v>10900</v>
      </c>
      <c r="C929" t="s">
        <v>1751</v>
      </c>
      <c r="D929">
        <v>20517572</v>
      </c>
      <c r="E929" t="s">
        <v>3128</v>
      </c>
      <c r="F929" t="s">
        <v>1782</v>
      </c>
      <c r="G929" t="s">
        <v>3129</v>
      </c>
      <c r="H929" t="s">
        <v>1252</v>
      </c>
      <c r="J929" s="455">
        <v>46147</v>
      </c>
      <c r="U929" s="455">
        <v>46147</v>
      </c>
    </row>
    <row r="930" spans="1:21">
      <c r="A930" t="s">
        <v>1751</v>
      </c>
      <c r="B930" t="s">
        <v>10901</v>
      </c>
      <c r="C930" t="s">
        <v>1751</v>
      </c>
      <c r="D930">
        <v>20532103</v>
      </c>
      <c r="E930" t="s">
        <v>3190</v>
      </c>
      <c r="F930" t="s">
        <v>1782</v>
      </c>
      <c r="G930" t="s">
        <v>3129</v>
      </c>
      <c r="H930" t="s">
        <v>3131</v>
      </c>
      <c r="J930" s="455">
        <v>46162</v>
      </c>
      <c r="R930" s="455">
        <v>46164</v>
      </c>
      <c r="U930" s="455">
        <v>46162</v>
      </c>
    </row>
    <row r="931" spans="1:21">
      <c r="A931" t="s">
        <v>1751</v>
      </c>
      <c r="B931" t="s">
        <v>10902</v>
      </c>
      <c r="C931" t="s">
        <v>1751</v>
      </c>
      <c r="D931">
        <v>20539696</v>
      </c>
      <c r="E931" t="s">
        <v>3128</v>
      </c>
      <c r="F931" t="s">
        <v>1782</v>
      </c>
      <c r="G931" t="s">
        <v>3129</v>
      </c>
      <c r="H931" t="s">
        <v>3131</v>
      </c>
      <c r="J931" s="455">
        <v>46172</v>
      </c>
      <c r="U931" s="455">
        <v>46186</v>
      </c>
    </row>
    <row r="932" spans="1:21">
      <c r="A932" t="s">
        <v>1751</v>
      </c>
      <c r="B932" t="s">
        <v>10903</v>
      </c>
      <c r="C932" t="s">
        <v>1751</v>
      </c>
      <c r="D932">
        <v>20515318</v>
      </c>
      <c r="E932" t="s">
        <v>3128</v>
      </c>
      <c r="F932" t="s">
        <v>1782</v>
      </c>
      <c r="G932" t="s">
        <v>3129</v>
      </c>
      <c r="H932" t="s">
        <v>1253</v>
      </c>
      <c r="J932" s="455">
        <v>46144</v>
      </c>
      <c r="U932" s="455">
        <v>46144</v>
      </c>
    </row>
    <row r="933" spans="1:21">
      <c r="A933" t="s">
        <v>1751</v>
      </c>
      <c r="B933" t="s">
        <v>4140</v>
      </c>
      <c r="C933" t="s">
        <v>1751</v>
      </c>
      <c r="D933">
        <v>20536900</v>
      </c>
      <c r="E933" t="s">
        <v>3128</v>
      </c>
      <c r="F933" t="s">
        <v>1782</v>
      </c>
      <c r="G933" t="s">
        <v>3129</v>
      </c>
      <c r="H933" t="s">
        <v>3377</v>
      </c>
      <c r="J933" s="455">
        <v>46169</v>
      </c>
      <c r="U933" s="455">
        <v>46169</v>
      </c>
    </row>
    <row r="934" spans="1:21">
      <c r="A934" t="s">
        <v>1751</v>
      </c>
      <c r="B934" t="s">
        <v>10904</v>
      </c>
      <c r="C934" t="s">
        <v>1751</v>
      </c>
      <c r="D934">
        <v>20523105</v>
      </c>
      <c r="E934" t="s">
        <v>3190</v>
      </c>
      <c r="F934" t="s">
        <v>1782</v>
      </c>
      <c r="G934" t="s">
        <v>3129</v>
      </c>
      <c r="H934" t="s">
        <v>1252</v>
      </c>
      <c r="J934" s="455">
        <v>46154</v>
      </c>
      <c r="R934" s="455">
        <v>46164</v>
      </c>
      <c r="U934" s="455">
        <v>46154</v>
      </c>
    </row>
    <row r="935" spans="1:21">
      <c r="A935" t="s">
        <v>1751</v>
      </c>
      <c r="B935" t="s">
        <v>10905</v>
      </c>
      <c r="C935" t="s">
        <v>1751</v>
      </c>
      <c r="D935">
        <v>20531252</v>
      </c>
      <c r="E935" t="s">
        <v>3128</v>
      </c>
      <c r="F935" t="s">
        <v>1782</v>
      </c>
      <c r="G935" t="s">
        <v>3129</v>
      </c>
      <c r="H935" t="s">
        <v>1252</v>
      </c>
      <c r="J935" s="455">
        <v>46161</v>
      </c>
      <c r="U935" s="455">
        <v>46161</v>
      </c>
    </row>
    <row r="936" spans="1:21">
      <c r="A936" t="s">
        <v>1751</v>
      </c>
      <c r="B936" t="s">
        <v>10906</v>
      </c>
      <c r="C936" t="s">
        <v>1751</v>
      </c>
      <c r="D936">
        <v>20539186</v>
      </c>
      <c r="E936" t="s">
        <v>3128</v>
      </c>
      <c r="F936" t="s">
        <v>1782</v>
      </c>
      <c r="G936" t="s">
        <v>3141</v>
      </c>
      <c r="H936" t="s">
        <v>1247</v>
      </c>
      <c r="J936" s="455">
        <v>46171</v>
      </c>
      <c r="U936" s="455">
        <v>46171</v>
      </c>
    </row>
    <row r="937" spans="1:21">
      <c r="A937" t="s">
        <v>1751</v>
      </c>
      <c r="B937" t="s">
        <v>10906</v>
      </c>
      <c r="C937" t="s">
        <v>1751</v>
      </c>
      <c r="D937">
        <v>20539092</v>
      </c>
      <c r="E937" t="s">
        <v>3128</v>
      </c>
      <c r="F937" t="s">
        <v>1782</v>
      </c>
      <c r="G937" t="s">
        <v>3141</v>
      </c>
      <c r="H937" t="s">
        <v>1247</v>
      </c>
      <c r="J937" s="455">
        <v>46171</v>
      </c>
      <c r="U937" s="455">
        <v>46171</v>
      </c>
    </row>
    <row r="938" spans="1:21">
      <c r="A938" t="s">
        <v>1751</v>
      </c>
      <c r="B938" t="s">
        <v>10907</v>
      </c>
      <c r="C938" t="s">
        <v>1751</v>
      </c>
      <c r="D938">
        <v>20536186</v>
      </c>
      <c r="E938" t="s">
        <v>3128</v>
      </c>
      <c r="F938" t="s">
        <v>1782</v>
      </c>
      <c r="G938" t="s">
        <v>3129</v>
      </c>
      <c r="H938" t="s">
        <v>1253</v>
      </c>
      <c r="J938" s="455">
        <v>46168</v>
      </c>
      <c r="U938" s="455">
        <v>46168</v>
      </c>
    </row>
    <row r="939" spans="1:21">
      <c r="A939" t="s">
        <v>1751</v>
      </c>
      <c r="B939" t="s">
        <v>10240</v>
      </c>
      <c r="C939" t="s">
        <v>1751</v>
      </c>
      <c r="D939">
        <v>20539685</v>
      </c>
      <c r="E939" t="s">
        <v>3128</v>
      </c>
      <c r="F939" t="s">
        <v>1782</v>
      </c>
      <c r="G939" t="s">
        <v>3129</v>
      </c>
      <c r="H939" t="s">
        <v>1253</v>
      </c>
      <c r="J939" s="455">
        <v>46172</v>
      </c>
      <c r="U939" s="455">
        <v>46202</v>
      </c>
    </row>
    <row r="940" spans="1:21">
      <c r="A940" t="s">
        <v>1751</v>
      </c>
      <c r="B940" t="s">
        <v>10240</v>
      </c>
      <c r="C940" t="s">
        <v>1751</v>
      </c>
      <c r="D940">
        <v>20525336</v>
      </c>
      <c r="E940" t="s">
        <v>3128</v>
      </c>
      <c r="F940" t="s">
        <v>1782</v>
      </c>
      <c r="G940" t="s">
        <v>3129</v>
      </c>
      <c r="H940" t="s">
        <v>3131</v>
      </c>
      <c r="J940" s="455">
        <v>46156</v>
      </c>
      <c r="U940" s="455">
        <v>46156</v>
      </c>
    </row>
    <row r="941" spans="1:21">
      <c r="A941" t="s">
        <v>1751</v>
      </c>
      <c r="B941" t="s">
        <v>10908</v>
      </c>
      <c r="C941" t="s">
        <v>1751</v>
      </c>
      <c r="D941">
        <v>20539589</v>
      </c>
      <c r="E941" t="s">
        <v>3128</v>
      </c>
      <c r="F941" t="s">
        <v>1782</v>
      </c>
      <c r="G941" t="s">
        <v>3129</v>
      </c>
      <c r="H941" t="s">
        <v>3377</v>
      </c>
      <c r="J941" s="455">
        <v>46172</v>
      </c>
      <c r="U941" s="455">
        <v>46172</v>
      </c>
    </row>
    <row r="942" spans="1:21">
      <c r="A942" t="s">
        <v>1751</v>
      </c>
      <c r="B942" t="s">
        <v>10909</v>
      </c>
      <c r="C942" t="s">
        <v>1751</v>
      </c>
      <c r="D942">
        <v>20533587</v>
      </c>
      <c r="E942" t="s">
        <v>3190</v>
      </c>
      <c r="F942" t="s">
        <v>1782</v>
      </c>
      <c r="G942" t="s">
        <v>3129</v>
      </c>
      <c r="H942" t="s">
        <v>1253</v>
      </c>
      <c r="J942" s="455">
        <v>46164</v>
      </c>
      <c r="R942" s="455">
        <v>46164</v>
      </c>
      <c r="U942" s="455">
        <v>46183</v>
      </c>
    </row>
    <row r="943" spans="1:21">
      <c r="A943" t="s">
        <v>1751</v>
      </c>
      <c r="B943" t="s">
        <v>10910</v>
      </c>
      <c r="C943" t="s">
        <v>1751</v>
      </c>
      <c r="D943">
        <v>20535250</v>
      </c>
      <c r="E943" t="s">
        <v>3128</v>
      </c>
      <c r="F943" t="s">
        <v>1782</v>
      </c>
      <c r="G943" t="s">
        <v>3129</v>
      </c>
      <c r="H943" t="s">
        <v>3131</v>
      </c>
      <c r="J943" s="455">
        <v>46167</v>
      </c>
      <c r="U943" s="455">
        <v>46167</v>
      </c>
    </row>
    <row r="944" spans="1:21">
      <c r="A944" t="s">
        <v>1751</v>
      </c>
      <c r="B944" t="s">
        <v>10911</v>
      </c>
      <c r="C944" t="s">
        <v>1751</v>
      </c>
      <c r="D944">
        <v>20525356</v>
      </c>
      <c r="E944" t="s">
        <v>3190</v>
      </c>
      <c r="F944" t="s">
        <v>1782</v>
      </c>
      <c r="G944" t="s">
        <v>3129</v>
      </c>
      <c r="H944" t="s">
        <v>1253</v>
      </c>
      <c r="J944" s="455">
        <v>46156</v>
      </c>
      <c r="R944" s="455">
        <v>46164</v>
      </c>
      <c r="U944" s="455">
        <v>46156</v>
      </c>
    </row>
    <row r="945" spans="1:21">
      <c r="A945" t="s">
        <v>1751</v>
      </c>
      <c r="B945" t="s">
        <v>10912</v>
      </c>
      <c r="C945" t="s">
        <v>1751</v>
      </c>
      <c r="D945">
        <v>20530494</v>
      </c>
      <c r="E945" t="s">
        <v>3128</v>
      </c>
      <c r="F945" t="s">
        <v>1782</v>
      </c>
      <c r="G945" t="s">
        <v>3129</v>
      </c>
      <c r="H945" t="s">
        <v>1252</v>
      </c>
      <c r="J945" s="455">
        <v>46161</v>
      </c>
      <c r="U945" s="455">
        <v>46161</v>
      </c>
    </row>
    <row r="946" spans="1:21">
      <c r="A946" t="s">
        <v>1751</v>
      </c>
      <c r="B946" t="s">
        <v>4958</v>
      </c>
      <c r="C946" t="s">
        <v>1751</v>
      </c>
      <c r="D946">
        <v>20511193</v>
      </c>
      <c r="E946" t="s">
        <v>3190</v>
      </c>
      <c r="F946" t="s">
        <v>1782</v>
      </c>
      <c r="G946" t="s">
        <v>3129</v>
      </c>
      <c r="H946" t="s">
        <v>1252</v>
      </c>
      <c r="J946" s="455">
        <v>46139</v>
      </c>
      <c r="R946" s="455">
        <v>46147</v>
      </c>
      <c r="U946" s="455">
        <v>46139</v>
      </c>
    </row>
    <row r="947" spans="1:21">
      <c r="A947" t="s">
        <v>1751</v>
      </c>
      <c r="B947" t="s">
        <v>10913</v>
      </c>
      <c r="C947" t="s">
        <v>1751</v>
      </c>
      <c r="D947">
        <v>20516741</v>
      </c>
      <c r="E947" t="s">
        <v>3128</v>
      </c>
      <c r="F947" t="s">
        <v>1782</v>
      </c>
      <c r="G947" t="s">
        <v>3129</v>
      </c>
      <c r="H947" t="s">
        <v>1252</v>
      </c>
      <c r="J947" s="455">
        <v>46146</v>
      </c>
      <c r="U947" s="455">
        <v>46146</v>
      </c>
    </row>
    <row r="948" spans="1:21">
      <c r="A948" t="s">
        <v>1751</v>
      </c>
      <c r="B948" t="s">
        <v>10914</v>
      </c>
      <c r="C948" t="s">
        <v>1751</v>
      </c>
      <c r="D948">
        <v>20520354</v>
      </c>
      <c r="E948" t="s">
        <v>3190</v>
      </c>
      <c r="F948" t="s">
        <v>1782</v>
      </c>
      <c r="G948" t="s">
        <v>3129</v>
      </c>
      <c r="H948" t="s">
        <v>1247</v>
      </c>
      <c r="J948" s="455">
        <v>46150</v>
      </c>
      <c r="R948" s="455">
        <v>46164</v>
      </c>
      <c r="U948" s="455">
        <v>46150</v>
      </c>
    </row>
    <row r="949" spans="1:21">
      <c r="A949" t="s">
        <v>1751</v>
      </c>
      <c r="B949" t="s">
        <v>10915</v>
      </c>
      <c r="C949" t="s">
        <v>1751</v>
      </c>
      <c r="D949">
        <v>20531573</v>
      </c>
      <c r="E949" t="s">
        <v>3190</v>
      </c>
      <c r="F949" t="s">
        <v>1782</v>
      </c>
      <c r="G949" t="s">
        <v>3129</v>
      </c>
      <c r="H949" t="s">
        <v>1252</v>
      </c>
      <c r="J949" s="455">
        <v>46162</v>
      </c>
      <c r="R949" s="455">
        <v>46164</v>
      </c>
      <c r="U949" s="455">
        <v>46162</v>
      </c>
    </row>
    <row r="950" spans="1:21">
      <c r="A950" t="s">
        <v>1751</v>
      </c>
      <c r="B950" t="s">
        <v>10916</v>
      </c>
      <c r="C950" t="s">
        <v>1751</v>
      </c>
      <c r="D950">
        <v>20533383</v>
      </c>
      <c r="E950" t="s">
        <v>3128</v>
      </c>
      <c r="F950" t="s">
        <v>1782</v>
      </c>
      <c r="G950" t="s">
        <v>3129</v>
      </c>
      <c r="H950" t="s">
        <v>1252</v>
      </c>
      <c r="J950" s="455">
        <v>46164</v>
      </c>
      <c r="U950" s="455">
        <v>46164</v>
      </c>
    </row>
    <row r="951" spans="1:21">
      <c r="A951" t="s">
        <v>1751</v>
      </c>
      <c r="B951" t="s">
        <v>10254</v>
      </c>
      <c r="C951" t="s">
        <v>1751</v>
      </c>
      <c r="D951">
        <v>20506265</v>
      </c>
      <c r="E951" t="s">
        <v>3190</v>
      </c>
      <c r="F951" t="s">
        <v>1782</v>
      </c>
      <c r="G951" t="s">
        <v>3129</v>
      </c>
      <c r="H951" t="s">
        <v>1252</v>
      </c>
      <c r="J951" s="455">
        <v>46134</v>
      </c>
      <c r="R951" s="455">
        <v>46164</v>
      </c>
      <c r="U951" s="455">
        <v>46134</v>
      </c>
    </row>
    <row r="952" spans="1:21">
      <c r="A952" t="s">
        <v>1751</v>
      </c>
      <c r="B952" t="s">
        <v>10256</v>
      </c>
      <c r="C952" t="s">
        <v>1751</v>
      </c>
      <c r="D952">
        <v>20538918</v>
      </c>
      <c r="E952" t="s">
        <v>3128</v>
      </c>
      <c r="F952" t="s">
        <v>1782</v>
      </c>
      <c r="G952" t="s">
        <v>3129</v>
      </c>
      <c r="H952" t="s">
        <v>1252</v>
      </c>
      <c r="J952" s="455">
        <v>46171</v>
      </c>
      <c r="U952" s="455">
        <v>46171</v>
      </c>
    </row>
    <row r="953" spans="1:21">
      <c r="A953" t="s">
        <v>1751</v>
      </c>
      <c r="B953" t="s">
        <v>10917</v>
      </c>
      <c r="C953" t="s">
        <v>1751</v>
      </c>
      <c r="D953">
        <v>20524880</v>
      </c>
      <c r="E953" t="s">
        <v>3190</v>
      </c>
      <c r="F953" t="s">
        <v>1782</v>
      </c>
      <c r="G953" t="s">
        <v>3129</v>
      </c>
      <c r="H953" t="s">
        <v>1252</v>
      </c>
      <c r="J953" s="455">
        <v>46155</v>
      </c>
      <c r="R953" s="455">
        <v>46164</v>
      </c>
      <c r="U953" s="455">
        <v>46204</v>
      </c>
    </row>
    <row r="954" spans="1:21">
      <c r="A954" t="s">
        <v>1751</v>
      </c>
      <c r="B954" t="s">
        <v>10918</v>
      </c>
      <c r="C954" t="s">
        <v>1751</v>
      </c>
      <c r="D954">
        <v>20514546</v>
      </c>
      <c r="E954" t="s">
        <v>3128</v>
      </c>
      <c r="F954" t="s">
        <v>1782</v>
      </c>
      <c r="G954" t="s">
        <v>3129</v>
      </c>
      <c r="H954" t="s">
        <v>3131</v>
      </c>
      <c r="J954" s="455">
        <v>46143</v>
      </c>
      <c r="U954" s="455">
        <v>46143</v>
      </c>
    </row>
    <row r="955" spans="1:21">
      <c r="A955" t="s">
        <v>1751</v>
      </c>
      <c r="B955" t="s">
        <v>10919</v>
      </c>
      <c r="C955" t="s">
        <v>1751</v>
      </c>
      <c r="D955">
        <v>20537711</v>
      </c>
      <c r="E955" t="s">
        <v>3128</v>
      </c>
      <c r="F955" t="s">
        <v>1782</v>
      </c>
      <c r="G955" t="s">
        <v>3129</v>
      </c>
      <c r="H955" t="s">
        <v>1252</v>
      </c>
      <c r="J955" s="455">
        <v>46170</v>
      </c>
      <c r="U955" s="455">
        <v>46170</v>
      </c>
    </row>
    <row r="956" spans="1:21">
      <c r="A956" t="s">
        <v>1751</v>
      </c>
      <c r="B956" t="s">
        <v>10919</v>
      </c>
      <c r="C956" t="s">
        <v>1751</v>
      </c>
      <c r="D956">
        <v>20520859</v>
      </c>
      <c r="E956" t="s">
        <v>3128</v>
      </c>
      <c r="F956" t="s">
        <v>1782</v>
      </c>
      <c r="G956" t="s">
        <v>3129</v>
      </c>
      <c r="H956" t="s">
        <v>1253</v>
      </c>
      <c r="J956" s="455">
        <v>46151</v>
      </c>
      <c r="U956" s="455">
        <v>46151</v>
      </c>
    </row>
    <row r="957" spans="1:21">
      <c r="A957" t="s">
        <v>1751</v>
      </c>
      <c r="B957" t="s">
        <v>10920</v>
      </c>
      <c r="C957" t="s">
        <v>1751</v>
      </c>
      <c r="D957">
        <v>20520449</v>
      </c>
      <c r="E957" t="s">
        <v>3128</v>
      </c>
      <c r="F957" t="s">
        <v>1782</v>
      </c>
      <c r="G957" t="s">
        <v>3129</v>
      </c>
      <c r="H957" t="s">
        <v>1251</v>
      </c>
      <c r="J957" s="455">
        <v>46150</v>
      </c>
      <c r="U957" s="455">
        <v>46150</v>
      </c>
    </row>
    <row r="958" spans="1:21">
      <c r="A958" t="s">
        <v>1751</v>
      </c>
      <c r="B958" t="s">
        <v>10921</v>
      </c>
      <c r="C958" t="s">
        <v>1751</v>
      </c>
      <c r="D958">
        <v>20515262</v>
      </c>
      <c r="E958" t="s">
        <v>3128</v>
      </c>
      <c r="F958" t="s">
        <v>1782</v>
      </c>
      <c r="G958" t="s">
        <v>3129</v>
      </c>
      <c r="H958" t="s">
        <v>1253</v>
      </c>
      <c r="J958" s="455">
        <v>46144</v>
      </c>
      <c r="U958" s="455">
        <v>46144</v>
      </c>
    </row>
    <row r="959" spans="1:21">
      <c r="A959" t="s">
        <v>1751</v>
      </c>
      <c r="B959" t="s">
        <v>10922</v>
      </c>
      <c r="C959" t="s">
        <v>1751</v>
      </c>
      <c r="D959">
        <v>20529815</v>
      </c>
      <c r="E959" t="s">
        <v>3128</v>
      </c>
      <c r="F959" t="s">
        <v>1782</v>
      </c>
      <c r="G959" t="s">
        <v>3129</v>
      </c>
      <c r="H959" t="s">
        <v>1252</v>
      </c>
      <c r="I959" t="s">
        <v>3426</v>
      </c>
      <c r="J959" s="455">
        <v>46160</v>
      </c>
      <c r="U959" s="455">
        <v>46160</v>
      </c>
    </row>
    <row r="960" spans="1:21">
      <c r="A960" t="s">
        <v>1751</v>
      </c>
      <c r="B960" t="s">
        <v>10923</v>
      </c>
      <c r="C960" t="s">
        <v>1751</v>
      </c>
      <c r="D960">
        <v>20520746</v>
      </c>
      <c r="E960" t="s">
        <v>3190</v>
      </c>
      <c r="F960" t="s">
        <v>1238</v>
      </c>
      <c r="G960" t="s">
        <v>3137</v>
      </c>
      <c r="H960" t="s">
        <v>1247</v>
      </c>
      <c r="I960" t="s">
        <v>3265</v>
      </c>
      <c r="J960" s="455">
        <v>46151</v>
      </c>
      <c r="R960" s="455">
        <v>46164</v>
      </c>
      <c r="U960" s="455">
        <v>46151</v>
      </c>
    </row>
    <row r="961" spans="1:21">
      <c r="A961" t="s">
        <v>1751</v>
      </c>
      <c r="B961" t="s">
        <v>10924</v>
      </c>
      <c r="C961" t="s">
        <v>1751</v>
      </c>
      <c r="D961">
        <v>20520115</v>
      </c>
      <c r="E961" t="s">
        <v>3128</v>
      </c>
      <c r="F961" t="s">
        <v>1782</v>
      </c>
      <c r="G961" t="s">
        <v>3129</v>
      </c>
      <c r="H961" t="s">
        <v>1252</v>
      </c>
      <c r="J961" s="455">
        <v>46150</v>
      </c>
      <c r="U961" s="455">
        <v>46150</v>
      </c>
    </row>
    <row r="962" spans="1:21">
      <c r="A962" t="s">
        <v>1751</v>
      </c>
      <c r="B962" t="s">
        <v>4171</v>
      </c>
      <c r="C962" t="s">
        <v>1751</v>
      </c>
      <c r="D962">
        <v>20531652</v>
      </c>
      <c r="E962" t="s">
        <v>3190</v>
      </c>
      <c r="F962" t="s">
        <v>1782</v>
      </c>
      <c r="G962" t="s">
        <v>3129</v>
      </c>
      <c r="H962" t="s">
        <v>1252</v>
      </c>
      <c r="J962" s="455">
        <v>46162</v>
      </c>
      <c r="R962" s="455">
        <v>46164</v>
      </c>
      <c r="U962" s="455">
        <v>46162</v>
      </c>
    </row>
    <row r="963" spans="1:21">
      <c r="A963" t="s">
        <v>1751</v>
      </c>
      <c r="B963" t="s">
        <v>4970</v>
      </c>
      <c r="C963" t="s">
        <v>1751</v>
      </c>
      <c r="D963">
        <v>20538150</v>
      </c>
      <c r="E963" t="s">
        <v>3128</v>
      </c>
      <c r="F963" t="s">
        <v>1782</v>
      </c>
      <c r="G963" t="s">
        <v>3129</v>
      </c>
      <c r="H963" t="s">
        <v>3131</v>
      </c>
      <c r="J963" s="455">
        <v>46170</v>
      </c>
      <c r="U963" s="455">
        <v>46170</v>
      </c>
    </row>
    <row r="964" spans="1:21">
      <c r="A964" t="s">
        <v>1751</v>
      </c>
      <c r="B964" t="s">
        <v>10925</v>
      </c>
      <c r="C964" t="s">
        <v>1751</v>
      </c>
      <c r="D964">
        <v>20535726</v>
      </c>
      <c r="E964" t="s">
        <v>3128</v>
      </c>
      <c r="F964" t="s">
        <v>1782</v>
      </c>
      <c r="G964" t="s">
        <v>3129</v>
      </c>
      <c r="H964" t="s">
        <v>1247</v>
      </c>
      <c r="J964" s="455">
        <v>46168</v>
      </c>
      <c r="U964" s="455">
        <v>46168</v>
      </c>
    </row>
    <row r="965" spans="1:21">
      <c r="A965" t="s">
        <v>1751</v>
      </c>
      <c r="B965" t="s">
        <v>10926</v>
      </c>
      <c r="C965" t="s">
        <v>1751</v>
      </c>
      <c r="D965">
        <v>20521112</v>
      </c>
      <c r="E965" t="s">
        <v>3128</v>
      </c>
      <c r="F965" t="s">
        <v>1782</v>
      </c>
      <c r="G965" t="s">
        <v>3129</v>
      </c>
      <c r="H965" t="s">
        <v>1252</v>
      </c>
      <c r="J965" s="455">
        <v>46151</v>
      </c>
      <c r="U965" s="455">
        <v>46151</v>
      </c>
    </row>
    <row r="966" spans="1:21">
      <c r="A966" t="s">
        <v>1751</v>
      </c>
      <c r="B966" t="s">
        <v>10927</v>
      </c>
      <c r="C966" t="s">
        <v>1751</v>
      </c>
      <c r="D966">
        <v>20519172</v>
      </c>
      <c r="E966" t="s">
        <v>3128</v>
      </c>
      <c r="F966" t="s">
        <v>1782</v>
      </c>
      <c r="G966" t="s">
        <v>3129</v>
      </c>
      <c r="H966" t="s">
        <v>1252</v>
      </c>
      <c r="J966" s="455">
        <v>46149</v>
      </c>
      <c r="U966" s="455">
        <v>46149</v>
      </c>
    </row>
    <row r="967" spans="1:21">
      <c r="A967" t="s">
        <v>1751</v>
      </c>
      <c r="B967" t="s">
        <v>10928</v>
      </c>
      <c r="C967" t="s">
        <v>1751</v>
      </c>
      <c r="D967">
        <v>20517721</v>
      </c>
      <c r="E967" t="s">
        <v>3128</v>
      </c>
      <c r="F967" t="s">
        <v>1782</v>
      </c>
      <c r="G967" t="s">
        <v>3129</v>
      </c>
      <c r="H967" t="s">
        <v>3131</v>
      </c>
      <c r="J967" s="455">
        <v>46147</v>
      </c>
      <c r="U967" s="455">
        <v>46147</v>
      </c>
    </row>
    <row r="968" spans="1:21">
      <c r="A968" t="s">
        <v>1751</v>
      </c>
      <c r="B968" t="s">
        <v>4177</v>
      </c>
      <c r="C968" t="s">
        <v>1751</v>
      </c>
      <c r="D968">
        <v>20524223</v>
      </c>
      <c r="E968" t="s">
        <v>3190</v>
      </c>
      <c r="F968" t="s">
        <v>1782</v>
      </c>
      <c r="G968" t="s">
        <v>3129</v>
      </c>
      <c r="H968" t="s">
        <v>1252</v>
      </c>
      <c r="J968" s="455">
        <v>46155</v>
      </c>
      <c r="R968" s="455">
        <v>46164</v>
      </c>
      <c r="U968" s="455">
        <v>46155</v>
      </c>
    </row>
    <row r="969" spans="1:21">
      <c r="A969" t="s">
        <v>1751</v>
      </c>
      <c r="B969" t="s">
        <v>10929</v>
      </c>
      <c r="C969" t="s">
        <v>1751</v>
      </c>
      <c r="D969">
        <v>20517662</v>
      </c>
      <c r="E969" t="s">
        <v>3128</v>
      </c>
      <c r="F969" t="s">
        <v>1782</v>
      </c>
      <c r="G969" t="s">
        <v>3129</v>
      </c>
      <c r="H969" t="s">
        <v>1252</v>
      </c>
      <c r="J969" s="455">
        <v>46147</v>
      </c>
      <c r="U969" s="455">
        <v>46147</v>
      </c>
    </row>
    <row r="970" spans="1:21">
      <c r="A970" t="s">
        <v>1751</v>
      </c>
      <c r="B970" t="s">
        <v>10930</v>
      </c>
      <c r="C970" t="s">
        <v>1751</v>
      </c>
      <c r="D970">
        <v>20524039</v>
      </c>
      <c r="E970" t="s">
        <v>3190</v>
      </c>
      <c r="F970" t="s">
        <v>1782</v>
      </c>
      <c r="G970" t="s">
        <v>3129</v>
      </c>
      <c r="H970" t="s">
        <v>1252</v>
      </c>
      <c r="J970" s="455">
        <v>46155</v>
      </c>
      <c r="R970" s="455">
        <v>46164</v>
      </c>
      <c r="U970" s="455">
        <v>46155</v>
      </c>
    </row>
    <row r="971" spans="1:21">
      <c r="A971" t="s">
        <v>1751</v>
      </c>
      <c r="B971" t="s">
        <v>4179</v>
      </c>
      <c r="C971" t="s">
        <v>1751</v>
      </c>
      <c r="D971">
        <v>20522142</v>
      </c>
      <c r="E971" t="s">
        <v>3190</v>
      </c>
      <c r="F971" t="s">
        <v>1782</v>
      </c>
      <c r="G971" t="s">
        <v>3129</v>
      </c>
      <c r="H971" t="s">
        <v>3131</v>
      </c>
      <c r="J971" s="455">
        <v>46153</v>
      </c>
      <c r="R971" s="455">
        <v>46164</v>
      </c>
      <c r="U971" s="455">
        <v>46153</v>
      </c>
    </row>
    <row r="972" spans="1:21">
      <c r="A972" t="s">
        <v>1751</v>
      </c>
      <c r="B972" t="s">
        <v>4179</v>
      </c>
      <c r="C972" t="s">
        <v>1751</v>
      </c>
      <c r="D972">
        <v>20537148</v>
      </c>
      <c r="E972" t="s">
        <v>3128</v>
      </c>
      <c r="F972" t="s">
        <v>1782</v>
      </c>
      <c r="G972" t="s">
        <v>3129</v>
      </c>
      <c r="H972" t="s">
        <v>1253</v>
      </c>
      <c r="J972" s="455">
        <v>46169</v>
      </c>
      <c r="U972" s="455">
        <v>46169</v>
      </c>
    </row>
    <row r="973" spans="1:21">
      <c r="A973" t="s">
        <v>1751</v>
      </c>
      <c r="B973" t="s">
        <v>4179</v>
      </c>
      <c r="C973" t="s">
        <v>1751</v>
      </c>
      <c r="D973">
        <v>20523543</v>
      </c>
      <c r="E973" t="s">
        <v>3190</v>
      </c>
      <c r="F973" t="s">
        <v>1782</v>
      </c>
      <c r="G973" t="s">
        <v>3129</v>
      </c>
      <c r="H973" t="s">
        <v>1252</v>
      </c>
      <c r="J973" s="455">
        <v>46154</v>
      </c>
      <c r="R973" s="455">
        <v>46164</v>
      </c>
      <c r="U973" s="455">
        <v>46154</v>
      </c>
    </row>
    <row r="974" spans="1:21">
      <c r="A974" t="s">
        <v>1751</v>
      </c>
      <c r="B974" t="s">
        <v>4179</v>
      </c>
      <c r="C974" t="s">
        <v>1751</v>
      </c>
      <c r="D974">
        <v>20511937</v>
      </c>
      <c r="E974" t="s">
        <v>3190</v>
      </c>
      <c r="F974" t="s">
        <v>1782</v>
      </c>
      <c r="G974" t="s">
        <v>3129</v>
      </c>
      <c r="H974" t="s">
        <v>3377</v>
      </c>
      <c r="J974" s="455">
        <v>46140</v>
      </c>
      <c r="R974" s="455">
        <v>46147</v>
      </c>
      <c r="U974" s="455">
        <v>46140</v>
      </c>
    </row>
    <row r="975" spans="1:21">
      <c r="A975" t="s">
        <v>1751</v>
      </c>
      <c r="B975" t="s">
        <v>4179</v>
      </c>
      <c r="C975" t="s">
        <v>1751</v>
      </c>
      <c r="D975">
        <v>20511891</v>
      </c>
      <c r="E975" t="s">
        <v>3190</v>
      </c>
      <c r="F975" t="s">
        <v>1782</v>
      </c>
      <c r="G975" t="s">
        <v>3129</v>
      </c>
      <c r="H975" t="s">
        <v>3377</v>
      </c>
      <c r="J975" s="455">
        <v>46140</v>
      </c>
      <c r="R975" s="455">
        <v>46147</v>
      </c>
      <c r="U975" s="455">
        <v>46140</v>
      </c>
    </row>
    <row r="976" spans="1:21">
      <c r="A976" t="s">
        <v>1751</v>
      </c>
      <c r="B976" t="s">
        <v>4179</v>
      </c>
      <c r="C976" t="s">
        <v>1751</v>
      </c>
      <c r="D976">
        <v>20535779</v>
      </c>
      <c r="E976" t="s">
        <v>3128</v>
      </c>
      <c r="F976" t="s">
        <v>1782</v>
      </c>
      <c r="G976" t="s">
        <v>3129</v>
      </c>
      <c r="H976" t="s">
        <v>1252</v>
      </c>
      <c r="J976" s="455">
        <v>46168</v>
      </c>
      <c r="U976" s="455">
        <v>46168</v>
      </c>
    </row>
    <row r="977" spans="1:21">
      <c r="A977" t="s">
        <v>1751</v>
      </c>
      <c r="B977" t="s">
        <v>4179</v>
      </c>
      <c r="C977" t="s">
        <v>1751</v>
      </c>
      <c r="D977">
        <v>20535771</v>
      </c>
      <c r="E977" t="s">
        <v>3128</v>
      </c>
      <c r="F977" t="s">
        <v>1782</v>
      </c>
      <c r="G977" t="s">
        <v>3129</v>
      </c>
      <c r="H977" t="s">
        <v>3377</v>
      </c>
      <c r="J977" s="455">
        <v>46168</v>
      </c>
      <c r="U977" s="455">
        <v>46168</v>
      </c>
    </row>
    <row r="978" spans="1:21">
      <c r="A978" t="s">
        <v>1751</v>
      </c>
      <c r="B978" t="s">
        <v>4179</v>
      </c>
      <c r="C978" t="s">
        <v>1751</v>
      </c>
      <c r="D978">
        <v>20519431</v>
      </c>
      <c r="E978" t="s">
        <v>3128</v>
      </c>
      <c r="F978" t="s">
        <v>1782</v>
      </c>
      <c r="G978" t="s">
        <v>3129</v>
      </c>
      <c r="H978" t="s">
        <v>1252</v>
      </c>
      <c r="J978" s="455">
        <v>46149</v>
      </c>
      <c r="U978" s="455">
        <v>46149</v>
      </c>
    </row>
    <row r="979" spans="1:21">
      <c r="A979" t="s">
        <v>1751</v>
      </c>
      <c r="B979" t="s">
        <v>4179</v>
      </c>
      <c r="C979" t="s">
        <v>1751</v>
      </c>
      <c r="D979">
        <v>20511257</v>
      </c>
      <c r="E979" t="s">
        <v>3190</v>
      </c>
      <c r="F979" t="s">
        <v>1241</v>
      </c>
      <c r="G979" t="s">
        <v>3129</v>
      </c>
      <c r="H979" t="s">
        <v>1252</v>
      </c>
      <c r="J979" s="455">
        <v>46139</v>
      </c>
      <c r="R979" s="455">
        <v>46147</v>
      </c>
      <c r="U979" s="455">
        <v>46139</v>
      </c>
    </row>
    <row r="980" spans="1:21">
      <c r="A980" t="s">
        <v>1751</v>
      </c>
      <c r="B980" t="s">
        <v>4179</v>
      </c>
      <c r="C980" t="s">
        <v>1751</v>
      </c>
      <c r="D980">
        <v>20531551</v>
      </c>
      <c r="E980" t="s">
        <v>3128</v>
      </c>
      <c r="F980" t="s">
        <v>1782</v>
      </c>
      <c r="G980" t="s">
        <v>3129</v>
      </c>
      <c r="H980" t="s">
        <v>1252</v>
      </c>
      <c r="J980" s="455">
        <v>46162</v>
      </c>
      <c r="U980" s="455">
        <v>46162</v>
      </c>
    </row>
    <row r="981" spans="1:21">
      <c r="A981" t="s">
        <v>1751</v>
      </c>
      <c r="B981" t="s">
        <v>4179</v>
      </c>
      <c r="C981" t="s">
        <v>1751</v>
      </c>
      <c r="D981">
        <v>20532962</v>
      </c>
      <c r="E981" t="s">
        <v>3190</v>
      </c>
      <c r="F981" t="s">
        <v>1241</v>
      </c>
      <c r="G981" t="s">
        <v>3129</v>
      </c>
      <c r="H981" t="s">
        <v>3131</v>
      </c>
      <c r="J981" s="455">
        <v>46163</v>
      </c>
      <c r="R981" s="455">
        <v>46164</v>
      </c>
      <c r="U981" s="455">
        <v>46163</v>
      </c>
    </row>
    <row r="982" spans="1:21">
      <c r="A982" t="s">
        <v>1751</v>
      </c>
      <c r="B982" t="s">
        <v>4179</v>
      </c>
      <c r="C982" t="s">
        <v>1751</v>
      </c>
      <c r="D982">
        <v>20519772</v>
      </c>
      <c r="E982" t="s">
        <v>3128</v>
      </c>
      <c r="F982" t="s">
        <v>1782</v>
      </c>
      <c r="G982" t="s">
        <v>3129</v>
      </c>
      <c r="H982" t="s">
        <v>1252</v>
      </c>
      <c r="J982" s="455">
        <v>46149</v>
      </c>
      <c r="U982" s="455">
        <v>46149</v>
      </c>
    </row>
    <row r="983" spans="1:21">
      <c r="A983" t="s">
        <v>1751</v>
      </c>
      <c r="B983" t="s">
        <v>4179</v>
      </c>
      <c r="C983" t="s">
        <v>1751</v>
      </c>
      <c r="D983">
        <v>20535303</v>
      </c>
      <c r="E983" t="s">
        <v>3128</v>
      </c>
      <c r="F983" t="s">
        <v>1782</v>
      </c>
      <c r="G983" t="s">
        <v>3129</v>
      </c>
      <c r="H983" t="s">
        <v>3131</v>
      </c>
      <c r="J983" s="455">
        <v>46167</v>
      </c>
      <c r="U983" s="455">
        <v>46167</v>
      </c>
    </row>
    <row r="984" spans="1:21">
      <c r="A984" t="s">
        <v>1751</v>
      </c>
      <c r="B984" t="s">
        <v>4179</v>
      </c>
      <c r="C984" t="s">
        <v>1751</v>
      </c>
      <c r="D984">
        <v>20524718</v>
      </c>
      <c r="E984" t="s">
        <v>3190</v>
      </c>
      <c r="F984" t="s">
        <v>1782</v>
      </c>
      <c r="G984" t="s">
        <v>3129</v>
      </c>
      <c r="H984" t="s">
        <v>3131</v>
      </c>
      <c r="J984" s="455">
        <v>46155</v>
      </c>
      <c r="R984" s="455">
        <v>46164</v>
      </c>
      <c r="U984" s="455">
        <v>46155</v>
      </c>
    </row>
    <row r="985" spans="1:21">
      <c r="A985" t="s">
        <v>1751</v>
      </c>
      <c r="B985" t="s">
        <v>4179</v>
      </c>
      <c r="C985" t="s">
        <v>1751</v>
      </c>
      <c r="D985">
        <v>20536179</v>
      </c>
      <c r="E985" t="s">
        <v>3128</v>
      </c>
      <c r="F985" t="s">
        <v>1782</v>
      </c>
      <c r="G985" t="s">
        <v>3129</v>
      </c>
      <c r="H985" t="s">
        <v>1252</v>
      </c>
      <c r="J985" s="455">
        <v>46168</v>
      </c>
      <c r="U985" s="455">
        <v>46168</v>
      </c>
    </row>
    <row r="986" spans="1:21">
      <c r="A986" t="s">
        <v>1751</v>
      </c>
      <c r="B986" t="s">
        <v>4179</v>
      </c>
      <c r="C986" t="s">
        <v>1751</v>
      </c>
      <c r="D986">
        <v>20531658</v>
      </c>
      <c r="E986" t="s">
        <v>3190</v>
      </c>
      <c r="F986" t="s">
        <v>1782</v>
      </c>
      <c r="G986" t="s">
        <v>3129</v>
      </c>
      <c r="H986" t="s">
        <v>3131</v>
      </c>
      <c r="J986" s="455">
        <v>46162</v>
      </c>
      <c r="R986" s="455">
        <v>46164</v>
      </c>
      <c r="U986" s="455">
        <v>46162</v>
      </c>
    </row>
    <row r="987" spans="1:21">
      <c r="A987" t="s">
        <v>1751</v>
      </c>
      <c r="B987" t="s">
        <v>4179</v>
      </c>
      <c r="C987" t="s">
        <v>1751</v>
      </c>
      <c r="D987">
        <v>20535079</v>
      </c>
      <c r="E987" t="s">
        <v>3128</v>
      </c>
      <c r="F987" t="s">
        <v>1782</v>
      </c>
      <c r="G987" t="s">
        <v>3129</v>
      </c>
      <c r="H987" t="s">
        <v>3131</v>
      </c>
      <c r="J987" s="455">
        <v>46167</v>
      </c>
      <c r="U987" s="455">
        <v>46167</v>
      </c>
    </row>
    <row r="988" spans="1:21">
      <c r="A988" t="s">
        <v>1751</v>
      </c>
      <c r="B988" t="s">
        <v>4179</v>
      </c>
      <c r="C988" t="s">
        <v>1751</v>
      </c>
      <c r="D988">
        <v>20518330</v>
      </c>
      <c r="E988" t="s">
        <v>3128</v>
      </c>
      <c r="F988" t="s">
        <v>1782</v>
      </c>
      <c r="G988" t="s">
        <v>3129</v>
      </c>
      <c r="H988" t="s">
        <v>1252</v>
      </c>
      <c r="J988" s="455">
        <v>46148</v>
      </c>
      <c r="U988" s="455">
        <v>46327</v>
      </c>
    </row>
    <row r="989" spans="1:21">
      <c r="A989" t="s">
        <v>1751</v>
      </c>
      <c r="B989" t="s">
        <v>4179</v>
      </c>
      <c r="C989" t="s">
        <v>1751</v>
      </c>
      <c r="D989">
        <v>20530681</v>
      </c>
      <c r="E989" t="s">
        <v>3190</v>
      </c>
      <c r="F989" t="s">
        <v>1782</v>
      </c>
      <c r="G989" t="s">
        <v>3129</v>
      </c>
      <c r="H989" t="s">
        <v>1252</v>
      </c>
      <c r="J989" s="455">
        <v>46161</v>
      </c>
      <c r="R989" s="455">
        <v>46164</v>
      </c>
      <c r="U989" s="455">
        <v>46161</v>
      </c>
    </row>
    <row r="990" spans="1:21">
      <c r="A990" t="s">
        <v>1751</v>
      </c>
      <c r="B990" t="s">
        <v>4179</v>
      </c>
      <c r="C990" t="s">
        <v>1751</v>
      </c>
      <c r="D990">
        <v>20527996</v>
      </c>
      <c r="E990" t="s">
        <v>3128</v>
      </c>
      <c r="F990" t="s">
        <v>1782</v>
      </c>
      <c r="G990" t="s">
        <v>3129</v>
      </c>
      <c r="H990" t="s">
        <v>1253</v>
      </c>
      <c r="J990" s="455">
        <v>46158</v>
      </c>
      <c r="U990" s="455">
        <v>46158</v>
      </c>
    </row>
    <row r="991" spans="1:21">
      <c r="A991" t="s">
        <v>1751</v>
      </c>
      <c r="B991" t="s">
        <v>4179</v>
      </c>
      <c r="C991" t="s">
        <v>1751</v>
      </c>
      <c r="D991">
        <v>20524016</v>
      </c>
      <c r="E991" t="s">
        <v>3190</v>
      </c>
      <c r="F991" t="s">
        <v>1782</v>
      </c>
      <c r="G991" t="s">
        <v>3129</v>
      </c>
      <c r="H991" t="s">
        <v>1252</v>
      </c>
      <c r="J991" s="455">
        <v>46155</v>
      </c>
      <c r="R991" s="455">
        <v>46164</v>
      </c>
      <c r="U991" s="455">
        <v>46155</v>
      </c>
    </row>
    <row r="992" spans="1:21">
      <c r="A992" t="s">
        <v>1751</v>
      </c>
      <c r="B992" t="s">
        <v>4179</v>
      </c>
      <c r="C992" t="s">
        <v>1751</v>
      </c>
      <c r="D992">
        <v>20536599</v>
      </c>
      <c r="E992" t="s">
        <v>3128</v>
      </c>
      <c r="F992" t="s">
        <v>1782</v>
      </c>
      <c r="G992" t="s">
        <v>3129</v>
      </c>
      <c r="H992" t="s">
        <v>3131</v>
      </c>
      <c r="J992" s="455">
        <v>46169</v>
      </c>
      <c r="U992" s="455">
        <v>46169</v>
      </c>
    </row>
    <row r="993" spans="1:21">
      <c r="A993" t="s">
        <v>1751</v>
      </c>
      <c r="B993" t="s">
        <v>4179</v>
      </c>
      <c r="C993" t="s">
        <v>1751</v>
      </c>
      <c r="D993">
        <v>20539754</v>
      </c>
      <c r="E993" t="s">
        <v>3128</v>
      </c>
      <c r="F993" t="s">
        <v>1782</v>
      </c>
      <c r="G993" t="s">
        <v>3137</v>
      </c>
      <c r="H993" t="s">
        <v>1247</v>
      </c>
      <c r="J993" s="455">
        <v>46172</v>
      </c>
      <c r="U993" s="455">
        <v>46172</v>
      </c>
    </row>
    <row r="994" spans="1:21">
      <c r="A994" t="s">
        <v>1751</v>
      </c>
      <c r="B994" t="s">
        <v>4179</v>
      </c>
      <c r="C994" t="s">
        <v>1751</v>
      </c>
      <c r="D994">
        <v>20539590</v>
      </c>
      <c r="E994" t="s">
        <v>3128</v>
      </c>
      <c r="F994" t="s">
        <v>1782</v>
      </c>
      <c r="G994" t="s">
        <v>3129</v>
      </c>
      <c r="H994" t="s">
        <v>3377</v>
      </c>
      <c r="J994" s="455">
        <v>46172</v>
      </c>
      <c r="U994" s="455">
        <v>46172</v>
      </c>
    </row>
    <row r="995" spans="1:21">
      <c r="A995" t="s">
        <v>1751</v>
      </c>
      <c r="B995" t="s">
        <v>4179</v>
      </c>
      <c r="C995" t="s">
        <v>1751</v>
      </c>
      <c r="D995">
        <v>20519668</v>
      </c>
      <c r="E995" t="s">
        <v>3128</v>
      </c>
      <c r="F995" t="s">
        <v>1782</v>
      </c>
      <c r="G995" t="s">
        <v>3129</v>
      </c>
      <c r="H995" t="s">
        <v>3377</v>
      </c>
      <c r="J995" s="455">
        <v>46149</v>
      </c>
      <c r="U995" s="455">
        <v>46149</v>
      </c>
    </row>
    <row r="996" spans="1:21">
      <c r="A996" t="s">
        <v>1751</v>
      </c>
      <c r="B996" t="s">
        <v>4179</v>
      </c>
      <c r="C996" t="s">
        <v>1751</v>
      </c>
      <c r="D996">
        <v>20526628</v>
      </c>
      <c r="E996" t="s">
        <v>3190</v>
      </c>
      <c r="F996" t="s">
        <v>1782</v>
      </c>
      <c r="G996" t="s">
        <v>3129</v>
      </c>
      <c r="H996" t="s">
        <v>3131</v>
      </c>
      <c r="J996" s="455">
        <v>46157</v>
      </c>
      <c r="R996" s="455">
        <v>46164</v>
      </c>
      <c r="U996" s="455">
        <v>46157</v>
      </c>
    </row>
    <row r="997" spans="1:21">
      <c r="A997" t="s">
        <v>1751</v>
      </c>
      <c r="B997" t="s">
        <v>4179</v>
      </c>
      <c r="C997" t="s">
        <v>1751</v>
      </c>
      <c r="D997">
        <v>20517450</v>
      </c>
      <c r="E997" t="s">
        <v>3128</v>
      </c>
      <c r="F997" t="s">
        <v>1241</v>
      </c>
      <c r="G997" t="s">
        <v>3129</v>
      </c>
      <c r="H997" t="s">
        <v>3377</v>
      </c>
      <c r="J997" s="455">
        <v>46147</v>
      </c>
      <c r="U997" s="455">
        <v>46147</v>
      </c>
    </row>
    <row r="998" spans="1:21">
      <c r="A998" t="s">
        <v>1751</v>
      </c>
      <c r="B998" t="s">
        <v>4179</v>
      </c>
      <c r="C998" t="s">
        <v>1751</v>
      </c>
      <c r="D998">
        <v>20530739</v>
      </c>
      <c r="E998" t="s">
        <v>3190</v>
      </c>
      <c r="F998" t="s">
        <v>1782</v>
      </c>
      <c r="G998" t="s">
        <v>3129</v>
      </c>
      <c r="H998" t="s">
        <v>3131</v>
      </c>
      <c r="J998" s="455">
        <v>46161</v>
      </c>
      <c r="R998" s="455">
        <v>46164</v>
      </c>
      <c r="U998" s="455">
        <v>46161</v>
      </c>
    </row>
    <row r="999" spans="1:21">
      <c r="A999" t="s">
        <v>1751</v>
      </c>
      <c r="B999" t="s">
        <v>4179</v>
      </c>
      <c r="C999" t="s">
        <v>1751</v>
      </c>
      <c r="D999">
        <v>20513654</v>
      </c>
      <c r="E999" t="s">
        <v>3190</v>
      </c>
      <c r="F999" t="s">
        <v>1239</v>
      </c>
      <c r="G999" t="s">
        <v>3129</v>
      </c>
      <c r="H999" t="s">
        <v>1252</v>
      </c>
      <c r="J999" s="455">
        <v>46142</v>
      </c>
      <c r="R999" s="455">
        <v>46164</v>
      </c>
      <c r="U999" s="455">
        <v>46142</v>
      </c>
    </row>
    <row r="1000" spans="1:21">
      <c r="A1000" t="s">
        <v>1751</v>
      </c>
      <c r="B1000" t="s">
        <v>4179</v>
      </c>
      <c r="C1000" t="s">
        <v>1751</v>
      </c>
      <c r="D1000">
        <v>20513507</v>
      </c>
      <c r="E1000" t="s">
        <v>3190</v>
      </c>
      <c r="F1000" t="s">
        <v>1782</v>
      </c>
      <c r="G1000" t="s">
        <v>3129</v>
      </c>
      <c r="H1000" t="s">
        <v>3131</v>
      </c>
      <c r="J1000" s="455">
        <v>46142</v>
      </c>
      <c r="R1000" s="455">
        <v>46149</v>
      </c>
      <c r="U1000" s="455">
        <v>46142</v>
      </c>
    </row>
    <row r="1001" spans="1:21">
      <c r="A1001" t="s">
        <v>1751</v>
      </c>
      <c r="B1001" t="s">
        <v>4179</v>
      </c>
      <c r="C1001" t="s">
        <v>1751</v>
      </c>
      <c r="D1001">
        <v>20518896</v>
      </c>
      <c r="E1001" t="s">
        <v>3128</v>
      </c>
      <c r="F1001" t="s">
        <v>1782</v>
      </c>
      <c r="G1001" t="s">
        <v>3141</v>
      </c>
      <c r="H1001" t="s">
        <v>1251</v>
      </c>
      <c r="J1001" s="455">
        <v>46148</v>
      </c>
      <c r="U1001" s="455">
        <v>46148</v>
      </c>
    </row>
    <row r="1002" spans="1:21">
      <c r="A1002" t="s">
        <v>1751</v>
      </c>
      <c r="B1002" t="s">
        <v>4179</v>
      </c>
      <c r="C1002" t="s">
        <v>1751</v>
      </c>
      <c r="D1002">
        <v>20533540</v>
      </c>
      <c r="E1002" t="s">
        <v>3128</v>
      </c>
      <c r="F1002" t="s">
        <v>1782</v>
      </c>
      <c r="G1002" t="s">
        <v>3129</v>
      </c>
      <c r="H1002" t="s">
        <v>3377</v>
      </c>
      <c r="J1002" s="455">
        <v>46164</v>
      </c>
      <c r="U1002" s="455">
        <v>46164</v>
      </c>
    </row>
    <row r="1003" spans="1:21">
      <c r="A1003" t="s">
        <v>1751</v>
      </c>
      <c r="B1003" t="s">
        <v>4179</v>
      </c>
      <c r="C1003" t="s">
        <v>1751</v>
      </c>
      <c r="D1003">
        <v>20519289</v>
      </c>
      <c r="E1003" t="s">
        <v>3128</v>
      </c>
      <c r="F1003" t="s">
        <v>1782</v>
      </c>
      <c r="G1003" t="s">
        <v>3129</v>
      </c>
      <c r="H1003" t="s">
        <v>3131</v>
      </c>
      <c r="J1003" s="455">
        <v>46149</v>
      </c>
      <c r="U1003" s="455">
        <v>46149</v>
      </c>
    </row>
    <row r="1004" spans="1:21">
      <c r="A1004" t="s">
        <v>1751</v>
      </c>
      <c r="B1004" t="s">
        <v>4179</v>
      </c>
      <c r="C1004" t="s">
        <v>1751</v>
      </c>
      <c r="D1004">
        <v>20537724</v>
      </c>
      <c r="E1004" t="s">
        <v>3128</v>
      </c>
      <c r="F1004" t="s">
        <v>1782</v>
      </c>
      <c r="G1004" t="s">
        <v>3129</v>
      </c>
      <c r="H1004" t="s">
        <v>1253</v>
      </c>
      <c r="J1004" s="455">
        <v>46170</v>
      </c>
      <c r="U1004" s="455">
        <v>46170</v>
      </c>
    </row>
    <row r="1005" spans="1:21">
      <c r="A1005" t="s">
        <v>1751</v>
      </c>
      <c r="B1005" t="s">
        <v>4179</v>
      </c>
      <c r="C1005" t="s">
        <v>1751</v>
      </c>
      <c r="D1005">
        <v>20519261</v>
      </c>
      <c r="E1005" t="s">
        <v>3128</v>
      </c>
      <c r="F1005" t="s">
        <v>1782</v>
      </c>
      <c r="G1005" t="s">
        <v>3129</v>
      </c>
      <c r="H1005" t="s">
        <v>1252</v>
      </c>
      <c r="J1005" s="455">
        <v>46149</v>
      </c>
      <c r="U1005" s="455">
        <v>46149</v>
      </c>
    </row>
    <row r="1006" spans="1:21">
      <c r="A1006" t="s">
        <v>1751</v>
      </c>
      <c r="B1006" t="s">
        <v>4179</v>
      </c>
      <c r="C1006" t="s">
        <v>1751</v>
      </c>
      <c r="D1006">
        <v>20525603</v>
      </c>
      <c r="E1006" t="s">
        <v>3190</v>
      </c>
      <c r="F1006" t="s">
        <v>1782</v>
      </c>
      <c r="G1006" t="s">
        <v>3129</v>
      </c>
      <c r="H1006" t="s">
        <v>1253</v>
      </c>
      <c r="I1006" t="s">
        <v>1565</v>
      </c>
      <c r="J1006" s="455">
        <v>46156</v>
      </c>
      <c r="R1006" s="455">
        <v>46164</v>
      </c>
      <c r="U1006" s="455">
        <v>46156</v>
      </c>
    </row>
    <row r="1007" spans="1:21">
      <c r="A1007" t="s">
        <v>1751</v>
      </c>
      <c r="B1007" t="s">
        <v>4179</v>
      </c>
      <c r="C1007" t="s">
        <v>1751</v>
      </c>
      <c r="D1007">
        <v>20504278</v>
      </c>
      <c r="E1007" t="s">
        <v>3190</v>
      </c>
      <c r="F1007" t="s">
        <v>1241</v>
      </c>
      <c r="G1007" t="s">
        <v>3141</v>
      </c>
      <c r="H1007" t="s">
        <v>1247</v>
      </c>
      <c r="J1007" s="455">
        <v>46132</v>
      </c>
      <c r="R1007" s="455">
        <v>46147</v>
      </c>
      <c r="U1007" s="455">
        <v>46132</v>
      </c>
    </row>
    <row r="1008" spans="1:21">
      <c r="A1008" t="s">
        <v>1751</v>
      </c>
      <c r="B1008" t="s">
        <v>4179</v>
      </c>
      <c r="C1008" t="s">
        <v>1751</v>
      </c>
      <c r="D1008">
        <v>20533659</v>
      </c>
      <c r="E1008" t="s">
        <v>3128</v>
      </c>
      <c r="F1008" t="s">
        <v>1782</v>
      </c>
      <c r="G1008" t="s">
        <v>3129</v>
      </c>
      <c r="H1008" t="s">
        <v>1253</v>
      </c>
      <c r="J1008" s="455">
        <v>46164</v>
      </c>
      <c r="U1008" s="455">
        <v>46164</v>
      </c>
    </row>
    <row r="1009" spans="1:21">
      <c r="A1009" t="s">
        <v>1751</v>
      </c>
      <c r="B1009" t="s">
        <v>4179</v>
      </c>
      <c r="C1009" t="s">
        <v>1751</v>
      </c>
      <c r="D1009">
        <v>20529528</v>
      </c>
      <c r="E1009" t="s">
        <v>3128</v>
      </c>
      <c r="F1009" t="s">
        <v>1782</v>
      </c>
      <c r="G1009" t="s">
        <v>3129</v>
      </c>
      <c r="H1009" t="s">
        <v>3131</v>
      </c>
      <c r="J1009" s="455">
        <v>46160</v>
      </c>
      <c r="U1009" s="455">
        <v>46160</v>
      </c>
    </row>
    <row r="1010" spans="1:21">
      <c r="A1010" t="s">
        <v>1751</v>
      </c>
      <c r="B1010" t="s">
        <v>4179</v>
      </c>
      <c r="C1010" t="s">
        <v>1751</v>
      </c>
      <c r="D1010">
        <v>20534198</v>
      </c>
      <c r="E1010" t="s">
        <v>3128</v>
      </c>
      <c r="F1010" t="s">
        <v>1782</v>
      </c>
      <c r="G1010" t="s">
        <v>3129</v>
      </c>
      <c r="H1010" t="s">
        <v>3131</v>
      </c>
      <c r="J1010" s="455">
        <v>46165</v>
      </c>
      <c r="U1010" s="455">
        <v>46165</v>
      </c>
    </row>
    <row r="1011" spans="1:21">
      <c r="A1011" t="s">
        <v>1751</v>
      </c>
      <c r="B1011" t="s">
        <v>4179</v>
      </c>
      <c r="C1011" t="s">
        <v>1751</v>
      </c>
      <c r="D1011">
        <v>20525658</v>
      </c>
      <c r="E1011" t="s">
        <v>3190</v>
      </c>
      <c r="F1011" t="s">
        <v>1782</v>
      </c>
      <c r="G1011" t="s">
        <v>3129</v>
      </c>
      <c r="H1011" t="s">
        <v>1253</v>
      </c>
      <c r="J1011" s="455">
        <v>46156</v>
      </c>
      <c r="R1011" s="455">
        <v>46164</v>
      </c>
      <c r="U1011" s="455">
        <v>46156</v>
      </c>
    </row>
    <row r="1012" spans="1:21">
      <c r="A1012" t="s">
        <v>1751</v>
      </c>
      <c r="B1012" t="s">
        <v>10931</v>
      </c>
      <c r="C1012" t="s">
        <v>1751</v>
      </c>
      <c r="D1012">
        <v>20516190</v>
      </c>
      <c r="E1012" t="s">
        <v>3128</v>
      </c>
      <c r="F1012" t="s">
        <v>1782</v>
      </c>
      <c r="G1012" t="s">
        <v>3129</v>
      </c>
      <c r="H1012" t="s">
        <v>1252</v>
      </c>
      <c r="J1012" s="455">
        <v>46146</v>
      </c>
      <c r="U1012" s="455">
        <v>46146</v>
      </c>
    </row>
    <row r="1013" spans="1:21">
      <c r="A1013" t="s">
        <v>1751</v>
      </c>
      <c r="B1013" t="s">
        <v>10932</v>
      </c>
      <c r="C1013" t="s">
        <v>1751</v>
      </c>
      <c r="D1013">
        <v>20535649</v>
      </c>
      <c r="E1013" t="s">
        <v>3128</v>
      </c>
      <c r="F1013" t="s">
        <v>1782</v>
      </c>
      <c r="G1013" t="s">
        <v>3129</v>
      </c>
      <c r="H1013" t="s">
        <v>1247</v>
      </c>
      <c r="J1013" s="455">
        <v>46168</v>
      </c>
      <c r="U1013" s="455">
        <v>46168</v>
      </c>
    </row>
    <row r="1014" spans="1:21">
      <c r="A1014" t="s">
        <v>1751</v>
      </c>
      <c r="B1014" t="s">
        <v>10933</v>
      </c>
      <c r="C1014" t="s">
        <v>1751</v>
      </c>
      <c r="D1014">
        <v>20529674</v>
      </c>
      <c r="E1014" t="s">
        <v>3128</v>
      </c>
      <c r="F1014" t="s">
        <v>1782</v>
      </c>
      <c r="G1014" t="s">
        <v>3129</v>
      </c>
      <c r="H1014" t="s">
        <v>1252</v>
      </c>
      <c r="J1014" s="455">
        <v>46160</v>
      </c>
      <c r="U1014" s="455">
        <v>46160</v>
      </c>
    </row>
    <row r="1015" spans="1:21">
      <c r="A1015" t="s">
        <v>1751</v>
      </c>
      <c r="B1015" t="s">
        <v>10934</v>
      </c>
      <c r="C1015" t="s">
        <v>1751</v>
      </c>
      <c r="D1015">
        <v>20519770</v>
      </c>
      <c r="E1015" t="s">
        <v>3128</v>
      </c>
      <c r="F1015" t="s">
        <v>1782</v>
      </c>
      <c r="G1015" t="s">
        <v>3141</v>
      </c>
      <c r="H1015" t="s">
        <v>1252</v>
      </c>
      <c r="J1015" s="455">
        <v>46149</v>
      </c>
      <c r="U1015" s="455">
        <v>46266</v>
      </c>
    </row>
    <row r="1016" spans="1:21">
      <c r="A1016" t="s">
        <v>1751</v>
      </c>
      <c r="B1016" t="s">
        <v>10935</v>
      </c>
      <c r="C1016" t="s">
        <v>1751</v>
      </c>
      <c r="D1016">
        <v>20521195</v>
      </c>
      <c r="E1016" t="s">
        <v>3190</v>
      </c>
      <c r="F1016" t="s">
        <v>1782</v>
      </c>
      <c r="G1016" t="s">
        <v>3129</v>
      </c>
      <c r="H1016" t="s">
        <v>1253</v>
      </c>
      <c r="J1016" s="455">
        <v>46151</v>
      </c>
      <c r="R1016" s="455">
        <v>46164</v>
      </c>
      <c r="U1016" s="455">
        <v>46151</v>
      </c>
    </row>
    <row r="1017" spans="1:21">
      <c r="A1017" t="s">
        <v>1751</v>
      </c>
      <c r="B1017" t="s">
        <v>10936</v>
      </c>
      <c r="C1017" t="s">
        <v>1751</v>
      </c>
      <c r="D1017">
        <v>20538053</v>
      </c>
      <c r="E1017" t="s">
        <v>3128</v>
      </c>
      <c r="F1017" t="s">
        <v>1243</v>
      </c>
      <c r="G1017" t="s">
        <v>3141</v>
      </c>
      <c r="H1017" t="s">
        <v>1247</v>
      </c>
      <c r="J1017" s="455">
        <v>46170</v>
      </c>
      <c r="U1017" s="455">
        <v>46170</v>
      </c>
    </row>
    <row r="1018" spans="1:21">
      <c r="A1018" t="s">
        <v>1751</v>
      </c>
      <c r="B1018" t="s">
        <v>10937</v>
      </c>
      <c r="C1018" t="s">
        <v>1751</v>
      </c>
      <c r="D1018">
        <v>20534590</v>
      </c>
      <c r="E1018" t="s">
        <v>3128</v>
      </c>
      <c r="F1018" t="s">
        <v>1782</v>
      </c>
      <c r="G1018" t="s">
        <v>3134</v>
      </c>
      <c r="H1018" t="s">
        <v>1252</v>
      </c>
      <c r="J1018" s="455">
        <v>46165</v>
      </c>
      <c r="U1018" s="455">
        <v>46226</v>
      </c>
    </row>
    <row r="1019" spans="1:21">
      <c r="A1019" t="s">
        <v>1751</v>
      </c>
      <c r="B1019" t="s">
        <v>10937</v>
      </c>
      <c r="C1019" t="s">
        <v>1751</v>
      </c>
      <c r="D1019">
        <v>20534591</v>
      </c>
      <c r="E1019" t="s">
        <v>3128</v>
      </c>
      <c r="F1019" t="s">
        <v>1782</v>
      </c>
      <c r="G1019" t="s">
        <v>3141</v>
      </c>
      <c r="H1019" t="s">
        <v>1252</v>
      </c>
      <c r="J1019" s="455">
        <v>46165</v>
      </c>
      <c r="U1019" s="455">
        <v>46226</v>
      </c>
    </row>
    <row r="1020" spans="1:21">
      <c r="A1020" t="s">
        <v>1751</v>
      </c>
      <c r="B1020" t="s">
        <v>10938</v>
      </c>
      <c r="C1020" t="s">
        <v>1751</v>
      </c>
      <c r="D1020">
        <v>20535116</v>
      </c>
      <c r="E1020" t="s">
        <v>3128</v>
      </c>
      <c r="F1020" t="s">
        <v>1782</v>
      </c>
      <c r="G1020" t="s">
        <v>3134</v>
      </c>
      <c r="H1020" t="s">
        <v>1252</v>
      </c>
      <c r="J1020" s="455">
        <v>46167</v>
      </c>
      <c r="U1020" s="455">
        <v>46228</v>
      </c>
    </row>
    <row r="1021" spans="1:21">
      <c r="A1021" t="s">
        <v>1751</v>
      </c>
      <c r="B1021" t="s">
        <v>10939</v>
      </c>
      <c r="C1021" t="s">
        <v>1751</v>
      </c>
      <c r="D1021">
        <v>20535108</v>
      </c>
      <c r="E1021" t="s">
        <v>3128</v>
      </c>
      <c r="F1021" t="s">
        <v>1782</v>
      </c>
      <c r="G1021" t="s">
        <v>3129</v>
      </c>
      <c r="H1021" t="s">
        <v>3131</v>
      </c>
      <c r="J1021" s="455">
        <v>46167</v>
      </c>
      <c r="U1021" s="455">
        <v>46167</v>
      </c>
    </row>
    <row r="1022" spans="1:21">
      <c r="A1022" t="s">
        <v>1751</v>
      </c>
      <c r="B1022" t="s">
        <v>10940</v>
      </c>
      <c r="C1022" t="s">
        <v>1751</v>
      </c>
      <c r="D1022">
        <v>20534524</v>
      </c>
      <c r="E1022" t="s">
        <v>3128</v>
      </c>
      <c r="F1022" t="s">
        <v>1782</v>
      </c>
      <c r="G1022" t="s">
        <v>3141</v>
      </c>
      <c r="H1022" t="s">
        <v>1252</v>
      </c>
      <c r="J1022" s="455">
        <v>46165</v>
      </c>
      <c r="U1022" s="455">
        <v>46199</v>
      </c>
    </row>
    <row r="1023" spans="1:21">
      <c r="A1023" t="s">
        <v>1751</v>
      </c>
      <c r="B1023" t="s">
        <v>10941</v>
      </c>
      <c r="C1023" t="s">
        <v>1751</v>
      </c>
      <c r="D1023">
        <v>20536490</v>
      </c>
      <c r="E1023" t="s">
        <v>3128</v>
      </c>
      <c r="F1023" t="s">
        <v>1782</v>
      </c>
      <c r="G1023" t="s">
        <v>3134</v>
      </c>
      <c r="H1023" t="s">
        <v>3165</v>
      </c>
      <c r="J1023" s="455">
        <v>46168</v>
      </c>
      <c r="U1023" s="455">
        <v>46170</v>
      </c>
    </row>
    <row r="1024" spans="1:21">
      <c r="A1024" t="s">
        <v>1751</v>
      </c>
      <c r="B1024" t="s">
        <v>10942</v>
      </c>
      <c r="C1024" t="s">
        <v>1751</v>
      </c>
      <c r="D1024">
        <v>20519729</v>
      </c>
      <c r="E1024" t="s">
        <v>3128</v>
      </c>
      <c r="F1024" t="s">
        <v>1782</v>
      </c>
      <c r="G1024" t="s">
        <v>3137</v>
      </c>
      <c r="H1024" t="s">
        <v>1247</v>
      </c>
      <c r="J1024" s="455">
        <v>46149</v>
      </c>
      <c r="U1024" s="455">
        <v>46149</v>
      </c>
    </row>
    <row r="1025" spans="1:21">
      <c r="A1025" t="s">
        <v>1751</v>
      </c>
      <c r="B1025" t="s">
        <v>10943</v>
      </c>
      <c r="C1025" t="s">
        <v>1751</v>
      </c>
      <c r="D1025">
        <v>20521224</v>
      </c>
      <c r="E1025" t="s">
        <v>3128</v>
      </c>
      <c r="F1025" t="s">
        <v>1782</v>
      </c>
      <c r="G1025" t="s">
        <v>3143</v>
      </c>
      <c r="H1025" t="s">
        <v>1249</v>
      </c>
      <c r="I1025" t="s">
        <v>3344</v>
      </c>
      <c r="J1025" s="455">
        <v>46151</v>
      </c>
      <c r="U1025" s="455">
        <v>46151</v>
      </c>
    </row>
    <row r="1026" spans="1:21">
      <c r="A1026" t="s">
        <v>1751</v>
      </c>
      <c r="B1026" t="s">
        <v>4194</v>
      </c>
      <c r="C1026" t="s">
        <v>1751</v>
      </c>
      <c r="D1026">
        <v>20529625</v>
      </c>
      <c r="E1026" t="s">
        <v>3128</v>
      </c>
      <c r="F1026" t="s">
        <v>1241</v>
      </c>
      <c r="G1026" t="s">
        <v>3137</v>
      </c>
      <c r="H1026" t="s">
        <v>1252</v>
      </c>
      <c r="J1026" s="455">
        <v>46160</v>
      </c>
      <c r="U1026" s="455">
        <v>46169</v>
      </c>
    </row>
    <row r="1027" spans="1:21">
      <c r="A1027" t="s">
        <v>1751</v>
      </c>
      <c r="B1027" t="s">
        <v>10944</v>
      </c>
      <c r="C1027" t="s">
        <v>1751</v>
      </c>
      <c r="D1027">
        <v>20520018</v>
      </c>
      <c r="E1027" t="s">
        <v>3133</v>
      </c>
      <c r="F1027" t="s">
        <v>1239</v>
      </c>
      <c r="G1027" t="s">
        <v>3134</v>
      </c>
      <c r="H1027" t="s">
        <v>1247</v>
      </c>
      <c r="I1027" t="s">
        <v>2443</v>
      </c>
      <c r="J1027" s="455">
        <v>46150</v>
      </c>
      <c r="K1027" s="455">
        <v>46150</v>
      </c>
      <c r="R1027" s="455">
        <v>46154</v>
      </c>
      <c r="U1027" s="455">
        <v>46211</v>
      </c>
    </row>
    <row r="1028" spans="1:21">
      <c r="A1028" t="s">
        <v>1751</v>
      </c>
      <c r="B1028" t="s">
        <v>10945</v>
      </c>
      <c r="C1028" t="s">
        <v>1751</v>
      </c>
      <c r="D1028">
        <v>20534904</v>
      </c>
      <c r="E1028" t="s">
        <v>3128</v>
      </c>
      <c r="F1028" t="s">
        <v>1782</v>
      </c>
      <c r="G1028" t="s">
        <v>3141</v>
      </c>
      <c r="H1028" t="s">
        <v>1252</v>
      </c>
      <c r="J1028" s="455">
        <v>46166</v>
      </c>
      <c r="U1028" s="455">
        <v>46173</v>
      </c>
    </row>
    <row r="1029" spans="1:21">
      <c r="A1029" t="s">
        <v>1751</v>
      </c>
      <c r="B1029" t="s">
        <v>10946</v>
      </c>
      <c r="C1029" t="s">
        <v>1751</v>
      </c>
      <c r="D1029">
        <v>20538382</v>
      </c>
      <c r="E1029" t="s">
        <v>3128</v>
      </c>
      <c r="F1029" t="s">
        <v>1782</v>
      </c>
      <c r="G1029" t="s">
        <v>3141</v>
      </c>
      <c r="H1029" t="s">
        <v>1252</v>
      </c>
      <c r="J1029" s="455">
        <v>46171</v>
      </c>
      <c r="U1029" s="455">
        <v>46204</v>
      </c>
    </row>
    <row r="1030" spans="1:21">
      <c r="A1030" t="s">
        <v>1751</v>
      </c>
      <c r="B1030" t="s">
        <v>10292</v>
      </c>
      <c r="C1030" t="s">
        <v>1751</v>
      </c>
      <c r="D1030">
        <v>20530923</v>
      </c>
      <c r="E1030" t="s">
        <v>3128</v>
      </c>
      <c r="F1030" t="s">
        <v>1241</v>
      </c>
      <c r="G1030" t="s">
        <v>3137</v>
      </c>
      <c r="H1030" t="s">
        <v>1253</v>
      </c>
      <c r="J1030" s="455">
        <v>46161</v>
      </c>
      <c r="U1030" s="455">
        <v>46161</v>
      </c>
    </row>
    <row r="1031" spans="1:21">
      <c r="A1031" t="s">
        <v>1751</v>
      </c>
      <c r="B1031" t="s">
        <v>4207</v>
      </c>
      <c r="C1031" t="s">
        <v>1751</v>
      </c>
      <c r="D1031">
        <v>20537652</v>
      </c>
      <c r="E1031" t="s">
        <v>1907</v>
      </c>
      <c r="F1031" t="s">
        <v>1243</v>
      </c>
      <c r="G1031" t="s">
        <v>3141</v>
      </c>
      <c r="H1031" t="s">
        <v>3358</v>
      </c>
      <c r="I1031" t="s">
        <v>4208</v>
      </c>
      <c r="J1031" s="455">
        <v>46170</v>
      </c>
      <c r="K1031" s="455">
        <v>46170</v>
      </c>
      <c r="L1031" s="455">
        <v>46170</v>
      </c>
      <c r="U1031" s="455">
        <v>46183</v>
      </c>
    </row>
    <row r="1032" spans="1:21">
      <c r="A1032" t="s">
        <v>1751</v>
      </c>
      <c r="B1032" t="s">
        <v>10947</v>
      </c>
      <c r="C1032" t="s">
        <v>1751</v>
      </c>
      <c r="D1032">
        <v>20522552</v>
      </c>
      <c r="E1032" t="s">
        <v>3128</v>
      </c>
      <c r="F1032" t="s">
        <v>1782</v>
      </c>
      <c r="G1032" t="s">
        <v>3134</v>
      </c>
      <c r="H1032" t="s">
        <v>3165</v>
      </c>
      <c r="J1032" s="455">
        <v>46153</v>
      </c>
      <c r="U1032" s="455">
        <v>46174</v>
      </c>
    </row>
    <row r="1033" spans="1:21">
      <c r="A1033" t="s">
        <v>1751</v>
      </c>
      <c r="B1033" t="s">
        <v>10948</v>
      </c>
      <c r="C1033" t="s">
        <v>1751</v>
      </c>
      <c r="D1033">
        <v>20533042</v>
      </c>
      <c r="E1033" t="s">
        <v>3190</v>
      </c>
      <c r="F1033" t="s">
        <v>1782</v>
      </c>
      <c r="G1033" t="s">
        <v>3134</v>
      </c>
      <c r="H1033" t="s">
        <v>3165</v>
      </c>
      <c r="J1033" s="455">
        <v>46163</v>
      </c>
      <c r="R1033" s="455">
        <v>46164</v>
      </c>
      <c r="U1033" s="455">
        <v>46188</v>
      </c>
    </row>
    <row r="1034" spans="1:21">
      <c r="A1034" t="s">
        <v>1751</v>
      </c>
      <c r="B1034" t="s">
        <v>10949</v>
      </c>
      <c r="C1034" t="s">
        <v>1751</v>
      </c>
      <c r="D1034">
        <v>20540139</v>
      </c>
      <c r="E1034" t="s">
        <v>3128</v>
      </c>
      <c r="F1034" t="s">
        <v>1241</v>
      </c>
      <c r="G1034" t="s">
        <v>2009</v>
      </c>
      <c r="H1034" t="s">
        <v>1252</v>
      </c>
      <c r="J1034" s="455">
        <v>46173</v>
      </c>
      <c r="U1034" s="455">
        <v>46233</v>
      </c>
    </row>
    <row r="1035" spans="1:21">
      <c r="A1035" t="s">
        <v>1751</v>
      </c>
      <c r="B1035" t="s">
        <v>4212</v>
      </c>
      <c r="C1035" t="s">
        <v>1751</v>
      </c>
      <c r="D1035">
        <v>20518905</v>
      </c>
      <c r="E1035" t="s">
        <v>1897</v>
      </c>
      <c r="F1035" t="s">
        <v>1912</v>
      </c>
      <c r="G1035" t="s">
        <v>3134</v>
      </c>
      <c r="H1035" t="s">
        <v>1247</v>
      </c>
      <c r="I1035" t="s">
        <v>2405</v>
      </c>
      <c r="J1035" s="455">
        <v>46148</v>
      </c>
      <c r="K1035" s="455">
        <v>46148</v>
      </c>
      <c r="U1035" s="455">
        <v>46148</v>
      </c>
    </row>
    <row r="1036" spans="1:21">
      <c r="A1036" t="s">
        <v>1751</v>
      </c>
      <c r="B1036" t="s">
        <v>10950</v>
      </c>
      <c r="C1036" t="s">
        <v>1751</v>
      </c>
      <c r="D1036">
        <v>20518188</v>
      </c>
      <c r="E1036" t="s">
        <v>3128</v>
      </c>
      <c r="F1036" t="s">
        <v>1782</v>
      </c>
      <c r="G1036" t="s">
        <v>3141</v>
      </c>
      <c r="H1036" t="s">
        <v>1252</v>
      </c>
      <c r="J1036" s="455">
        <v>46148</v>
      </c>
      <c r="U1036" s="455">
        <v>46208</v>
      </c>
    </row>
    <row r="1037" spans="1:21">
      <c r="A1037" t="s">
        <v>1751</v>
      </c>
      <c r="B1037" t="s">
        <v>10297</v>
      </c>
      <c r="C1037" t="s">
        <v>1751</v>
      </c>
      <c r="D1037">
        <v>20507134</v>
      </c>
      <c r="E1037" t="s">
        <v>3190</v>
      </c>
      <c r="F1037" t="s">
        <v>1241</v>
      </c>
      <c r="G1037" t="s">
        <v>3134</v>
      </c>
      <c r="H1037" t="s">
        <v>1247</v>
      </c>
      <c r="I1037" t="s">
        <v>7131</v>
      </c>
      <c r="J1037" s="455">
        <v>46134</v>
      </c>
      <c r="K1037" s="455">
        <v>46134</v>
      </c>
      <c r="R1037" s="455">
        <v>46144</v>
      </c>
      <c r="U1037" s="455">
        <v>46134</v>
      </c>
    </row>
    <row r="1038" spans="1:21">
      <c r="A1038" t="s">
        <v>1751</v>
      </c>
      <c r="B1038" t="s">
        <v>10951</v>
      </c>
      <c r="C1038" t="s">
        <v>1751</v>
      </c>
      <c r="D1038">
        <v>20522389</v>
      </c>
      <c r="E1038" t="s">
        <v>3190</v>
      </c>
      <c r="F1038" t="s">
        <v>1782</v>
      </c>
      <c r="G1038" t="s">
        <v>3141</v>
      </c>
      <c r="H1038" t="s">
        <v>1252</v>
      </c>
      <c r="J1038" s="455">
        <v>46153</v>
      </c>
      <c r="R1038" s="455">
        <v>46164</v>
      </c>
      <c r="U1038" s="455">
        <v>46174</v>
      </c>
    </row>
    <row r="1039" spans="1:21">
      <c r="A1039" t="s">
        <v>1751</v>
      </c>
      <c r="B1039" t="s">
        <v>4216</v>
      </c>
      <c r="C1039" t="s">
        <v>1751</v>
      </c>
      <c r="D1039">
        <v>20525266</v>
      </c>
      <c r="E1039" t="s">
        <v>3142</v>
      </c>
      <c r="F1039" t="s">
        <v>1237</v>
      </c>
      <c r="G1039" t="s">
        <v>3129</v>
      </c>
      <c r="H1039" t="s">
        <v>3131</v>
      </c>
      <c r="I1039" t="s">
        <v>3265</v>
      </c>
      <c r="J1039" s="455">
        <v>46156</v>
      </c>
      <c r="K1039" s="455">
        <v>46156</v>
      </c>
      <c r="L1039" s="455">
        <v>46157</v>
      </c>
      <c r="M1039" s="455">
        <v>46160</v>
      </c>
      <c r="N1039" s="455">
        <v>46160</v>
      </c>
      <c r="P1039" s="455">
        <v>46160</v>
      </c>
      <c r="Q1039" s="455">
        <v>46160</v>
      </c>
      <c r="U1039" s="455">
        <v>46171</v>
      </c>
    </row>
    <row r="1040" spans="1:21">
      <c r="A1040" t="s">
        <v>1751</v>
      </c>
      <c r="B1040" t="s">
        <v>10952</v>
      </c>
      <c r="C1040" t="s">
        <v>1751</v>
      </c>
      <c r="D1040">
        <v>20533986</v>
      </c>
      <c r="E1040" t="s">
        <v>3128</v>
      </c>
      <c r="F1040" t="s">
        <v>1782</v>
      </c>
      <c r="G1040" t="s">
        <v>3141</v>
      </c>
      <c r="H1040" t="s">
        <v>1252</v>
      </c>
      <c r="J1040" s="455">
        <v>46164</v>
      </c>
      <c r="U1040" s="455">
        <v>46173</v>
      </c>
    </row>
    <row r="1041" spans="1:21">
      <c r="A1041" t="s">
        <v>1751</v>
      </c>
      <c r="B1041" t="s">
        <v>10953</v>
      </c>
      <c r="C1041" t="s">
        <v>1751</v>
      </c>
      <c r="D1041">
        <v>20526149</v>
      </c>
      <c r="E1041" t="s">
        <v>3190</v>
      </c>
      <c r="F1041" t="s">
        <v>1782</v>
      </c>
      <c r="G1041" t="s">
        <v>3137</v>
      </c>
      <c r="H1041" t="s">
        <v>1252</v>
      </c>
      <c r="J1041" s="455">
        <v>46156</v>
      </c>
      <c r="R1041" s="455">
        <v>46164</v>
      </c>
      <c r="U1041" s="455">
        <v>46277</v>
      </c>
    </row>
    <row r="1042" spans="1:21">
      <c r="A1042" t="s">
        <v>1751</v>
      </c>
      <c r="B1042" t="s">
        <v>10954</v>
      </c>
      <c r="C1042" t="s">
        <v>1751</v>
      </c>
      <c r="D1042">
        <v>20532395</v>
      </c>
      <c r="E1042" t="s">
        <v>3128</v>
      </c>
      <c r="F1042" t="s">
        <v>1782</v>
      </c>
      <c r="G1042" t="s">
        <v>3137</v>
      </c>
      <c r="H1042" t="s">
        <v>1252</v>
      </c>
      <c r="J1042" s="455">
        <v>46163</v>
      </c>
      <c r="U1042" s="455">
        <v>46200</v>
      </c>
    </row>
    <row r="1043" spans="1:21">
      <c r="A1043" t="s">
        <v>1751</v>
      </c>
      <c r="B1043" t="s">
        <v>10955</v>
      </c>
      <c r="C1043" t="s">
        <v>1751</v>
      </c>
      <c r="D1043">
        <v>20514886</v>
      </c>
      <c r="E1043" t="s">
        <v>3128</v>
      </c>
      <c r="F1043" t="s">
        <v>1782</v>
      </c>
      <c r="G1043" t="s">
        <v>3141</v>
      </c>
      <c r="H1043" t="s">
        <v>1252</v>
      </c>
      <c r="J1043" s="455">
        <v>46143</v>
      </c>
      <c r="U1043" s="455">
        <v>46174</v>
      </c>
    </row>
    <row r="1044" spans="1:21">
      <c r="A1044" t="s">
        <v>1751</v>
      </c>
      <c r="B1044" t="s">
        <v>10956</v>
      </c>
      <c r="C1044" t="s">
        <v>1751</v>
      </c>
      <c r="D1044">
        <v>20527815</v>
      </c>
      <c r="E1044" t="s">
        <v>3190</v>
      </c>
      <c r="F1044" t="s">
        <v>1782</v>
      </c>
      <c r="G1044" t="s">
        <v>3137</v>
      </c>
      <c r="H1044" t="s">
        <v>1247</v>
      </c>
      <c r="J1044" s="455">
        <v>46157</v>
      </c>
      <c r="R1044" s="455">
        <v>46164</v>
      </c>
      <c r="U1044" s="455">
        <v>46157</v>
      </c>
    </row>
    <row r="1045" spans="1:21">
      <c r="A1045" t="s">
        <v>1751</v>
      </c>
      <c r="B1045" t="s">
        <v>10957</v>
      </c>
      <c r="C1045" t="s">
        <v>1751</v>
      </c>
      <c r="D1045">
        <v>20521439</v>
      </c>
      <c r="E1045" t="s">
        <v>3128</v>
      </c>
      <c r="F1045" t="s">
        <v>1782</v>
      </c>
      <c r="G1045" t="s">
        <v>3141</v>
      </c>
      <c r="H1045" t="s">
        <v>1252</v>
      </c>
      <c r="J1045" s="455">
        <v>46152</v>
      </c>
      <c r="U1045" s="455">
        <v>46174</v>
      </c>
    </row>
    <row r="1046" spans="1:21">
      <c r="A1046" t="s">
        <v>1751</v>
      </c>
      <c r="B1046" t="s">
        <v>10958</v>
      </c>
      <c r="C1046" t="s">
        <v>1751</v>
      </c>
      <c r="D1046">
        <v>20537892</v>
      </c>
      <c r="E1046" t="s">
        <v>3128</v>
      </c>
      <c r="F1046" t="s">
        <v>1241</v>
      </c>
      <c r="G1046" t="s">
        <v>2009</v>
      </c>
      <c r="H1046" t="s">
        <v>1251</v>
      </c>
      <c r="J1046" s="455">
        <v>46170</v>
      </c>
      <c r="U1046" s="455">
        <v>46228</v>
      </c>
    </row>
    <row r="1047" spans="1:21">
      <c r="A1047" t="s">
        <v>1751</v>
      </c>
      <c r="B1047" t="s">
        <v>10959</v>
      </c>
      <c r="C1047" t="s">
        <v>1751</v>
      </c>
      <c r="D1047">
        <v>20533325</v>
      </c>
      <c r="E1047" t="s">
        <v>3190</v>
      </c>
      <c r="F1047" t="s">
        <v>1782</v>
      </c>
      <c r="G1047" t="s">
        <v>3137</v>
      </c>
      <c r="H1047" t="s">
        <v>1247</v>
      </c>
      <c r="J1047" s="455">
        <v>46164</v>
      </c>
      <c r="R1047" s="455">
        <v>46164</v>
      </c>
      <c r="U1047" s="455">
        <v>46164</v>
      </c>
    </row>
    <row r="1048" spans="1:21">
      <c r="A1048" t="s">
        <v>1751</v>
      </c>
      <c r="B1048" t="s">
        <v>10959</v>
      </c>
      <c r="C1048" t="s">
        <v>1751</v>
      </c>
      <c r="D1048">
        <v>20535652</v>
      </c>
      <c r="E1048" t="s">
        <v>3128</v>
      </c>
      <c r="F1048" t="s">
        <v>1238</v>
      </c>
      <c r="G1048" t="s">
        <v>2009</v>
      </c>
      <c r="H1048" t="s">
        <v>1247</v>
      </c>
      <c r="J1048" s="455">
        <v>46168</v>
      </c>
      <c r="U1048" s="455">
        <v>46168</v>
      </c>
    </row>
    <row r="1049" spans="1:21">
      <c r="A1049" t="s">
        <v>1751</v>
      </c>
      <c r="B1049" t="s">
        <v>10960</v>
      </c>
      <c r="C1049" t="s">
        <v>1751</v>
      </c>
      <c r="D1049">
        <v>20526270</v>
      </c>
      <c r="E1049" t="s">
        <v>3128</v>
      </c>
      <c r="F1049" t="s">
        <v>1237</v>
      </c>
      <c r="G1049" t="s">
        <v>3141</v>
      </c>
      <c r="H1049" t="s">
        <v>1252</v>
      </c>
      <c r="I1049" t="s">
        <v>3168</v>
      </c>
      <c r="J1049" s="455">
        <v>46156</v>
      </c>
      <c r="U1049" s="455">
        <v>46163</v>
      </c>
    </row>
    <row r="1050" spans="1:21">
      <c r="A1050" t="s">
        <v>1751</v>
      </c>
      <c r="B1050" t="s">
        <v>4226</v>
      </c>
      <c r="C1050" t="s">
        <v>1751</v>
      </c>
      <c r="D1050">
        <v>20519533</v>
      </c>
      <c r="E1050" t="s">
        <v>3128</v>
      </c>
      <c r="F1050" t="s">
        <v>1782</v>
      </c>
      <c r="G1050" t="s">
        <v>3141</v>
      </c>
      <c r="H1050" t="s">
        <v>1252</v>
      </c>
      <c r="J1050" s="455">
        <v>46149</v>
      </c>
      <c r="U1050" s="455">
        <v>46234</v>
      </c>
    </row>
    <row r="1051" spans="1:21">
      <c r="A1051" t="s">
        <v>1751</v>
      </c>
      <c r="B1051" t="s">
        <v>10961</v>
      </c>
      <c r="C1051" t="s">
        <v>1751</v>
      </c>
      <c r="D1051">
        <v>20516067</v>
      </c>
      <c r="E1051" t="s">
        <v>3128</v>
      </c>
      <c r="F1051" t="s">
        <v>1782</v>
      </c>
      <c r="G1051" t="s">
        <v>3134</v>
      </c>
      <c r="H1051" t="s">
        <v>3165</v>
      </c>
      <c r="J1051" s="455">
        <v>46146</v>
      </c>
      <c r="U1051" s="455">
        <v>46173</v>
      </c>
    </row>
    <row r="1052" spans="1:21">
      <c r="A1052" t="s">
        <v>1751</v>
      </c>
      <c r="B1052" t="s">
        <v>4227</v>
      </c>
      <c r="C1052" t="s">
        <v>1751</v>
      </c>
      <c r="D1052">
        <v>20500518</v>
      </c>
      <c r="E1052" t="s">
        <v>3190</v>
      </c>
      <c r="F1052" t="s">
        <v>1237</v>
      </c>
      <c r="G1052" t="s">
        <v>3134</v>
      </c>
      <c r="H1052" t="s">
        <v>1247</v>
      </c>
      <c r="I1052" t="s">
        <v>3363</v>
      </c>
      <c r="J1052" s="455">
        <v>46130</v>
      </c>
      <c r="K1052" s="455">
        <v>46130</v>
      </c>
      <c r="R1052" s="455">
        <v>46146</v>
      </c>
      <c r="U1052" s="455">
        <v>46135</v>
      </c>
    </row>
    <row r="1053" spans="1:21">
      <c r="A1053" t="s">
        <v>1751</v>
      </c>
      <c r="B1053" t="s">
        <v>9451</v>
      </c>
      <c r="C1053" t="s">
        <v>1751</v>
      </c>
      <c r="D1053">
        <v>20478800</v>
      </c>
      <c r="E1053" t="s">
        <v>3133</v>
      </c>
      <c r="F1053" t="s">
        <v>1241</v>
      </c>
      <c r="G1053" t="s">
        <v>3134</v>
      </c>
      <c r="H1053" t="s">
        <v>1247</v>
      </c>
      <c r="I1053" t="s">
        <v>1963</v>
      </c>
      <c r="J1053" s="455">
        <v>46105</v>
      </c>
      <c r="K1053" s="455">
        <v>46105</v>
      </c>
      <c r="R1053" s="455">
        <v>46151</v>
      </c>
      <c r="U1053" s="455">
        <v>46127</v>
      </c>
    </row>
    <row r="1054" spans="1:21">
      <c r="A1054" t="s">
        <v>1751</v>
      </c>
      <c r="B1054" t="s">
        <v>4229</v>
      </c>
      <c r="C1054" t="s">
        <v>1751</v>
      </c>
      <c r="D1054">
        <v>20537962</v>
      </c>
      <c r="E1054" t="s">
        <v>1907</v>
      </c>
      <c r="F1054" t="s">
        <v>1782</v>
      </c>
      <c r="G1054" t="s">
        <v>3134</v>
      </c>
      <c r="H1054" t="s">
        <v>1247</v>
      </c>
      <c r="I1054" t="s">
        <v>2134</v>
      </c>
      <c r="J1054" s="455">
        <v>46170</v>
      </c>
      <c r="K1054" s="455">
        <v>46170</v>
      </c>
      <c r="L1054" s="455">
        <v>46170</v>
      </c>
      <c r="U1054" s="455">
        <v>46183</v>
      </c>
    </row>
    <row r="1055" spans="1:21">
      <c r="A1055" t="s">
        <v>1751</v>
      </c>
      <c r="B1055" t="s">
        <v>10962</v>
      </c>
      <c r="C1055" t="s">
        <v>1751</v>
      </c>
      <c r="D1055">
        <v>20515980</v>
      </c>
      <c r="E1055" t="s">
        <v>3190</v>
      </c>
      <c r="F1055" t="s">
        <v>1782</v>
      </c>
      <c r="G1055" t="s">
        <v>3134</v>
      </c>
      <c r="H1055" t="s">
        <v>1252</v>
      </c>
      <c r="J1055" s="455">
        <v>46145</v>
      </c>
      <c r="R1055" s="455">
        <v>46164</v>
      </c>
      <c r="U1055" s="455">
        <v>46169</v>
      </c>
    </row>
    <row r="1056" spans="1:21">
      <c r="A1056" t="s">
        <v>1751</v>
      </c>
      <c r="B1056" t="s">
        <v>10963</v>
      </c>
      <c r="C1056" t="s">
        <v>1751</v>
      </c>
      <c r="D1056">
        <v>20531204</v>
      </c>
      <c r="E1056" t="s">
        <v>3128</v>
      </c>
      <c r="F1056" t="s">
        <v>1782</v>
      </c>
      <c r="G1056" t="s">
        <v>3141</v>
      </c>
      <c r="H1056" t="s">
        <v>1252</v>
      </c>
      <c r="J1056" s="455">
        <v>46161</v>
      </c>
      <c r="U1056" s="455">
        <v>46222</v>
      </c>
    </row>
    <row r="1057" spans="1:21">
      <c r="A1057" t="s">
        <v>1751</v>
      </c>
      <c r="B1057" t="s">
        <v>10964</v>
      </c>
      <c r="C1057" t="s">
        <v>1751</v>
      </c>
      <c r="D1057">
        <v>20525844</v>
      </c>
      <c r="E1057" t="s">
        <v>3190</v>
      </c>
      <c r="F1057" t="s">
        <v>1782</v>
      </c>
      <c r="G1057" t="s">
        <v>3129</v>
      </c>
      <c r="H1057" t="s">
        <v>1253</v>
      </c>
      <c r="J1057" s="455">
        <v>46156</v>
      </c>
      <c r="R1057" s="455">
        <v>46164</v>
      </c>
      <c r="U1057" s="455">
        <v>46156</v>
      </c>
    </row>
    <row r="1058" spans="1:21">
      <c r="A1058" t="s">
        <v>1751</v>
      </c>
      <c r="B1058" t="s">
        <v>4230</v>
      </c>
      <c r="C1058" t="s">
        <v>1751</v>
      </c>
      <c r="D1058">
        <v>20511736</v>
      </c>
      <c r="E1058" t="s">
        <v>3142</v>
      </c>
      <c r="F1058" t="s">
        <v>1239</v>
      </c>
      <c r="G1058" t="s">
        <v>3134</v>
      </c>
      <c r="H1058" t="s">
        <v>3165</v>
      </c>
      <c r="I1058" t="s">
        <v>1559</v>
      </c>
      <c r="J1058" s="455">
        <v>46140</v>
      </c>
      <c r="K1058" s="455">
        <v>46165</v>
      </c>
      <c r="L1058" s="455">
        <v>46165</v>
      </c>
      <c r="M1058" s="455">
        <v>46169</v>
      </c>
      <c r="N1058" s="455">
        <v>46169</v>
      </c>
      <c r="P1058" s="455">
        <v>46169</v>
      </c>
      <c r="Q1058" s="455">
        <v>46169</v>
      </c>
      <c r="U1058" s="455">
        <v>46188</v>
      </c>
    </row>
    <row r="1059" spans="1:21">
      <c r="A1059" t="s">
        <v>1751</v>
      </c>
      <c r="B1059" t="s">
        <v>4231</v>
      </c>
      <c r="C1059" t="s">
        <v>1751</v>
      </c>
      <c r="D1059">
        <v>20531423</v>
      </c>
      <c r="E1059" t="s">
        <v>1897</v>
      </c>
      <c r="F1059" t="s">
        <v>1241</v>
      </c>
      <c r="G1059" t="s">
        <v>2009</v>
      </c>
      <c r="H1059" t="s">
        <v>1247</v>
      </c>
      <c r="I1059" t="s">
        <v>1539</v>
      </c>
      <c r="J1059" s="455">
        <v>46162</v>
      </c>
      <c r="K1059" s="455">
        <v>46162</v>
      </c>
      <c r="U1059" s="455">
        <v>46162</v>
      </c>
    </row>
    <row r="1060" spans="1:21">
      <c r="A1060" t="s">
        <v>1751</v>
      </c>
      <c r="B1060" t="s">
        <v>10965</v>
      </c>
      <c r="C1060" t="s">
        <v>1751</v>
      </c>
      <c r="D1060">
        <v>20521838</v>
      </c>
      <c r="E1060" t="s">
        <v>3190</v>
      </c>
      <c r="F1060" t="s">
        <v>1782</v>
      </c>
      <c r="G1060" t="s">
        <v>3141</v>
      </c>
      <c r="H1060" t="s">
        <v>1252</v>
      </c>
      <c r="J1060" s="455">
        <v>46153</v>
      </c>
      <c r="R1060" s="455">
        <v>46164</v>
      </c>
      <c r="U1060" s="455">
        <v>46221</v>
      </c>
    </row>
    <row r="1061" spans="1:21">
      <c r="A1061" t="s">
        <v>1751</v>
      </c>
      <c r="B1061" t="s">
        <v>10966</v>
      </c>
      <c r="C1061" t="s">
        <v>1751</v>
      </c>
      <c r="D1061">
        <v>20514625</v>
      </c>
      <c r="E1061" t="s">
        <v>3190</v>
      </c>
      <c r="F1061" t="s">
        <v>1241</v>
      </c>
      <c r="G1061" t="s">
        <v>3129</v>
      </c>
      <c r="H1061" t="s">
        <v>1252</v>
      </c>
      <c r="J1061" s="455">
        <v>46143</v>
      </c>
      <c r="R1061" s="455">
        <v>46164</v>
      </c>
      <c r="U1061" s="455">
        <v>46143</v>
      </c>
    </row>
    <row r="1062" spans="1:21">
      <c r="A1062" t="s">
        <v>1751</v>
      </c>
      <c r="B1062" t="s">
        <v>10967</v>
      </c>
      <c r="C1062" t="s">
        <v>1751</v>
      </c>
      <c r="D1062">
        <v>20522586</v>
      </c>
      <c r="E1062" t="s">
        <v>3190</v>
      </c>
      <c r="F1062" t="s">
        <v>1782</v>
      </c>
      <c r="G1062" t="s">
        <v>3134</v>
      </c>
      <c r="H1062" t="s">
        <v>1252</v>
      </c>
      <c r="J1062" s="455">
        <v>46153</v>
      </c>
      <c r="R1062" s="455">
        <v>46164</v>
      </c>
      <c r="U1062" s="455">
        <v>46173</v>
      </c>
    </row>
    <row r="1063" spans="1:21">
      <c r="A1063" t="s">
        <v>1751</v>
      </c>
      <c r="B1063" t="s">
        <v>10968</v>
      </c>
      <c r="C1063" t="s">
        <v>1751</v>
      </c>
      <c r="D1063">
        <v>20531697</v>
      </c>
      <c r="E1063" t="s">
        <v>3128</v>
      </c>
      <c r="F1063" t="s">
        <v>1242</v>
      </c>
      <c r="G1063" t="s">
        <v>3143</v>
      </c>
      <c r="H1063" t="s">
        <v>1248</v>
      </c>
      <c r="I1063" t="s">
        <v>3170</v>
      </c>
      <c r="J1063" s="455">
        <v>46162</v>
      </c>
      <c r="U1063" s="455">
        <v>46186</v>
      </c>
    </row>
    <row r="1064" spans="1:21">
      <c r="A1064" t="s">
        <v>1751</v>
      </c>
      <c r="B1064" t="s">
        <v>10969</v>
      </c>
      <c r="C1064" t="s">
        <v>1751</v>
      </c>
      <c r="D1064">
        <v>20514160</v>
      </c>
      <c r="E1064" t="s">
        <v>3128</v>
      </c>
      <c r="F1064" t="s">
        <v>1782</v>
      </c>
      <c r="G1064" t="s">
        <v>3137</v>
      </c>
      <c r="H1064" t="s">
        <v>1252</v>
      </c>
      <c r="J1064" s="455">
        <v>46143</v>
      </c>
      <c r="U1064" s="455">
        <v>46162</v>
      </c>
    </row>
    <row r="1065" spans="1:21">
      <c r="A1065" t="s">
        <v>1751</v>
      </c>
      <c r="B1065" t="s">
        <v>10970</v>
      </c>
      <c r="C1065" t="s">
        <v>1751</v>
      </c>
      <c r="D1065">
        <v>20533888</v>
      </c>
      <c r="E1065" t="s">
        <v>3128</v>
      </c>
      <c r="F1065" t="s">
        <v>1782</v>
      </c>
      <c r="G1065" t="s">
        <v>3137</v>
      </c>
      <c r="H1065" t="s">
        <v>1252</v>
      </c>
      <c r="J1065" s="455">
        <v>46164</v>
      </c>
      <c r="U1065" s="455">
        <v>46172</v>
      </c>
    </row>
    <row r="1066" spans="1:21">
      <c r="A1066" t="s">
        <v>1751</v>
      </c>
      <c r="B1066" t="s">
        <v>4238</v>
      </c>
      <c r="C1066" t="s">
        <v>1751</v>
      </c>
      <c r="D1066">
        <v>20538422</v>
      </c>
      <c r="E1066" t="s">
        <v>1897</v>
      </c>
      <c r="F1066" t="s">
        <v>1241</v>
      </c>
      <c r="G1066" t="s">
        <v>3134</v>
      </c>
      <c r="H1066" t="s">
        <v>1247</v>
      </c>
      <c r="J1066" s="455">
        <v>46171</v>
      </c>
      <c r="K1066" s="455">
        <v>46171</v>
      </c>
      <c r="U1066" s="455">
        <v>46171</v>
      </c>
    </row>
    <row r="1067" spans="1:21">
      <c r="A1067" t="s">
        <v>1751</v>
      </c>
      <c r="B1067" t="s">
        <v>10971</v>
      </c>
      <c r="C1067" t="s">
        <v>1751</v>
      </c>
      <c r="D1067">
        <v>20516136</v>
      </c>
      <c r="E1067" t="s">
        <v>3128</v>
      </c>
      <c r="F1067" t="s">
        <v>1782</v>
      </c>
      <c r="G1067" t="s">
        <v>3129</v>
      </c>
      <c r="H1067" t="s">
        <v>3131</v>
      </c>
      <c r="J1067" s="455">
        <v>46146</v>
      </c>
      <c r="U1067" s="455">
        <v>46146</v>
      </c>
    </row>
    <row r="1068" spans="1:21">
      <c r="A1068" t="s">
        <v>1751</v>
      </c>
      <c r="B1068" t="s">
        <v>10972</v>
      </c>
      <c r="C1068" t="s">
        <v>1751</v>
      </c>
      <c r="D1068">
        <v>20521883</v>
      </c>
      <c r="E1068" t="s">
        <v>3190</v>
      </c>
      <c r="F1068" t="s">
        <v>1782</v>
      </c>
      <c r="G1068" t="s">
        <v>3129</v>
      </c>
      <c r="H1068" t="s">
        <v>3377</v>
      </c>
      <c r="J1068" s="455">
        <v>46153</v>
      </c>
      <c r="R1068" s="455">
        <v>46164</v>
      </c>
      <c r="U1068" s="455">
        <v>46153</v>
      </c>
    </row>
    <row r="1069" spans="1:21">
      <c r="A1069" t="s">
        <v>1751</v>
      </c>
      <c r="B1069" t="s">
        <v>10973</v>
      </c>
      <c r="C1069" t="s">
        <v>1751</v>
      </c>
      <c r="D1069">
        <v>20533738</v>
      </c>
      <c r="E1069" t="s">
        <v>3128</v>
      </c>
      <c r="F1069" t="s">
        <v>1782</v>
      </c>
      <c r="G1069" t="s">
        <v>3141</v>
      </c>
      <c r="H1069" t="s">
        <v>1252</v>
      </c>
      <c r="J1069" s="455">
        <v>46164</v>
      </c>
      <c r="U1069" s="455">
        <v>46353</v>
      </c>
    </row>
    <row r="1070" spans="1:21">
      <c r="A1070" t="s">
        <v>1751</v>
      </c>
      <c r="B1070" t="s">
        <v>10974</v>
      </c>
      <c r="C1070" t="s">
        <v>1751</v>
      </c>
      <c r="D1070">
        <v>20522919</v>
      </c>
      <c r="E1070" t="s">
        <v>3190</v>
      </c>
      <c r="F1070" t="s">
        <v>1782</v>
      </c>
      <c r="G1070" t="s">
        <v>3134</v>
      </c>
      <c r="H1070" t="s">
        <v>1252</v>
      </c>
      <c r="J1070" s="455">
        <v>46154</v>
      </c>
      <c r="R1070" s="455">
        <v>46164</v>
      </c>
      <c r="U1070" s="455">
        <v>46174</v>
      </c>
    </row>
    <row r="1071" spans="1:21">
      <c r="A1071" t="s">
        <v>1751</v>
      </c>
      <c r="B1071" t="s">
        <v>4241</v>
      </c>
      <c r="C1071" t="s">
        <v>1751</v>
      </c>
      <c r="D1071">
        <v>20528625</v>
      </c>
      <c r="E1071" t="s">
        <v>1897</v>
      </c>
      <c r="F1071" t="s">
        <v>1782</v>
      </c>
      <c r="G1071" t="s">
        <v>3134</v>
      </c>
      <c r="H1071" t="s">
        <v>1248</v>
      </c>
      <c r="I1071" t="s">
        <v>3363</v>
      </c>
      <c r="J1071" s="455">
        <v>46159</v>
      </c>
      <c r="K1071" s="455">
        <v>46159</v>
      </c>
      <c r="U1071" s="455">
        <v>46160</v>
      </c>
    </row>
    <row r="1072" spans="1:21">
      <c r="A1072" t="s">
        <v>1751</v>
      </c>
      <c r="B1072" t="s">
        <v>4241</v>
      </c>
      <c r="C1072" t="s">
        <v>1751</v>
      </c>
      <c r="D1072">
        <v>20508908</v>
      </c>
      <c r="E1072" t="s">
        <v>3133</v>
      </c>
      <c r="F1072" t="s">
        <v>1238</v>
      </c>
      <c r="G1072" t="s">
        <v>3143</v>
      </c>
      <c r="H1072" t="s">
        <v>1248</v>
      </c>
      <c r="I1072" t="s">
        <v>3363</v>
      </c>
      <c r="J1072" s="455">
        <v>46136</v>
      </c>
      <c r="K1072" s="455">
        <v>46137</v>
      </c>
      <c r="L1072" s="455">
        <v>46155</v>
      </c>
      <c r="S1072" s="455">
        <v>46156</v>
      </c>
      <c r="U1072" s="455">
        <v>46167</v>
      </c>
    </row>
    <row r="1073" spans="1:21">
      <c r="A1073" t="s">
        <v>1751</v>
      </c>
      <c r="B1073" t="s">
        <v>4251</v>
      </c>
      <c r="C1073" t="s">
        <v>1751</v>
      </c>
      <c r="D1073">
        <v>20535331</v>
      </c>
      <c r="E1073" t="s">
        <v>1897</v>
      </c>
      <c r="F1073" t="s">
        <v>1782</v>
      </c>
      <c r="G1073" t="s">
        <v>3137</v>
      </c>
      <c r="H1073" t="s">
        <v>1252</v>
      </c>
      <c r="J1073" s="455">
        <v>46167</v>
      </c>
      <c r="K1073" s="455">
        <v>46168</v>
      </c>
      <c r="U1073" s="455">
        <v>46197</v>
      </c>
    </row>
    <row r="1074" spans="1:21">
      <c r="A1074" t="s">
        <v>1751</v>
      </c>
      <c r="B1074" t="s">
        <v>10975</v>
      </c>
      <c r="C1074" t="s">
        <v>1751</v>
      </c>
      <c r="D1074">
        <v>20519503</v>
      </c>
      <c r="E1074" t="s">
        <v>3128</v>
      </c>
      <c r="F1074" t="s">
        <v>1782</v>
      </c>
      <c r="G1074" t="s">
        <v>3141</v>
      </c>
      <c r="H1074" t="s">
        <v>1252</v>
      </c>
      <c r="J1074" s="455">
        <v>46149</v>
      </c>
      <c r="U1074" s="455">
        <v>46331</v>
      </c>
    </row>
    <row r="1075" spans="1:21">
      <c r="A1075" t="s">
        <v>1751</v>
      </c>
      <c r="B1075" t="s">
        <v>10976</v>
      </c>
      <c r="C1075" t="s">
        <v>1751</v>
      </c>
      <c r="D1075">
        <v>20526945</v>
      </c>
      <c r="E1075" t="s">
        <v>3128</v>
      </c>
      <c r="F1075" t="s">
        <v>1782</v>
      </c>
      <c r="G1075" t="s">
        <v>3134</v>
      </c>
      <c r="H1075" t="s">
        <v>3165</v>
      </c>
      <c r="J1075" s="455">
        <v>46157</v>
      </c>
      <c r="U1075" s="455">
        <v>46158</v>
      </c>
    </row>
    <row r="1076" spans="1:21">
      <c r="A1076" t="s">
        <v>1751</v>
      </c>
      <c r="B1076" t="s">
        <v>10977</v>
      </c>
      <c r="C1076" t="s">
        <v>1751</v>
      </c>
      <c r="D1076">
        <v>20520755</v>
      </c>
      <c r="E1076" t="s">
        <v>3128</v>
      </c>
      <c r="F1076" t="s">
        <v>1241</v>
      </c>
      <c r="G1076" t="s">
        <v>2009</v>
      </c>
      <c r="H1076" t="s">
        <v>1252</v>
      </c>
      <c r="J1076" s="455">
        <v>46151</v>
      </c>
      <c r="U1076" s="455">
        <v>46211</v>
      </c>
    </row>
    <row r="1077" spans="1:21">
      <c r="A1077" t="s">
        <v>1751</v>
      </c>
      <c r="B1077" t="s">
        <v>10978</v>
      </c>
      <c r="C1077" t="s">
        <v>1751</v>
      </c>
      <c r="D1077">
        <v>20535279</v>
      </c>
      <c r="E1077" t="s">
        <v>3128</v>
      </c>
      <c r="F1077" t="s">
        <v>1782</v>
      </c>
      <c r="G1077" t="s">
        <v>3134</v>
      </c>
      <c r="H1077" t="s">
        <v>3165</v>
      </c>
      <c r="J1077" s="455">
        <v>46167</v>
      </c>
      <c r="U1077" s="455">
        <v>46228</v>
      </c>
    </row>
    <row r="1078" spans="1:21">
      <c r="A1078" t="s">
        <v>1751</v>
      </c>
      <c r="B1078" t="s">
        <v>10979</v>
      </c>
      <c r="C1078" t="s">
        <v>1751</v>
      </c>
      <c r="D1078">
        <v>20536279</v>
      </c>
      <c r="E1078" t="s">
        <v>3128</v>
      </c>
      <c r="F1078" t="s">
        <v>1782</v>
      </c>
      <c r="G1078" t="s">
        <v>3137</v>
      </c>
      <c r="H1078" t="s">
        <v>1252</v>
      </c>
      <c r="J1078" s="455">
        <v>46168</v>
      </c>
      <c r="U1078" s="455">
        <v>46188</v>
      </c>
    </row>
    <row r="1079" spans="1:21">
      <c r="A1079" t="s">
        <v>1751</v>
      </c>
      <c r="B1079" t="s">
        <v>10980</v>
      </c>
      <c r="C1079" t="s">
        <v>1751</v>
      </c>
      <c r="D1079">
        <v>20538104</v>
      </c>
      <c r="E1079" t="s">
        <v>3128</v>
      </c>
      <c r="F1079" t="s">
        <v>1782</v>
      </c>
      <c r="G1079" t="s">
        <v>3141</v>
      </c>
      <c r="H1079" t="s">
        <v>1252</v>
      </c>
      <c r="J1079" s="455">
        <v>46170</v>
      </c>
      <c r="U1079" s="455">
        <v>46258</v>
      </c>
    </row>
    <row r="1080" spans="1:21">
      <c r="A1080" t="s">
        <v>1751</v>
      </c>
      <c r="B1080" t="s">
        <v>10981</v>
      </c>
      <c r="C1080" t="s">
        <v>1751</v>
      </c>
      <c r="D1080">
        <v>20528297</v>
      </c>
      <c r="E1080" t="s">
        <v>3128</v>
      </c>
      <c r="F1080" t="s">
        <v>1241</v>
      </c>
      <c r="G1080" t="s">
        <v>3137</v>
      </c>
      <c r="H1080" t="s">
        <v>1247</v>
      </c>
      <c r="J1080" s="455">
        <v>46158</v>
      </c>
      <c r="U1080" s="455">
        <v>46158</v>
      </c>
    </row>
    <row r="1081" spans="1:21">
      <c r="A1081" t="s">
        <v>1751</v>
      </c>
      <c r="B1081" t="s">
        <v>10982</v>
      </c>
      <c r="C1081" t="s">
        <v>1751</v>
      </c>
      <c r="D1081">
        <v>20537546</v>
      </c>
      <c r="E1081" t="s">
        <v>3128</v>
      </c>
      <c r="F1081" t="s">
        <v>1241</v>
      </c>
      <c r="G1081" t="s">
        <v>3129</v>
      </c>
      <c r="H1081" t="s">
        <v>3377</v>
      </c>
      <c r="J1081" s="455">
        <v>46170</v>
      </c>
      <c r="U1081" s="455">
        <v>46170</v>
      </c>
    </row>
    <row r="1082" spans="1:21">
      <c r="A1082" t="s">
        <v>1751</v>
      </c>
      <c r="B1082" t="s">
        <v>4253</v>
      </c>
      <c r="C1082" t="s">
        <v>1751</v>
      </c>
      <c r="D1082">
        <v>20536592</v>
      </c>
      <c r="E1082" t="s">
        <v>1897</v>
      </c>
      <c r="F1082" t="s">
        <v>1241</v>
      </c>
      <c r="G1082" t="s">
        <v>3134</v>
      </c>
      <c r="H1082" t="s">
        <v>1247</v>
      </c>
      <c r="J1082" s="455">
        <v>46169</v>
      </c>
      <c r="K1082" s="455">
        <v>46169</v>
      </c>
      <c r="U1082" s="455">
        <v>46205</v>
      </c>
    </row>
    <row r="1083" spans="1:21">
      <c r="A1083" t="s">
        <v>1751</v>
      </c>
      <c r="B1083" t="s">
        <v>10331</v>
      </c>
      <c r="C1083" t="s">
        <v>1751</v>
      </c>
      <c r="D1083">
        <v>20500731</v>
      </c>
      <c r="E1083" t="s">
        <v>3133</v>
      </c>
      <c r="F1083" t="s">
        <v>1239</v>
      </c>
      <c r="G1083" t="s">
        <v>3129</v>
      </c>
      <c r="H1083" t="s">
        <v>1253</v>
      </c>
      <c r="I1083" t="s">
        <v>4598</v>
      </c>
      <c r="J1083" s="455">
        <v>46130</v>
      </c>
      <c r="K1083" s="455">
        <v>46132</v>
      </c>
      <c r="L1083" s="455">
        <v>46133</v>
      </c>
      <c r="R1083" s="455">
        <v>46146</v>
      </c>
      <c r="U1083" s="455">
        <v>46143</v>
      </c>
    </row>
    <row r="1084" spans="1:21">
      <c r="A1084" t="s">
        <v>1751</v>
      </c>
      <c r="B1084" t="s">
        <v>4256</v>
      </c>
      <c r="C1084" t="s">
        <v>1751</v>
      </c>
      <c r="D1084">
        <v>20515970</v>
      </c>
      <c r="E1084" t="s">
        <v>3133</v>
      </c>
      <c r="F1084" t="s">
        <v>1242</v>
      </c>
      <c r="G1084" t="s">
        <v>3137</v>
      </c>
      <c r="H1084" t="s">
        <v>1247</v>
      </c>
      <c r="J1084" s="455">
        <v>46145</v>
      </c>
      <c r="K1084" s="455">
        <v>46151</v>
      </c>
      <c r="R1084" s="455">
        <v>46164</v>
      </c>
      <c r="U1084" s="455">
        <v>46165</v>
      </c>
    </row>
    <row r="1085" spans="1:21">
      <c r="A1085" t="s">
        <v>1751</v>
      </c>
      <c r="B1085" t="s">
        <v>4256</v>
      </c>
      <c r="C1085" t="s">
        <v>1751</v>
      </c>
      <c r="D1085">
        <v>20520496</v>
      </c>
      <c r="E1085" t="s">
        <v>1897</v>
      </c>
      <c r="F1085" t="s">
        <v>1912</v>
      </c>
      <c r="G1085" t="s">
        <v>3134</v>
      </c>
      <c r="H1085" t="s">
        <v>1247</v>
      </c>
      <c r="J1085" s="455">
        <v>46150</v>
      </c>
      <c r="K1085" s="455">
        <v>46150</v>
      </c>
      <c r="U1085" s="455">
        <v>46150</v>
      </c>
    </row>
    <row r="1086" spans="1:21">
      <c r="A1086" t="s">
        <v>1751</v>
      </c>
      <c r="B1086" t="s">
        <v>10983</v>
      </c>
      <c r="C1086" t="s">
        <v>1751</v>
      </c>
      <c r="D1086">
        <v>20519708</v>
      </c>
      <c r="E1086" t="s">
        <v>3133</v>
      </c>
      <c r="F1086" t="s">
        <v>1237</v>
      </c>
      <c r="G1086" t="s">
        <v>3134</v>
      </c>
      <c r="H1086" t="s">
        <v>3165</v>
      </c>
      <c r="I1086" t="s">
        <v>3426</v>
      </c>
      <c r="J1086" s="455">
        <v>46149</v>
      </c>
      <c r="K1086" s="455">
        <v>46154</v>
      </c>
      <c r="L1086" s="455">
        <v>46154</v>
      </c>
      <c r="R1086" s="455">
        <v>46164</v>
      </c>
      <c r="U1086" s="455">
        <v>46174</v>
      </c>
    </row>
    <row r="1087" spans="1:21">
      <c r="A1087" t="s">
        <v>1751</v>
      </c>
      <c r="B1087" t="s">
        <v>10984</v>
      </c>
      <c r="C1087" t="s">
        <v>1751</v>
      </c>
      <c r="D1087">
        <v>20538982</v>
      </c>
      <c r="E1087" t="s">
        <v>3128</v>
      </c>
      <c r="F1087" t="s">
        <v>1782</v>
      </c>
      <c r="G1087" t="s">
        <v>3137</v>
      </c>
      <c r="H1087" t="s">
        <v>1252</v>
      </c>
      <c r="J1087" s="455">
        <v>46171</v>
      </c>
      <c r="U1087" s="455">
        <v>46186</v>
      </c>
    </row>
    <row r="1088" spans="1:21">
      <c r="A1088" t="s">
        <v>1751</v>
      </c>
      <c r="B1088" t="s">
        <v>4263</v>
      </c>
      <c r="C1088" t="s">
        <v>1751</v>
      </c>
      <c r="D1088">
        <v>20516039</v>
      </c>
      <c r="E1088" t="s">
        <v>1897</v>
      </c>
      <c r="F1088" t="s">
        <v>1241</v>
      </c>
      <c r="G1088" t="s">
        <v>3134</v>
      </c>
      <c r="H1088" t="s">
        <v>1247</v>
      </c>
      <c r="I1088" t="s">
        <v>2124</v>
      </c>
      <c r="J1088" s="455">
        <v>46145</v>
      </c>
      <c r="K1088" s="455">
        <v>46145</v>
      </c>
      <c r="U1088" s="455">
        <v>46157</v>
      </c>
    </row>
    <row r="1089" spans="1:21">
      <c r="A1089" t="s">
        <v>1751</v>
      </c>
      <c r="B1089" t="s">
        <v>10985</v>
      </c>
      <c r="C1089" t="s">
        <v>1751</v>
      </c>
      <c r="D1089">
        <v>20522012</v>
      </c>
      <c r="E1089" t="s">
        <v>3190</v>
      </c>
      <c r="F1089" t="s">
        <v>1242</v>
      </c>
      <c r="G1089" t="s">
        <v>3143</v>
      </c>
      <c r="H1089" t="s">
        <v>1252</v>
      </c>
      <c r="I1089" t="s">
        <v>1952</v>
      </c>
      <c r="J1089" s="455">
        <v>46153</v>
      </c>
      <c r="R1089" s="455">
        <v>46160</v>
      </c>
      <c r="U1089" s="455">
        <v>46158</v>
      </c>
    </row>
    <row r="1090" spans="1:21">
      <c r="A1090" t="s">
        <v>1751</v>
      </c>
      <c r="B1090" t="s">
        <v>4264</v>
      </c>
      <c r="C1090" t="s">
        <v>1751</v>
      </c>
      <c r="D1090">
        <v>20517148</v>
      </c>
      <c r="E1090" t="s">
        <v>3142</v>
      </c>
      <c r="F1090" t="s">
        <v>1238</v>
      </c>
      <c r="G1090" t="s">
        <v>3134</v>
      </c>
      <c r="H1090" t="s">
        <v>1247</v>
      </c>
      <c r="I1090" t="s">
        <v>1524</v>
      </c>
      <c r="J1090" s="455">
        <v>46147</v>
      </c>
      <c r="K1090" s="455">
        <v>46147</v>
      </c>
      <c r="L1090" s="455">
        <v>46148</v>
      </c>
      <c r="M1090" s="455">
        <v>46158</v>
      </c>
      <c r="N1090" s="455">
        <v>46158</v>
      </c>
      <c r="O1090" s="455">
        <v>46158</v>
      </c>
      <c r="P1090" s="455">
        <v>46158</v>
      </c>
      <c r="Q1090" s="455">
        <v>46160</v>
      </c>
      <c r="U1090" s="455">
        <v>46165</v>
      </c>
    </row>
    <row r="1091" spans="1:21">
      <c r="A1091" t="s">
        <v>1751</v>
      </c>
      <c r="B1091" t="s">
        <v>4264</v>
      </c>
      <c r="C1091" t="s">
        <v>1751</v>
      </c>
      <c r="D1091">
        <v>20515580</v>
      </c>
      <c r="E1091" t="s">
        <v>1897</v>
      </c>
      <c r="F1091" t="s">
        <v>1912</v>
      </c>
      <c r="G1091" t="s">
        <v>3134</v>
      </c>
      <c r="H1091" t="s">
        <v>1251</v>
      </c>
      <c r="I1091" t="s">
        <v>1808</v>
      </c>
      <c r="J1091" s="455">
        <v>46144</v>
      </c>
      <c r="K1091" s="455">
        <v>46144</v>
      </c>
      <c r="U1091" s="455">
        <v>46165</v>
      </c>
    </row>
    <row r="1092" spans="1:21">
      <c r="A1092" t="s">
        <v>1751</v>
      </c>
      <c r="B1092" t="s">
        <v>10986</v>
      </c>
      <c r="C1092" t="s">
        <v>1751</v>
      </c>
      <c r="D1092">
        <v>20515266</v>
      </c>
      <c r="E1092" t="s">
        <v>3128</v>
      </c>
      <c r="F1092" t="s">
        <v>1782</v>
      </c>
      <c r="G1092" t="s">
        <v>3129</v>
      </c>
      <c r="H1092" t="s">
        <v>1253</v>
      </c>
      <c r="J1092" s="455">
        <v>46144</v>
      </c>
      <c r="U1092" s="455">
        <v>46144</v>
      </c>
    </row>
    <row r="1093" spans="1:21">
      <c r="A1093" t="s">
        <v>1751</v>
      </c>
      <c r="B1093" t="s">
        <v>4267</v>
      </c>
      <c r="C1093" t="s">
        <v>1751</v>
      </c>
      <c r="D1093">
        <v>20521225</v>
      </c>
      <c r="E1093" t="s">
        <v>1897</v>
      </c>
      <c r="F1093" t="s">
        <v>1238</v>
      </c>
      <c r="G1093" t="s">
        <v>3134</v>
      </c>
      <c r="H1093" t="s">
        <v>1247</v>
      </c>
      <c r="I1093" t="s">
        <v>2443</v>
      </c>
      <c r="J1093" s="455">
        <v>46151</v>
      </c>
      <c r="K1093" s="455">
        <v>46151</v>
      </c>
      <c r="U1093" s="455">
        <v>46210</v>
      </c>
    </row>
    <row r="1094" spans="1:21">
      <c r="A1094" t="s">
        <v>1751</v>
      </c>
      <c r="B1094" t="s">
        <v>4267</v>
      </c>
      <c r="C1094" t="s">
        <v>1751</v>
      </c>
      <c r="D1094">
        <v>20536268</v>
      </c>
      <c r="E1094" t="s">
        <v>1897</v>
      </c>
      <c r="F1094" t="s">
        <v>1241</v>
      </c>
      <c r="G1094" t="s">
        <v>3134</v>
      </c>
      <c r="H1094" t="s">
        <v>3358</v>
      </c>
      <c r="J1094" s="455">
        <v>46168</v>
      </c>
      <c r="K1094" s="455">
        <v>46168</v>
      </c>
      <c r="U1094" s="455">
        <v>46168</v>
      </c>
    </row>
    <row r="1095" spans="1:21">
      <c r="A1095" t="s">
        <v>1751</v>
      </c>
      <c r="B1095" t="s">
        <v>10987</v>
      </c>
      <c r="C1095" t="s">
        <v>1751</v>
      </c>
      <c r="D1095">
        <v>20518711</v>
      </c>
      <c r="E1095" t="s">
        <v>3128</v>
      </c>
      <c r="F1095" t="s">
        <v>1782</v>
      </c>
      <c r="G1095" t="s">
        <v>3141</v>
      </c>
      <c r="H1095" t="s">
        <v>1252</v>
      </c>
      <c r="J1095" s="455">
        <v>46148</v>
      </c>
      <c r="U1095" s="455">
        <v>46149</v>
      </c>
    </row>
    <row r="1096" spans="1:21">
      <c r="A1096" t="s">
        <v>1751</v>
      </c>
      <c r="B1096" t="s">
        <v>10988</v>
      </c>
      <c r="C1096" t="s">
        <v>1751</v>
      </c>
      <c r="D1096">
        <v>20532143</v>
      </c>
      <c r="E1096" t="s">
        <v>3190</v>
      </c>
      <c r="F1096" t="s">
        <v>1241</v>
      </c>
      <c r="G1096" t="s">
        <v>3143</v>
      </c>
      <c r="H1096" t="s">
        <v>1249</v>
      </c>
      <c r="I1096" t="s">
        <v>3391</v>
      </c>
      <c r="J1096" s="455">
        <v>46162</v>
      </c>
      <c r="R1096" s="455">
        <v>46164</v>
      </c>
      <c r="U1096" s="455">
        <v>46170</v>
      </c>
    </row>
    <row r="1097" spans="1:21">
      <c r="A1097" t="s">
        <v>1751</v>
      </c>
      <c r="B1097" t="s">
        <v>10346</v>
      </c>
      <c r="C1097" t="s">
        <v>1751</v>
      </c>
      <c r="D1097">
        <v>20507576</v>
      </c>
      <c r="E1097" t="s">
        <v>3190</v>
      </c>
      <c r="F1097" t="s">
        <v>1241</v>
      </c>
      <c r="G1097" t="s">
        <v>3129</v>
      </c>
      <c r="H1097" t="s">
        <v>1247</v>
      </c>
      <c r="I1097" t="s">
        <v>1943</v>
      </c>
      <c r="J1097" s="455">
        <v>46135</v>
      </c>
      <c r="R1097" s="455">
        <v>46164</v>
      </c>
      <c r="U1097" s="455">
        <v>46135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2E13670C3A1CC44A5064406F8CCD185" ma:contentTypeVersion="15" ma:contentTypeDescription="Create a new document." ma:contentTypeScope="" ma:versionID="8c2b85a346f43f39afabb5b7f0766f4a">
  <xsd:schema xmlns:xsd="http://www.w3.org/2001/XMLSchema" xmlns:xs="http://www.w3.org/2001/XMLSchema" xmlns:p="http://schemas.microsoft.com/office/2006/metadata/properties" xmlns:ns2="560d74da-75e6-4a2b-a394-f0f779b504c6" xmlns:ns3="63ed3ee1-3d89-4eab-85d8-b1edcaf37c19" targetNamespace="http://schemas.microsoft.com/office/2006/metadata/properties" ma:root="true" ma:fieldsID="6a7429014cb557a274c739c8662e52ed" ns2:_="" ns3:_="">
    <xsd:import namespace="560d74da-75e6-4a2b-a394-f0f779b504c6"/>
    <xsd:import namespace="63ed3ee1-3d89-4eab-85d8-b1edcaf37c1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60d74da-75e6-4a2b-a394-f0f779b504c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6dd0387f-4577-41fb-adfe-45bfda24fb13"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63ed3ee1-3d89-4eab-85d8-b1edcaf37c19"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826577b2-205d-4e3b-952a-b63065427862}" ma:internalName="TaxCatchAll" ma:showField="CatchAllData" ma:web="63ed3ee1-3d89-4eab-85d8-b1edcaf37c1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63ed3ee1-3d89-4eab-85d8-b1edcaf37c19" xsi:nil="true"/>
    <lcf76f155ced4ddcb4097134ff3c332f xmlns="560d74da-75e6-4a2b-a394-f0f779b504c6">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9EA2E38-805D-4A35-AA21-D3A67CAC90C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60d74da-75e6-4a2b-a394-f0f779b504c6"/>
    <ds:schemaRef ds:uri="63ed3ee1-3d89-4eab-85d8-b1edcaf37c1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B15A9F8-2B64-4AE3-88A2-6434F490AD4F}">
  <ds:schemaRefs>
    <ds:schemaRef ds:uri="http://schemas.microsoft.com/office/2006/metadata/properties"/>
    <ds:schemaRef ds:uri="http://schemas.microsoft.com/office/infopath/2007/PartnerControls"/>
    <ds:schemaRef ds:uri="63ed3ee1-3d89-4eab-85d8-b1edcaf37c19"/>
    <ds:schemaRef ds:uri="560d74da-75e6-4a2b-a394-f0f779b504c6"/>
  </ds:schemaRefs>
</ds:datastoreItem>
</file>

<file path=customXml/itemProps3.xml><?xml version="1.0" encoding="utf-8"?>
<ds:datastoreItem xmlns:ds="http://schemas.openxmlformats.org/officeDocument/2006/customXml" ds:itemID="{C1BA8B3A-66F0-4A17-A5D9-456E3ECDC75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48</vt:i4>
      </vt:variant>
      <vt:variant>
        <vt:lpstr>Named Ranges</vt:lpstr>
      </vt:variant>
      <vt:variant>
        <vt:i4>7</vt:i4>
      </vt:variant>
    </vt:vector>
  </HeadingPairs>
  <TitlesOfParts>
    <vt:vector size="55" baseType="lpstr">
      <vt:lpstr>Claude Log</vt:lpstr>
      <vt:lpstr>Instructions</vt:lpstr>
      <vt:lpstr>Incentive_Scorecard_Q2</vt:lpstr>
      <vt:lpstr>Incentive_Scorecard_Q3</vt:lpstr>
      <vt:lpstr>Dashboard_1</vt:lpstr>
      <vt:lpstr>Data_2</vt:lpstr>
      <vt:lpstr>Delinquency_Detail_3</vt:lpstr>
      <vt:lpstr>App_Pipeline_Intel_4</vt:lpstr>
      <vt:lpstr>Action_Item_Tracker_5</vt:lpstr>
      <vt:lpstr>Screening_Impact_Analysis_6</vt:lpstr>
      <vt:lpstr>Eviction_Success_Rate</vt:lpstr>
      <vt:lpstr>Targets</vt:lpstr>
      <vt:lpstr>Targets_vs_Actuals</vt:lpstr>
      <vt:lpstr>CAF_App_Tracker</vt:lpstr>
      <vt:lpstr>CAF vs Pipeline Comparison</vt:lpstr>
      <vt:lpstr>DSO_Calculation</vt:lpstr>
      <vt:lpstr>Write_Off_Recon</vt:lpstr>
      <vt:lpstr>Historical</vt:lpstr>
      <vt:lpstr>Competitors</vt:lpstr>
      <vt:lpstr>Boxscore MMR -Availability</vt:lpstr>
      <vt:lpstr>Boxscore MMR -Lead Activity</vt:lpstr>
      <vt:lpstr>Boxscore MMR- Lead Conversion</vt:lpstr>
      <vt:lpstr>Resident Retention -12 months</vt:lpstr>
      <vt:lpstr>Boxscore MMR-Property Pulse</vt:lpstr>
      <vt:lpstr>receipts by charge code-AVA</vt:lpstr>
      <vt:lpstr>trending delinquency</vt:lpstr>
      <vt:lpstr>resident aged receivable</vt:lpstr>
      <vt:lpstr>Work order summary-Maintenance </vt:lpstr>
      <vt:lpstr>T12</vt:lpstr>
      <vt:lpstr>lease trade out NER -AVA</vt:lpstr>
      <vt:lpstr>NSF -AVA</vt:lpstr>
      <vt:lpstr>Application_Status_June</vt:lpstr>
      <vt:lpstr>Application_Status_July</vt:lpstr>
      <vt:lpstr>Application_Status_August</vt:lpstr>
      <vt:lpstr>Res_Retention</vt:lpstr>
      <vt:lpstr>Evictions_RSI</vt:lpstr>
      <vt:lpstr>LeaseLock</vt:lpstr>
      <vt:lpstr>RR_Unit_Details</vt:lpstr>
      <vt:lpstr>Move_Out_Reasons</vt:lpstr>
      <vt:lpstr>Move_Outs_ResMan</vt:lpstr>
      <vt:lpstr>Delinq_Notes_Backup</vt:lpstr>
      <vt:lpstr>Nationwide_JP3-1</vt:lpstr>
      <vt:lpstr>Nationwide_BRR</vt:lpstr>
      <vt:lpstr>Delinq Data</vt:lpstr>
      <vt:lpstr>Application_Status_Feb</vt:lpstr>
      <vt:lpstr>Application_Status_Mar</vt:lpstr>
      <vt:lpstr>Application_Status_Apr</vt:lpstr>
      <vt:lpstr>Application_Status_May</vt:lpstr>
      <vt:lpstr>Action_Item_Tracker_5!Print_Area</vt:lpstr>
      <vt:lpstr>App_Pipeline_Intel_4!Print_Area</vt:lpstr>
      <vt:lpstr>Dashboard_1!Print_Area</vt:lpstr>
      <vt:lpstr>Data_2!Print_Area</vt:lpstr>
      <vt:lpstr>Delinquency_Detail_3!Print_Area</vt:lpstr>
      <vt:lpstr>Screening_Impact_Analysis_6!Print_Area</vt:lpstr>
      <vt:lpstr>CAF_App_Tracker!Print_Titles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Sergio Chidichimo</cp:lastModifiedBy>
  <cp:revision>0</cp:revision>
  <dcterms:created xsi:type="dcterms:W3CDTF">2026-01-06T18:14:11Z</dcterms:created>
  <dcterms:modified xsi:type="dcterms:W3CDTF">2026-08-12T23:04:20Z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0x01010062E13670C3A1CC44A5064406F8CCD185</vt:lpwstr>
  </property>
  <property fmtid="{D5CDD505-2E9C-101B-9397-08002B2CF9AE}" pid="3" name="MediaServiceImageTags">
    <vt:lpwstr/>
  </property>
</Properties>
</file>